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9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8" i="1" l="1"/>
  <c r="E249" i="1"/>
  <c r="D178" i="1"/>
  <c r="E263" i="1"/>
  <c r="E254" i="1"/>
  <c r="D263" i="1"/>
  <c r="D262" i="1"/>
  <c r="F262" i="1" s="1"/>
  <c r="H262" i="1" s="1"/>
  <c r="I261" i="1"/>
  <c r="D261" i="1"/>
  <c r="F261" i="1" s="1"/>
  <c r="H261" i="1" s="1"/>
  <c r="D260" i="1"/>
  <c r="F260" i="1" s="1"/>
  <c r="H260" i="1" s="1"/>
  <c r="D259" i="1"/>
  <c r="F259" i="1" s="1"/>
  <c r="H259" i="1" s="1"/>
  <c r="D258" i="1"/>
  <c r="D257" i="1"/>
  <c r="F257" i="1" s="1"/>
  <c r="H257" i="1" s="1"/>
  <c r="A257" i="1"/>
  <c r="A258" i="1" s="1"/>
  <c r="A259" i="1" s="1"/>
  <c r="A260" i="1" s="1"/>
  <c r="A261" i="1" s="1"/>
  <c r="A262" i="1" s="1"/>
  <c r="A263" i="1" s="1"/>
  <c r="D256" i="1"/>
  <c r="F256" i="1" s="1"/>
  <c r="H256" i="1" s="1"/>
  <c r="E267" i="1"/>
  <c r="E272" i="1"/>
  <c r="J176" i="1"/>
  <c r="D55" i="1"/>
  <c r="F263" i="1" l="1"/>
  <c r="H263" i="1" s="1"/>
  <c r="F258" i="1"/>
  <c r="H258" i="1" s="1"/>
  <c r="D254" i="1"/>
  <c r="J178" i="1" l="1"/>
  <c r="J182" i="1"/>
  <c r="J191" i="1"/>
  <c r="J174" i="1"/>
  <c r="D272" i="1"/>
  <c r="F272" i="1" s="1"/>
  <c r="H272" i="1" s="1"/>
  <c r="D271" i="1"/>
  <c r="F271" i="1" s="1"/>
  <c r="H271" i="1" s="1"/>
  <c r="D270" i="1"/>
  <c r="F270" i="1" s="1"/>
  <c r="H270" i="1" s="1"/>
  <c r="D268" i="1"/>
  <c r="F268" i="1" s="1"/>
  <c r="H268" i="1" s="1"/>
  <c r="D267" i="1"/>
  <c r="D266" i="1"/>
  <c r="F266" i="1" s="1"/>
  <c r="H266" i="1" s="1"/>
  <c r="D265" i="1"/>
  <c r="F265" i="1" s="1"/>
  <c r="H265" i="1" s="1"/>
  <c r="F254" i="1"/>
  <c r="H254" i="1" s="1"/>
  <c r="D253" i="1"/>
  <c r="F253" i="1" s="1"/>
  <c r="H253" i="1" s="1"/>
  <c r="D252" i="1"/>
  <c r="F252" i="1" s="1"/>
  <c r="H252" i="1" s="1"/>
  <c r="D251" i="1"/>
  <c r="D250" i="1"/>
  <c r="F250" i="1" s="1"/>
  <c r="H250" i="1" s="1"/>
  <c r="D249" i="1"/>
  <c r="D248" i="1"/>
  <c r="F248" i="1" s="1"/>
  <c r="H248" i="1" s="1"/>
  <c r="D247" i="1"/>
  <c r="F247" i="1" s="1"/>
  <c r="H247" i="1" s="1"/>
  <c r="D245" i="1"/>
  <c r="F245" i="1" s="1"/>
  <c r="H245" i="1" s="1"/>
  <c r="D244" i="1"/>
  <c r="F244" i="1" s="1"/>
  <c r="H244" i="1" s="1"/>
  <c r="D243" i="1"/>
  <c r="F243" i="1" s="1"/>
  <c r="H243" i="1" s="1"/>
  <c r="D242" i="1"/>
  <c r="D241" i="1"/>
  <c r="D240" i="1"/>
  <c r="D239" i="1"/>
  <c r="D238" i="1"/>
  <c r="D236" i="1"/>
  <c r="F236" i="1" s="1"/>
  <c r="H236" i="1" s="1"/>
  <c r="D235" i="1"/>
  <c r="F235" i="1" s="1"/>
  <c r="H235" i="1" s="1"/>
  <c r="D234" i="1"/>
  <c r="F234" i="1" s="1"/>
  <c r="H234" i="1" s="1"/>
  <c r="D233" i="1"/>
  <c r="F233" i="1" s="1"/>
  <c r="H233" i="1" s="1"/>
  <c r="D231" i="1"/>
  <c r="F231" i="1" s="1"/>
  <c r="H231" i="1" s="1"/>
  <c r="D230" i="1"/>
  <c r="F230" i="1" s="1"/>
  <c r="H230" i="1" s="1"/>
  <c r="D227" i="1"/>
  <c r="F227" i="1" s="1"/>
  <c r="H227" i="1" s="1"/>
  <c r="D226" i="1"/>
  <c r="F226" i="1" s="1"/>
  <c r="H226" i="1" s="1"/>
  <c r="D225" i="1"/>
  <c r="F225" i="1" s="1"/>
  <c r="H225" i="1" s="1"/>
  <c r="D224" i="1"/>
  <c r="F224" i="1" s="1"/>
  <c r="H224" i="1" s="1"/>
  <c r="D223" i="1"/>
  <c r="F223" i="1" s="1"/>
  <c r="H223" i="1" s="1"/>
  <c r="D222" i="1"/>
  <c r="F222" i="1" s="1"/>
  <c r="H222" i="1" s="1"/>
  <c r="D221" i="1"/>
  <c r="F221" i="1" s="1"/>
  <c r="H221" i="1" s="1"/>
  <c r="D220" i="1"/>
  <c r="F220" i="1" s="1"/>
  <c r="H220" i="1" s="1"/>
  <c r="D218" i="1"/>
  <c r="F218" i="1" s="1"/>
  <c r="H218" i="1" s="1"/>
  <c r="D217" i="1"/>
  <c r="F217" i="1" s="1"/>
  <c r="H217" i="1" s="1"/>
  <c r="D216" i="1"/>
  <c r="F216" i="1" s="1"/>
  <c r="H216" i="1" s="1"/>
  <c r="D215" i="1"/>
  <c r="F215" i="1" s="1"/>
  <c r="H215" i="1" s="1"/>
  <c r="D214" i="1"/>
  <c r="F214" i="1" s="1"/>
  <c r="H214" i="1" s="1"/>
  <c r="D213" i="1"/>
  <c r="D212" i="1"/>
  <c r="F212" i="1" s="1"/>
  <c r="H212" i="1" s="1"/>
  <c r="D211" i="1"/>
  <c r="F211" i="1" s="1"/>
  <c r="H211" i="1" s="1"/>
  <c r="D209" i="1"/>
  <c r="F209" i="1" s="1"/>
  <c r="H209" i="1" s="1"/>
  <c r="D208" i="1"/>
  <c r="F208" i="1" s="1"/>
  <c r="H208" i="1" s="1"/>
  <c r="D207" i="1"/>
  <c r="F207" i="1" s="1"/>
  <c r="H207" i="1" s="1"/>
  <c r="D206" i="1"/>
  <c r="F206" i="1" s="1"/>
  <c r="H206" i="1" s="1"/>
  <c r="D205" i="1"/>
  <c r="F205" i="1" s="1"/>
  <c r="H205" i="1" s="1"/>
  <c r="D204" i="1"/>
  <c r="F204" i="1" s="1"/>
  <c r="H204" i="1" s="1"/>
  <c r="D203" i="1"/>
  <c r="F203" i="1" s="1"/>
  <c r="H203" i="1" s="1"/>
  <c r="D202" i="1"/>
  <c r="F202" i="1" s="1"/>
  <c r="H202" i="1" s="1"/>
  <c r="D200" i="1"/>
  <c r="F200" i="1" s="1"/>
  <c r="H200" i="1" s="1"/>
  <c r="D198" i="1"/>
  <c r="F198" i="1" s="1"/>
  <c r="H198" i="1" s="1"/>
  <c r="D197" i="1"/>
  <c r="F197" i="1" s="1"/>
  <c r="H197" i="1" s="1"/>
  <c r="D196" i="1"/>
  <c r="F196" i="1" s="1"/>
  <c r="H196" i="1" s="1"/>
  <c r="D195" i="1"/>
  <c r="F195" i="1" s="1"/>
  <c r="H195" i="1" s="1"/>
  <c r="D194" i="1"/>
  <c r="F194" i="1" s="1"/>
  <c r="H194" i="1" s="1"/>
  <c r="I196" i="1" s="1"/>
  <c r="D193" i="1"/>
  <c r="F193" i="1" s="1"/>
  <c r="H193" i="1" s="1"/>
  <c r="D191" i="1"/>
  <c r="F191" i="1" s="1"/>
  <c r="H191" i="1" s="1"/>
  <c r="J190" i="1" s="1"/>
  <c r="D190" i="1"/>
  <c r="F190" i="1" s="1"/>
  <c r="H190" i="1" s="1"/>
  <c r="J189" i="1" s="1"/>
  <c r="D189" i="1"/>
  <c r="F189" i="1" s="1"/>
  <c r="H189" i="1" s="1"/>
  <c r="J188" i="1" s="1"/>
  <c r="D188" i="1"/>
  <c r="F188" i="1" s="1"/>
  <c r="H188" i="1" s="1"/>
  <c r="J187" i="1" s="1"/>
  <c r="D187" i="1"/>
  <c r="D186" i="1"/>
  <c r="F186" i="1" s="1"/>
  <c r="H186" i="1" s="1"/>
  <c r="J185" i="1" s="1"/>
  <c r="D185" i="1"/>
  <c r="F185" i="1" s="1"/>
  <c r="H185" i="1" s="1"/>
  <c r="J184" i="1" s="1"/>
  <c r="D184" i="1"/>
  <c r="F184" i="1" s="1"/>
  <c r="H184" i="1" s="1"/>
  <c r="J106" i="1" s="1"/>
  <c r="D182" i="1"/>
  <c r="F182" i="1" s="1"/>
  <c r="H182" i="1" s="1"/>
  <c r="J181" i="1" s="1"/>
  <c r="D181" i="1"/>
  <c r="F181" i="1" s="1"/>
  <c r="H181" i="1" s="1"/>
  <c r="J180" i="1" s="1"/>
  <c r="D180" i="1"/>
  <c r="F180" i="1" s="1"/>
  <c r="H180" i="1" s="1"/>
  <c r="J179" i="1" s="1"/>
  <c r="I252" i="1"/>
  <c r="F251" i="1"/>
  <c r="H251" i="1" s="1"/>
  <c r="A248" i="1"/>
  <c r="A249" i="1" s="1"/>
  <c r="A250" i="1" s="1"/>
  <c r="A251" i="1" s="1"/>
  <c r="A252" i="1" s="1"/>
  <c r="A253" i="1" s="1"/>
  <c r="A254" i="1" s="1"/>
  <c r="I243" i="1"/>
  <c r="A221" i="1"/>
  <c r="A222" i="1" s="1"/>
  <c r="A223" i="1" s="1"/>
  <c r="A224" i="1" s="1"/>
  <c r="A225" i="1" s="1"/>
  <c r="A226" i="1" s="1"/>
  <c r="A227" i="1" s="1"/>
  <c r="F213" i="1"/>
  <c r="H213" i="1" s="1"/>
  <c r="A212" i="1"/>
  <c r="A213" i="1" s="1"/>
  <c r="A214" i="1" s="1"/>
  <c r="A215" i="1" s="1"/>
  <c r="A216" i="1" s="1"/>
  <c r="A217" i="1" s="1"/>
  <c r="A218" i="1" s="1"/>
  <c r="A203" i="1"/>
  <c r="A204" i="1" s="1"/>
  <c r="A205" i="1" s="1"/>
  <c r="A206" i="1" s="1"/>
  <c r="A207" i="1" s="1"/>
  <c r="A208" i="1" s="1"/>
  <c r="A209" i="1" s="1"/>
  <c r="A194" i="1"/>
  <c r="A195" i="1" s="1"/>
  <c r="A196" i="1" s="1"/>
  <c r="A197" i="1" s="1"/>
  <c r="A198" i="1" s="1"/>
  <c r="A199" i="1" s="1"/>
  <c r="A200" i="1" s="1"/>
  <c r="F187" i="1"/>
  <c r="H187" i="1" s="1"/>
  <c r="J186" i="1" s="1"/>
  <c r="A185" i="1"/>
  <c r="A186" i="1" s="1"/>
  <c r="A187" i="1" s="1"/>
  <c r="A188" i="1" s="1"/>
  <c r="A189" i="1" s="1"/>
  <c r="A190" i="1" s="1"/>
  <c r="A191" i="1" s="1"/>
  <c r="A266" i="1"/>
  <c r="A267" i="1" s="1"/>
  <c r="A268" i="1" s="1"/>
  <c r="A269" i="1" s="1"/>
  <c r="A270" i="1" s="1"/>
  <c r="A271" i="1" s="1"/>
  <c r="A272" i="1" s="1"/>
  <c r="I178" i="1"/>
  <c r="D171" i="1"/>
  <c r="H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H165" i="1" s="1"/>
  <c r="D164" i="1"/>
  <c r="F164" i="1" s="1"/>
  <c r="D163" i="1"/>
  <c r="H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H155" i="1" s="1"/>
  <c r="D154" i="1"/>
  <c r="F154" i="1" s="1"/>
  <c r="D153" i="1"/>
  <c r="H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6" i="1"/>
  <c r="H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H140" i="1" s="1"/>
  <c r="D139" i="1"/>
  <c r="F139" i="1" s="1"/>
  <c r="D138" i="1"/>
  <c r="H138" i="1" s="1"/>
  <c r="D137" i="1"/>
  <c r="F137" i="1" s="1"/>
  <c r="D136" i="1"/>
  <c r="F136" i="1" s="1"/>
  <c r="D135" i="1"/>
  <c r="F135" i="1" s="1"/>
  <c r="D134" i="1"/>
  <c r="F134" i="1" s="1"/>
  <c r="D133" i="1"/>
  <c r="H133" i="1" s="1"/>
  <c r="D132" i="1"/>
  <c r="H132" i="1" s="1"/>
  <c r="D131" i="1"/>
  <c r="H131" i="1" s="1"/>
  <c r="D130" i="1"/>
  <c r="F130" i="1" s="1"/>
  <c r="D129" i="1"/>
  <c r="H129" i="1" s="1"/>
  <c r="D128" i="1"/>
  <c r="F128" i="1" s="1"/>
  <c r="D127" i="1"/>
  <c r="H127" i="1" s="1"/>
  <c r="D126" i="1"/>
  <c r="D125" i="1"/>
  <c r="D124" i="1"/>
  <c r="D123" i="1"/>
  <c r="I45" i="1"/>
  <c r="F127" i="1" l="1"/>
  <c r="L197" i="1"/>
  <c r="F140" i="1"/>
  <c r="H145" i="1"/>
  <c r="F131" i="1"/>
  <c r="H161" i="1"/>
  <c r="H169" i="1"/>
  <c r="J183" i="1"/>
  <c r="H128" i="1"/>
  <c r="H141" i="1"/>
  <c r="H142" i="1"/>
  <c r="I197" i="1"/>
  <c r="L196" i="1"/>
  <c r="H134" i="1"/>
  <c r="H137" i="1"/>
  <c r="F163" i="1"/>
  <c r="I198" i="1"/>
  <c r="F171" i="1"/>
  <c r="J97" i="1"/>
  <c r="J107" i="1" s="1"/>
  <c r="F249" i="1"/>
  <c r="H249" i="1" s="1"/>
  <c r="F267" i="1"/>
  <c r="H267" i="1" s="1"/>
  <c r="F155" i="1"/>
  <c r="H149" i="1"/>
  <c r="H157" i="1"/>
  <c r="H130" i="1"/>
  <c r="F132" i="1"/>
  <c r="H136" i="1"/>
  <c r="F138" i="1"/>
  <c r="H144" i="1"/>
  <c r="F146" i="1"/>
  <c r="H151" i="1"/>
  <c r="F153" i="1"/>
  <c r="H159" i="1"/>
  <c r="F165" i="1"/>
  <c r="H167" i="1"/>
  <c r="H148" i="1"/>
  <c r="H150" i="1"/>
  <c r="H152" i="1"/>
  <c r="H154" i="1"/>
  <c r="H156" i="1"/>
  <c r="H158" i="1"/>
  <c r="H160" i="1"/>
  <c r="H162" i="1"/>
  <c r="H164" i="1"/>
  <c r="H166" i="1"/>
  <c r="H168" i="1"/>
  <c r="H170" i="1"/>
  <c r="F129" i="1"/>
  <c r="F133" i="1"/>
  <c r="H135" i="1"/>
  <c r="H139" i="1"/>
  <c r="H143" i="1"/>
  <c r="H123" i="1"/>
  <c r="F124" i="1"/>
  <c r="F125" i="1"/>
  <c r="F126" i="1"/>
  <c r="F123" i="1"/>
  <c r="H124" i="1"/>
  <c r="H125" i="1"/>
  <c r="H126" i="1"/>
  <c r="F242" i="1"/>
  <c r="H242" i="1" s="1"/>
  <c r="F241" i="1"/>
  <c r="H241" i="1" s="1"/>
  <c r="F240" i="1"/>
  <c r="H240" i="1" s="1"/>
  <c r="F239" i="1"/>
  <c r="H239" i="1" s="1"/>
  <c r="F238" i="1"/>
  <c r="H238" i="1" s="1"/>
  <c r="B276" i="1"/>
  <c r="B275" i="1"/>
  <c r="F178" i="1"/>
  <c r="L198" i="1" l="1"/>
  <c r="C110" i="1"/>
  <c r="E110" i="1"/>
  <c r="G110" i="1"/>
  <c r="G114" i="1"/>
  <c r="C114" i="1"/>
  <c r="E114" i="1"/>
  <c r="E113" i="1"/>
  <c r="C113" i="1"/>
  <c r="C15" i="1"/>
  <c r="E115" i="1" l="1"/>
  <c r="E116" i="1" s="1"/>
  <c r="C115" i="1"/>
  <c r="C116" i="1" s="1"/>
  <c r="Z12" i="1"/>
  <c r="I14" i="1"/>
  <c r="H178" i="1" l="1"/>
  <c r="G113" i="1" l="1"/>
  <c r="G115" i="1" s="1"/>
  <c r="G116" i="1" s="1"/>
  <c r="J177" i="1"/>
  <c r="E43" i="1"/>
  <c r="E44" i="1" s="1"/>
  <c r="E30" i="1" l="1"/>
  <c r="F10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9" i="1"/>
  <c r="A239" i="1"/>
  <c r="A240" i="1" s="1"/>
  <c r="A241" i="1" s="1"/>
  <c r="A242" i="1" s="1"/>
  <c r="A243" i="1" s="1"/>
  <c r="A244" i="1" s="1"/>
  <c r="A245" i="1" s="1"/>
  <c r="C81" i="1"/>
  <c r="B82" i="1" s="1"/>
  <c r="C67" i="1"/>
  <c r="B68" i="1" s="1"/>
  <c r="G50" i="1"/>
  <c r="G51" i="1" s="1"/>
  <c r="C50" i="1"/>
  <c r="C51" i="1" s="1"/>
  <c r="E27" i="1"/>
  <c r="E25" i="1"/>
  <c r="E7" i="1"/>
  <c r="E3" i="1"/>
  <c r="D61" i="1" l="1"/>
  <c r="H68" i="1"/>
  <c r="H82" i="1"/>
  <c r="J86" i="1" l="1"/>
  <c r="D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D71" i="1" l="1"/>
  <c r="J80" i="1"/>
  <c r="J94" i="1"/>
  <c r="J82" i="1" s="1"/>
  <c r="C72" i="1" l="1"/>
  <c r="G71" i="1" s="1"/>
  <c r="D65" i="1" s="1"/>
  <c r="E85" i="1"/>
  <c r="G85" i="1"/>
  <c r="D86" i="1"/>
  <c r="I82" i="1" s="1"/>
  <c r="I83" i="1" s="1"/>
  <c r="E71" i="1" l="1"/>
  <c r="D72" i="1"/>
  <c r="I68" i="1" s="1"/>
  <c r="I69" i="1" s="1"/>
  <c r="J68" i="1"/>
  <c r="D66" i="1"/>
  <c r="F66" i="1"/>
  <c r="I81" i="1"/>
  <c r="C83" i="1" s="1"/>
  <c r="I67" i="1" l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<sst xmlns="http://schemas.openxmlformats.org/spreadsheetml/2006/main" count="580" uniqueCount="305">
  <si>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</si>
  <si>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</si>
  <si>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</si>
  <si>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</si>
  <si>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</si>
  <si>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</si>
  <si>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</si>
  <si>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</si>
  <si>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</si>
  <si>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</si>
  <si>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</si>
  <si>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</si>
  <si>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</si>
  <si>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</si>
  <si>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</si>
  <si>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</si>
  <si>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</si>
  <si>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</si>
  <si>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</si>
  <si>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</si>
  <si>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</si>
  <si>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</si>
  <si>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</si>
  <si>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</si>
  <si>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</si>
  <si>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</si>
  <si>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</si>
  <si>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</si>
  <si>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</si>
  <si>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</si>
  <si>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</si>
  <si>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</si>
  <si>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</si>
  <si>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</si>
  <si>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</si>
  <si>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</si>
  <si>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</si>
  <si>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</si>
  <si>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</si>
  <si>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</si>
  <si>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</si>
  <si>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</si>
  <si>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</si>
  <si>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</si>
  <si>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</si>
  <si>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</si>
  <si>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</si>
  <si>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</si>
  <si>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</si>
  <si>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</si>
  <si>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</si>
  <si>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</si>
  <si>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</si>
  <si>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</si>
  <si>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</si>
  <si>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</si>
  <si>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</si>
  <si>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</si>
  <si>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</si>
  <si>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</si>
  <si>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</si>
  <si>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</si>
  <si>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</si>
  <si>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</si>
  <si>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</si>
  <si>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</si>
  <si>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</si>
  <si>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</si>
  <si>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</si>
  <si>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</si>
  <si>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</si>
  <si>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</si>
  <si>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</si>
  <si>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</si>
  <si>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</si>
  <si>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</si>
  <si>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</si>
  <si>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</si>
  <si>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</si>
  <si>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</si>
  <si>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</si>
  <si>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</si>
  <si>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</si>
  <si>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</si>
  <si>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</si>
  <si>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</si>
  <si>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</si>
  <si>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</si>
  <si>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</si>
  <si>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</si>
  <si>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</si>
  <si>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</si>
  <si>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</si>
  <si>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</si>
  <si>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</si>
  <si>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</si>
  <si>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</si>
  <si>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</si>
  <si>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</si>
  <si>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</si>
  <si>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</si>
  <si>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</si>
  <si>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</si>
  <si>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</si>
  <si>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</si>
  <si>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</si>
  <si>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</si>
  <si>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</si>
  <si>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</si>
  <si>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</si>
  <si>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</si>
  <si>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</si>
  <si>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</si>
  <si>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</si>
  <si>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</si>
  <si>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</si>
  <si>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</si>
  <si>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</si>
  <si>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</si>
  <si>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</si>
  <si>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</si>
  <si>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</si>
  <si>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</si>
  <si>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</si>
  <si>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</si>
  <si>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</si>
  <si>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</si>
  <si>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</si>
  <si>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</si>
  <si>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</si>
  <si>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</si>
  <si>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</si>
  <si>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</si>
  <si>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</si>
  <si>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</si>
  <si>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</si>
  <si>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</si>
  <si>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</si>
  <si>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</si>
  <si>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</si>
  <si>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</si>
  <si>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</si>
  <si>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</si>
  <si>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</si>
  <si>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</si>
  <si>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</si>
  <si>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</si>
  <si>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</si>
  <si>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</si>
  <si>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</si>
  <si>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</si>
  <si>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</si>
  <si>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</si>
  <si>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</si>
  <si>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</si>
  <si>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</si>
  <si>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</si>
  <si>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</si>
  <si>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</si>
  <si>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</si>
  <si>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</si>
  <si>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</si>
  <si>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</si>
  <si>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</si>
  <si>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</si>
  <si>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</si>
  <si>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</si>
  <si>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</si>
  <si>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</si>
  <si>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</si>
  <si>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</si>
  <si>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</si>
  <si>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</si>
  <si>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</si>
  <si>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</si>
  <si>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</si>
  <si>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</si>
  <si>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</si>
  <si>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</si>
  <si>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</si>
  <si>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</si>
  <si>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</si>
  <si>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</si>
  <si>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</si>
  <si>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</si>
  <si>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</si>
  <si>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</si>
  <si>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</si>
  <si>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</si>
  <si>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</si>
  <si>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</si>
  <si>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</si>
  <si>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</si>
  <si>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</si>
  <si>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</si>
  <si>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</si>
  <si>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</si>
  <si>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</si>
  <si>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</si>
  <si>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</si>
  <si>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</si>
  <si>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</si>
  <si>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</si>
  <si>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</si>
  <si>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</si>
  <si>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</si>
  <si>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</si>
  <si>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</si>
  <si>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</si>
  <si>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</si>
  <si>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</si>
  <si>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</si>
  <si>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</si>
  <si>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</si>
  <si>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</si>
  <si>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</si>
  <si>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</si>
  <si>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</si>
  <si>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</si>
  <si>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</si>
  <si>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</si>
  <si>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</si>
  <si>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</si>
  <si>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</si>
  <si>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</si>
  <si>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</si>
  <si>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</si>
  <si>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</si>
  <si>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</si>
  <si>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</si>
  <si>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</si>
  <si>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</si>
  <si>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</si>
  <si>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>Sunteck Crescent Park 1 &amp; 2</t>
  </si>
  <si>
    <t>Sunteck Property Holdings Private Limited</t>
  </si>
  <si>
    <t>Tower 1 &amp; 2</t>
  </si>
  <si>
    <t>Tower 1 = P51700053439
Tower 2 = P51700053312</t>
  </si>
  <si>
    <t>165, 166, 167, 168, 860(Pt), Survey No. 35/A/3, 46/5-A/2, 46/6, 46/7, 47</t>
  </si>
  <si>
    <t>Shahad</t>
  </si>
  <si>
    <t>https://maps.app.goo.gl/iVpzBYPV4vMYhJfW7</t>
  </si>
  <si>
    <t>Railway Track</t>
  </si>
  <si>
    <t>Infect Pathology Lab</t>
  </si>
  <si>
    <t>Mahavir Traders (Shop)</t>
  </si>
  <si>
    <t>Road/Open Plot</t>
  </si>
  <si>
    <t>9.00 M Wide Road</t>
  </si>
  <si>
    <t>Other Plot</t>
  </si>
  <si>
    <t>Mohankheda Greens/Mahavir Traders (Shop)</t>
  </si>
  <si>
    <t>Internal Road</t>
  </si>
  <si>
    <t>1.6 KM from Shahad Railway Station</t>
  </si>
  <si>
    <t>2 Building</t>
  </si>
  <si>
    <t>Kalyan-Dombivli Municipal Corporation</t>
  </si>
  <si>
    <t>KDMC/TPD/BP/KD/2023-24/60</t>
  </si>
  <si>
    <t xml:space="preserve">Since Project's Builtup Area is above 20000 Sq.M. Please check for Environment Clearance Certificate.
</t>
  </si>
  <si>
    <t>Towe 1 = Stilt + 5P + 6th to 41st Floor</t>
  </si>
  <si>
    <t>As per RERA - 31/12/2029</t>
  </si>
  <si>
    <t>https://crescentpark.sunteck-kalyan.co/?utm_source=Google&amp;utm_medium=Search&amp;utm_campaign=2764_Sunteck- Kalyan_KDMC_Search_1Nov23&amp;utm_term=Sunteck%20crescent%20park&amp;utm_content=Search_Texttype&amp;gclid=Cj0KCQiA6vaqBhCbARIsACF9M6k5t5jxRUiadWp1bh9iv-Jet-12B_B0CfiT3CV2VERUjkSgUs0IAtMaAp6lEALw_wcB</t>
  </si>
  <si>
    <t xml:space="preserve">Infinity Pool, Pool Deck, Kids Pool, Party Lawn, Barbeque Area, Flower Garden, Temple, Therapeutic Garden, Power Walk Path, Multipurpose Hall, Gymnasium, Indoor Games, Spa &amp; Changing Rooms, Multisport Court, Kids Play Area, Amphitheatre, Yoga Meditation Zone – Outdoor, Shaded Sitting, Club, Sand Pit, Retail
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</si>
  <si>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</si>
  <si>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The railway track is located on the south side of the project at a distance of 13.77 m.</t>
  </si>
  <si>
    <t>As per CC Building No.1 &amp; 2</t>
  </si>
  <si>
    <t>152+142</t>
  </si>
  <si>
    <t>92+107</t>
  </si>
  <si>
    <t>Ground Floor for Cmmercial &amp; Parking</t>
  </si>
  <si>
    <t>Shop</t>
  </si>
  <si>
    <t>1st Floor</t>
  </si>
  <si>
    <t>2BHK</t>
  </si>
  <si>
    <t>1st Floor for Residential (Part Parking Area)</t>
  </si>
  <si>
    <t>3BHK</t>
  </si>
  <si>
    <t>Tower 1 - Stilt + 1st to 4th Podium (Parking + Residential) + 5th Podium (Aminity + Residential) + 6th to 41st Floor
Tower 2 - Stilt + 1st to 4th Podium (Parking + Residential) + 5th Podium (Aminity + Residential) + 6th to 18th Floor</t>
  </si>
  <si>
    <t>Tower 1</t>
  </si>
  <si>
    <t>Tower 2</t>
  </si>
  <si>
    <t>2nd to 5th Floor  (Part Parking Area)</t>
  </si>
  <si>
    <t>6th, 8th, 9th, 10th &amp; 11th Floor</t>
  </si>
  <si>
    <t>Refuge Area</t>
  </si>
  <si>
    <t>13rd, 14th, 15th, 16th, 18th, 19th, 20th, 21st Floor</t>
  </si>
  <si>
    <t>23rd, 24th, 25th, 26th, 28th, 29th, 30th, 31st Floor</t>
  </si>
  <si>
    <t>33rd, 34th, 35th, 36th, 38th, 39th, 40th, 41st Floor</t>
  </si>
  <si>
    <t>7th, 12th, 17th, 22nd, 27th, 32nd &amp; 37th Floor (Part Refuge Area)</t>
  </si>
  <si>
    <t>7th, 12th &amp; 17th Floor (Part Refuge Area)</t>
  </si>
  <si>
    <t>Balcony Area</t>
  </si>
  <si>
    <t>Towe 1 = Stilt + 5P + 6th to 41st Floor
Tower 2 = Stilt + 5P + 6th to 21st Floor</t>
  </si>
  <si>
    <t xml:space="preserve">Tower 2 </t>
  </si>
  <si>
    <t xml:space="preserve">We considered Gross carpet area = Net carpet + balcony </t>
  </si>
  <si>
    <t>Shops</t>
  </si>
  <si>
    <t>Total Tower 1 to 4</t>
  </si>
  <si>
    <t>Flats - 437, Shops - 48</t>
  </si>
  <si>
    <t>Towe 2 = Stilt + 5P + 6th to 41st Floor</t>
  </si>
  <si>
    <t>https://crescentpark.sunteck-kalyan.co/?utm_source=Google&amp;utm_medium=Search&amp;utm_campaign=2764_Sunteck-Kalyan_KDMC_Search_1Nov23&amp;utm_term=Sunteck%20crescent%20park&amp;utm_content=Search_Texttype&amp;gclid=CjwKCAiAjfyqBhAsEiwA-UdzJPL21MGI8ko_QuSUU- Ps2xS0_VczuZuYsgWf47KzUf1mGUr9mL9SYxoCIRgQAvD_BwE</t>
  </si>
  <si>
    <t>Official Site</t>
  </si>
  <si>
    <t xml:space="preserve">https://sunteckcrescentpark.co/?gclid=CjwKCAiAjfyqBhAsEiwA-UdzJPfzob91hGg1zNrUzkMYgsKzDmwekJbfo4mjhF4RTDfHWmzbSz9FmBoCX6EQAvD_BwE </t>
  </si>
  <si>
    <t>Housing</t>
  </si>
  <si>
    <t>Visitor</t>
  </si>
  <si>
    <t>Rate*Area</t>
  </si>
  <si>
    <t>19.252717,73.161570</t>
  </si>
  <si>
    <t>Approved area of building (Sq.Mt) for (Tower 1 &amp; Tower 2)</t>
  </si>
  <si>
    <t>Ground floor for Commercial &amp; Parking</t>
  </si>
  <si>
    <t>19th, 20th, 21st Floor</t>
  </si>
  <si>
    <t>13th, 14th, 15th, 16th, 18th</t>
  </si>
  <si>
    <t>As per approved floor plan dtd. 16/10/2023, 
Tower 2 is Gr + 1st to 21st Floor Structure. (Sheet No.24)
But as per Builtup area statement Tower 2 is Gr + 1st to 18th Floor Structure. (Sheet No.5)</t>
  </si>
  <si>
    <t>Pooja Kawale</t>
  </si>
  <si>
    <t>Tower 1 = Construction work is in process. Internal visit was not allowed.
Tower 2 = Work not yet Started.</t>
  </si>
  <si>
    <t xml:space="preserve"> Rate 8000  by bhargav Index2  on 26/02/2025</t>
  </si>
  <si>
    <t>Recommended Rates / Other charges of the Property have been revised on 26/02/2025.</t>
  </si>
  <si>
    <t>Miss. Komal : 7738393750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</si>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</sst>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4" fontId="10" fillId="0" borderId="0" xfId="1" applyNumberFormat="1" applyFont="1"/>
    <xf numFmtId="0" fontId="27" fillId="0" borderId="0" xfId="10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0" xfId="1" applyFont="1"/>
    <xf numFmtId="164" fontId="7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7" fillId="0" borderId="0" xfId="10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6" fillId="0" borderId="0" xfId="1" applyNumberFormat="1" applyFont="1"/>
    <xf numFmtId="0" fontId="7" fillId="0" borderId="0" xfId="1" applyFont="1" applyAlignment="1">
      <alignment horizontal="right"/>
    </xf>
    <xf numFmtId="1" fontId="8" fillId="0" borderId="0" xfId="2" applyNumberFormat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4" xfId="0" applyFont="1" applyFill="1" applyBorder="1"/>
    <xf numFmtId="0" fontId="26" fillId="0" borderId="8" xfId="0" applyFont="1" applyBorder="1"/>
    <xf numFmtId="9" fontId="13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617623</xdr:colOff>
      <xdr:row>385</xdr:row>
      <xdr:rowOff>95250</xdr:rowOff>
    </xdr:from>
    <xdr:to>
      <xdr:col>7</xdr:col>
      <xdr:colOff>123771</xdr:colOff>
      <xdr:row>403</xdr:row>
      <xdr:rowOff>110387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7623" y="62994886"/>
          <a:ext cx="50912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597477</xdr:colOff>
      <xdr:row>404</xdr:row>
      <xdr:rowOff>4101</xdr:rowOff>
    </xdr:from>
    <xdr:to>
      <xdr:col>7</xdr:col>
      <xdr:colOff>92626</xdr:colOff>
      <xdr:row>422</xdr:row>
      <xdr:rowOff>19236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7477" y="66687760"/>
          <a:ext cx="508026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840335</xdr:colOff>
      <xdr:row>408</xdr:row>
      <xdr:rowOff>126312</xdr:rowOff>
    </xdr:from>
    <xdr:to>
      <xdr:col>3</xdr:col>
      <xdr:colOff>502630</xdr:colOff>
      <xdr:row>416</xdr:row>
      <xdr:rowOff>3627</xdr:rowOff>
    </xdr:to>
    <xdr:sp macro="" textlink="">
      <xdr:nvSpPr>
        <xdr:cNvPr id="5" name="Rectangle 4"/>
        <xdr:cNvSpPr/>
      </xdr:nvSpPr>
      <xdr:spPr>
        <a:xfrm rot="1651864">
          <a:off x="2398971" y="67606607"/>
          <a:ext cx="510886" cy="1470588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831273</xdr:colOff>
      <xdr:row>403</xdr:row>
      <xdr:rowOff>181841</xdr:rowOff>
    </xdr:from>
    <xdr:to>
      <xdr:col>4</xdr:col>
      <xdr:colOff>658091</xdr:colOff>
      <xdr:row>421</xdr:row>
      <xdr:rowOff>173182</xdr:rowOff>
    </xdr:to>
    <xdr:cxnSp macro="">
      <xdr:nvCxnSpPr>
        <xdr:cNvPr id="9" name="Straight Connector 8"/>
        <xdr:cNvCxnSpPr/>
      </xdr:nvCxnSpPr>
      <xdr:spPr>
        <a:xfrm flipV="1">
          <a:off x="2389909" y="66666341"/>
          <a:ext cx="1593273" cy="357620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251114</xdr:colOff>
      <xdr:row>403</xdr:row>
      <xdr:rowOff>190500</xdr:rowOff>
    </xdr:from>
    <xdr:to>
      <xdr:col>5</xdr:col>
      <xdr:colOff>147205</xdr:colOff>
      <xdr:row>422</xdr:row>
      <xdr:rowOff>8659</xdr:rowOff>
    </xdr:to>
    <xdr:cxnSp macro="">
      <xdr:nvCxnSpPr>
        <xdr:cNvPr id="12" name="Straight Connector 11"/>
        <xdr:cNvCxnSpPr/>
      </xdr:nvCxnSpPr>
      <xdr:spPr>
        <a:xfrm flipV="1">
          <a:off x="2658341" y="66675000"/>
          <a:ext cx="1593273" cy="360218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216478</xdr:colOff>
      <xdr:row>406</xdr:row>
      <xdr:rowOff>60615</xdr:rowOff>
    </xdr:from>
    <xdr:to>
      <xdr:col>4</xdr:col>
      <xdr:colOff>467591</xdr:colOff>
      <xdr:row>411</xdr:row>
      <xdr:rowOff>112569</xdr:rowOff>
    </xdr:to>
    <xdr:sp macro="" textlink="">
      <xdr:nvSpPr>
        <xdr:cNvPr id="15" name="TextBox 14"/>
        <xdr:cNvSpPr txBox="1"/>
      </xdr:nvSpPr>
      <xdr:spPr>
        <a:xfrm rot="17542097">
          <a:off x="3143251" y="67540910"/>
          <a:ext cx="1047750" cy="251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solidFill>
                <a:srgbClr val="FFFF00"/>
              </a:solidFill>
            </a:rPr>
            <a:t>Railway Track</a:t>
          </a:r>
        </a:p>
      </xdr:txBody>
    </xdr:sp>
    <xdr:clientData/>
  </xdr:twoCellAnchor>
  <xdr:twoCellAnchor editAs="oneCell">
    <xdr:from>
      <xdr:col>0</xdr:col>
      <xdr:colOff>389659</xdr:colOff>
      <xdr:row>342</xdr:row>
      <xdr:rowOff>164522</xdr:rowOff>
    </xdr:from>
    <xdr:to>
      <xdr:col>7</xdr:col>
      <xdr:colOff>325393</xdr:colOff>
      <xdr:row>357</xdr:row>
      <xdr:rowOff>57135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51616840"/>
          <a:ext cx="552084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389659</xdr:colOff>
      <xdr:row>358</xdr:row>
      <xdr:rowOff>0</xdr:rowOff>
    </xdr:from>
    <xdr:to>
      <xdr:col>7</xdr:col>
      <xdr:colOff>483174</xdr:colOff>
      <xdr:row>370</xdr:row>
      <xdr:rowOff>130091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9659" y="54638864"/>
          <a:ext cx="5678629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406977</xdr:colOff>
      <xdr:row>354</xdr:row>
      <xdr:rowOff>181841</xdr:rowOff>
    </xdr:from>
    <xdr:to>
      <xdr:col>7</xdr:col>
      <xdr:colOff>242454</xdr:colOff>
      <xdr:row>355</xdr:row>
      <xdr:rowOff>138546</xdr:rowOff>
    </xdr:to>
    <xdr:cxnSp macro="">
      <xdr:nvCxnSpPr>
        <xdr:cNvPr id="21" name="Straight Connector 20"/>
        <xdr:cNvCxnSpPr/>
      </xdr:nvCxnSpPr>
      <xdr:spPr>
        <a:xfrm flipV="1">
          <a:off x="406977" y="54024068"/>
          <a:ext cx="5420591" cy="155864"/>
        </a:xfrm>
        <a:prstGeom prst="lin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406977</xdr:colOff>
      <xdr:row>355</xdr:row>
      <xdr:rowOff>138546</xdr:rowOff>
    </xdr:from>
    <xdr:to>
      <xdr:col>7</xdr:col>
      <xdr:colOff>277091</xdr:colOff>
      <xdr:row>356</xdr:row>
      <xdr:rowOff>77932</xdr:rowOff>
    </xdr:to>
    <xdr:cxnSp macro="">
      <xdr:nvCxnSpPr>
        <xdr:cNvPr id="23" name="Straight Connector 22"/>
        <xdr:cNvCxnSpPr/>
      </xdr:nvCxnSpPr>
      <xdr:spPr>
        <a:xfrm flipV="1">
          <a:off x="406977" y="54179932"/>
          <a:ext cx="5455228" cy="138545"/>
        </a:xfrm>
        <a:prstGeom prst="lin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389659</xdr:colOff>
      <xdr:row>366</xdr:row>
      <xdr:rowOff>103909</xdr:rowOff>
    </xdr:from>
    <xdr:to>
      <xdr:col>7</xdr:col>
      <xdr:colOff>502227</xdr:colOff>
      <xdr:row>367</xdr:row>
      <xdr:rowOff>51956</xdr:rowOff>
    </xdr:to>
    <xdr:cxnSp macro="">
      <xdr:nvCxnSpPr>
        <xdr:cNvPr id="24" name="Straight Connector 23"/>
        <xdr:cNvCxnSpPr/>
      </xdr:nvCxnSpPr>
      <xdr:spPr>
        <a:xfrm flipV="1">
          <a:off x="389659" y="56336045"/>
          <a:ext cx="5697682" cy="147206"/>
        </a:xfrm>
        <a:prstGeom prst="lin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398318</xdr:colOff>
      <xdr:row>367</xdr:row>
      <xdr:rowOff>164523</xdr:rowOff>
    </xdr:from>
    <xdr:to>
      <xdr:col>7</xdr:col>
      <xdr:colOff>484909</xdr:colOff>
      <xdr:row>368</xdr:row>
      <xdr:rowOff>121228</xdr:rowOff>
    </xdr:to>
    <xdr:cxnSp macro="">
      <xdr:nvCxnSpPr>
        <xdr:cNvPr id="26" name="Straight Connector 25"/>
        <xdr:cNvCxnSpPr/>
      </xdr:nvCxnSpPr>
      <xdr:spPr>
        <a:xfrm flipV="1">
          <a:off x="398318" y="56595818"/>
          <a:ext cx="5671705" cy="155865"/>
        </a:xfrm>
        <a:prstGeom prst="lin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17319</xdr:colOff>
      <xdr:row>366</xdr:row>
      <xdr:rowOff>173182</xdr:rowOff>
    </xdr:from>
    <xdr:to>
      <xdr:col>4</xdr:col>
      <xdr:colOff>337705</xdr:colOff>
      <xdr:row>368</xdr:row>
      <xdr:rowOff>25977</xdr:rowOff>
    </xdr:to>
    <xdr:sp macro="" textlink="">
      <xdr:nvSpPr>
        <xdr:cNvPr id="28" name="TextBox 27"/>
        <xdr:cNvSpPr txBox="1"/>
      </xdr:nvSpPr>
      <xdr:spPr>
        <a:xfrm>
          <a:off x="2424546" y="56405318"/>
          <a:ext cx="1238250" cy="251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Railway Track</a:t>
          </a:r>
        </a:p>
      </xdr:txBody>
    </xdr:sp>
    <xdr:clientData/>
  </xdr:twoCellAnchor>
  <xdr:twoCellAnchor>
    <xdr:from>
      <xdr:col>4</xdr:col>
      <xdr:colOff>190500</xdr:colOff>
      <xdr:row>364</xdr:row>
      <xdr:rowOff>147205</xdr:rowOff>
    </xdr:from>
    <xdr:to>
      <xdr:col>4</xdr:col>
      <xdr:colOff>190500</xdr:colOff>
      <xdr:row>366</xdr:row>
      <xdr:rowOff>164523</xdr:rowOff>
    </xdr:to>
    <xdr:cxnSp macro="">
      <xdr:nvCxnSpPr>
        <xdr:cNvPr id="30" name="Straight Arrow Connector 29"/>
        <xdr:cNvCxnSpPr/>
      </xdr:nvCxnSpPr>
      <xdr:spPr>
        <a:xfrm>
          <a:off x="3515591" y="55981023"/>
          <a:ext cx="0" cy="4156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515216</xdr:colOff>
      <xdr:row>365</xdr:row>
      <xdr:rowOff>38970</xdr:rowOff>
    </xdr:from>
    <xdr:to>
      <xdr:col>4</xdr:col>
      <xdr:colOff>268434</xdr:colOff>
      <xdr:row>366</xdr:row>
      <xdr:rowOff>112572</xdr:rowOff>
    </xdr:to>
    <xdr:sp macro="" textlink="">
      <xdr:nvSpPr>
        <xdr:cNvPr id="31" name="TextBox 30"/>
        <xdr:cNvSpPr txBox="1"/>
      </xdr:nvSpPr>
      <xdr:spPr>
        <a:xfrm>
          <a:off x="2922443" y="56071947"/>
          <a:ext cx="671082" cy="27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00"/>
            <a:t>13.77 M</a:t>
          </a:r>
        </a:p>
      </xdr:txBody>
    </xdr:sp>
    <xdr:clientData/>
  </xdr:twoCellAnchor>
  <xdr:twoCellAnchor editAs="oneCell">
    <xdr:from>
      <xdr:col>3</xdr:col>
      <xdr:colOff>147204</xdr:colOff>
      <xdr:row>355</xdr:row>
      <xdr:rowOff>8658</xdr:rowOff>
    </xdr:from>
    <xdr:to>
      <xdr:col>4</xdr:col>
      <xdr:colOff>174302</xdr:colOff>
      <xdr:row>356</xdr:row>
      <xdr:rowOff>108229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4431" y="54050044"/>
          <a:ext cx="944962" cy="29873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299</xdr:row>
      <xdr:rowOff>152400</xdr:rowOff>
    </xdr:from>
    <xdr:to>
      <xdr:col>7</xdr:col>
      <xdr:colOff>407790</xdr:colOff>
      <xdr:row>331</xdr:row>
      <xdr:rowOff>117649</xdr:rowOff>
    </xdr:to>
    <xdr:grpSp>
      <xdr:nvGrpSpPr>
        <xdr:cNvPr id="4" name="Group 3"/>
        <xdr:cNvGrpSpPr/>
      </xdr:nvGrpSpPr>
      <xdr:grpSpPr>
        <a:xfrm>
          <a:off x="381000" y="51009550"/>
          <a:ext cx="5881490" cy="6258099"/>
          <a:chOff x="381000" y="51009550"/>
          <a:chExt cx="5881490" cy="6258099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5157" y="5510764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31729" y="51009550"/>
            <a:ext cx="5275111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5510764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</xdr:row>
      <xdr:rowOff>33618</xdr:rowOff>
    </xdr:from>
    <xdr:to>
      <xdr:col>3</xdr:col>
      <xdr:colOff>456132</xdr:colOff>
      <xdr:row>27</xdr:row>
      <xdr:rowOff>98118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706" y="3092824"/>
          <a:ext cx="4019602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114300</xdr:rowOff>
    </xdr:to>
    <xdr:sp macro="" textlink="">
      <xdr:nvSpPr>
        <xdr:cNvPr id="2049" name="AutoShape 1" descr="https://sunteckcrescentpark.co/images/floor-plan/sunteck-crescent-park-kalyan-floor-plan-lg-5.webp"/>
        <xdr:cNvSpPr>
          <a:spLocks noChangeAspect="1" noChangeArrowheads="1"/>
        </xdr:cNvSpPr>
      </xdr:nvSpPr>
      <xdr:spPr bwMode="auto">
        <a:xfrm>
          <a:off x="2057400" y="629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403411</xdr:colOff>
      <xdr:row>27</xdr:row>
      <xdr:rowOff>100853</xdr:rowOff>
    </xdr:from>
    <xdr:to>
      <xdr:col>7</xdr:col>
      <xdr:colOff>666461</xdr:colOff>
      <xdr:row>45</xdr:row>
      <xdr:rowOff>116392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411" y="5255559"/>
          <a:ext cx="8577815" cy="3444539"/>
        </a:xfrm>
        <a:prstGeom prst="rect">
          <a:avLst/>
        </a:prstGeom>
      </xdr:spPr>
    </xdr:pic>
    <xdr:clientData/>
  </xdr:twoCellAnchor>
  <xdr:twoCellAnchor editAs="oneCell">
    <xdr:from>
      <xdr:col>8</xdr:col>
      <xdr:colOff>358589</xdr:colOff>
      <xdr:row>25</xdr:row>
      <xdr:rowOff>89647</xdr:rowOff>
    </xdr:from>
    <xdr:to>
      <xdr:col>19</xdr:col>
      <xdr:colOff>351949</xdr:colOff>
      <xdr:row>44</xdr:row>
      <xdr:rowOff>70147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71530" y="4863353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89647</xdr:rowOff>
    </xdr:from>
    <xdr:to>
      <xdr:col>5</xdr:col>
      <xdr:colOff>351950</xdr:colOff>
      <xdr:row>65</xdr:row>
      <xdr:rowOff>70147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8863853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sunteckcrescentpark.co/?gclid=CjwKCAiAjfyqBhAsEiwA-UdzJPfzob91hGg1zNrUzkMYgsKzDmwekJbfo4mjhF4RTDfHWmzbSz9FmBoCX6EQAvD_B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sunteckcrescentpark.co/?gclid=CjwKCAiAjfyqBhAsEiwA-UdzJPfzob91hGg1zNrUzkMYgsKzDmwekJbfo4mjhF4RTDfHWmzbSz9FmBoCX6EQAvD_BwE" TargetMode="External"/><Relationship Id="rId1" Type="http://schemas.openxmlformats.org/officeDocument/2006/relationships/hyperlink" Target="https://maps.app.goo.gl/iVpzBYPV4vMYhJfW7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8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3.7265625" style="37" customWidth="1"/>
    <col min="5" max="5" width="11.7265625" style="37" customWidth="1"/>
    <col min="6" max="6" width="11.1796875" style="37" customWidth="1"/>
    <col min="7" max="8" width="11" style="37" customWidth="1"/>
    <col min="9" max="9" width="31.54296875" style="18" customWidth="1"/>
    <col min="10" max="10" width="16.72656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26" ht="46.5" customHeight="1" x14ac:dyDescent="0.35">
      <c r="A1" s="174" t="s">
        <v>163</v>
      </c>
      <c r="B1" s="174"/>
      <c r="C1" s="174"/>
      <c r="D1" s="174"/>
      <c r="E1" s="174"/>
      <c r="F1" s="174"/>
      <c r="G1" s="174"/>
      <c r="H1" s="174"/>
    </row>
    <row r="2" spans="1:26" ht="16.5" customHeight="1" x14ac:dyDescent="0.35">
      <c r="A2" s="161" t="s">
        <v>0</v>
      </c>
      <c r="B2" s="161"/>
      <c r="C2" s="161"/>
      <c r="D2" s="161"/>
      <c r="E2" s="161"/>
      <c r="F2" s="161"/>
      <c r="G2" s="161"/>
      <c r="H2" s="161"/>
    </row>
    <row r="3" spans="1:26" x14ac:dyDescent="0.35">
      <c r="A3" s="106" t="s">
        <v>1</v>
      </c>
      <c r="B3" s="106"/>
      <c r="C3" s="106"/>
      <c r="D3" s="106"/>
      <c r="E3" s="106" t="str">
        <f ca="1">TEXT(TODAY(),"DD/MM/YYYY")</f>
        <v>19/08/2025</v>
      </c>
      <c r="F3" s="106"/>
      <c r="G3" s="106"/>
      <c r="H3" s="106"/>
    </row>
    <row r="4" spans="1:26" ht="15" customHeight="1" x14ac:dyDescent="0.35">
      <c r="A4" s="106" t="s">
        <v>2</v>
      </c>
      <c r="B4" s="106"/>
      <c r="C4" s="106"/>
      <c r="D4" s="106"/>
      <c r="E4" s="106" t="s">
        <v>169</v>
      </c>
      <c r="F4" s="106"/>
      <c r="G4" s="106"/>
      <c r="H4" s="106"/>
    </row>
    <row r="5" spans="1:26" x14ac:dyDescent="0.35">
      <c r="A5" s="106" t="s">
        <v>3</v>
      </c>
      <c r="B5" s="106"/>
      <c r="C5" s="106"/>
      <c r="D5" s="106"/>
      <c r="E5" s="175">
        <v>45881</v>
      </c>
      <c r="F5" s="106"/>
      <c r="G5" s="106"/>
      <c r="H5" s="106"/>
    </row>
    <row r="6" spans="1:26" ht="16.5" customHeight="1" x14ac:dyDescent="0.35">
      <c r="A6" s="106" t="s">
        <v>4</v>
      </c>
      <c r="B6" s="106"/>
      <c r="C6" s="106"/>
      <c r="D6" s="106"/>
      <c r="E6" s="106" t="s">
        <v>234</v>
      </c>
      <c r="F6" s="106"/>
      <c r="G6" s="106"/>
      <c r="H6" s="106"/>
    </row>
    <row r="7" spans="1:26" ht="15" customHeight="1" x14ac:dyDescent="0.35">
      <c r="A7" s="106" t="s">
        <v>5</v>
      </c>
      <c r="B7" s="106"/>
      <c r="C7" s="106"/>
      <c r="D7" s="106"/>
      <c r="E7" s="106" t="str">
        <f>E6</f>
        <v>Sunteck Property Holdings Private Limited</v>
      </c>
      <c r="F7" s="106"/>
      <c r="G7" s="106"/>
      <c r="H7" s="106"/>
    </row>
    <row r="8" spans="1:26" x14ac:dyDescent="0.35">
      <c r="A8" s="106" t="s">
        <v>6</v>
      </c>
      <c r="B8" s="106"/>
      <c r="C8" s="106"/>
      <c r="D8" s="106"/>
      <c r="E8" s="171" t="s">
        <v>233</v>
      </c>
      <c r="F8" s="171"/>
      <c r="G8" s="171"/>
      <c r="H8" s="171"/>
    </row>
    <row r="9" spans="1:26" x14ac:dyDescent="0.35">
      <c r="A9" s="106" t="s">
        <v>166</v>
      </c>
      <c r="B9" s="106"/>
      <c r="C9" s="106"/>
      <c r="D9" s="106"/>
      <c r="E9" s="106">
        <v>9167210032</v>
      </c>
      <c r="F9" s="106"/>
      <c r="G9" s="106"/>
      <c r="H9" s="106"/>
      <c r="I9" s="20"/>
    </row>
    <row r="10" spans="1:26" x14ac:dyDescent="0.35">
      <c r="A10" s="106" t="s">
        <v>167</v>
      </c>
      <c r="B10" s="106"/>
      <c r="C10" s="106"/>
      <c r="D10" s="106"/>
      <c r="E10" s="106" t="s">
        <v>303</v>
      </c>
      <c r="F10" s="106"/>
      <c r="G10" s="106"/>
      <c r="H10" s="106"/>
    </row>
    <row r="11" spans="1:26" x14ac:dyDescent="0.35">
      <c r="A11" s="106" t="s">
        <v>7</v>
      </c>
      <c r="B11" s="106"/>
      <c r="C11" s="106"/>
      <c r="D11" s="106"/>
      <c r="E11" s="106" t="s">
        <v>235</v>
      </c>
      <c r="F11" s="106"/>
      <c r="G11" s="106"/>
      <c r="H11" s="106"/>
    </row>
    <row r="12" spans="1:26" x14ac:dyDescent="0.35">
      <c r="A12" s="106" t="s">
        <v>170</v>
      </c>
      <c r="B12" s="106"/>
      <c r="C12" s="106"/>
      <c r="D12" s="106"/>
      <c r="E12" s="106" t="s">
        <v>29</v>
      </c>
      <c r="F12" s="106"/>
      <c r="G12" s="106"/>
      <c r="H12" s="106"/>
      <c r="S12" s="49" t="s">
        <v>179</v>
      </c>
      <c r="T12" s="49" t="s">
        <v>189</v>
      </c>
      <c r="U12" s="49" t="s">
        <v>171</v>
      </c>
      <c r="V12" s="49" t="s">
        <v>194</v>
      </c>
      <c r="W12" s="49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35">
      <c r="A13" s="106" t="s">
        <v>8</v>
      </c>
      <c r="B13" s="106"/>
      <c r="C13" s="106"/>
      <c r="D13" s="106"/>
      <c r="E13" s="136" t="s">
        <v>227</v>
      </c>
      <c r="F13" s="136"/>
      <c r="G13" s="136"/>
      <c r="H13" s="136"/>
      <c r="S13" s="49" t="s">
        <v>180</v>
      </c>
      <c r="T13" s="49" t="s">
        <v>187</v>
      </c>
      <c r="U13" s="49" t="s">
        <v>209</v>
      </c>
      <c r="V13" s="49" t="s">
        <v>195</v>
      </c>
      <c r="W13" s="49" t="s">
        <v>213</v>
      </c>
      <c r="X13"/>
      <c r="Y13"/>
      <c r="Z13"/>
    </row>
    <row r="14" spans="1:26" ht="30.75" customHeight="1" x14ac:dyDescent="0.35">
      <c r="A14" s="106" t="s">
        <v>9</v>
      </c>
      <c r="B14" s="106"/>
      <c r="C14" s="106"/>
      <c r="D14" s="106"/>
      <c r="E14" s="136" t="s">
        <v>236</v>
      </c>
      <c r="F14" s="106"/>
      <c r="G14" s="106"/>
      <c r="H14" s="106"/>
      <c r="I14" s="101" t="e">
        <f ca="1">OFFSET($D$4,1,MATCH($J12,$D$4:$H$4,0)-1,15,1)</f>
        <v>#N/A</v>
      </c>
      <c r="J14" s="102"/>
      <c r="K14" s="102"/>
      <c r="L14" s="102"/>
      <c r="M14" s="102"/>
      <c r="N14" s="102"/>
      <c r="O14" s="102"/>
      <c r="P14" s="102"/>
      <c r="S14" s="49" t="s">
        <v>181</v>
      </c>
      <c r="T14" s="49" t="s">
        <v>188</v>
      </c>
      <c r="U14" s="49" t="s">
        <v>210</v>
      </c>
      <c r="V14" s="49" t="s">
        <v>196</v>
      </c>
      <c r="W14" s="49" t="s">
        <v>226</v>
      </c>
      <c r="X14"/>
      <c r="Y14"/>
      <c r="Z14"/>
    </row>
    <row r="15" spans="1:26" ht="48.75" customHeight="1" x14ac:dyDescent="0.35">
      <c r="A15" s="136" t="s">
        <v>10</v>
      </c>
      <c r="B15" s="136"/>
      <c r="C15" s="13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Sunteck Crescent Park 1 &amp; 2, CTS No.165, 166, 167, 168, 860(Pt), Survey No. 35/A/3, 46/5-A/2, 46/6, 46/7, 47, near Mohankheda Greens/Mahavir Traders (Shop), Internal Road, , Shahad, Shahad, Kalyan, Thane  - 421301.</v>
      </c>
      <c r="D15" s="136"/>
      <c r="E15" s="136"/>
      <c r="F15" s="136"/>
      <c r="G15" s="136"/>
      <c r="H15" s="136"/>
      <c r="S15" s="49" t="s">
        <v>182</v>
      </c>
      <c r="T15" s="49" t="s">
        <v>190</v>
      </c>
      <c r="U15" s="49" t="s">
        <v>211</v>
      </c>
      <c r="V15" s="49" t="s">
        <v>197</v>
      </c>
      <c r="W15" s="49" t="s">
        <v>214</v>
      </c>
      <c r="X15"/>
      <c r="Y15"/>
      <c r="Z15"/>
    </row>
    <row r="16" spans="1:26" x14ac:dyDescent="0.35">
      <c r="A16" s="136" t="s">
        <v>175</v>
      </c>
      <c r="B16" s="136"/>
      <c r="C16" s="136" t="s">
        <v>237</v>
      </c>
      <c r="D16" s="136"/>
      <c r="E16" s="136"/>
      <c r="F16" s="136"/>
      <c r="G16" s="136"/>
      <c r="H16" s="136"/>
      <c r="S16" s="49" t="s">
        <v>183</v>
      </c>
      <c r="T16" s="49" t="s">
        <v>191</v>
      </c>
      <c r="U16" s="49" t="s">
        <v>171</v>
      </c>
      <c r="V16" s="49" t="s">
        <v>198</v>
      </c>
      <c r="W16" s="49" t="s">
        <v>215</v>
      </c>
      <c r="X16"/>
      <c r="Y16"/>
      <c r="Z16"/>
    </row>
    <row r="17" spans="1:26" ht="15.75" customHeight="1" x14ac:dyDescent="0.35">
      <c r="A17" s="136" t="s">
        <v>161</v>
      </c>
      <c r="B17" s="136"/>
      <c r="C17" s="136" t="s">
        <v>29</v>
      </c>
      <c r="D17" s="136"/>
      <c r="E17" s="136"/>
      <c r="F17" s="136"/>
      <c r="G17" s="136"/>
      <c r="H17" s="136"/>
      <c r="S17" s="49" t="s">
        <v>184</v>
      </c>
      <c r="T17" s="49" t="s">
        <v>189</v>
      </c>
      <c r="U17" s="49"/>
      <c r="V17" s="49" t="s">
        <v>199</v>
      </c>
      <c r="W17" s="49" t="s">
        <v>216</v>
      </c>
      <c r="X17"/>
      <c r="Y17"/>
      <c r="Z17"/>
    </row>
    <row r="18" spans="1:26" ht="15.75" customHeight="1" x14ac:dyDescent="0.35">
      <c r="A18" s="136" t="s">
        <v>11</v>
      </c>
      <c r="B18" s="136"/>
      <c r="C18" s="106" t="s">
        <v>247</v>
      </c>
      <c r="D18" s="106"/>
      <c r="E18" s="136" t="s">
        <v>72</v>
      </c>
      <c r="F18" s="136"/>
      <c r="G18" s="136" t="s">
        <v>238</v>
      </c>
      <c r="H18" s="136"/>
      <c r="S18" s="49" t="s">
        <v>185</v>
      </c>
      <c r="T18" s="49" t="s">
        <v>192</v>
      </c>
      <c r="U18" s="49"/>
      <c r="V18" s="49" t="s">
        <v>200</v>
      </c>
      <c r="W18" s="49" t="s">
        <v>217</v>
      </c>
      <c r="X18"/>
      <c r="Y18"/>
      <c r="Z18"/>
    </row>
    <row r="19" spans="1:26" x14ac:dyDescent="0.35">
      <c r="A19" s="106" t="s">
        <v>13</v>
      </c>
      <c r="B19" s="106"/>
      <c r="C19" s="136" t="s">
        <v>238</v>
      </c>
      <c r="D19" s="136"/>
      <c r="E19" s="136" t="s">
        <v>12</v>
      </c>
      <c r="F19" s="136"/>
      <c r="G19" s="176" t="s">
        <v>179</v>
      </c>
      <c r="H19" s="176"/>
      <c r="S19" s="49" t="s">
        <v>186</v>
      </c>
      <c r="T19" s="49" t="s">
        <v>193</v>
      </c>
      <c r="U19" s="49"/>
      <c r="V19" s="49" t="s">
        <v>201</v>
      </c>
      <c r="W19" s="49" t="s">
        <v>218</v>
      </c>
      <c r="X19"/>
      <c r="Y19"/>
      <c r="Z19"/>
    </row>
    <row r="20" spans="1:26" x14ac:dyDescent="0.35">
      <c r="A20" s="106" t="s">
        <v>73</v>
      </c>
      <c r="B20" s="106"/>
      <c r="C20" s="136" t="s">
        <v>182</v>
      </c>
      <c r="D20" s="136"/>
      <c r="E20" s="136" t="s">
        <v>14</v>
      </c>
      <c r="F20" s="136"/>
      <c r="G20" s="136">
        <v>421301</v>
      </c>
      <c r="H20" s="136"/>
      <c r="S20" s="49"/>
      <c r="T20" s="49"/>
      <c r="U20" s="49"/>
      <c r="V20" s="49" t="s">
        <v>202</v>
      </c>
      <c r="W20" s="49" t="s">
        <v>219</v>
      </c>
      <c r="X20"/>
      <c r="Y20"/>
      <c r="Z20"/>
    </row>
    <row r="21" spans="1:26" ht="47.25" customHeight="1" x14ac:dyDescent="0.35">
      <c r="A21" s="106" t="s">
        <v>120</v>
      </c>
      <c r="B21" s="106"/>
      <c r="C21" s="136" t="s">
        <v>246</v>
      </c>
      <c r="D21" s="136"/>
      <c r="E21" s="136" t="s">
        <v>15</v>
      </c>
      <c r="F21" s="136"/>
      <c r="G21" s="136" t="s">
        <v>248</v>
      </c>
      <c r="H21" s="136"/>
      <c r="S21" s="49"/>
      <c r="T21" s="49"/>
      <c r="U21" s="49"/>
      <c r="V21" s="49" t="s">
        <v>203</v>
      </c>
      <c r="W21" s="49" t="s">
        <v>220</v>
      </c>
      <c r="X21"/>
      <c r="Y21"/>
      <c r="Z21"/>
    </row>
    <row r="22" spans="1:26" ht="15" customHeight="1" x14ac:dyDescent="0.35">
      <c r="A22" s="113" t="s">
        <v>75</v>
      </c>
      <c r="B22" s="113"/>
      <c r="C22" s="113"/>
      <c r="D22" s="113"/>
      <c r="E22" s="106" t="s">
        <v>16</v>
      </c>
      <c r="F22" s="106"/>
      <c r="G22" s="106"/>
      <c r="H22" s="106"/>
      <c r="S22" s="49"/>
      <c r="T22" s="49"/>
      <c r="U22" s="49"/>
      <c r="V22" s="49" t="s">
        <v>204</v>
      </c>
      <c r="W22" s="49" t="s">
        <v>221</v>
      </c>
      <c r="X22"/>
      <c r="Y22"/>
      <c r="Z22"/>
    </row>
    <row r="23" spans="1:26" ht="18.75" customHeight="1" x14ac:dyDescent="0.35">
      <c r="A23" s="113"/>
      <c r="B23" s="113"/>
      <c r="C23" s="113"/>
      <c r="D23" s="113"/>
      <c r="E23" s="106"/>
      <c r="F23" s="106"/>
      <c r="G23" s="106"/>
      <c r="H23" s="106"/>
      <c r="S23" s="49"/>
      <c r="T23" s="49"/>
      <c r="U23" s="49"/>
      <c r="V23" s="49" t="s">
        <v>205</v>
      </c>
      <c r="W23" s="49" t="s">
        <v>222</v>
      </c>
      <c r="X23"/>
      <c r="Y23"/>
      <c r="Z23"/>
    </row>
    <row r="24" spans="1:26" ht="15" customHeight="1" x14ac:dyDescent="0.35">
      <c r="A24" s="113" t="s">
        <v>17</v>
      </c>
      <c r="B24" s="113"/>
      <c r="C24" s="113"/>
      <c r="D24" s="113"/>
      <c r="E24" s="136" t="s">
        <v>18</v>
      </c>
      <c r="F24" s="136"/>
      <c r="G24" s="136"/>
      <c r="H24" s="136"/>
      <c r="S24" s="49"/>
      <c r="T24" s="49"/>
      <c r="U24" s="49"/>
      <c r="V24" s="49" t="s">
        <v>206</v>
      </c>
      <c r="W24" s="49" t="s">
        <v>223</v>
      </c>
      <c r="X24"/>
      <c r="Y24"/>
      <c r="Z24"/>
    </row>
    <row r="25" spans="1:26" ht="15" customHeight="1" x14ac:dyDescent="0.35">
      <c r="A25" s="150" t="s">
        <v>19</v>
      </c>
      <c r="B25" s="150"/>
      <c r="C25" s="150"/>
      <c r="D25" s="150"/>
      <c r="E25" s="136" t="str">
        <f>IF(AND(G19="Mumbai"),"Upper Class","Middle Class")</f>
        <v>Middle Class</v>
      </c>
      <c r="F25" s="136"/>
      <c r="G25" s="136"/>
      <c r="H25" s="136"/>
      <c r="S25" s="49"/>
      <c r="T25" s="49"/>
      <c r="U25" s="49"/>
      <c r="V25" s="49" t="s">
        <v>207</v>
      </c>
      <c r="W25" s="49" t="s">
        <v>224</v>
      </c>
      <c r="X25"/>
      <c r="Y25"/>
      <c r="Z25"/>
    </row>
    <row r="26" spans="1:26" x14ac:dyDescent="0.35">
      <c r="A26" s="150" t="s">
        <v>20</v>
      </c>
      <c r="B26" s="150"/>
      <c r="C26" s="150"/>
      <c r="D26" s="150"/>
      <c r="E26" s="136" t="s">
        <v>21</v>
      </c>
      <c r="F26" s="136"/>
      <c r="G26" s="136"/>
      <c r="H26" s="136"/>
      <c r="S26" s="49"/>
      <c r="T26" s="49"/>
      <c r="U26" s="49"/>
      <c r="V26" s="49" t="s">
        <v>208</v>
      </c>
      <c r="W26" s="49" t="s">
        <v>225</v>
      </c>
      <c r="X26"/>
      <c r="Y26"/>
      <c r="Z26"/>
    </row>
    <row r="27" spans="1:26" ht="15.75" customHeight="1" x14ac:dyDescent="0.35">
      <c r="A27" s="150" t="s">
        <v>22</v>
      </c>
      <c r="B27" s="150"/>
      <c r="C27" s="150"/>
      <c r="D27" s="150"/>
      <c r="E27" s="136" t="str">
        <f>IF(AND(G19="Mumbai"),"Developed","Developing")</f>
        <v>Developing</v>
      </c>
      <c r="F27" s="136"/>
      <c r="G27" s="136"/>
      <c r="H27" s="136"/>
    </row>
    <row r="28" spans="1:26" x14ac:dyDescent="0.35">
      <c r="A28" s="150" t="s">
        <v>23</v>
      </c>
      <c r="B28" s="150"/>
      <c r="C28" s="150"/>
      <c r="D28" s="150"/>
      <c r="E28" s="136" t="s">
        <v>24</v>
      </c>
      <c r="F28" s="136"/>
      <c r="G28" s="136"/>
      <c r="H28" s="136"/>
    </row>
    <row r="29" spans="1:26" ht="15.75" customHeight="1" x14ac:dyDescent="0.35">
      <c r="A29" s="150" t="s">
        <v>80</v>
      </c>
      <c r="B29" s="150"/>
      <c r="C29" s="150"/>
      <c r="D29" s="150"/>
      <c r="E29" s="136" t="s">
        <v>81</v>
      </c>
      <c r="F29" s="136"/>
      <c r="G29" s="136"/>
      <c r="H29" s="136"/>
    </row>
    <row r="30" spans="1:26" ht="15" customHeight="1" x14ac:dyDescent="0.35">
      <c r="A30" s="114" t="s">
        <v>32</v>
      </c>
      <c r="B30" s="114"/>
      <c r="C30" s="114"/>
      <c r="D30" s="114"/>
      <c r="E30" s="18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80"/>
      <c r="G30" s="180"/>
      <c r="H30" s="180"/>
    </row>
    <row r="31" spans="1:26" ht="15.75" customHeight="1" x14ac:dyDescent="0.35">
      <c r="A31" s="150" t="s">
        <v>91</v>
      </c>
      <c r="B31" s="150"/>
      <c r="C31" s="150"/>
      <c r="D31" s="150"/>
      <c r="E31" s="136" t="s">
        <v>33</v>
      </c>
      <c r="F31" s="136"/>
      <c r="G31" s="136"/>
      <c r="H31" s="136"/>
    </row>
    <row r="32" spans="1:26" s="19" customFormat="1" x14ac:dyDescent="0.35">
      <c r="A32" s="182" t="s">
        <v>92</v>
      </c>
      <c r="B32" s="182"/>
      <c r="C32" s="181" t="s">
        <v>172</v>
      </c>
      <c r="D32" s="181"/>
      <c r="E32" s="181"/>
      <c r="F32" s="181" t="s">
        <v>30</v>
      </c>
      <c r="G32" s="181"/>
      <c r="H32" s="181"/>
    </row>
    <row r="33" spans="1:9" s="19" customFormat="1" x14ac:dyDescent="0.35">
      <c r="A33" s="178" t="s">
        <v>25</v>
      </c>
      <c r="B33" s="178" t="s">
        <v>29</v>
      </c>
      <c r="C33" s="179" t="s">
        <v>245</v>
      </c>
      <c r="D33" s="179"/>
      <c r="E33" s="179"/>
      <c r="F33" s="179" t="s">
        <v>242</v>
      </c>
      <c r="G33" s="179"/>
      <c r="H33" s="179"/>
    </row>
    <row r="34" spans="1:9" x14ac:dyDescent="0.35">
      <c r="A34" s="178" t="s">
        <v>26</v>
      </c>
      <c r="B34" s="178" t="s">
        <v>29</v>
      </c>
      <c r="C34" s="179" t="s">
        <v>245</v>
      </c>
      <c r="D34" s="179"/>
      <c r="E34" s="179"/>
      <c r="F34" s="179" t="s">
        <v>241</v>
      </c>
      <c r="G34" s="179"/>
      <c r="H34" s="179"/>
    </row>
    <row r="35" spans="1:9" s="19" customFormat="1" x14ac:dyDescent="0.35">
      <c r="A35" s="178" t="s">
        <v>28</v>
      </c>
      <c r="B35" s="178" t="s">
        <v>29</v>
      </c>
      <c r="C35" s="179" t="s">
        <v>244</v>
      </c>
      <c r="D35" s="179"/>
      <c r="E35" s="179"/>
      <c r="F35" s="179" t="s">
        <v>243</v>
      </c>
      <c r="G35" s="179"/>
      <c r="H35" s="179"/>
    </row>
    <row r="36" spans="1:9" x14ac:dyDescent="0.35">
      <c r="A36" s="178" t="s">
        <v>27</v>
      </c>
      <c r="B36" s="178" t="s">
        <v>29</v>
      </c>
      <c r="C36" s="179" t="s">
        <v>240</v>
      </c>
      <c r="D36" s="179"/>
      <c r="E36" s="179"/>
      <c r="F36" s="179" t="s">
        <v>240</v>
      </c>
      <c r="G36" s="179"/>
      <c r="H36" s="179"/>
    </row>
    <row r="37" spans="1:9" x14ac:dyDescent="0.35">
      <c r="A37" s="150" t="s">
        <v>31</v>
      </c>
      <c r="B37" s="150"/>
      <c r="C37" s="150"/>
      <c r="D37" s="150"/>
      <c r="E37" s="150"/>
      <c r="F37" s="150"/>
      <c r="G37" s="150"/>
      <c r="H37" s="150"/>
    </row>
    <row r="38" spans="1:9" ht="15.75" customHeight="1" x14ac:dyDescent="0.35">
      <c r="A38" s="150" t="s">
        <v>164</v>
      </c>
      <c r="B38" s="150"/>
      <c r="C38" s="177" t="s">
        <v>293</v>
      </c>
      <c r="D38" s="177"/>
      <c r="E38" s="177"/>
      <c r="F38" s="177"/>
      <c r="G38" s="177"/>
      <c r="H38" s="177"/>
    </row>
    <row r="39" spans="1:9" x14ac:dyDescent="0.35">
      <c r="A39" s="150" t="s">
        <v>160</v>
      </c>
      <c r="B39" s="150"/>
      <c r="C39" s="188" t="s">
        <v>239</v>
      </c>
      <c r="D39" s="136"/>
      <c r="E39" s="136"/>
      <c r="F39" s="136"/>
      <c r="G39" s="136"/>
      <c r="H39" s="136"/>
    </row>
    <row r="40" spans="1:9" x14ac:dyDescent="0.35">
      <c r="A40" s="171" t="s">
        <v>34</v>
      </c>
      <c r="B40" s="171"/>
      <c r="C40" s="171"/>
      <c r="D40" s="171"/>
      <c r="E40" s="171"/>
      <c r="F40" s="171"/>
      <c r="G40" s="171"/>
      <c r="H40" s="171"/>
    </row>
    <row r="41" spans="1:9" x14ac:dyDescent="0.35">
      <c r="A41" s="106" t="s">
        <v>35</v>
      </c>
      <c r="B41" s="106"/>
      <c r="C41" s="106"/>
      <c r="D41" s="106"/>
      <c r="E41" s="183">
        <v>25686.2</v>
      </c>
      <c r="F41" s="183"/>
      <c r="G41" s="183"/>
      <c r="H41" s="183"/>
    </row>
    <row r="42" spans="1:9" x14ac:dyDescent="0.35">
      <c r="A42" s="106" t="s">
        <v>36</v>
      </c>
      <c r="B42" s="106"/>
      <c r="C42" s="106"/>
      <c r="D42" s="106"/>
      <c r="E42" s="186">
        <v>1.1000000000000001</v>
      </c>
      <c r="F42" s="186"/>
      <c r="G42" s="186"/>
      <c r="H42" s="186"/>
    </row>
    <row r="43" spans="1:9" x14ac:dyDescent="0.35">
      <c r="A43" s="106" t="s">
        <v>37</v>
      </c>
      <c r="B43" s="106"/>
      <c r="C43" s="106"/>
      <c r="D43" s="106"/>
      <c r="E43" s="186">
        <f>E45/E41-E42</f>
        <v>0.91871514665462373</v>
      </c>
      <c r="F43" s="186"/>
      <c r="G43" s="186"/>
      <c r="H43" s="186"/>
    </row>
    <row r="44" spans="1:9" x14ac:dyDescent="0.35">
      <c r="A44" s="106" t="s">
        <v>38</v>
      </c>
      <c r="B44" s="106"/>
      <c r="C44" s="106"/>
      <c r="D44" s="106"/>
      <c r="E44" s="186">
        <f>E42+E43</f>
        <v>2.0187151466546238</v>
      </c>
      <c r="F44" s="186"/>
      <c r="G44" s="186"/>
      <c r="H44" s="186"/>
    </row>
    <row r="45" spans="1:9" x14ac:dyDescent="0.35">
      <c r="A45" s="106" t="s">
        <v>90</v>
      </c>
      <c r="B45" s="106"/>
      <c r="C45" s="106"/>
      <c r="D45" s="106"/>
      <c r="E45" s="187">
        <v>51853.120999999999</v>
      </c>
      <c r="F45" s="187"/>
      <c r="G45" s="187"/>
      <c r="H45" s="187"/>
      <c r="I45" s="55">
        <f>E45/E41</f>
        <v>2.0187151466546238</v>
      </c>
    </row>
    <row r="46" spans="1:9" x14ac:dyDescent="0.35">
      <c r="A46" s="106" t="s">
        <v>39</v>
      </c>
      <c r="B46" s="106"/>
      <c r="C46" s="106"/>
      <c r="D46" s="106"/>
      <c r="E46" s="106" t="s">
        <v>249</v>
      </c>
      <c r="F46" s="106"/>
      <c r="G46" s="106"/>
      <c r="H46" s="106"/>
    </row>
    <row r="47" spans="1:9" x14ac:dyDescent="0.35">
      <c r="A47" s="177" t="s">
        <v>40</v>
      </c>
      <c r="B47" s="177"/>
      <c r="C47" s="177"/>
      <c r="D47" s="177"/>
      <c r="E47" s="177"/>
      <c r="F47" s="177"/>
      <c r="G47" s="177"/>
      <c r="H47" s="177"/>
    </row>
    <row r="48" spans="1:9" ht="33.75" customHeight="1" x14ac:dyDescent="0.35">
      <c r="A48" s="113" t="s">
        <v>149</v>
      </c>
      <c r="B48" s="113"/>
      <c r="C48" s="171" t="s">
        <v>250</v>
      </c>
      <c r="D48" s="171"/>
      <c r="E48" s="171"/>
      <c r="F48" s="171"/>
      <c r="G48" s="171"/>
      <c r="H48" s="171"/>
    </row>
    <row r="49" spans="1:14" ht="15.75" customHeight="1" x14ac:dyDescent="0.35">
      <c r="A49" s="113" t="s">
        <v>41</v>
      </c>
      <c r="B49" s="113"/>
      <c r="C49" s="113" t="s">
        <v>251</v>
      </c>
      <c r="D49" s="113"/>
      <c r="E49" s="113"/>
      <c r="F49" s="17" t="s">
        <v>42</v>
      </c>
      <c r="G49" s="212">
        <v>45215</v>
      </c>
      <c r="H49" s="113"/>
    </row>
    <row r="50" spans="1:14" x14ac:dyDescent="0.35">
      <c r="A50" s="113" t="s">
        <v>43</v>
      </c>
      <c r="B50" s="113"/>
      <c r="C50" s="113" t="str">
        <f>C49</f>
        <v>KDMC/TPD/BP/KD/2023-24/60</v>
      </c>
      <c r="D50" s="113"/>
      <c r="E50" s="113"/>
      <c r="F50" s="17" t="s">
        <v>42</v>
      </c>
      <c r="G50" s="212">
        <f>G49</f>
        <v>45215</v>
      </c>
      <c r="H50" s="113"/>
    </row>
    <row r="51" spans="1:14" s="20" customFormat="1" ht="15.75" customHeight="1" x14ac:dyDescent="0.35">
      <c r="A51" s="191" t="s">
        <v>153</v>
      </c>
      <c r="B51" s="192"/>
      <c r="C51" s="122" t="str">
        <f>C50</f>
        <v>KDMC/TPD/BP/KD/2023-24/60</v>
      </c>
      <c r="D51" s="124"/>
      <c r="E51" s="123"/>
      <c r="F51" s="17" t="s">
        <v>42</v>
      </c>
      <c r="G51" s="125">
        <f>G50</f>
        <v>45215</v>
      </c>
      <c r="H51" s="123"/>
    </row>
    <row r="52" spans="1:14" s="20" customFormat="1" ht="63.75" customHeight="1" x14ac:dyDescent="0.35">
      <c r="A52" s="193"/>
      <c r="B52" s="194"/>
      <c r="C52" s="122" t="s">
        <v>268</v>
      </c>
      <c r="D52" s="124"/>
      <c r="E52" s="124"/>
      <c r="F52" s="124"/>
      <c r="G52" s="124"/>
      <c r="H52" s="123"/>
      <c r="I52" s="62" t="s">
        <v>259</v>
      </c>
    </row>
    <row r="53" spans="1:14" x14ac:dyDescent="0.35">
      <c r="A53" s="107" t="s">
        <v>44</v>
      </c>
      <c r="B53" s="108"/>
      <c r="C53" s="107" t="s">
        <v>104</v>
      </c>
      <c r="D53" s="109"/>
      <c r="E53" s="108"/>
      <c r="F53" s="40" t="s">
        <v>42</v>
      </c>
      <c r="G53" s="137" t="s">
        <v>29</v>
      </c>
      <c r="H53" s="138"/>
    </row>
    <row r="54" spans="1:14" x14ac:dyDescent="0.35">
      <c r="A54" s="135" t="s">
        <v>46</v>
      </c>
      <c r="B54" s="135"/>
      <c r="C54" s="135"/>
      <c r="D54" s="135"/>
      <c r="E54" s="135"/>
      <c r="F54" s="135"/>
      <c r="G54" s="135"/>
      <c r="H54" s="135"/>
    </row>
    <row r="55" spans="1:14" ht="30" customHeight="1" x14ac:dyDescent="0.35">
      <c r="A55" s="113" t="s">
        <v>294</v>
      </c>
      <c r="B55" s="113"/>
      <c r="C55" s="113"/>
      <c r="D55" s="110">
        <f>29952.69+11667.46</f>
        <v>41620.149999999994</v>
      </c>
      <c r="E55" s="110"/>
      <c r="F55" s="110"/>
      <c r="G55" s="110"/>
      <c r="H55" s="110"/>
    </row>
    <row r="56" spans="1:14" x14ac:dyDescent="0.35">
      <c r="A56" s="136" t="s">
        <v>47</v>
      </c>
      <c r="B56" s="106"/>
      <c r="C56" s="106"/>
      <c r="D56" s="106" t="s">
        <v>285</v>
      </c>
      <c r="E56" s="106"/>
      <c r="F56" s="106"/>
      <c r="G56" s="106"/>
      <c r="H56" s="106"/>
      <c r="I56" s="21"/>
    </row>
    <row r="57" spans="1:14" ht="32.25" customHeight="1" x14ac:dyDescent="0.35">
      <c r="A57" s="143" t="s">
        <v>48</v>
      </c>
      <c r="B57" s="144"/>
      <c r="C57" s="190"/>
      <c r="D57" s="180" t="s">
        <v>280</v>
      </c>
      <c r="E57" s="189"/>
      <c r="F57" s="189"/>
      <c r="G57" s="189"/>
      <c r="H57" s="189"/>
      <c r="I57" s="18" t="s">
        <v>260</v>
      </c>
    </row>
    <row r="58" spans="1:14" ht="15.75" customHeight="1" x14ac:dyDescent="0.35">
      <c r="A58" s="143" t="s">
        <v>88</v>
      </c>
      <c r="B58" s="144"/>
      <c r="C58" s="144"/>
      <c r="D58" s="147" t="s">
        <v>253</v>
      </c>
      <c r="E58" s="148"/>
      <c r="F58" s="148"/>
      <c r="G58" s="148"/>
      <c r="H58" s="149"/>
      <c r="I58" s="18" t="s">
        <v>261</v>
      </c>
    </row>
    <row r="59" spans="1:14" ht="15.75" customHeight="1" x14ac:dyDescent="0.35">
      <c r="A59" s="145"/>
      <c r="B59" s="146"/>
      <c r="C59" s="146"/>
      <c r="D59" s="106" t="s">
        <v>286</v>
      </c>
      <c r="E59" s="106"/>
      <c r="F59" s="106"/>
      <c r="G59" s="106"/>
      <c r="H59" s="106"/>
    </row>
    <row r="60" spans="1:14" ht="15.75" customHeight="1" x14ac:dyDescent="0.35">
      <c r="A60" s="150" t="s">
        <v>45</v>
      </c>
      <c r="B60" s="150"/>
      <c r="C60" s="150"/>
      <c r="D60" s="184" t="s">
        <v>254</v>
      </c>
      <c r="E60" s="184"/>
      <c r="F60" s="184"/>
      <c r="G60" s="184"/>
      <c r="H60" s="184"/>
      <c r="J60" s="22"/>
      <c r="K60" s="21"/>
      <c r="N60" s="21"/>
    </row>
    <row r="61" spans="1:14" ht="15.75" customHeight="1" x14ac:dyDescent="0.35">
      <c r="A61" s="150" t="s">
        <v>86</v>
      </c>
      <c r="B61" s="150"/>
      <c r="C61" s="150"/>
      <c r="D61" s="185" t="str">
        <f>(IF(G53="NA","60 Years After Completion",IF(G53&lt;&gt;"NA",""&amp;60-ROUNDDOWN((E3-G53)/360,0)&amp;" Years"," ")))</f>
        <v>60 Years After Completion</v>
      </c>
      <c r="E61" s="185"/>
      <c r="F61" s="185"/>
      <c r="G61" s="185"/>
      <c r="H61" s="185"/>
      <c r="N61" s="21"/>
    </row>
    <row r="62" spans="1:14" ht="15.75" customHeight="1" x14ac:dyDescent="0.35">
      <c r="A62" s="150" t="s">
        <v>87</v>
      </c>
      <c r="B62" s="150"/>
      <c r="C62" s="150"/>
      <c r="D62" s="113" t="s">
        <v>24</v>
      </c>
      <c r="E62" s="113"/>
      <c r="F62" s="113"/>
      <c r="G62" s="113"/>
      <c r="H62" s="113"/>
      <c r="J62" s="23"/>
      <c r="K62" s="23"/>
    </row>
    <row r="63" spans="1:14" ht="80.25" customHeight="1" x14ac:dyDescent="0.35">
      <c r="A63" s="106" t="s">
        <v>257</v>
      </c>
      <c r="B63" s="106"/>
      <c r="C63" s="106"/>
      <c r="D63" s="136" t="s">
        <v>256</v>
      </c>
      <c r="E63" s="136"/>
      <c r="F63" s="136"/>
      <c r="G63" s="136"/>
      <c r="H63" s="136"/>
      <c r="I63" s="56" t="s">
        <v>255</v>
      </c>
    </row>
    <row r="64" spans="1:14" x14ac:dyDescent="0.35">
      <c r="A64" s="113" t="s">
        <v>146</v>
      </c>
      <c r="B64" s="113"/>
      <c r="C64" s="113"/>
      <c r="D64" s="113" t="s">
        <v>29</v>
      </c>
      <c r="E64" s="113"/>
      <c r="F64" s="113"/>
      <c r="G64" s="113"/>
      <c r="H64" s="113"/>
      <c r="I64" s="24"/>
      <c r="J64" s="24"/>
      <c r="K64" s="24"/>
      <c r="L64" s="24"/>
      <c r="M64" s="24"/>
      <c r="N64" s="24"/>
    </row>
    <row r="65" spans="1:10" ht="15.75" customHeight="1" x14ac:dyDescent="0.35">
      <c r="A65" s="150" t="s">
        <v>85</v>
      </c>
      <c r="B65" s="150"/>
      <c r="C65" s="150"/>
      <c r="D65" s="136" t="str">
        <f ca="1">(IF(G71&gt;95%,"Nothing",IF(G71&gt;0%,"Cement, Aggregate, Steel, etc",IF(G71=0%,"Work not yet Started"))))</f>
        <v>Cement, Aggregate, Steel, etc</v>
      </c>
      <c r="E65" s="136"/>
      <c r="F65" s="136"/>
      <c r="G65" s="136"/>
      <c r="H65" s="136"/>
      <c r="J65" s="23"/>
    </row>
    <row r="66" spans="1:10" ht="33.75" customHeight="1" thickBot="1" x14ac:dyDescent="0.4">
      <c r="A66" s="113" t="s">
        <v>117</v>
      </c>
      <c r="B66" s="113"/>
      <c r="C66" s="113"/>
      <c r="D66" s="136" t="str">
        <f ca="1">(IF(D65="Nothing","Yes",IF(D65="Cement, Aggregate, Steel, etc","Under Construction",IF(D65="Work not yet Started","Work not yet Started"))))</f>
        <v>Under Construction</v>
      </c>
      <c r="E66" s="136"/>
      <c r="F66" s="136" t="str">
        <f ca="1">(IF(D65="Nothing","Yes",IF(D65="Cement, Aggregate, Steel, etc","Under Construction",IF(D65="Work not yet Started","Work not yet Started"))))</f>
        <v>Under Construction</v>
      </c>
      <c r="G66" s="136"/>
      <c r="H66" s="136"/>
    </row>
    <row r="67" spans="1:10" ht="15.75" customHeight="1" x14ac:dyDescent="0.35">
      <c r="A67" s="196" t="s">
        <v>138</v>
      </c>
      <c r="B67" s="196"/>
      <c r="C67" s="196" t="str">
        <f>D58</f>
        <v>Towe 1 = Stilt + 5P + 6th to 41st Floor</v>
      </c>
      <c r="D67" s="196"/>
      <c r="E67" s="196"/>
      <c r="F67" s="196"/>
      <c r="G67" s="196"/>
      <c r="H67" s="196"/>
      <c r="I67" s="76" t="str">
        <f ca="1">IF(D80=100%,"All work Completed. Possession granted to the Building.",IF(D79=100%,"All work Completed, Waiting for OC",I68&amp;""&amp;I69&amp;""&amp;J68&amp;""&amp;J67&amp;" "&amp;J69))</f>
        <v>Excavation, Plinth Completed, RCC upto 2 Slab Completed</v>
      </c>
      <c r="J67" s="43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 Slab</v>
      </c>
    </row>
    <row r="68" spans="1:10" x14ac:dyDescent="0.35">
      <c r="A68" s="81" t="s">
        <v>140</v>
      </c>
      <c r="B68" s="81">
        <f>IF(AND(ISNUMBER(SEARCH("1B",C67))),1,IF(AND(ISNUMBER(SEARCH("2B",C67))),2,IF(AND(ISNUMBER(SEARCH("3B",C67))),3,IF(AND(ISNUMBER(SEARCH("4B",C67))),4,IF(ISNUMBER(SEARCH("5B",C67)),5,0)))))</f>
        <v>0</v>
      </c>
      <c r="C68" s="81" t="s">
        <v>71</v>
      </c>
      <c r="D68" s="81">
        <v>1</v>
      </c>
      <c r="E68" s="81" t="s">
        <v>70</v>
      </c>
      <c r="F68" s="81">
        <v>0</v>
      </c>
      <c r="G68" s="81" t="s">
        <v>79</v>
      </c>
      <c r="H68" s="81">
        <f ca="1">--TRIM(RIGHT(SUBSTITUTE(LEFT(C67,_xlfn.AGGREGATE(16,6,FIND({0,1,2,3,4,5,6,7,8,9},C67,ROW(INDIRECT("1:"&amp;LEN(C67)))),1))," ",REPT(" ",LEN(C67))),LEN(C67)))</f>
        <v>41</v>
      </c>
      <c r="I68" s="7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5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35">
      <c r="A69" s="171" t="s">
        <v>89</v>
      </c>
      <c r="B69" s="171"/>
      <c r="C69" s="196" t="str">
        <f ca="1">I67</f>
        <v>Excavation, Plinth Completed, RCC upto 2 Slab Completed</v>
      </c>
      <c r="D69" s="196"/>
      <c r="E69" s="196"/>
      <c r="F69" s="196"/>
      <c r="G69" s="196"/>
      <c r="H69" s="196"/>
      <c r="I69" s="77" t="str">
        <f ca="1">IF(I68&lt;&gt;""," Completed","")</f>
        <v xml:space="preserve"> Completed</v>
      </c>
      <c r="J69" s="45" t="str">
        <f ca="1">IF(J67&lt;&gt;"","Completed","")</f>
        <v>Completed</v>
      </c>
    </row>
    <row r="70" spans="1:10" ht="15.75" customHeight="1" x14ac:dyDescent="0.35">
      <c r="A70" s="120" t="s">
        <v>49</v>
      </c>
      <c r="B70" s="121"/>
      <c r="C70" s="57" t="s">
        <v>137</v>
      </c>
      <c r="D70" s="57" t="s">
        <v>82</v>
      </c>
      <c r="E70" s="121" t="s">
        <v>84</v>
      </c>
      <c r="F70" s="121"/>
      <c r="G70" s="121" t="s">
        <v>83</v>
      </c>
      <c r="H70" s="153"/>
      <c r="I70" s="13" t="s">
        <v>139</v>
      </c>
      <c r="J70" s="25">
        <f ca="1">H68*25%</f>
        <v>10.25</v>
      </c>
    </row>
    <row r="71" spans="1:10" x14ac:dyDescent="0.35">
      <c r="A71" s="120" t="s">
        <v>126</v>
      </c>
      <c r="B71" s="121"/>
      <c r="C71" s="57">
        <f ca="1">J72</f>
        <v>41</v>
      </c>
      <c r="D71" s="58">
        <f ca="1">((100/H68)*C71)/100</f>
        <v>1</v>
      </c>
      <c r="E71" s="154">
        <f ca="1">(((C72/H68*10)+(40/(D68+F68+H68)*C73)+(7.5/(H68)*C74)+(7.5/(H68)*C75)+(10/H68*C76)+(10/H68*C77)+(5/H68*C78)+(5/H68*C79)+(5/H68*C80))/100)</f>
        <v>0.11904761904761905</v>
      </c>
      <c r="F71" s="155"/>
      <c r="G71" s="154">
        <f ca="1">((((C71/H68)*20)+((C72/H68)*25)+(30/(H68+F68+D68)*C73)+(5/H68*C74)+(5/H68*C75)+(5/H68*C76)+(5/H68*C77)+(0/H68*C78)+(0/H68*C79)+(5/H68*C80))/100)</f>
        <v>0.4642857142857143</v>
      </c>
      <c r="H71" s="162"/>
      <c r="I71" s="13" t="s">
        <v>99</v>
      </c>
      <c r="J71" s="26">
        <f ca="1">H68*50%</f>
        <v>20.5</v>
      </c>
    </row>
    <row r="72" spans="1:10" x14ac:dyDescent="0.35">
      <c r="A72" s="120" t="s">
        <v>50</v>
      </c>
      <c r="B72" s="121"/>
      <c r="C72" s="61">
        <f ca="1">J80</f>
        <v>41</v>
      </c>
      <c r="D72" s="58">
        <f ca="1">((100/H68)*C72)/100</f>
        <v>1</v>
      </c>
      <c r="E72" s="156"/>
      <c r="F72" s="157"/>
      <c r="G72" s="156"/>
      <c r="H72" s="163"/>
      <c r="I72" s="13" t="s">
        <v>100</v>
      </c>
      <c r="J72" s="26">
        <f ca="1">H68</f>
        <v>41</v>
      </c>
    </row>
    <row r="73" spans="1:10" ht="15.75" customHeight="1" x14ac:dyDescent="0.35">
      <c r="A73" s="120" t="s">
        <v>127</v>
      </c>
      <c r="B73" s="121"/>
      <c r="C73" s="57">
        <v>2</v>
      </c>
      <c r="D73" s="58">
        <f ca="1">((100/(D68+F68+H68))*C73)/100</f>
        <v>4.7619047619047616E-2</v>
      </c>
      <c r="E73" s="156"/>
      <c r="F73" s="157"/>
      <c r="G73" s="156"/>
      <c r="H73" s="163"/>
      <c r="I73" s="13" t="s">
        <v>101</v>
      </c>
      <c r="J73" s="27">
        <f ca="1">(IF(B68&gt;1,(H68/(B68+2)),H68/4))</f>
        <v>10.25</v>
      </c>
    </row>
    <row r="74" spans="1:10" ht="15.75" customHeight="1" x14ac:dyDescent="0.35">
      <c r="A74" s="120" t="s">
        <v>134</v>
      </c>
      <c r="B74" s="121" t="s">
        <v>128</v>
      </c>
      <c r="C74" s="57">
        <v>0</v>
      </c>
      <c r="D74" s="58">
        <f ca="1">((100/H68)*C74)/100</f>
        <v>0</v>
      </c>
      <c r="E74" s="156"/>
      <c r="F74" s="157"/>
      <c r="G74" s="156"/>
      <c r="H74" s="163"/>
      <c r="I74" s="13" t="s">
        <v>102</v>
      </c>
      <c r="J74" s="27">
        <f ca="1">(IF(B68&gt;1,(H68/(B68+2)+J73),H68/4+J73))</f>
        <v>20.5</v>
      </c>
    </row>
    <row r="75" spans="1:10" ht="15.75" customHeight="1" x14ac:dyDescent="0.35">
      <c r="A75" s="120" t="s">
        <v>135</v>
      </c>
      <c r="B75" s="121" t="s">
        <v>128</v>
      </c>
      <c r="C75" s="57">
        <v>0</v>
      </c>
      <c r="D75" s="58">
        <f ca="1">((100/H68)*C75)/100</f>
        <v>0</v>
      </c>
      <c r="E75" s="156"/>
      <c r="F75" s="157"/>
      <c r="G75" s="156"/>
      <c r="H75" s="163"/>
      <c r="I75" s="13" t="s">
        <v>144</v>
      </c>
      <c r="J75" s="27">
        <f>(IF(B68&gt;1,(H68/(B68+2)+J74),0))</f>
        <v>0</v>
      </c>
    </row>
    <row r="76" spans="1:10" ht="15" customHeight="1" x14ac:dyDescent="0.35">
      <c r="A76" s="120" t="s">
        <v>133</v>
      </c>
      <c r="B76" s="121" t="s">
        <v>130</v>
      </c>
      <c r="C76" s="57">
        <v>0</v>
      </c>
      <c r="D76" s="58">
        <f ca="1">((100/(H68))*C76)/100</f>
        <v>0</v>
      </c>
      <c r="E76" s="156"/>
      <c r="F76" s="157"/>
      <c r="G76" s="156"/>
      <c r="H76" s="163"/>
      <c r="I76" s="13" t="s">
        <v>141</v>
      </c>
      <c r="J76" s="27">
        <f>(IF(B68&gt;2,(H68/(B68+2)+J75),0))</f>
        <v>0</v>
      </c>
    </row>
    <row r="77" spans="1:10" ht="15.75" customHeight="1" x14ac:dyDescent="0.35">
      <c r="A77" s="120" t="s">
        <v>129</v>
      </c>
      <c r="B77" s="121" t="s">
        <v>129</v>
      </c>
      <c r="C77" s="57">
        <v>0</v>
      </c>
      <c r="D77" s="58">
        <f ca="1">((100/H68)*C77)/100</f>
        <v>0</v>
      </c>
      <c r="E77" s="156"/>
      <c r="F77" s="157"/>
      <c r="G77" s="156"/>
      <c r="H77" s="163"/>
      <c r="I77" s="13" t="s">
        <v>142</v>
      </c>
      <c r="J77" s="28">
        <f>(IF(B68&gt;3,(H68/(B68+2)+J76),0))</f>
        <v>0</v>
      </c>
    </row>
    <row r="78" spans="1:10" ht="15.75" customHeight="1" x14ac:dyDescent="0.35">
      <c r="A78" s="120" t="s">
        <v>136</v>
      </c>
      <c r="B78" s="121"/>
      <c r="C78" s="57">
        <v>0</v>
      </c>
      <c r="D78" s="58">
        <f ca="1">((100/H68)*C78)/100</f>
        <v>0</v>
      </c>
      <c r="E78" s="156"/>
      <c r="F78" s="157"/>
      <c r="G78" s="156"/>
      <c r="H78" s="163"/>
      <c r="I78" s="13" t="s">
        <v>143</v>
      </c>
      <c r="J78" s="27">
        <f>(IF(B68&gt;4,(H68/(B68+2)+J77),0))</f>
        <v>0</v>
      </c>
    </row>
    <row r="79" spans="1:10" ht="15.75" customHeight="1" x14ac:dyDescent="0.35">
      <c r="A79" s="120" t="s">
        <v>131</v>
      </c>
      <c r="B79" s="121" t="s">
        <v>131</v>
      </c>
      <c r="C79" s="57">
        <v>0</v>
      </c>
      <c r="D79" s="58">
        <f ca="1">((100/(H68))*C79)/100</f>
        <v>0</v>
      </c>
      <c r="E79" s="156"/>
      <c r="F79" s="157"/>
      <c r="G79" s="156"/>
      <c r="H79" s="163"/>
      <c r="I79" s="13" t="s">
        <v>145</v>
      </c>
      <c r="J79" s="27">
        <f ca="1">(IF(B68=1,(H68/(B68+3)+J74),IF(B68=0,(H68/4+J74),IF(B68&gt;1,0))))</f>
        <v>30.75</v>
      </c>
    </row>
    <row r="80" spans="1:10" ht="16" thickBot="1" x14ac:dyDescent="0.4">
      <c r="A80" s="165" t="s">
        <v>132</v>
      </c>
      <c r="B80" s="166"/>
      <c r="C80" s="59">
        <v>0</v>
      </c>
      <c r="D80" s="60">
        <f ca="1">((100/(H68))*C80)/100</f>
        <v>0</v>
      </c>
      <c r="E80" s="158"/>
      <c r="F80" s="159"/>
      <c r="G80" s="158"/>
      <c r="H80" s="164"/>
      <c r="I80" s="14" t="s">
        <v>103</v>
      </c>
      <c r="J80" s="29">
        <f ca="1">(IF(B68&gt;1.5,(H68/(B68+2)+J74+MAX(0,J75-J74)+MAX(0,J76-J75)+MAX(0,J77-J76)+MAX(0,J78-J77)+MAX(0,J79-J78)),IF(B68=1,(H68/(B68+3)+J79),IF(B68=0,H68/4+J79))))</f>
        <v>41</v>
      </c>
    </row>
    <row r="81" spans="1:10" ht="15.75" customHeight="1" x14ac:dyDescent="0.35">
      <c r="A81" s="115" t="s">
        <v>138</v>
      </c>
      <c r="B81" s="116"/>
      <c r="C81" s="117" t="str">
        <f>D59</f>
        <v>Towe 2 = Stilt + 5P + 6th to 41st Floor</v>
      </c>
      <c r="D81" s="118"/>
      <c r="E81" s="118"/>
      <c r="F81" s="118"/>
      <c r="G81" s="118"/>
      <c r="H81" s="119"/>
      <c r="I81" s="42" t="str">
        <f ca="1">IF(D94=100%,"All work Completed. Possession granted to the Building.",IF(D93=100%,"All work Completed, Waiting for OC",I82&amp;""&amp;I83&amp;""&amp;J82&amp;""&amp;J81&amp;" "&amp;J83))</f>
        <v xml:space="preserve">Work not yet Started. </v>
      </c>
      <c r="J81" s="43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35">
      <c r="A82" s="15" t="s">
        <v>140</v>
      </c>
      <c r="B82" s="46">
        <f>IF(AND(ISNUMBER(SEARCH("1B",C81))),1,IF(AND(ISNUMBER(SEARCH("2B",C81))),2,IF(AND(ISNUMBER(SEARCH("3B",C81))),3,IF(AND(ISNUMBER(SEARCH("4B",C81))),4,IF(ISNUMBER(SEARCH("5B",C81)),5,0)))))</f>
        <v>0</v>
      </c>
      <c r="C82" s="46" t="s">
        <v>71</v>
      </c>
      <c r="D82" s="46">
        <v>1</v>
      </c>
      <c r="E82" s="46" t="s">
        <v>70</v>
      </c>
      <c r="F82" s="46">
        <v>0</v>
      </c>
      <c r="G82" s="46" t="s">
        <v>79</v>
      </c>
      <c r="H82" s="16">
        <f ca="1">--TRIM(RIGHT(SUBSTITUTE(LEFT(C81,_xlfn.AGGREGATE(16,6,FIND({0,1,2,3,4,5,6,7,8,9},C81,ROW(INDIRECT("1:"&amp;LEN(C81)))),1))," ",REPT(" ",LEN(C81))),LEN(C81)))</f>
        <v>41</v>
      </c>
      <c r="I82" s="44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/>
      </c>
      <c r="J82" s="45" t="str">
        <f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Work not yet Started.</v>
      </c>
    </row>
    <row r="83" spans="1:10" x14ac:dyDescent="0.35">
      <c r="A83" s="195" t="s">
        <v>89</v>
      </c>
      <c r="B83" s="171"/>
      <c r="C83" s="196" t="str">
        <f ca="1">(IF($G$53="NA",I81,"All work Completed. OC Received."))</f>
        <v xml:space="preserve">Work not yet Started. </v>
      </c>
      <c r="D83" s="196"/>
      <c r="E83" s="196"/>
      <c r="F83" s="196"/>
      <c r="G83" s="196"/>
      <c r="H83" s="197"/>
      <c r="I83" s="44" t="str">
        <f ca="1">IF(I82&lt;&gt;""," Completed","")</f>
        <v/>
      </c>
      <c r="J83" s="45" t="str">
        <f ca="1">IF(J81&lt;&gt;"","Completed","")</f>
        <v/>
      </c>
    </row>
    <row r="84" spans="1:10" ht="15.75" customHeight="1" x14ac:dyDescent="0.35">
      <c r="A84" s="120" t="s">
        <v>49</v>
      </c>
      <c r="B84" s="121"/>
      <c r="C84" s="57" t="s">
        <v>137</v>
      </c>
      <c r="D84" s="57" t="s">
        <v>82</v>
      </c>
      <c r="E84" s="121" t="s">
        <v>84</v>
      </c>
      <c r="F84" s="121"/>
      <c r="G84" s="121" t="s">
        <v>83</v>
      </c>
      <c r="H84" s="153"/>
      <c r="I84" s="13" t="s">
        <v>139</v>
      </c>
      <c r="J84" s="25">
        <f ca="1">H82*25%</f>
        <v>10.25</v>
      </c>
    </row>
    <row r="85" spans="1:10" x14ac:dyDescent="0.35">
      <c r="A85" s="120" t="s">
        <v>126</v>
      </c>
      <c r="B85" s="121"/>
      <c r="C85" s="57">
        <v>0</v>
      </c>
      <c r="D85" s="58">
        <f ca="1">((100/H82)*C85)/100</f>
        <v>0</v>
      </c>
      <c r="E85" s="154">
        <f ca="1">(((C86/H82*10)+(40/(D82+F82+H82)*C87)+(7.5/(H82)*C88)+(7.5/(H82)*C89)+(10/H82*C90)+(10/H82*C91)+(5/H82*C92)+(5/H82*C93)+(5/H82*C94))/100)</f>
        <v>0</v>
      </c>
      <c r="F85" s="155"/>
      <c r="G85" s="154">
        <f ca="1">((((C85/H82)*20)+((C86/H82)*25)+(30/(H82+F82+D82)*C87)+(5/H82*C88)+(5/H82*C89)+(5/H82*C90)+(5/H82*C91)+(0/H82*C92)+(0/H82*C93)+(5/H82*C94))/100)</f>
        <v>0</v>
      </c>
      <c r="H85" s="162"/>
      <c r="I85" s="13" t="s">
        <v>99</v>
      </c>
      <c r="J85" s="26">
        <f ca="1">H82*50%</f>
        <v>20.5</v>
      </c>
    </row>
    <row r="86" spans="1:10" x14ac:dyDescent="0.35">
      <c r="A86" s="120" t="s">
        <v>50</v>
      </c>
      <c r="B86" s="121"/>
      <c r="C86" s="61">
        <v>0</v>
      </c>
      <c r="D86" s="58">
        <f ca="1">((100/H82)*C86)/100</f>
        <v>0</v>
      </c>
      <c r="E86" s="156"/>
      <c r="F86" s="157"/>
      <c r="G86" s="156"/>
      <c r="H86" s="163"/>
      <c r="I86" s="13" t="s">
        <v>100</v>
      </c>
      <c r="J86" s="26">
        <f ca="1">H82</f>
        <v>41</v>
      </c>
    </row>
    <row r="87" spans="1:10" ht="15.75" customHeight="1" x14ac:dyDescent="0.35">
      <c r="A87" s="120" t="s">
        <v>127</v>
      </c>
      <c r="B87" s="121"/>
      <c r="C87" s="57">
        <v>0</v>
      </c>
      <c r="D87" s="58">
        <f ca="1">((100/(D82+F82+H82))*C87)/100</f>
        <v>0</v>
      </c>
      <c r="E87" s="156"/>
      <c r="F87" s="157"/>
      <c r="G87" s="156"/>
      <c r="H87" s="163"/>
      <c r="I87" s="13" t="s">
        <v>101</v>
      </c>
      <c r="J87" s="27">
        <f ca="1">(IF(B82&gt;1,(H82/(B82+2)),H82/4))</f>
        <v>10.25</v>
      </c>
    </row>
    <row r="88" spans="1:10" ht="15.75" customHeight="1" x14ac:dyDescent="0.35">
      <c r="A88" s="120" t="s">
        <v>134</v>
      </c>
      <c r="B88" s="121" t="s">
        <v>128</v>
      </c>
      <c r="C88" s="57">
        <v>0</v>
      </c>
      <c r="D88" s="58">
        <f ca="1">((100/H82)*C88)/100</f>
        <v>0</v>
      </c>
      <c r="E88" s="156"/>
      <c r="F88" s="157"/>
      <c r="G88" s="156"/>
      <c r="H88" s="163"/>
      <c r="I88" s="13" t="s">
        <v>102</v>
      </c>
      <c r="J88" s="27">
        <f ca="1">(IF(B82&gt;1,(H82/(B82+2)+J87),H82/4+J87))</f>
        <v>20.5</v>
      </c>
    </row>
    <row r="89" spans="1:10" ht="15.75" customHeight="1" x14ac:dyDescent="0.35">
      <c r="A89" s="120" t="s">
        <v>135</v>
      </c>
      <c r="B89" s="121" t="s">
        <v>128</v>
      </c>
      <c r="C89" s="57">
        <v>0</v>
      </c>
      <c r="D89" s="58">
        <f ca="1">((100/H82)*C89)/100</f>
        <v>0</v>
      </c>
      <c r="E89" s="156"/>
      <c r="F89" s="157"/>
      <c r="G89" s="156"/>
      <c r="H89" s="163"/>
      <c r="I89" s="13" t="s">
        <v>144</v>
      </c>
      <c r="J89" s="27">
        <f>(IF(B82&gt;1,(H82/(B82+2)+J88),0))</f>
        <v>0</v>
      </c>
    </row>
    <row r="90" spans="1:10" ht="15" customHeight="1" x14ac:dyDescent="0.35">
      <c r="A90" s="120" t="s">
        <v>133</v>
      </c>
      <c r="B90" s="121" t="s">
        <v>130</v>
      </c>
      <c r="C90" s="57">
        <v>0</v>
      </c>
      <c r="D90" s="58">
        <f ca="1">((100/(H82))*C90)/100</f>
        <v>0</v>
      </c>
      <c r="E90" s="156"/>
      <c r="F90" s="157"/>
      <c r="G90" s="156"/>
      <c r="H90" s="163"/>
      <c r="I90" s="13" t="s">
        <v>141</v>
      </c>
      <c r="J90" s="27">
        <f>(IF(B82&gt;2,(H82/(B82+2)+J89),0))</f>
        <v>0</v>
      </c>
    </row>
    <row r="91" spans="1:10" ht="15.75" customHeight="1" x14ac:dyDescent="0.35">
      <c r="A91" s="120" t="s">
        <v>129</v>
      </c>
      <c r="B91" s="121" t="s">
        <v>129</v>
      </c>
      <c r="C91" s="57">
        <v>0</v>
      </c>
      <c r="D91" s="58">
        <f ca="1">((100/H82)*C91)/100</f>
        <v>0</v>
      </c>
      <c r="E91" s="156"/>
      <c r="F91" s="157"/>
      <c r="G91" s="156"/>
      <c r="H91" s="163"/>
      <c r="I91" s="13" t="s">
        <v>142</v>
      </c>
      <c r="J91" s="28">
        <f>(IF(B82&gt;3,(H82/(B82+2)+J90),0))</f>
        <v>0</v>
      </c>
    </row>
    <row r="92" spans="1:10" ht="15.75" customHeight="1" x14ac:dyDescent="0.35">
      <c r="A92" s="120" t="s">
        <v>136</v>
      </c>
      <c r="B92" s="121"/>
      <c r="C92" s="57">
        <v>0</v>
      </c>
      <c r="D92" s="58">
        <f ca="1">((100/H82)*C92)/100</f>
        <v>0</v>
      </c>
      <c r="E92" s="156"/>
      <c r="F92" s="157"/>
      <c r="G92" s="156"/>
      <c r="H92" s="163"/>
      <c r="I92" s="13" t="s">
        <v>143</v>
      </c>
      <c r="J92" s="27">
        <f>(IF(B82&gt;4,(H82/(B82+2)+J91),0))</f>
        <v>0</v>
      </c>
    </row>
    <row r="93" spans="1:10" ht="15.75" customHeight="1" x14ac:dyDescent="0.35">
      <c r="A93" s="120" t="s">
        <v>131</v>
      </c>
      <c r="B93" s="121" t="s">
        <v>131</v>
      </c>
      <c r="C93" s="57">
        <v>0</v>
      </c>
      <c r="D93" s="58">
        <f ca="1">((100/(H82))*C93)/100</f>
        <v>0</v>
      </c>
      <c r="E93" s="156"/>
      <c r="F93" s="157"/>
      <c r="G93" s="156"/>
      <c r="H93" s="163"/>
      <c r="I93" s="13" t="s">
        <v>145</v>
      </c>
      <c r="J93" s="27">
        <f ca="1">(IF(B82=1,(H82/(B82+3)+J88),IF(B82=0,(H82/4+J88),IF(B82&gt;1,0))))</f>
        <v>30.75</v>
      </c>
    </row>
    <row r="94" spans="1:10" ht="16" thickBot="1" x14ac:dyDescent="0.4">
      <c r="A94" s="165" t="s">
        <v>132</v>
      </c>
      <c r="B94" s="166"/>
      <c r="C94" s="59">
        <v>0</v>
      </c>
      <c r="D94" s="60">
        <f ca="1">((100/(H82))*C94)/100</f>
        <v>0</v>
      </c>
      <c r="E94" s="158"/>
      <c r="F94" s="159"/>
      <c r="G94" s="158"/>
      <c r="H94" s="164"/>
      <c r="I94" s="14" t="s">
        <v>103</v>
      </c>
      <c r="J94" s="29">
        <f ca="1">(IF(B82&gt;1.5,(H82/(B82+2)+J88+MAX(0,J89-J88)+MAX(0,J90-J89)+MAX(0,J91-J90)+MAX(0,J92-J91)+MAX(0,J93-J92)),IF(B82=1,(H82/(B82+3)+J93),IF(B82=0,H82/4+J93))))</f>
        <v>41</v>
      </c>
    </row>
    <row r="95" spans="1:10" x14ac:dyDescent="0.35">
      <c r="A95" s="202" t="s">
        <v>155</v>
      </c>
      <c r="B95" s="202"/>
      <c r="C95" s="202"/>
      <c r="D95" s="202"/>
      <c r="E95" s="202"/>
      <c r="F95" s="160" t="s">
        <v>159</v>
      </c>
      <c r="G95" s="160"/>
      <c r="H95" s="160"/>
    </row>
    <row r="96" spans="1:10" x14ac:dyDescent="0.35">
      <c r="A96" s="106" t="s">
        <v>157</v>
      </c>
      <c r="B96" s="106"/>
      <c r="C96" s="106"/>
      <c r="D96" s="106"/>
      <c r="E96" s="106"/>
      <c r="F96" s="103">
        <v>8000</v>
      </c>
      <c r="G96" s="103"/>
      <c r="H96" s="103"/>
      <c r="I96" s="18" t="s">
        <v>301</v>
      </c>
      <c r="J96" s="69" t="s">
        <v>291</v>
      </c>
    </row>
    <row r="97" spans="1:10" hidden="1" x14ac:dyDescent="0.35">
      <c r="A97" s="106" t="s">
        <v>156</v>
      </c>
      <c r="B97" s="106"/>
      <c r="C97" s="106"/>
      <c r="D97" s="106"/>
      <c r="E97" s="106"/>
      <c r="F97" s="103">
        <v>15000</v>
      </c>
      <c r="G97" s="103"/>
      <c r="H97" s="103"/>
      <c r="J97" s="21">
        <f>8800000/H190</f>
        <v>9183.2625439453041</v>
      </c>
    </row>
    <row r="98" spans="1:10" hidden="1" x14ac:dyDescent="0.35">
      <c r="A98" s="106" t="s">
        <v>158</v>
      </c>
      <c r="B98" s="106"/>
      <c r="C98" s="106"/>
      <c r="D98" s="106"/>
      <c r="E98" s="106"/>
      <c r="F98" s="103"/>
      <c r="G98" s="103"/>
      <c r="H98" s="103"/>
      <c r="J98" s="21"/>
    </row>
    <row r="99" spans="1:10" s="30" customFormat="1" hidden="1" x14ac:dyDescent="0.3">
      <c r="A99" s="106" t="s">
        <v>174</v>
      </c>
      <c r="B99" s="106"/>
      <c r="C99" s="106"/>
      <c r="D99" s="106"/>
      <c r="E99" s="106"/>
      <c r="F99" s="103"/>
      <c r="G99" s="103"/>
      <c r="H99" s="103"/>
      <c r="J99" s="68"/>
    </row>
    <row r="100" spans="1:10" s="30" customFormat="1" hidden="1" x14ac:dyDescent="0.3">
      <c r="A100" s="106" t="s">
        <v>93</v>
      </c>
      <c r="B100" s="106"/>
      <c r="C100" s="106"/>
      <c r="D100" s="106"/>
      <c r="E100" s="106"/>
      <c r="F100" s="103"/>
      <c r="G100" s="103"/>
      <c r="H100" s="103"/>
      <c r="J100" s="68"/>
    </row>
    <row r="101" spans="1:10" s="30" customFormat="1" hidden="1" x14ac:dyDescent="0.3">
      <c r="A101" s="106" t="s">
        <v>94</v>
      </c>
      <c r="B101" s="106"/>
      <c r="C101" s="106"/>
      <c r="D101" s="106"/>
      <c r="E101" s="106"/>
      <c r="F101" s="103"/>
      <c r="G101" s="103"/>
      <c r="H101" s="103"/>
      <c r="J101" s="68"/>
    </row>
    <row r="102" spans="1:10" s="30" customFormat="1" hidden="1" x14ac:dyDescent="0.3">
      <c r="A102" s="106" t="s">
        <v>95</v>
      </c>
      <c r="B102" s="106"/>
      <c r="C102" s="106"/>
      <c r="D102" s="106"/>
      <c r="E102" s="106"/>
      <c r="F102" s="103"/>
      <c r="G102" s="103"/>
      <c r="H102" s="103"/>
      <c r="J102" s="68"/>
    </row>
    <row r="103" spans="1:10" s="30" customFormat="1" hidden="1" x14ac:dyDescent="0.3">
      <c r="A103" s="106" t="s">
        <v>96</v>
      </c>
      <c r="B103" s="106"/>
      <c r="C103" s="106"/>
      <c r="D103" s="106"/>
      <c r="E103" s="106"/>
      <c r="F103" s="103"/>
      <c r="G103" s="103"/>
      <c r="H103" s="103"/>
      <c r="J103" s="68"/>
    </row>
    <row r="104" spans="1:10" s="30" customFormat="1" hidden="1" x14ac:dyDescent="0.3">
      <c r="A104" s="106" t="s">
        <v>97</v>
      </c>
      <c r="B104" s="106"/>
      <c r="C104" s="106"/>
      <c r="D104" s="106"/>
      <c r="E104" s="106"/>
      <c r="F104" s="103"/>
      <c r="G104" s="103"/>
      <c r="H104" s="103"/>
      <c r="J104" s="68"/>
    </row>
    <row r="105" spans="1:10" s="30" customFormat="1" hidden="1" x14ac:dyDescent="0.3">
      <c r="A105" s="106" t="s">
        <v>98</v>
      </c>
      <c r="B105" s="106"/>
      <c r="C105" s="106"/>
      <c r="D105" s="106"/>
      <c r="E105" s="106"/>
      <c r="F105" s="103"/>
      <c r="G105" s="103"/>
      <c r="H105" s="103"/>
      <c r="J105" s="68"/>
    </row>
    <row r="106" spans="1:10" x14ac:dyDescent="0.35">
      <c r="A106" s="106" t="s">
        <v>51</v>
      </c>
      <c r="B106" s="106"/>
      <c r="C106" s="106"/>
      <c r="D106" s="106"/>
      <c r="E106" s="106"/>
      <c r="F106" s="103">
        <v>350000</v>
      </c>
      <c r="G106" s="103"/>
      <c r="H106" s="103"/>
      <c r="J106" s="21">
        <f>12300000/H184</f>
        <v>8959.1742665593847</v>
      </c>
    </row>
    <row r="107" spans="1:10" s="31" customFormat="1" x14ac:dyDescent="0.35">
      <c r="A107" s="171" t="s">
        <v>52</v>
      </c>
      <c r="B107" s="171"/>
      <c r="C107" s="171"/>
      <c r="D107" s="171"/>
      <c r="E107" s="171"/>
      <c r="F107" s="103">
        <f>F96*0.8</f>
        <v>6400</v>
      </c>
      <c r="G107" s="103"/>
      <c r="H107" s="103"/>
      <c r="J107" s="70">
        <f>AVERAGE(J97:J106)</f>
        <v>9071.2184052523444</v>
      </c>
    </row>
    <row r="108" spans="1:10" s="32" customFormat="1" ht="15.75" hidden="1" customHeight="1" x14ac:dyDescent="0.35">
      <c r="A108" s="170" t="s">
        <v>74</v>
      </c>
      <c r="B108" s="170"/>
      <c r="C108" s="170"/>
      <c r="D108" s="170"/>
      <c r="E108" s="170"/>
      <c r="F108" s="170"/>
      <c r="G108" s="170"/>
      <c r="H108" s="170"/>
    </row>
    <row r="109" spans="1:10" s="32" customFormat="1" ht="15.75" hidden="1" customHeight="1" x14ac:dyDescent="0.35">
      <c r="A109" s="105" t="s">
        <v>53</v>
      </c>
      <c r="B109" s="105"/>
      <c r="C109" s="112" t="s">
        <v>77</v>
      </c>
      <c r="D109" s="112"/>
      <c r="E109" s="111" t="s">
        <v>54</v>
      </c>
      <c r="F109" s="111"/>
      <c r="G109" s="105" t="s">
        <v>55</v>
      </c>
      <c r="H109" s="105"/>
    </row>
    <row r="110" spans="1:10" s="32" customFormat="1" hidden="1" x14ac:dyDescent="0.35">
      <c r="A110" s="172" t="s">
        <v>283</v>
      </c>
      <c r="B110" s="172"/>
      <c r="C110" s="139">
        <f>COUNT(F123:F146)+COUNT(F148:F171)</f>
        <v>48</v>
      </c>
      <c r="D110" s="140"/>
      <c r="E110" s="141">
        <f>SUM(F123:F146)+SUM(F148:F171)</f>
        <v>53375.877359999999</v>
      </c>
      <c r="F110" s="142"/>
      <c r="G110" s="141">
        <f>SUM(H123:H146)+SUM(H148:H171)</f>
        <v>80063.816040000005</v>
      </c>
      <c r="H110" s="142"/>
    </row>
    <row r="111" spans="1:10" s="32" customFormat="1" x14ac:dyDescent="0.35">
      <c r="A111" s="173" t="s">
        <v>69</v>
      </c>
      <c r="B111" s="173"/>
      <c r="C111" s="173"/>
      <c r="D111" s="173"/>
      <c r="E111" s="173"/>
      <c r="F111" s="173"/>
      <c r="G111" s="173"/>
      <c r="H111" s="173"/>
    </row>
    <row r="112" spans="1:10" s="32" customFormat="1" ht="15.75" customHeight="1" x14ac:dyDescent="0.35">
      <c r="A112" s="105" t="s">
        <v>53</v>
      </c>
      <c r="B112" s="105"/>
      <c r="C112" s="112" t="s">
        <v>77</v>
      </c>
      <c r="D112" s="112"/>
      <c r="E112" s="111" t="s">
        <v>54</v>
      </c>
      <c r="F112" s="111"/>
      <c r="G112" s="105" t="s">
        <v>55</v>
      </c>
      <c r="H112" s="105"/>
    </row>
    <row r="113" spans="1:14" s="32" customFormat="1" x14ac:dyDescent="0.35">
      <c r="A113" s="172" t="s">
        <v>269</v>
      </c>
      <c r="B113" s="172"/>
      <c r="C113" s="140">
        <f>COUNT(F178)+COUNT(F180:F182)*4+COUNT(F184:F191)*5+COUNT(F193:F198,F200)*7+COUNT(F202:F209)*8+COUNT(F211:F218)*8+COUNT(F220:F227)*8</f>
        <v>294</v>
      </c>
      <c r="D113" s="140"/>
      <c r="E113" s="141">
        <f>SUM(F178)+SUM(F180:F182)*4+SUM(F184:F191)*5+SUM(F193:F198,F200)*7+SUM(F202:F209)*8+SUM(F211:F218)*8+SUM(F220:F227)*8</f>
        <v>229835.72663999998</v>
      </c>
      <c r="F113" s="141"/>
      <c r="G113" s="141">
        <f>SUM(H178)+SUM(H180:H182)*4+SUM(H184:H191)*5+SUM(H193:H198,H200)*7+SUM(H202:H209)*8+SUM(H211:H218)*8+SUM(H220:H227)*8</f>
        <v>344753.58996000001</v>
      </c>
      <c r="H113" s="141"/>
    </row>
    <row r="114" spans="1:14" s="32" customFormat="1" x14ac:dyDescent="0.35">
      <c r="A114" s="172" t="s">
        <v>281</v>
      </c>
      <c r="B114" s="172"/>
      <c r="C114" s="140">
        <f>COUNT(F230:F231)+COUNT(F233:F236)*4+COUNT(F238:F245)*5+COUNT(F247:F254)*8+COUNT(F265:F268,F270:F272)*3</f>
        <v>143</v>
      </c>
      <c r="D114" s="140"/>
      <c r="E114" s="141">
        <f>SUM(F230:F231)+SUM(F233:F236)*4+SUM(F238:F245)*5+SUM(F247:F254)*8+SUM(F265:F268,F270:F272)*3</f>
        <v>105974.70155999999</v>
      </c>
      <c r="F114" s="141"/>
      <c r="G114" s="141">
        <f>SUM(H230:H231)+SUM(H233:H236)*4+SUM(H238:H245)*5+SUM(H247:H254)*8+SUM(H265:H268,H270:H272)*3</f>
        <v>158962.05233999999</v>
      </c>
      <c r="H114" s="141"/>
    </row>
    <row r="115" spans="1:14" s="32" customFormat="1" x14ac:dyDescent="0.35">
      <c r="A115" s="203" t="s">
        <v>148</v>
      </c>
      <c r="B115" s="203"/>
      <c r="C115" s="152">
        <f t="shared" ref="C115:G115" si="0">SUM(C113:D114)</f>
        <v>437</v>
      </c>
      <c r="D115" s="152"/>
      <c r="E115" s="204">
        <f t="shared" si="0"/>
        <v>335810.42819999997</v>
      </c>
      <c r="F115" s="204"/>
      <c r="G115" s="205">
        <f t="shared" si="0"/>
        <v>503715.64230000001</v>
      </c>
      <c r="H115" s="205"/>
    </row>
    <row r="116" spans="1:14" s="32" customFormat="1" hidden="1" x14ac:dyDescent="0.35">
      <c r="A116" s="129" t="s">
        <v>165</v>
      </c>
      <c r="B116" s="130"/>
      <c r="C116" s="131">
        <f>C110+C115</f>
        <v>485</v>
      </c>
      <c r="D116" s="132"/>
      <c r="E116" s="133">
        <f>E110+E115</f>
        <v>389186.30555999995</v>
      </c>
      <c r="F116" s="134"/>
      <c r="G116" s="206">
        <f>G110+G115</f>
        <v>583779.45834000001</v>
      </c>
      <c r="H116" s="207"/>
      <c r="I116" s="65" t="s">
        <v>287</v>
      </c>
    </row>
    <row r="117" spans="1:14" s="31" customFormat="1" x14ac:dyDescent="0.35">
      <c r="A117" s="161" t="s">
        <v>56</v>
      </c>
      <c r="B117" s="161"/>
      <c r="C117" s="161"/>
      <c r="D117" s="161"/>
      <c r="E117" s="161"/>
      <c r="F117" s="161"/>
      <c r="G117" s="161"/>
      <c r="H117" s="161"/>
    </row>
    <row r="118" spans="1:14" hidden="1" x14ac:dyDescent="0.35">
      <c r="A118" s="104" t="s">
        <v>173</v>
      </c>
      <c r="B118" s="104"/>
      <c r="C118" s="104"/>
      <c r="D118" s="104"/>
      <c r="E118" s="104"/>
      <c r="F118" s="104"/>
      <c r="G118" s="104"/>
      <c r="H118" s="104"/>
      <c r="I118" s="56" t="s">
        <v>289</v>
      </c>
    </row>
    <row r="119" spans="1:14" ht="47.25" hidden="1" customHeight="1" x14ac:dyDescent="0.35">
      <c r="A119" s="96" t="s">
        <v>118</v>
      </c>
      <c r="B119" s="96" t="s">
        <v>176</v>
      </c>
      <c r="C119" s="96" t="s">
        <v>57</v>
      </c>
      <c r="D119" s="96" t="s">
        <v>232</v>
      </c>
      <c r="E119" s="97" t="s">
        <v>154</v>
      </c>
      <c r="F119" s="96" t="s">
        <v>58</v>
      </c>
      <c r="G119" s="97" t="s">
        <v>59</v>
      </c>
      <c r="H119" s="80" t="s">
        <v>147</v>
      </c>
      <c r="I119" s="56" t="s">
        <v>289</v>
      </c>
    </row>
    <row r="120" spans="1:14" s="34" customFormat="1" hidden="1" x14ac:dyDescent="0.35">
      <c r="A120" s="96"/>
      <c r="B120" s="96"/>
      <c r="C120" s="96"/>
      <c r="D120" s="96"/>
      <c r="E120" s="97"/>
      <c r="F120" s="96"/>
      <c r="G120" s="97"/>
      <c r="H120" s="78">
        <v>0.5</v>
      </c>
    </row>
    <row r="121" spans="1:14" s="54" customFormat="1" hidden="1" x14ac:dyDescent="0.35">
      <c r="A121" s="88" t="s">
        <v>235</v>
      </c>
      <c r="B121" s="88"/>
      <c r="C121" s="88"/>
      <c r="D121" s="88"/>
      <c r="E121" s="88"/>
      <c r="F121" s="88"/>
      <c r="G121" s="88"/>
      <c r="H121" s="88"/>
      <c r="I121" s="64" t="s">
        <v>284</v>
      </c>
      <c r="J121" s="33"/>
    </row>
    <row r="122" spans="1:14" s="34" customFormat="1" hidden="1" x14ac:dyDescent="0.35">
      <c r="A122" s="88" t="s">
        <v>262</v>
      </c>
      <c r="B122" s="88"/>
      <c r="C122" s="88"/>
      <c r="D122" s="88"/>
      <c r="E122" s="88"/>
      <c r="F122" s="88"/>
      <c r="G122" s="88"/>
      <c r="H122" s="88"/>
      <c r="J122" s="33"/>
    </row>
    <row r="123" spans="1:14" s="34" customFormat="1" ht="15.75" hidden="1" customHeight="1" x14ac:dyDescent="0.35">
      <c r="A123" s="87">
        <v>1</v>
      </c>
      <c r="B123" s="87"/>
      <c r="C123" s="79" t="s">
        <v>263</v>
      </c>
      <c r="D123" s="79">
        <f>(34.59)*10.764</f>
        <v>372.32676000000004</v>
      </c>
      <c r="E123" s="79">
        <v>0</v>
      </c>
      <c r="F123" s="79">
        <f>D123+E123</f>
        <v>372.32676000000004</v>
      </c>
      <c r="G123" s="79">
        <v>0</v>
      </c>
      <c r="H123" s="79">
        <f>(D123+E123)*(($H$120)+1)</f>
        <v>558.49014000000011</v>
      </c>
      <c r="I123" s="33"/>
      <c r="L123" s="86"/>
      <c r="M123" s="86"/>
      <c r="N123" s="33"/>
    </row>
    <row r="124" spans="1:14" s="34" customFormat="1" ht="15.75" hidden="1" customHeight="1" x14ac:dyDescent="0.35">
      <c r="A124" s="87">
        <v>2</v>
      </c>
      <c r="B124" s="87"/>
      <c r="C124" s="79" t="s">
        <v>263</v>
      </c>
      <c r="D124" s="79">
        <f>(64.48)*10.764</f>
        <v>694.06272000000001</v>
      </c>
      <c r="E124" s="79">
        <v>0</v>
      </c>
      <c r="F124" s="79">
        <f t="shared" ref="F124:F126" si="1">D124+E124</f>
        <v>694.06272000000001</v>
      </c>
      <c r="G124" s="79">
        <v>0</v>
      </c>
      <c r="H124" s="79">
        <f t="shared" ref="H124:H126" si="2">(D124+E124)*(($H$120)+1)</f>
        <v>1041.0940800000001</v>
      </c>
      <c r="I124" s="33"/>
      <c r="L124" s="86"/>
      <c r="M124" s="86"/>
      <c r="N124" s="33"/>
    </row>
    <row r="125" spans="1:14" s="34" customFormat="1" ht="15.75" hidden="1" customHeight="1" x14ac:dyDescent="0.35">
      <c r="A125" s="87">
        <v>3</v>
      </c>
      <c r="B125" s="87"/>
      <c r="C125" s="79" t="s">
        <v>263</v>
      </c>
      <c r="D125" s="79">
        <f>(70.72)*10.764</f>
        <v>761.23007999999993</v>
      </c>
      <c r="E125" s="79">
        <v>0</v>
      </c>
      <c r="F125" s="79">
        <f t="shared" si="1"/>
        <v>761.23007999999993</v>
      </c>
      <c r="G125" s="79">
        <v>0</v>
      </c>
      <c r="H125" s="79">
        <f t="shared" si="2"/>
        <v>1141.84512</v>
      </c>
      <c r="I125" s="33"/>
      <c r="L125" s="86"/>
      <c r="M125" s="86"/>
      <c r="N125" s="33"/>
    </row>
    <row r="126" spans="1:14" s="34" customFormat="1" ht="15.75" hidden="1" customHeight="1" x14ac:dyDescent="0.35">
      <c r="A126" s="87">
        <v>4</v>
      </c>
      <c r="B126" s="87"/>
      <c r="C126" s="79" t="s">
        <v>263</v>
      </c>
      <c r="D126" s="79">
        <f>(112.5)*10.764</f>
        <v>1210.9499999999998</v>
      </c>
      <c r="E126" s="79">
        <v>0</v>
      </c>
      <c r="F126" s="79">
        <f t="shared" si="1"/>
        <v>1210.9499999999998</v>
      </c>
      <c r="G126" s="79">
        <v>0</v>
      </c>
      <c r="H126" s="79">
        <f t="shared" si="2"/>
        <v>1816.4249999999997</v>
      </c>
      <c r="I126" s="33"/>
      <c r="L126" s="86"/>
      <c r="M126" s="86"/>
      <c r="N126" s="33"/>
    </row>
    <row r="127" spans="1:14" s="54" customFormat="1" ht="15.75" hidden="1" customHeight="1" x14ac:dyDescent="0.35">
      <c r="A127" s="87">
        <v>5</v>
      </c>
      <c r="B127" s="87"/>
      <c r="C127" s="79" t="s">
        <v>263</v>
      </c>
      <c r="D127" s="79">
        <f>(104.96)*10.764</f>
        <v>1129.7894399999998</v>
      </c>
      <c r="E127" s="79">
        <v>0</v>
      </c>
      <c r="F127" s="79">
        <f>D127+E127</f>
        <v>1129.7894399999998</v>
      </c>
      <c r="G127" s="79">
        <v>0</v>
      </c>
      <c r="H127" s="79">
        <f>(D127+E127)*(($H$120)+1)</f>
        <v>1694.6841599999998</v>
      </c>
      <c r="I127" s="33"/>
      <c r="L127" s="86"/>
      <c r="M127" s="86"/>
      <c r="N127" s="33"/>
    </row>
    <row r="128" spans="1:14" s="54" customFormat="1" ht="15.75" hidden="1" customHeight="1" x14ac:dyDescent="0.35">
      <c r="A128" s="87">
        <v>6</v>
      </c>
      <c r="B128" s="87"/>
      <c r="C128" s="79" t="s">
        <v>263</v>
      </c>
      <c r="D128" s="79">
        <f>(62.37)*10.764</f>
        <v>671.3506799999999</v>
      </c>
      <c r="E128" s="79">
        <v>0</v>
      </c>
      <c r="F128" s="79">
        <f t="shared" ref="F128:F130" si="3">D128+E128</f>
        <v>671.3506799999999</v>
      </c>
      <c r="G128" s="79">
        <v>0</v>
      </c>
      <c r="H128" s="79">
        <f t="shared" ref="H128:H130" si="4">(D128+E128)*(($H$120)+1)</f>
        <v>1007.0260199999998</v>
      </c>
      <c r="I128" s="33"/>
      <c r="L128" s="86"/>
      <c r="M128" s="86"/>
      <c r="N128" s="33"/>
    </row>
    <row r="129" spans="1:14" s="54" customFormat="1" ht="15.75" hidden="1" customHeight="1" x14ac:dyDescent="0.35">
      <c r="A129" s="87">
        <v>7</v>
      </c>
      <c r="B129" s="87"/>
      <c r="C129" s="79" t="s">
        <v>263</v>
      </c>
      <c r="D129" s="79">
        <f>(85.32)*10.764</f>
        <v>918.38447999999983</v>
      </c>
      <c r="E129" s="79">
        <v>0</v>
      </c>
      <c r="F129" s="79">
        <f t="shared" si="3"/>
        <v>918.38447999999983</v>
      </c>
      <c r="G129" s="79">
        <v>0</v>
      </c>
      <c r="H129" s="79">
        <f t="shared" si="4"/>
        <v>1377.5767199999998</v>
      </c>
      <c r="I129" s="33"/>
      <c r="L129" s="86"/>
      <c r="M129" s="86"/>
      <c r="N129" s="33"/>
    </row>
    <row r="130" spans="1:14" s="54" customFormat="1" ht="15.75" hidden="1" customHeight="1" x14ac:dyDescent="0.35">
      <c r="A130" s="87">
        <v>8</v>
      </c>
      <c r="B130" s="87"/>
      <c r="C130" s="79" t="s">
        <v>263</v>
      </c>
      <c r="D130" s="79">
        <f>(75.24)*10.764</f>
        <v>809.88335999999993</v>
      </c>
      <c r="E130" s="79">
        <v>0</v>
      </c>
      <c r="F130" s="79">
        <f t="shared" si="3"/>
        <v>809.88335999999993</v>
      </c>
      <c r="G130" s="79">
        <v>0</v>
      </c>
      <c r="H130" s="79">
        <f t="shared" si="4"/>
        <v>1214.8250399999999</v>
      </c>
      <c r="I130" s="33"/>
      <c r="L130" s="86"/>
      <c r="M130" s="86"/>
      <c r="N130" s="33"/>
    </row>
    <row r="131" spans="1:14" s="54" customFormat="1" ht="15.75" hidden="1" customHeight="1" x14ac:dyDescent="0.35">
      <c r="A131" s="87">
        <v>9</v>
      </c>
      <c r="B131" s="87"/>
      <c r="C131" s="79" t="s">
        <v>263</v>
      </c>
      <c r="D131" s="79">
        <f t="shared" ref="D131:D136" si="5">(76.09)*10.764</f>
        <v>819.03275999999994</v>
      </c>
      <c r="E131" s="79">
        <v>0</v>
      </c>
      <c r="F131" s="79">
        <f>D131+E131</f>
        <v>819.03275999999994</v>
      </c>
      <c r="G131" s="79">
        <v>0</v>
      </c>
      <c r="H131" s="79">
        <f>(D131+E131)*(($H$120)+1)</f>
        <v>1228.5491399999999</v>
      </c>
      <c r="K131" s="86"/>
      <c r="L131" s="86"/>
      <c r="M131" s="33"/>
    </row>
    <row r="132" spans="1:14" s="54" customFormat="1" ht="15.75" hidden="1" customHeight="1" x14ac:dyDescent="0.35">
      <c r="A132" s="87">
        <v>10</v>
      </c>
      <c r="B132" s="87"/>
      <c r="C132" s="79" t="s">
        <v>263</v>
      </c>
      <c r="D132" s="79">
        <f t="shared" si="5"/>
        <v>819.03275999999994</v>
      </c>
      <c r="E132" s="79">
        <v>0</v>
      </c>
      <c r="F132" s="79">
        <f t="shared" ref="F132:F134" si="6">D132+E132</f>
        <v>819.03275999999994</v>
      </c>
      <c r="G132" s="79">
        <v>0</v>
      </c>
      <c r="H132" s="79">
        <f t="shared" ref="H132:H134" si="7">(D132+E132)*(($H$120)+1)</f>
        <v>1228.5491399999999</v>
      </c>
      <c r="I132" s="33"/>
      <c r="L132" s="86"/>
      <c r="M132" s="86"/>
      <c r="N132" s="33"/>
    </row>
    <row r="133" spans="1:14" s="54" customFormat="1" ht="15.75" hidden="1" customHeight="1" x14ac:dyDescent="0.35">
      <c r="A133" s="87">
        <v>11</v>
      </c>
      <c r="B133" s="87"/>
      <c r="C133" s="79" t="s">
        <v>263</v>
      </c>
      <c r="D133" s="79">
        <f t="shared" si="5"/>
        <v>819.03275999999994</v>
      </c>
      <c r="E133" s="79">
        <v>0</v>
      </c>
      <c r="F133" s="79">
        <f t="shared" si="6"/>
        <v>819.03275999999994</v>
      </c>
      <c r="G133" s="79">
        <v>0</v>
      </c>
      <c r="H133" s="79">
        <f t="shared" si="7"/>
        <v>1228.5491399999999</v>
      </c>
      <c r="I133" s="33"/>
      <c r="L133" s="86"/>
      <c r="M133" s="86"/>
      <c r="N133" s="33"/>
    </row>
    <row r="134" spans="1:14" s="54" customFormat="1" ht="15.75" hidden="1" customHeight="1" x14ac:dyDescent="0.35">
      <c r="A134" s="87">
        <v>12</v>
      </c>
      <c r="B134" s="87"/>
      <c r="C134" s="79" t="s">
        <v>263</v>
      </c>
      <c r="D134" s="79">
        <f t="shared" si="5"/>
        <v>819.03275999999994</v>
      </c>
      <c r="E134" s="79">
        <v>0</v>
      </c>
      <c r="F134" s="79">
        <f t="shared" si="6"/>
        <v>819.03275999999994</v>
      </c>
      <c r="G134" s="79">
        <v>0</v>
      </c>
      <c r="H134" s="79">
        <f t="shared" si="7"/>
        <v>1228.5491399999999</v>
      </c>
      <c r="I134" s="33"/>
      <c r="L134" s="86"/>
      <c r="M134" s="86"/>
      <c r="N134" s="33"/>
    </row>
    <row r="135" spans="1:14" s="54" customFormat="1" ht="15.75" hidden="1" customHeight="1" x14ac:dyDescent="0.35">
      <c r="A135" s="87">
        <v>13</v>
      </c>
      <c r="B135" s="87"/>
      <c r="C135" s="79" t="s">
        <v>263</v>
      </c>
      <c r="D135" s="79">
        <f t="shared" si="5"/>
        <v>819.03275999999994</v>
      </c>
      <c r="E135" s="79">
        <v>0</v>
      </c>
      <c r="F135" s="79">
        <f>D135+E135</f>
        <v>819.03275999999994</v>
      </c>
      <c r="G135" s="79">
        <v>0</v>
      </c>
      <c r="H135" s="79">
        <f>(D135+E135)*(($H$120)+1)</f>
        <v>1228.5491399999999</v>
      </c>
      <c r="I135" s="33"/>
      <c r="L135" s="86"/>
      <c r="M135" s="86"/>
      <c r="N135" s="33"/>
    </row>
    <row r="136" spans="1:14" s="54" customFormat="1" ht="15.75" hidden="1" customHeight="1" x14ac:dyDescent="0.35">
      <c r="A136" s="87">
        <v>14</v>
      </c>
      <c r="B136" s="87"/>
      <c r="C136" s="79" t="s">
        <v>263</v>
      </c>
      <c r="D136" s="79">
        <f t="shared" si="5"/>
        <v>819.03275999999994</v>
      </c>
      <c r="E136" s="79">
        <v>0</v>
      </c>
      <c r="F136" s="79">
        <f t="shared" ref="F136:F141" si="8">D136+E136</f>
        <v>819.03275999999994</v>
      </c>
      <c r="G136" s="79">
        <v>0</v>
      </c>
      <c r="H136" s="79">
        <f t="shared" ref="H136:H141" si="9">(D136+E136)*(($H$120)+1)</f>
        <v>1228.5491399999999</v>
      </c>
      <c r="I136" s="33"/>
      <c r="L136" s="86"/>
      <c r="M136" s="86"/>
      <c r="N136" s="33"/>
    </row>
    <row r="137" spans="1:14" s="54" customFormat="1" ht="15.75" hidden="1" customHeight="1" x14ac:dyDescent="0.35">
      <c r="A137" s="87">
        <v>15</v>
      </c>
      <c r="B137" s="87"/>
      <c r="C137" s="79" t="s">
        <v>263</v>
      </c>
      <c r="D137" s="79">
        <f>(55.66)*10.764</f>
        <v>599.12423999999987</v>
      </c>
      <c r="E137" s="79">
        <v>0</v>
      </c>
      <c r="F137" s="79">
        <f t="shared" si="8"/>
        <v>599.12423999999987</v>
      </c>
      <c r="G137" s="79">
        <v>0</v>
      </c>
      <c r="H137" s="79">
        <f t="shared" si="9"/>
        <v>898.68635999999981</v>
      </c>
      <c r="I137" s="33"/>
      <c r="L137" s="86"/>
      <c r="M137" s="86"/>
      <c r="N137" s="33"/>
    </row>
    <row r="138" spans="1:14" s="54" customFormat="1" ht="15.75" hidden="1" customHeight="1" x14ac:dyDescent="0.35">
      <c r="A138" s="87">
        <v>16</v>
      </c>
      <c r="B138" s="87"/>
      <c r="C138" s="79" t="s">
        <v>263</v>
      </c>
      <c r="D138" s="79">
        <f>(149.24)*10.764</f>
        <v>1606.4193600000001</v>
      </c>
      <c r="E138" s="79">
        <v>0</v>
      </c>
      <c r="F138" s="79">
        <f t="shared" si="8"/>
        <v>1606.4193600000001</v>
      </c>
      <c r="G138" s="79">
        <v>0</v>
      </c>
      <c r="H138" s="79">
        <f t="shared" si="9"/>
        <v>2409.6290400000003</v>
      </c>
      <c r="I138" s="33"/>
      <c r="L138" s="86"/>
      <c r="M138" s="86"/>
      <c r="N138" s="33"/>
    </row>
    <row r="139" spans="1:14" s="54" customFormat="1" ht="15.75" hidden="1" customHeight="1" x14ac:dyDescent="0.35">
      <c r="A139" s="87">
        <v>17</v>
      </c>
      <c r="B139" s="87"/>
      <c r="C139" s="79" t="s">
        <v>263</v>
      </c>
      <c r="D139" s="79">
        <f>(155.56)*10.764</f>
        <v>1674.4478399999998</v>
      </c>
      <c r="E139" s="79">
        <v>0</v>
      </c>
      <c r="F139" s="79">
        <f t="shared" si="8"/>
        <v>1674.4478399999998</v>
      </c>
      <c r="G139" s="79">
        <v>0</v>
      </c>
      <c r="H139" s="79">
        <f t="shared" si="9"/>
        <v>2511.6717599999997</v>
      </c>
      <c r="I139" s="33"/>
      <c r="L139" s="86"/>
      <c r="M139" s="86"/>
      <c r="N139" s="33"/>
    </row>
    <row r="140" spans="1:14" s="54" customFormat="1" ht="15.75" hidden="1" customHeight="1" x14ac:dyDescent="0.35">
      <c r="A140" s="87">
        <v>18</v>
      </c>
      <c r="B140" s="87"/>
      <c r="C140" s="79" t="s">
        <v>263</v>
      </c>
      <c r="D140" s="79">
        <f>(138.57)*10.764</f>
        <v>1491.5674799999999</v>
      </c>
      <c r="E140" s="79">
        <v>0</v>
      </c>
      <c r="F140" s="79">
        <f t="shared" si="8"/>
        <v>1491.5674799999999</v>
      </c>
      <c r="G140" s="79">
        <v>0</v>
      </c>
      <c r="H140" s="79">
        <f t="shared" si="9"/>
        <v>2237.35122</v>
      </c>
      <c r="I140" s="33"/>
      <c r="L140" s="86"/>
      <c r="M140" s="86"/>
      <c r="N140" s="33"/>
    </row>
    <row r="141" spans="1:14" s="54" customFormat="1" ht="15.75" hidden="1" customHeight="1" x14ac:dyDescent="0.35">
      <c r="A141" s="87">
        <v>19</v>
      </c>
      <c r="B141" s="87"/>
      <c r="C141" s="79" t="s">
        <v>263</v>
      </c>
      <c r="D141" s="79">
        <f>(114.73)*10.764</f>
        <v>1234.95372</v>
      </c>
      <c r="E141" s="79">
        <v>0</v>
      </c>
      <c r="F141" s="79">
        <f t="shared" si="8"/>
        <v>1234.95372</v>
      </c>
      <c r="G141" s="79">
        <v>0</v>
      </c>
      <c r="H141" s="79">
        <f t="shared" si="9"/>
        <v>1852.43058</v>
      </c>
      <c r="I141" s="33"/>
      <c r="L141" s="86"/>
      <c r="M141" s="86"/>
      <c r="N141" s="33"/>
    </row>
    <row r="142" spans="1:14" s="54" customFormat="1" ht="15.75" hidden="1" customHeight="1" x14ac:dyDescent="0.35">
      <c r="A142" s="87">
        <v>20</v>
      </c>
      <c r="B142" s="87"/>
      <c r="C142" s="79" t="s">
        <v>263</v>
      </c>
      <c r="D142" s="79">
        <f>(111.26)*10.764</f>
        <v>1197.6026400000001</v>
      </c>
      <c r="E142" s="79">
        <v>0</v>
      </c>
      <c r="F142" s="79">
        <f>D142+E142</f>
        <v>1197.6026400000001</v>
      </c>
      <c r="G142" s="79">
        <v>0</v>
      </c>
      <c r="H142" s="79">
        <f>(D142+E142)*(($H$120)+1)</f>
        <v>1796.4039600000001</v>
      </c>
      <c r="I142" s="33"/>
      <c r="L142" s="86"/>
      <c r="M142" s="86"/>
      <c r="N142" s="33"/>
    </row>
    <row r="143" spans="1:14" s="54" customFormat="1" ht="15.75" hidden="1" customHeight="1" x14ac:dyDescent="0.35">
      <c r="A143" s="87">
        <v>21</v>
      </c>
      <c r="B143" s="87"/>
      <c r="C143" s="79" t="s">
        <v>263</v>
      </c>
      <c r="D143" s="79">
        <f>(154.59)*10.764</f>
        <v>1664.00676</v>
      </c>
      <c r="E143" s="79">
        <v>0</v>
      </c>
      <c r="F143" s="79">
        <f t="shared" ref="F143:F145" si="10">D143+E143</f>
        <v>1664.00676</v>
      </c>
      <c r="G143" s="79">
        <v>0</v>
      </c>
      <c r="H143" s="79">
        <f t="shared" ref="H143:H145" si="11">(D143+E143)*(($H$120)+1)</f>
        <v>2496.0101399999999</v>
      </c>
      <c r="I143" s="33"/>
      <c r="L143" s="86"/>
      <c r="M143" s="86"/>
      <c r="N143" s="33"/>
    </row>
    <row r="144" spans="1:14" s="54" customFormat="1" ht="15.75" hidden="1" customHeight="1" x14ac:dyDescent="0.35">
      <c r="A144" s="87">
        <v>22</v>
      </c>
      <c r="B144" s="87"/>
      <c r="C144" s="79" t="s">
        <v>263</v>
      </c>
      <c r="D144" s="79">
        <f>(284.3)*10.764</f>
        <v>3060.2051999999999</v>
      </c>
      <c r="E144" s="79">
        <v>0</v>
      </c>
      <c r="F144" s="79">
        <f t="shared" si="10"/>
        <v>3060.2051999999999</v>
      </c>
      <c r="G144" s="79">
        <v>0</v>
      </c>
      <c r="H144" s="79">
        <f t="shared" si="11"/>
        <v>4590.3077999999996</v>
      </c>
      <c r="I144" s="33"/>
      <c r="L144" s="86"/>
      <c r="M144" s="86"/>
      <c r="N144" s="33"/>
    </row>
    <row r="145" spans="1:14" s="54" customFormat="1" ht="15.75" hidden="1" customHeight="1" x14ac:dyDescent="0.35">
      <c r="A145" s="87">
        <v>23</v>
      </c>
      <c r="B145" s="87"/>
      <c r="C145" s="79" t="s">
        <v>263</v>
      </c>
      <c r="D145" s="79">
        <f>(150.22)*10.764</f>
        <v>1616.9680799999999</v>
      </c>
      <c r="E145" s="79">
        <v>0</v>
      </c>
      <c r="F145" s="79">
        <f t="shared" si="10"/>
        <v>1616.9680799999999</v>
      </c>
      <c r="G145" s="79">
        <v>0</v>
      </c>
      <c r="H145" s="79">
        <f t="shared" si="11"/>
        <v>2425.4521199999999</v>
      </c>
      <c r="I145" s="33"/>
      <c r="L145" s="86"/>
      <c r="M145" s="86"/>
      <c r="N145" s="33"/>
    </row>
    <row r="146" spans="1:14" s="54" customFormat="1" ht="15.75" hidden="1" customHeight="1" x14ac:dyDescent="0.35">
      <c r="A146" s="87">
        <v>24</v>
      </c>
      <c r="B146" s="87"/>
      <c r="C146" s="79" t="s">
        <v>263</v>
      </c>
      <c r="D146" s="79">
        <f>(109.01)*10.764</f>
        <v>1173.38364</v>
      </c>
      <c r="E146" s="79">
        <v>0</v>
      </c>
      <c r="F146" s="79">
        <f t="shared" ref="F146" si="12">D146+E146</f>
        <v>1173.38364</v>
      </c>
      <c r="G146" s="79">
        <v>0</v>
      </c>
      <c r="H146" s="79">
        <f t="shared" ref="H146" si="13">(D146+E146)*(($H$120)+1)</f>
        <v>1760.07546</v>
      </c>
      <c r="I146" s="33"/>
      <c r="L146" s="86"/>
      <c r="M146" s="86"/>
      <c r="N146" s="33"/>
    </row>
    <row r="147" spans="1:14" s="54" customFormat="1" hidden="1" x14ac:dyDescent="0.35">
      <c r="A147" s="88" t="s">
        <v>264</v>
      </c>
      <c r="B147" s="88"/>
      <c r="C147" s="88"/>
      <c r="D147" s="88"/>
      <c r="E147" s="88"/>
      <c r="F147" s="88"/>
      <c r="G147" s="88"/>
      <c r="H147" s="88"/>
      <c r="J147" s="33"/>
    </row>
    <row r="148" spans="1:14" s="54" customFormat="1" ht="15.75" hidden="1" customHeight="1" x14ac:dyDescent="0.35">
      <c r="A148" s="87">
        <v>1</v>
      </c>
      <c r="B148" s="87"/>
      <c r="C148" s="79" t="s">
        <v>263</v>
      </c>
      <c r="D148" s="79">
        <f>(137.79)*10.764</f>
        <v>1483.1715599999998</v>
      </c>
      <c r="E148" s="79">
        <v>0</v>
      </c>
      <c r="F148" s="79">
        <f>D148+E148</f>
        <v>1483.1715599999998</v>
      </c>
      <c r="G148" s="79">
        <v>0</v>
      </c>
      <c r="H148" s="79">
        <f>(D148+E148)*(($H$120)+1)</f>
        <v>2224.7573399999997</v>
      </c>
      <c r="I148" s="33"/>
      <c r="L148" s="86"/>
      <c r="M148" s="86"/>
      <c r="N148" s="33"/>
    </row>
    <row r="149" spans="1:14" s="54" customFormat="1" ht="15.75" hidden="1" customHeight="1" x14ac:dyDescent="0.35">
      <c r="A149" s="87">
        <v>2</v>
      </c>
      <c r="B149" s="87"/>
      <c r="C149" s="79" t="s">
        <v>263</v>
      </c>
      <c r="D149" s="79">
        <f>(58.53)*10.764</f>
        <v>630.01692000000003</v>
      </c>
      <c r="E149" s="79">
        <v>0</v>
      </c>
      <c r="F149" s="79">
        <f t="shared" ref="F149:F151" si="14">D149+E149</f>
        <v>630.01692000000003</v>
      </c>
      <c r="G149" s="79">
        <v>0</v>
      </c>
      <c r="H149" s="79">
        <f t="shared" ref="H149:H151" si="15">(D149+E149)*(($H$120)+1)</f>
        <v>945.02538000000004</v>
      </c>
      <c r="I149" s="33"/>
      <c r="L149" s="86"/>
      <c r="M149" s="86"/>
      <c r="N149" s="33"/>
    </row>
    <row r="150" spans="1:14" s="54" customFormat="1" ht="15.75" hidden="1" customHeight="1" x14ac:dyDescent="0.35">
      <c r="A150" s="87">
        <v>3</v>
      </c>
      <c r="B150" s="87"/>
      <c r="C150" s="79" t="s">
        <v>263</v>
      </c>
      <c r="D150" s="79">
        <f>(67.36)*10.764</f>
        <v>725.06304</v>
      </c>
      <c r="E150" s="79">
        <v>0</v>
      </c>
      <c r="F150" s="79">
        <f t="shared" si="14"/>
        <v>725.06304</v>
      </c>
      <c r="G150" s="79">
        <v>0</v>
      </c>
      <c r="H150" s="79">
        <f t="shared" si="15"/>
        <v>1087.59456</v>
      </c>
      <c r="I150" s="33"/>
      <c r="L150" s="86"/>
      <c r="M150" s="86"/>
      <c r="N150" s="33"/>
    </row>
    <row r="151" spans="1:14" s="54" customFormat="1" ht="15.75" hidden="1" customHeight="1" x14ac:dyDescent="0.35">
      <c r="A151" s="87">
        <v>4</v>
      </c>
      <c r="B151" s="87"/>
      <c r="C151" s="79" t="s">
        <v>263</v>
      </c>
      <c r="D151" s="79">
        <f>(108.86)*10.764</f>
        <v>1171.7690399999999</v>
      </c>
      <c r="E151" s="79">
        <v>0</v>
      </c>
      <c r="F151" s="79">
        <f t="shared" si="14"/>
        <v>1171.7690399999999</v>
      </c>
      <c r="G151" s="79">
        <v>0</v>
      </c>
      <c r="H151" s="79">
        <f t="shared" si="15"/>
        <v>1757.6535599999997</v>
      </c>
      <c r="I151" s="53">
        <v>10.763999999999999</v>
      </c>
      <c r="L151" s="86"/>
      <c r="M151" s="86"/>
      <c r="N151" s="33"/>
    </row>
    <row r="152" spans="1:14" s="54" customFormat="1" ht="15.75" hidden="1" customHeight="1" x14ac:dyDescent="0.35">
      <c r="A152" s="87">
        <v>5</v>
      </c>
      <c r="B152" s="87"/>
      <c r="C152" s="79" t="s">
        <v>263</v>
      </c>
      <c r="D152" s="79">
        <f>(100.39)*10.764</f>
        <v>1080.5979599999998</v>
      </c>
      <c r="E152" s="79">
        <v>0</v>
      </c>
      <c r="F152" s="79">
        <f>D152+E152</f>
        <v>1080.5979599999998</v>
      </c>
      <c r="G152" s="79">
        <v>0</v>
      </c>
      <c r="H152" s="79">
        <f>(D152+E152)*(($H$120)+1)</f>
        <v>1620.8969399999996</v>
      </c>
      <c r="I152" s="33"/>
      <c r="L152" s="86"/>
      <c r="M152" s="86"/>
      <c r="N152" s="33"/>
    </row>
    <row r="153" spans="1:14" s="54" customFormat="1" ht="15.75" hidden="1" customHeight="1" x14ac:dyDescent="0.35">
      <c r="A153" s="87">
        <v>6</v>
      </c>
      <c r="B153" s="87"/>
      <c r="C153" s="79" t="s">
        <v>263</v>
      </c>
      <c r="D153" s="79">
        <f>(57.91)*10.764</f>
        <v>623.34323999999992</v>
      </c>
      <c r="E153" s="79">
        <v>0</v>
      </c>
      <c r="F153" s="79">
        <f t="shared" ref="F153:F155" si="16">D153+E153</f>
        <v>623.34323999999992</v>
      </c>
      <c r="G153" s="79">
        <v>0</v>
      </c>
      <c r="H153" s="79">
        <f t="shared" ref="H153:H155" si="17">(D153+E153)*(($H$120)+1)</f>
        <v>935.01485999999989</v>
      </c>
      <c r="I153" s="33"/>
      <c r="L153" s="86"/>
      <c r="M153" s="86"/>
      <c r="N153" s="33"/>
    </row>
    <row r="154" spans="1:14" s="54" customFormat="1" ht="15.75" hidden="1" customHeight="1" x14ac:dyDescent="0.35">
      <c r="A154" s="87">
        <v>7</v>
      </c>
      <c r="B154" s="87"/>
      <c r="C154" s="79" t="s">
        <v>263</v>
      </c>
      <c r="D154" s="79">
        <f>(107.3)*10.764</f>
        <v>1154.9771999999998</v>
      </c>
      <c r="E154" s="79">
        <v>0</v>
      </c>
      <c r="F154" s="79">
        <f t="shared" si="16"/>
        <v>1154.9771999999998</v>
      </c>
      <c r="G154" s="79">
        <v>0</v>
      </c>
      <c r="H154" s="79">
        <f t="shared" si="17"/>
        <v>1732.4657999999997</v>
      </c>
      <c r="I154" s="33"/>
      <c r="L154" s="86"/>
      <c r="M154" s="86"/>
      <c r="N154" s="33"/>
    </row>
    <row r="155" spans="1:14" s="54" customFormat="1" ht="15.75" hidden="1" customHeight="1" x14ac:dyDescent="0.35">
      <c r="A155" s="87">
        <v>8</v>
      </c>
      <c r="B155" s="87"/>
      <c r="C155" s="79" t="s">
        <v>263</v>
      </c>
      <c r="D155" s="79">
        <f>(70.78)*10.764</f>
        <v>761.87591999999995</v>
      </c>
      <c r="E155" s="79">
        <v>0</v>
      </c>
      <c r="F155" s="79">
        <f t="shared" si="16"/>
        <v>761.87591999999995</v>
      </c>
      <c r="G155" s="79">
        <v>0</v>
      </c>
      <c r="H155" s="79">
        <f t="shared" si="17"/>
        <v>1142.8138799999999</v>
      </c>
      <c r="I155" s="33"/>
      <c r="L155" s="86"/>
      <c r="M155" s="86"/>
      <c r="N155" s="33"/>
    </row>
    <row r="156" spans="1:14" s="54" customFormat="1" ht="15.75" hidden="1" customHeight="1" x14ac:dyDescent="0.35">
      <c r="A156" s="87">
        <v>9</v>
      </c>
      <c r="B156" s="87"/>
      <c r="C156" s="79" t="s">
        <v>263</v>
      </c>
      <c r="D156" s="79">
        <f t="shared" ref="D156:D161" si="18">(71.62)*10.764</f>
        <v>770.91768000000002</v>
      </c>
      <c r="E156" s="79">
        <v>0</v>
      </c>
      <c r="F156" s="79">
        <f>D156+E156</f>
        <v>770.91768000000002</v>
      </c>
      <c r="G156" s="79">
        <v>0</v>
      </c>
      <c r="H156" s="79">
        <f>(D156+E156)*(($H$120)+1)</f>
        <v>1156.37652</v>
      </c>
      <c r="K156" s="86"/>
      <c r="L156" s="86"/>
      <c r="M156" s="33"/>
    </row>
    <row r="157" spans="1:14" s="54" customFormat="1" ht="15.75" hidden="1" customHeight="1" x14ac:dyDescent="0.35">
      <c r="A157" s="87">
        <v>10</v>
      </c>
      <c r="B157" s="87"/>
      <c r="C157" s="79" t="s">
        <v>263</v>
      </c>
      <c r="D157" s="79">
        <f t="shared" si="18"/>
        <v>770.91768000000002</v>
      </c>
      <c r="E157" s="79">
        <v>0</v>
      </c>
      <c r="F157" s="79">
        <f t="shared" ref="F157:F159" si="19">D157+E157</f>
        <v>770.91768000000002</v>
      </c>
      <c r="G157" s="79">
        <v>0</v>
      </c>
      <c r="H157" s="79">
        <f t="shared" ref="H157:H159" si="20">(D157+E157)*(($H$120)+1)</f>
        <v>1156.37652</v>
      </c>
      <c r="I157" s="33"/>
      <c r="L157" s="86"/>
      <c r="M157" s="86"/>
      <c r="N157" s="33"/>
    </row>
    <row r="158" spans="1:14" s="54" customFormat="1" ht="15.75" hidden="1" customHeight="1" x14ac:dyDescent="0.35">
      <c r="A158" s="87">
        <v>11</v>
      </c>
      <c r="B158" s="87"/>
      <c r="C158" s="79" t="s">
        <v>263</v>
      </c>
      <c r="D158" s="79">
        <f t="shared" si="18"/>
        <v>770.91768000000002</v>
      </c>
      <c r="E158" s="79">
        <v>0</v>
      </c>
      <c r="F158" s="79">
        <f t="shared" si="19"/>
        <v>770.91768000000002</v>
      </c>
      <c r="G158" s="79">
        <v>0</v>
      </c>
      <c r="H158" s="79">
        <f t="shared" si="20"/>
        <v>1156.37652</v>
      </c>
      <c r="I158" s="33"/>
      <c r="L158" s="86"/>
      <c r="M158" s="86"/>
      <c r="N158" s="33"/>
    </row>
    <row r="159" spans="1:14" s="54" customFormat="1" ht="15.75" hidden="1" customHeight="1" x14ac:dyDescent="0.35">
      <c r="A159" s="87">
        <v>12</v>
      </c>
      <c r="B159" s="87"/>
      <c r="C159" s="79" t="s">
        <v>263</v>
      </c>
      <c r="D159" s="79">
        <f t="shared" si="18"/>
        <v>770.91768000000002</v>
      </c>
      <c r="E159" s="79">
        <v>0</v>
      </c>
      <c r="F159" s="79">
        <f t="shared" si="19"/>
        <v>770.91768000000002</v>
      </c>
      <c r="G159" s="79">
        <v>0</v>
      </c>
      <c r="H159" s="79">
        <f t="shared" si="20"/>
        <v>1156.37652</v>
      </c>
      <c r="I159" s="33"/>
      <c r="L159" s="86"/>
      <c r="M159" s="86"/>
      <c r="N159" s="33"/>
    </row>
    <row r="160" spans="1:14" s="54" customFormat="1" ht="15.75" hidden="1" customHeight="1" x14ac:dyDescent="0.35">
      <c r="A160" s="87">
        <v>13</v>
      </c>
      <c r="B160" s="87"/>
      <c r="C160" s="79" t="s">
        <v>263</v>
      </c>
      <c r="D160" s="79">
        <f t="shared" si="18"/>
        <v>770.91768000000002</v>
      </c>
      <c r="E160" s="79">
        <v>0</v>
      </c>
      <c r="F160" s="79">
        <f>D160+E160</f>
        <v>770.91768000000002</v>
      </c>
      <c r="G160" s="79">
        <v>0</v>
      </c>
      <c r="H160" s="79">
        <f>(D160+E160)*(($H$120)+1)</f>
        <v>1156.37652</v>
      </c>
      <c r="I160" s="33"/>
      <c r="L160" s="86"/>
      <c r="M160" s="86"/>
      <c r="N160" s="33"/>
    </row>
    <row r="161" spans="1:14" s="54" customFormat="1" ht="15.75" hidden="1" customHeight="1" x14ac:dyDescent="0.35">
      <c r="A161" s="87">
        <v>14</v>
      </c>
      <c r="B161" s="87"/>
      <c r="C161" s="79" t="s">
        <v>263</v>
      </c>
      <c r="D161" s="79">
        <f t="shared" si="18"/>
        <v>770.91768000000002</v>
      </c>
      <c r="E161" s="79">
        <v>0</v>
      </c>
      <c r="F161" s="79">
        <f t="shared" ref="F161:F166" si="21">D161+E161</f>
        <v>770.91768000000002</v>
      </c>
      <c r="G161" s="79">
        <v>0</v>
      </c>
      <c r="H161" s="79">
        <f t="shared" ref="H161:H166" si="22">(D161+E161)*(($H$120)+1)</f>
        <v>1156.37652</v>
      </c>
      <c r="I161" s="33"/>
      <c r="L161" s="86"/>
      <c r="M161" s="86"/>
      <c r="N161" s="33"/>
    </row>
    <row r="162" spans="1:14" s="54" customFormat="1" ht="15.75" hidden="1" customHeight="1" x14ac:dyDescent="0.35">
      <c r="A162" s="87">
        <v>15</v>
      </c>
      <c r="B162" s="87"/>
      <c r="C162" s="79" t="s">
        <v>263</v>
      </c>
      <c r="D162" s="79">
        <f>(78.72)*10.764</f>
        <v>847.3420799999999</v>
      </c>
      <c r="E162" s="79">
        <v>0</v>
      </c>
      <c r="F162" s="79">
        <f t="shared" si="21"/>
        <v>847.3420799999999</v>
      </c>
      <c r="G162" s="79">
        <v>0</v>
      </c>
      <c r="H162" s="79">
        <f t="shared" si="22"/>
        <v>1271.0131199999998</v>
      </c>
      <c r="I162" s="33"/>
      <c r="L162" s="86"/>
      <c r="M162" s="86"/>
      <c r="N162" s="33"/>
    </row>
    <row r="163" spans="1:14" s="54" customFormat="1" ht="15.75" hidden="1" customHeight="1" x14ac:dyDescent="0.35">
      <c r="A163" s="87">
        <v>16</v>
      </c>
      <c r="B163" s="87"/>
      <c r="C163" s="79" t="s">
        <v>263</v>
      </c>
      <c r="D163" s="79">
        <f>(140.5)*10.764</f>
        <v>1512.3419999999999</v>
      </c>
      <c r="E163" s="79">
        <v>0</v>
      </c>
      <c r="F163" s="79">
        <f t="shared" si="21"/>
        <v>1512.3419999999999</v>
      </c>
      <c r="G163" s="79">
        <v>0</v>
      </c>
      <c r="H163" s="79">
        <f t="shared" si="22"/>
        <v>2268.5129999999999</v>
      </c>
      <c r="I163" s="33"/>
      <c r="L163" s="86"/>
      <c r="M163" s="86"/>
      <c r="N163" s="33"/>
    </row>
    <row r="164" spans="1:14" s="54" customFormat="1" ht="15.75" hidden="1" customHeight="1" x14ac:dyDescent="0.35">
      <c r="A164" s="87">
        <v>17</v>
      </c>
      <c r="B164" s="87"/>
      <c r="C164" s="79" t="s">
        <v>263</v>
      </c>
      <c r="D164" s="79">
        <f>(146.43)*10.764</f>
        <v>1576.1725200000001</v>
      </c>
      <c r="E164" s="79">
        <v>0</v>
      </c>
      <c r="F164" s="79">
        <f t="shared" si="21"/>
        <v>1576.1725200000001</v>
      </c>
      <c r="G164" s="79">
        <v>0</v>
      </c>
      <c r="H164" s="79">
        <f t="shared" si="22"/>
        <v>2364.2587800000001</v>
      </c>
      <c r="I164" s="33"/>
      <c r="L164" s="86"/>
      <c r="M164" s="86"/>
      <c r="N164" s="33"/>
    </row>
    <row r="165" spans="1:14" s="54" customFormat="1" ht="15.75" hidden="1" customHeight="1" x14ac:dyDescent="0.35">
      <c r="A165" s="87">
        <v>18</v>
      </c>
      <c r="B165" s="87"/>
      <c r="C165" s="79" t="s">
        <v>263</v>
      </c>
      <c r="D165" s="79">
        <f>(129)*10.764</f>
        <v>1388.5559999999998</v>
      </c>
      <c r="E165" s="79">
        <v>0</v>
      </c>
      <c r="F165" s="79">
        <f t="shared" si="21"/>
        <v>1388.5559999999998</v>
      </c>
      <c r="G165" s="79">
        <v>0</v>
      </c>
      <c r="H165" s="79">
        <f t="shared" si="22"/>
        <v>2082.8339999999998</v>
      </c>
      <c r="I165" s="33"/>
      <c r="L165" s="86"/>
      <c r="M165" s="86"/>
      <c r="N165" s="33"/>
    </row>
    <row r="166" spans="1:14" s="54" customFormat="1" ht="15.75" hidden="1" customHeight="1" x14ac:dyDescent="0.35">
      <c r="A166" s="87">
        <v>19</v>
      </c>
      <c r="B166" s="87"/>
      <c r="C166" s="79" t="s">
        <v>263</v>
      </c>
      <c r="D166" s="79">
        <f>(105.57)*10.764</f>
        <v>1136.3554799999999</v>
      </c>
      <c r="E166" s="79">
        <v>0</v>
      </c>
      <c r="F166" s="79">
        <f t="shared" si="21"/>
        <v>1136.3554799999999</v>
      </c>
      <c r="G166" s="79">
        <v>0</v>
      </c>
      <c r="H166" s="79">
        <f t="shared" si="22"/>
        <v>1704.5332199999998</v>
      </c>
      <c r="I166" s="33"/>
      <c r="L166" s="86"/>
      <c r="M166" s="86"/>
      <c r="N166" s="33"/>
    </row>
    <row r="167" spans="1:14" s="54" customFormat="1" ht="15.75" hidden="1" customHeight="1" x14ac:dyDescent="0.35">
      <c r="A167" s="87">
        <v>20</v>
      </c>
      <c r="B167" s="87"/>
      <c r="C167" s="79" t="s">
        <v>263</v>
      </c>
      <c r="D167" s="79">
        <f>(102.14)*10.764</f>
        <v>1099.43496</v>
      </c>
      <c r="E167" s="79">
        <v>0</v>
      </c>
      <c r="F167" s="79">
        <f>D167+E167</f>
        <v>1099.43496</v>
      </c>
      <c r="G167" s="79">
        <v>0</v>
      </c>
      <c r="H167" s="79">
        <f>(D167+E167)*(($H$120)+1)</f>
        <v>1649.1524400000001</v>
      </c>
      <c r="I167" s="33"/>
      <c r="L167" s="86"/>
      <c r="M167" s="86"/>
      <c r="N167" s="33"/>
    </row>
    <row r="168" spans="1:14" s="54" customFormat="1" ht="15.75" hidden="1" customHeight="1" x14ac:dyDescent="0.35">
      <c r="A168" s="87">
        <v>21</v>
      </c>
      <c r="B168" s="87"/>
      <c r="C168" s="79" t="s">
        <v>263</v>
      </c>
      <c r="D168" s="79">
        <f>(102.14)*10.764</f>
        <v>1099.43496</v>
      </c>
      <c r="E168" s="79">
        <v>0</v>
      </c>
      <c r="F168" s="79">
        <f t="shared" ref="F168:F171" si="23">D168+E168</f>
        <v>1099.43496</v>
      </c>
      <c r="G168" s="79">
        <v>0</v>
      </c>
      <c r="H168" s="79">
        <f t="shared" ref="H168:H171" si="24">(D168+E168)*(($H$120)+1)</f>
        <v>1649.1524400000001</v>
      </c>
      <c r="I168" s="33"/>
      <c r="L168" s="86"/>
      <c r="M168" s="86"/>
      <c r="N168" s="33"/>
    </row>
    <row r="169" spans="1:14" s="54" customFormat="1" ht="15.75" hidden="1" customHeight="1" x14ac:dyDescent="0.35">
      <c r="A169" s="87">
        <v>22</v>
      </c>
      <c r="B169" s="87"/>
      <c r="C169" s="79" t="s">
        <v>263</v>
      </c>
      <c r="D169" s="79">
        <f>(278.06)*10.764</f>
        <v>2993.03784</v>
      </c>
      <c r="E169" s="79">
        <v>0</v>
      </c>
      <c r="F169" s="79">
        <f t="shared" si="23"/>
        <v>2993.03784</v>
      </c>
      <c r="G169" s="79">
        <v>0</v>
      </c>
      <c r="H169" s="79">
        <f t="shared" si="24"/>
        <v>4489.5567599999995</v>
      </c>
      <c r="I169" s="33"/>
      <c r="L169" s="86"/>
      <c r="M169" s="86"/>
      <c r="N169" s="33"/>
    </row>
    <row r="170" spans="1:14" s="54" customFormat="1" ht="15.75" hidden="1" customHeight="1" x14ac:dyDescent="0.35">
      <c r="A170" s="87">
        <v>23</v>
      </c>
      <c r="B170" s="87"/>
      <c r="C170" s="79" t="s">
        <v>263</v>
      </c>
      <c r="D170" s="79">
        <f>(146.71)*10.764</f>
        <v>1579.1864399999999</v>
      </c>
      <c r="E170" s="79">
        <v>0</v>
      </c>
      <c r="F170" s="79">
        <f t="shared" si="23"/>
        <v>1579.1864399999999</v>
      </c>
      <c r="G170" s="79">
        <v>0</v>
      </c>
      <c r="H170" s="79">
        <f t="shared" si="24"/>
        <v>2368.7796600000001</v>
      </c>
      <c r="I170" s="33"/>
      <c r="L170" s="86"/>
      <c r="M170" s="86"/>
      <c r="N170" s="33"/>
    </row>
    <row r="171" spans="1:14" s="54" customFormat="1" ht="15.75" hidden="1" customHeight="1" x14ac:dyDescent="0.35">
      <c r="A171" s="87">
        <v>24</v>
      </c>
      <c r="B171" s="87"/>
      <c r="C171" s="79" t="s">
        <v>263</v>
      </c>
      <c r="D171" s="79">
        <f>(100.97)*10.764</f>
        <v>1086.8410799999999</v>
      </c>
      <c r="E171" s="79">
        <v>0</v>
      </c>
      <c r="F171" s="79">
        <f t="shared" si="23"/>
        <v>1086.8410799999999</v>
      </c>
      <c r="G171" s="79">
        <v>0</v>
      </c>
      <c r="H171" s="79">
        <f t="shared" si="24"/>
        <v>1630.2616199999998</v>
      </c>
      <c r="I171" s="33"/>
      <c r="L171" s="86"/>
      <c r="M171" s="86"/>
      <c r="N171" s="33"/>
    </row>
    <row r="172" spans="1:14" s="34" customFormat="1" hidden="1" x14ac:dyDescent="0.35">
      <c r="A172" s="87"/>
      <c r="B172" s="87"/>
      <c r="C172" s="87"/>
      <c r="D172" s="87"/>
      <c r="E172" s="87"/>
      <c r="F172" s="87"/>
      <c r="G172" s="87"/>
      <c r="H172" s="87"/>
      <c r="I172" s="33"/>
      <c r="N172" s="33"/>
    </row>
    <row r="173" spans="1:14" ht="47.25" customHeight="1" x14ac:dyDescent="0.35">
      <c r="A173" s="96" t="s">
        <v>119</v>
      </c>
      <c r="B173" s="96" t="s">
        <v>177</v>
      </c>
      <c r="C173" s="96" t="s">
        <v>57</v>
      </c>
      <c r="D173" s="96" t="s">
        <v>232</v>
      </c>
      <c r="E173" s="96" t="s">
        <v>279</v>
      </c>
      <c r="F173" s="96" t="s">
        <v>58</v>
      </c>
      <c r="G173" s="97" t="s">
        <v>59</v>
      </c>
      <c r="H173" s="80" t="s">
        <v>147</v>
      </c>
      <c r="I173" s="33"/>
    </row>
    <row r="174" spans="1:14" s="34" customFormat="1" x14ac:dyDescent="0.35">
      <c r="A174" s="96"/>
      <c r="B174" s="96"/>
      <c r="C174" s="96"/>
      <c r="D174" s="96"/>
      <c r="E174" s="96"/>
      <c r="F174" s="96"/>
      <c r="G174" s="97"/>
      <c r="H174" s="78">
        <v>0.5</v>
      </c>
      <c r="I174" s="33"/>
      <c r="J174" s="34">
        <f>7200</f>
        <v>7200</v>
      </c>
    </row>
    <row r="175" spans="1:14" s="54" customFormat="1" x14ac:dyDescent="0.35">
      <c r="A175" s="89" t="s">
        <v>269</v>
      </c>
      <c r="B175" s="89"/>
      <c r="C175" s="89"/>
      <c r="D175" s="89"/>
      <c r="E175" s="89"/>
      <c r="F175" s="89"/>
      <c r="G175" s="89"/>
      <c r="H175" s="89"/>
      <c r="J175" s="33" t="s">
        <v>292</v>
      </c>
    </row>
    <row r="176" spans="1:14" s="73" customFormat="1" x14ac:dyDescent="0.35">
      <c r="A176" s="88" t="s">
        <v>295</v>
      </c>
      <c r="B176" s="88"/>
      <c r="C176" s="88"/>
      <c r="D176" s="88"/>
      <c r="E176" s="88"/>
      <c r="F176" s="88"/>
      <c r="G176" s="88"/>
      <c r="H176" s="88"/>
      <c r="J176" s="33">
        <f>7200*H177</f>
        <v>0</v>
      </c>
    </row>
    <row r="177" spans="1:14" s="34" customFormat="1" x14ac:dyDescent="0.35">
      <c r="A177" s="88" t="s">
        <v>266</v>
      </c>
      <c r="B177" s="88"/>
      <c r="C177" s="88"/>
      <c r="D177" s="88"/>
      <c r="E177" s="88"/>
      <c r="F177" s="88"/>
      <c r="G177" s="88"/>
      <c r="H177" s="88"/>
      <c r="J177" s="33">
        <f>7200*H178</f>
        <v>6899508.7199999997</v>
      </c>
    </row>
    <row r="178" spans="1:14" s="34" customFormat="1" ht="15.75" customHeight="1" x14ac:dyDescent="0.35">
      <c r="A178" s="87">
        <v>7</v>
      </c>
      <c r="B178" s="87"/>
      <c r="C178" s="79" t="s">
        <v>265</v>
      </c>
      <c r="D178" s="79">
        <f>(59.35)*10.764</f>
        <v>638.84339999999997</v>
      </c>
      <c r="E178" s="79">
        <v>0</v>
      </c>
      <c r="F178" s="79">
        <f>D178+E178</f>
        <v>638.84339999999997</v>
      </c>
      <c r="G178" s="79">
        <v>0</v>
      </c>
      <c r="H178" s="79">
        <f>F178*(($H$174)+1)+(IF(G178&lt;101,G178,IF(G178&lt;201,G178/2,IF(G178&lt;=301,G178/3,G178/4))))</f>
        <v>958.26509999999996</v>
      </c>
      <c r="I178" s="33">
        <f>2375*1050+2125*2600+3050*4875+675*2400+3050*3500+3050*3800+2275*1375+2275*1375+925*3050+1875*900</f>
        <v>57537500</v>
      </c>
      <c r="J178" s="33">
        <f t="shared" ref="J178:J191" si="25">7200*H179</f>
        <v>0</v>
      </c>
      <c r="L178" s="86"/>
      <c r="M178" s="86"/>
      <c r="N178" s="33"/>
    </row>
    <row r="179" spans="1:14" s="54" customFormat="1" ht="15.75" customHeight="1" x14ac:dyDescent="0.35">
      <c r="A179" s="88" t="s">
        <v>271</v>
      </c>
      <c r="B179" s="88"/>
      <c r="C179" s="88"/>
      <c r="D179" s="88"/>
      <c r="E179" s="88"/>
      <c r="F179" s="88"/>
      <c r="G179" s="88"/>
      <c r="H179" s="88"/>
      <c r="J179" s="33">
        <f t="shared" si="25"/>
        <v>9884839.5360000003</v>
      </c>
    </row>
    <row r="180" spans="1:14" s="54" customFormat="1" ht="15.75" customHeight="1" x14ac:dyDescent="0.35">
      <c r="A180" s="87">
        <v>5</v>
      </c>
      <c r="B180" s="87"/>
      <c r="C180" s="79" t="s">
        <v>267</v>
      </c>
      <c r="D180" s="79">
        <f>(85.03)*10.764</f>
        <v>915.26292000000001</v>
      </c>
      <c r="E180" s="79">
        <v>0</v>
      </c>
      <c r="F180" s="79">
        <f>D180+E180</f>
        <v>915.26292000000001</v>
      </c>
      <c r="G180" s="79">
        <v>0</v>
      </c>
      <c r="H180" s="79">
        <f>F180*(($H$174)+1)+(IF(G180&lt;101,G180,IF(G180&lt;201,G180/2,IF(G180&lt;=301,G180/3,G180/4))))</f>
        <v>1372.89438</v>
      </c>
      <c r="I180" s="33"/>
      <c r="J180" s="33">
        <f t="shared" si="25"/>
        <v>9884839.5360000003</v>
      </c>
      <c r="L180" s="86"/>
      <c r="M180" s="86"/>
      <c r="N180" s="33"/>
    </row>
    <row r="181" spans="1:14" s="54" customFormat="1" ht="15.75" customHeight="1" x14ac:dyDescent="0.35">
      <c r="A181" s="82">
        <v>6</v>
      </c>
      <c r="B181" s="84"/>
      <c r="C181" s="74" t="s">
        <v>267</v>
      </c>
      <c r="D181" s="53">
        <f>(85.03)*10.764</f>
        <v>915.26292000000001</v>
      </c>
      <c r="E181" s="53">
        <v>0</v>
      </c>
      <c r="F181" s="53">
        <f>D181+E181</f>
        <v>915.26292000000001</v>
      </c>
      <c r="G181" s="53">
        <v>0</v>
      </c>
      <c r="H181" s="53">
        <f>F181*(($H$174)+1)+(IF(G181&lt;101,G181,IF(G181&lt;201,G181/2,IF(G181&lt;=301,G181/3,G181/4))))</f>
        <v>1372.89438</v>
      </c>
      <c r="I181" s="53">
        <v>10.763999999999999</v>
      </c>
      <c r="J181" s="33">
        <f t="shared" si="25"/>
        <v>6899508.7199999997</v>
      </c>
      <c r="L181" s="86"/>
      <c r="M181" s="86"/>
      <c r="N181" s="33"/>
    </row>
    <row r="182" spans="1:14" s="54" customFormat="1" ht="15.75" customHeight="1" x14ac:dyDescent="0.35">
      <c r="A182" s="82">
        <v>7</v>
      </c>
      <c r="B182" s="84"/>
      <c r="C182" s="53" t="s">
        <v>265</v>
      </c>
      <c r="D182" s="53">
        <f>(59.35)*10.764</f>
        <v>638.84339999999997</v>
      </c>
      <c r="E182" s="53">
        <v>0</v>
      </c>
      <c r="F182" s="53">
        <f>D182+E182</f>
        <v>638.84339999999997</v>
      </c>
      <c r="G182" s="53">
        <v>0</v>
      </c>
      <c r="H182" s="53">
        <f>F182*(($H$174)+1)+(IF(G182&lt;101,G182,IF(G182&lt;201,G182/2,IF(G182&lt;=301,G182/3,G182/4))))</f>
        <v>958.26509999999996</v>
      </c>
      <c r="I182" s="33"/>
      <c r="J182" s="33">
        <f t="shared" si="25"/>
        <v>0</v>
      </c>
      <c r="L182" s="86"/>
      <c r="M182" s="86"/>
      <c r="N182" s="33"/>
    </row>
    <row r="183" spans="1:14" s="54" customFormat="1" x14ac:dyDescent="0.35">
      <c r="A183" s="88" t="s">
        <v>272</v>
      </c>
      <c r="B183" s="88"/>
      <c r="C183" s="88"/>
      <c r="D183" s="88"/>
      <c r="E183" s="88"/>
      <c r="F183" s="88"/>
      <c r="G183" s="88"/>
      <c r="H183" s="88"/>
      <c r="I183" s="33"/>
      <c r="J183" s="33">
        <f t="shared" si="25"/>
        <v>9884839.5360000003</v>
      </c>
      <c r="L183" s="86"/>
      <c r="M183" s="86"/>
    </row>
    <row r="184" spans="1:14" s="54" customFormat="1" x14ac:dyDescent="0.35">
      <c r="A184" s="87">
        <v>1</v>
      </c>
      <c r="B184" s="87"/>
      <c r="C184" s="53" t="s">
        <v>267</v>
      </c>
      <c r="D184" s="53">
        <f>(85.03)*10.764</f>
        <v>915.26292000000001</v>
      </c>
      <c r="E184" s="53">
        <v>0</v>
      </c>
      <c r="F184" s="53">
        <f>D184+E184</f>
        <v>915.26292000000001</v>
      </c>
      <c r="G184" s="53">
        <v>0</v>
      </c>
      <c r="H184" s="53">
        <f>F184*(($H$174)+1)+(IF(G184&lt;101,G184,IF(G184&lt;201,G184/2,IF(G184&lt;=301,G184/3,G184/4))))</f>
        <v>1372.89438</v>
      </c>
      <c r="I184" s="33"/>
      <c r="J184" s="33">
        <f t="shared" si="25"/>
        <v>9884839.5360000003</v>
      </c>
      <c r="N184" s="33"/>
    </row>
    <row r="185" spans="1:14" s="54" customFormat="1" x14ac:dyDescent="0.35">
      <c r="A185" s="87">
        <f t="shared" ref="A185:A191" si="26">A184+1</f>
        <v>2</v>
      </c>
      <c r="B185" s="87"/>
      <c r="C185" s="74" t="s">
        <v>267</v>
      </c>
      <c r="D185" s="53">
        <f>(85.03)*10.764</f>
        <v>915.26292000000001</v>
      </c>
      <c r="E185" s="53">
        <v>0</v>
      </c>
      <c r="F185" s="53">
        <f t="shared" ref="F185:F187" si="27">D185+E185</f>
        <v>915.26292000000001</v>
      </c>
      <c r="G185" s="53">
        <v>0</v>
      </c>
      <c r="H185" s="53">
        <f t="shared" ref="H185:H187" si="28">F185*(($H$174)+1)+(IF(G185&lt;101,G185,IF(G185&lt;201,G185/2,IF(G185&lt;=301,G185/3,G185/4))))</f>
        <v>1372.89438</v>
      </c>
      <c r="I185" s="33"/>
      <c r="J185" s="33">
        <f t="shared" si="25"/>
        <v>6899508.7199999997</v>
      </c>
      <c r="N185" s="33"/>
    </row>
    <row r="186" spans="1:14" s="54" customFormat="1" x14ac:dyDescent="0.35">
      <c r="A186" s="87">
        <f t="shared" si="26"/>
        <v>3</v>
      </c>
      <c r="B186" s="87"/>
      <c r="C186" s="53" t="s">
        <v>265</v>
      </c>
      <c r="D186" s="53">
        <f>(59.35)*10.764</f>
        <v>638.84339999999997</v>
      </c>
      <c r="E186" s="53">
        <v>0</v>
      </c>
      <c r="F186" s="53">
        <f t="shared" si="27"/>
        <v>638.84339999999997</v>
      </c>
      <c r="G186" s="53">
        <v>0</v>
      </c>
      <c r="H186" s="53">
        <f t="shared" si="28"/>
        <v>958.26509999999996</v>
      </c>
      <c r="I186" s="33"/>
      <c r="J186" s="33">
        <f t="shared" si="25"/>
        <v>6899508.7199999997</v>
      </c>
      <c r="N186" s="33"/>
    </row>
    <row r="187" spans="1:14" s="54" customFormat="1" x14ac:dyDescent="0.35">
      <c r="A187" s="87">
        <f t="shared" si="26"/>
        <v>4</v>
      </c>
      <c r="B187" s="87"/>
      <c r="C187" s="53" t="s">
        <v>265</v>
      </c>
      <c r="D187" s="53">
        <f>(59.35)*10.764</f>
        <v>638.84339999999997</v>
      </c>
      <c r="E187" s="53">
        <v>0</v>
      </c>
      <c r="F187" s="53">
        <f t="shared" si="27"/>
        <v>638.84339999999997</v>
      </c>
      <c r="G187" s="53">
        <v>0</v>
      </c>
      <c r="H187" s="53">
        <f t="shared" si="28"/>
        <v>958.26509999999996</v>
      </c>
      <c r="I187" s="33"/>
      <c r="J187" s="33">
        <f t="shared" si="25"/>
        <v>9884839.5360000003</v>
      </c>
      <c r="N187" s="33"/>
    </row>
    <row r="188" spans="1:14" s="54" customFormat="1" x14ac:dyDescent="0.35">
      <c r="A188" s="87">
        <f t="shared" si="26"/>
        <v>5</v>
      </c>
      <c r="B188" s="87"/>
      <c r="C188" s="53" t="s">
        <v>267</v>
      </c>
      <c r="D188" s="53">
        <f>(85.03)*10.764</f>
        <v>915.26292000000001</v>
      </c>
      <c r="E188" s="53">
        <v>0</v>
      </c>
      <c r="F188" s="53">
        <f>D188+E188</f>
        <v>915.26292000000001</v>
      </c>
      <c r="G188" s="53">
        <v>0</v>
      </c>
      <c r="H188" s="53">
        <f>F188*(($H$174)+1)+(IF(G188&lt;101,G188,IF(G188&lt;201,G188/2,IF(G188&lt;=301,G188/3,G188/4))))</f>
        <v>1372.89438</v>
      </c>
      <c r="I188" s="33"/>
      <c r="J188" s="33">
        <f t="shared" si="25"/>
        <v>9884839.5360000003</v>
      </c>
      <c r="N188" s="33"/>
    </row>
    <row r="189" spans="1:14" s="54" customFormat="1" x14ac:dyDescent="0.35">
      <c r="A189" s="87">
        <f t="shared" si="26"/>
        <v>6</v>
      </c>
      <c r="B189" s="87"/>
      <c r="C189" s="74" t="s">
        <v>267</v>
      </c>
      <c r="D189" s="53">
        <f>(85.03)*10.764</f>
        <v>915.26292000000001</v>
      </c>
      <c r="E189" s="53">
        <v>0</v>
      </c>
      <c r="F189" s="53">
        <f t="shared" ref="F189:F190" si="29">D189+E189</f>
        <v>915.26292000000001</v>
      </c>
      <c r="G189" s="53">
        <v>0</v>
      </c>
      <c r="H189" s="53">
        <f t="shared" ref="H189:H190" si="30">F189*(($H$174)+1)+(IF(G189&lt;101,G189,IF(G189&lt;201,G189/2,IF(G189&lt;=301,G189/3,G189/4))))</f>
        <v>1372.89438</v>
      </c>
      <c r="I189" s="33"/>
      <c r="J189" s="33">
        <f t="shared" si="25"/>
        <v>6899508.7199999997</v>
      </c>
      <c r="N189" s="33"/>
    </row>
    <row r="190" spans="1:14" s="54" customFormat="1" x14ac:dyDescent="0.35">
      <c r="A190" s="87">
        <f t="shared" si="26"/>
        <v>7</v>
      </c>
      <c r="B190" s="87"/>
      <c r="C190" s="53" t="s">
        <v>265</v>
      </c>
      <c r="D190" s="53">
        <f>(59.35)*10.764</f>
        <v>638.84339999999997</v>
      </c>
      <c r="E190" s="53">
        <v>0</v>
      </c>
      <c r="F190" s="53">
        <f t="shared" si="29"/>
        <v>638.84339999999997</v>
      </c>
      <c r="G190" s="53">
        <v>0</v>
      </c>
      <c r="H190" s="53">
        <f t="shared" si="30"/>
        <v>958.26509999999996</v>
      </c>
      <c r="I190" s="33"/>
      <c r="J190" s="33">
        <f t="shared" si="25"/>
        <v>6899508.7199999997</v>
      </c>
      <c r="N190" s="33"/>
    </row>
    <row r="191" spans="1:14" s="54" customFormat="1" x14ac:dyDescent="0.35">
      <c r="A191" s="87">
        <f t="shared" si="26"/>
        <v>8</v>
      </c>
      <c r="B191" s="87"/>
      <c r="C191" s="53" t="s">
        <v>265</v>
      </c>
      <c r="D191" s="53">
        <f>(59.35)*10.764</f>
        <v>638.84339999999997</v>
      </c>
      <c r="E191" s="53">
        <v>0</v>
      </c>
      <c r="F191" s="53">
        <f>D191+E191</f>
        <v>638.84339999999997</v>
      </c>
      <c r="G191" s="53">
        <v>0</v>
      </c>
      <c r="H191" s="53">
        <f>F191*(($H$174)+1)+(IF(G191&lt;101,G191,IF(G191&lt;201,G191/2,IF(G191&lt;=301,G191/3,G191/4))))</f>
        <v>958.26509999999996</v>
      </c>
      <c r="I191" s="33"/>
      <c r="J191" s="33">
        <f t="shared" si="25"/>
        <v>0</v>
      </c>
      <c r="N191" s="33"/>
    </row>
    <row r="192" spans="1:14" s="54" customFormat="1" x14ac:dyDescent="0.35">
      <c r="A192" s="85" t="s">
        <v>277</v>
      </c>
      <c r="B192" s="85"/>
      <c r="C192" s="85"/>
      <c r="D192" s="85"/>
      <c r="E192" s="85"/>
      <c r="F192" s="85"/>
      <c r="G192" s="85"/>
      <c r="H192" s="85"/>
      <c r="I192" s="33"/>
      <c r="L192" s="86"/>
      <c r="M192" s="86"/>
    </row>
    <row r="193" spans="1:14" s="54" customFormat="1" x14ac:dyDescent="0.35">
      <c r="A193" s="87">
        <v>1</v>
      </c>
      <c r="B193" s="87"/>
      <c r="C193" s="53" t="s">
        <v>267</v>
      </c>
      <c r="D193" s="53">
        <f>(85.03)*10.764</f>
        <v>915.26292000000001</v>
      </c>
      <c r="E193" s="53">
        <v>0</v>
      </c>
      <c r="F193" s="53">
        <f>D193+E193</f>
        <v>915.26292000000001</v>
      </c>
      <c r="G193" s="53">
        <v>0</v>
      </c>
      <c r="H193" s="53">
        <f>F193*(($H$174)+1)+(IF(G193&lt;101,G193,IF(G193&lt;201,G193/2,IF(G193&lt;=301,G193/3,G193/4))))</f>
        <v>1372.89438</v>
      </c>
      <c r="I193" s="33"/>
      <c r="N193" s="33"/>
    </row>
    <row r="194" spans="1:14" s="54" customFormat="1" x14ac:dyDescent="0.35">
      <c r="A194" s="87">
        <f t="shared" ref="A194:A200" si="31">A193+1</f>
        <v>2</v>
      </c>
      <c r="B194" s="87"/>
      <c r="C194" s="74" t="s">
        <v>267</v>
      </c>
      <c r="D194" s="53">
        <f>(85.03)*10.764</f>
        <v>915.26292000000001</v>
      </c>
      <c r="E194" s="53">
        <v>0</v>
      </c>
      <c r="F194" s="53">
        <f t="shared" ref="F194:F196" si="32">D194+E194</f>
        <v>915.26292000000001</v>
      </c>
      <c r="G194" s="53">
        <v>0</v>
      </c>
      <c r="H194" s="53">
        <f t="shared" ref="H194:H196" si="33">F194*(($H$174)+1)+(IF(G194&lt;101,G194,IF(G194&lt;201,G194/2,IF(G194&lt;=301,G194/3,G194/4))))</f>
        <v>1372.89438</v>
      </c>
      <c r="I194" s="33"/>
      <c r="N194" s="33"/>
    </row>
    <row r="195" spans="1:14" s="54" customFormat="1" x14ac:dyDescent="0.35">
      <c r="A195" s="87">
        <f t="shared" si="31"/>
        <v>3</v>
      </c>
      <c r="B195" s="87"/>
      <c r="C195" s="53" t="s">
        <v>265</v>
      </c>
      <c r="D195" s="53">
        <f>(59.35)*10.764</f>
        <v>638.84339999999997</v>
      </c>
      <c r="E195" s="53">
        <v>0</v>
      </c>
      <c r="F195" s="53">
        <f t="shared" si="32"/>
        <v>638.84339999999997</v>
      </c>
      <c r="G195" s="53">
        <v>0</v>
      </c>
      <c r="H195" s="53">
        <f t="shared" si="33"/>
        <v>958.26509999999996</v>
      </c>
      <c r="I195" s="32" t="s">
        <v>288</v>
      </c>
      <c r="J195" s="32"/>
      <c r="K195" s="32"/>
      <c r="L195" s="32" t="s">
        <v>290</v>
      </c>
      <c r="N195" s="33"/>
    </row>
    <row r="196" spans="1:14" s="54" customFormat="1" x14ac:dyDescent="0.35">
      <c r="A196" s="87">
        <f t="shared" si="31"/>
        <v>4</v>
      </c>
      <c r="B196" s="87"/>
      <c r="C196" s="53" t="s">
        <v>265</v>
      </c>
      <c r="D196" s="53">
        <f>(59.35)*10.764</f>
        <v>638.84339999999997</v>
      </c>
      <c r="E196" s="53">
        <v>0</v>
      </c>
      <c r="F196" s="53">
        <f t="shared" si="32"/>
        <v>638.84339999999997</v>
      </c>
      <c r="G196" s="53">
        <v>0</v>
      </c>
      <c r="H196" s="53">
        <f t="shared" si="33"/>
        <v>958.26509999999996</v>
      </c>
      <c r="I196" s="66">
        <f>7500000/H194</f>
        <v>5462.9111381459661</v>
      </c>
      <c r="J196" s="32" t="s">
        <v>265</v>
      </c>
      <c r="K196" s="32">
        <v>7500000</v>
      </c>
      <c r="L196" s="66">
        <f>6898000/H182</f>
        <v>7198.4255713789435</v>
      </c>
      <c r="N196" s="33"/>
    </row>
    <row r="197" spans="1:14" s="54" customFormat="1" x14ac:dyDescent="0.35">
      <c r="A197" s="87">
        <f t="shared" si="31"/>
        <v>5</v>
      </c>
      <c r="B197" s="87"/>
      <c r="C197" s="53" t="s">
        <v>267</v>
      </c>
      <c r="D197" s="53">
        <f>(85.03)*10.764</f>
        <v>915.26292000000001</v>
      </c>
      <c r="E197" s="53">
        <v>0</v>
      </c>
      <c r="F197" s="53">
        <f>D197+E197</f>
        <v>915.26292000000001</v>
      </c>
      <c r="G197" s="53">
        <v>0</v>
      </c>
      <c r="H197" s="53">
        <f>F197*(($H$174)+1)+(IF(G197&lt;101,G197,IF(G197&lt;201,G197/2,IF(G197&lt;=301,G197/3,G197/4))))</f>
        <v>1372.89438</v>
      </c>
      <c r="I197" s="66">
        <f>10300000/H180</f>
        <v>7502.3979630537933</v>
      </c>
      <c r="J197" s="32" t="s">
        <v>267</v>
      </c>
      <c r="K197" s="32">
        <v>1020000</v>
      </c>
      <c r="L197" s="66">
        <f>9900000/H184</f>
        <v>7211.0427023526754</v>
      </c>
      <c r="N197" s="33"/>
    </row>
    <row r="198" spans="1:14" s="54" customFormat="1" x14ac:dyDescent="0.35">
      <c r="A198" s="87">
        <f t="shared" si="31"/>
        <v>6</v>
      </c>
      <c r="B198" s="87"/>
      <c r="C198" s="74" t="s">
        <v>267</v>
      </c>
      <c r="D198" s="53">
        <f>(85.03)*10.764</f>
        <v>915.26292000000001</v>
      </c>
      <c r="E198" s="53">
        <v>0</v>
      </c>
      <c r="F198" s="53">
        <f t="shared" ref="F198" si="34">D198+E198</f>
        <v>915.26292000000001</v>
      </c>
      <c r="G198" s="53">
        <v>0</v>
      </c>
      <c r="H198" s="53">
        <f t="shared" ref="H198" si="35">F198*(($H$174)+1)+(IF(G198&lt;101,G198,IF(G198&lt;201,G198/2,IF(G198&lt;=301,G198/3,G198/4))))</f>
        <v>1372.89438</v>
      </c>
      <c r="I198" s="67">
        <f>AVERAGE(I196:I197)</f>
        <v>6482.6545505998802</v>
      </c>
      <c r="J198" s="32"/>
      <c r="K198" s="32"/>
      <c r="L198" s="67">
        <f>AVERAGE(L196:L197)</f>
        <v>7204.734136865809</v>
      </c>
      <c r="N198" s="33"/>
    </row>
    <row r="199" spans="1:14" s="54" customFormat="1" x14ac:dyDescent="0.35">
      <c r="A199" s="87">
        <f t="shared" si="31"/>
        <v>7</v>
      </c>
      <c r="B199" s="87"/>
      <c r="C199" s="82" t="s">
        <v>273</v>
      </c>
      <c r="D199" s="83"/>
      <c r="E199" s="83"/>
      <c r="F199" s="83"/>
      <c r="G199" s="83"/>
      <c r="H199" s="84"/>
      <c r="I199" s="33"/>
      <c r="N199" s="33"/>
    </row>
    <row r="200" spans="1:14" s="54" customFormat="1" x14ac:dyDescent="0.35">
      <c r="A200" s="87">
        <f t="shared" si="31"/>
        <v>8</v>
      </c>
      <c r="B200" s="87"/>
      <c r="C200" s="53" t="s">
        <v>265</v>
      </c>
      <c r="D200" s="53">
        <f>(59.35)*10.764</f>
        <v>638.84339999999997</v>
      </c>
      <c r="E200" s="53">
        <v>0</v>
      </c>
      <c r="F200" s="53">
        <f>D200+E200</f>
        <v>638.84339999999997</v>
      </c>
      <c r="G200" s="53">
        <v>0</v>
      </c>
      <c r="H200" s="53">
        <f>F200*(($H$174)+1)+(IF(G200&lt;101,G200,IF(G200&lt;201,G200/2,IF(G200&lt;=301,G200/3,G200/4))))</f>
        <v>958.26509999999996</v>
      </c>
      <c r="I200" s="33"/>
      <c r="N200" s="33"/>
    </row>
    <row r="201" spans="1:14" s="54" customFormat="1" x14ac:dyDescent="0.35">
      <c r="A201" s="88" t="s">
        <v>274</v>
      </c>
      <c r="B201" s="88"/>
      <c r="C201" s="88"/>
      <c r="D201" s="88"/>
      <c r="E201" s="88"/>
      <c r="F201" s="88"/>
      <c r="G201" s="88"/>
      <c r="H201" s="88"/>
      <c r="I201" s="33"/>
      <c r="L201" s="86"/>
      <c r="M201" s="86"/>
    </row>
    <row r="202" spans="1:14" s="54" customFormat="1" x14ac:dyDescent="0.35">
      <c r="A202" s="87">
        <v>1</v>
      </c>
      <c r="B202" s="87"/>
      <c r="C202" s="53" t="s">
        <v>267</v>
      </c>
      <c r="D202" s="53">
        <f>(85.03)*10.764</f>
        <v>915.26292000000001</v>
      </c>
      <c r="E202" s="53">
        <v>0</v>
      </c>
      <c r="F202" s="53">
        <f>D202+E202</f>
        <v>915.26292000000001</v>
      </c>
      <c r="G202" s="53">
        <v>0</v>
      </c>
      <c r="H202" s="53">
        <f>F202*(($H$174)+1)+(IF(G202&lt;101,G202,IF(G202&lt;201,G202/2,IF(G202&lt;=301,G202/3,G202/4))))</f>
        <v>1372.89438</v>
      </c>
      <c r="I202" s="33"/>
      <c r="N202" s="33"/>
    </row>
    <row r="203" spans="1:14" s="54" customFormat="1" x14ac:dyDescent="0.35">
      <c r="A203" s="87">
        <f t="shared" ref="A203:A209" si="36">A202+1</f>
        <v>2</v>
      </c>
      <c r="B203" s="87"/>
      <c r="C203" s="74" t="s">
        <v>267</v>
      </c>
      <c r="D203" s="53">
        <f>(85.03)*10.764</f>
        <v>915.26292000000001</v>
      </c>
      <c r="E203" s="53">
        <v>0</v>
      </c>
      <c r="F203" s="53">
        <f t="shared" ref="F203:F205" si="37">D203+E203</f>
        <v>915.26292000000001</v>
      </c>
      <c r="G203" s="53">
        <v>0</v>
      </c>
      <c r="H203" s="53">
        <f t="shared" ref="H203:H205" si="38">F203*(($H$174)+1)+(IF(G203&lt;101,G203,IF(G203&lt;201,G203/2,IF(G203&lt;=301,G203/3,G203/4))))</f>
        <v>1372.89438</v>
      </c>
      <c r="I203" s="33"/>
      <c r="N203" s="33"/>
    </row>
    <row r="204" spans="1:14" s="54" customFormat="1" x14ac:dyDescent="0.35">
      <c r="A204" s="87">
        <f t="shared" si="36"/>
        <v>3</v>
      </c>
      <c r="B204" s="87"/>
      <c r="C204" s="53" t="s">
        <v>265</v>
      </c>
      <c r="D204" s="53">
        <f>(59.35)*10.764</f>
        <v>638.84339999999997</v>
      </c>
      <c r="E204" s="53">
        <v>0</v>
      </c>
      <c r="F204" s="53">
        <f t="shared" si="37"/>
        <v>638.84339999999997</v>
      </c>
      <c r="G204" s="53">
        <v>0</v>
      </c>
      <c r="H204" s="53">
        <f t="shared" si="38"/>
        <v>958.26509999999996</v>
      </c>
      <c r="I204" s="33"/>
      <c r="N204" s="33"/>
    </row>
    <row r="205" spans="1:14" s="54" customFormat="1" x14ac:dyDescent="0.35">
      <c r="A205" s="87">
        <f t="shared" si="36"/>
        <v>4</v>
      </c>
      <c r="B205" s="87"/>
      <c r="C205" s="53" t="s">
        <v>265</v>
      </c>
      <c r="D205" s="53">
        <f>(59.35)*10.764</f>
        <v>638.84339999999997</v>
      </c>
      <c r="E205" s="53">
        <v>0</v>
      </c>
      <c r="F205" s="53">
        <f t="shared" si="37"/>
        <v>638.84339999999997</v>
      </c>
      <c r="G205" s="53">
        <v>0</v>
      </c>
      <c r="H205" s="53">
        <f t="shared" si="38"/>
        <v>958.26509999999996</v>
      </c>
      <c r="I205" s="33"/>
      <c r="N205" s="33"/>
    </row>
    <row r="206" spans="1:14" s="54" customFormat="1" x14ac:dyDescent="0.35">
      <c r="A206" s="87">
        <f t="shared" si="36"/>
        <v>5</v>
      </c>
      <c r="B206" s="87"/>
      <c r="C206" s="53" t="s">
        <v>267</v>
      </c>
      <c r="D206" s="53">
        <f>(85.03)*10.764</f>
        <v>915.26292000000001</v>
      </c>
      <c r="E206" s="53">
        <v>0</v>
      </c>
      <c r="F206" s="53">
        <f>D206+E206</f>
        <v>915.26292000000001</v>
      </c>
      <c r="G206" s="53">
        <v>0</v>
      </c>
      <c r="H206" s="53">
        <f>F206*(($H$174)+1)+(IF(G206&lt;101,G206,IF(G206&lt;201,G206/2,IF(G206&lt;=301,G206/3,G206/4))))</f>
        <v>1372.89438</v>
      </c>
      <c r="I206" s="33"/>
      <c r="N206" s="33"/>
    </row>
    <row r="207" spans="1:14" s="54" customFormat="1" x14ac:dyDescent="0.35">
      <c r="A207" s="87">
        <f t="shared" si="36"/>
        <v>6</v>
      </c>
      <c r="B207" s="87"/>
      <c r="C207" s="74" t="s">
        <v>267</v>
      </c>
      <c r="D207" s="53">
        <f>(85.03)*10.764</f>
        <v>915.26292000000001</v>
      </c>
      <c r="E207" s="53">
        <v>0</v>
      </c>
      <c r="F207" s="53">
        <f t="shared" ref="F207:F208" si="39">D207+E207</f>
        <v>915.26292000000001</v>
      </c>
      <c r="G207" s="53">
        <v>0</v>
      </c>
      <c r="H207" s="53">
        <f t="shared" ref="H207:H208" si="40">F207*(($H$174)+1)+(IF(G207&lt;101,G207,IF(G207&lt;201,G207/2,IF(G207&lt;=301,G207/3,G207/4))))</f>
        <v>1372.89438</v>
      </c>
      <c r="I207" s="33"/>
      <c r="N207" s="33"/>
    </row>
    <row r="208" spans="1:14" s="54" customFormat="1" x14ac:dyDescent="0.35">
      <c r="A208" s="87">
        <f t="shared" si="36"/>
        <v>7</v>
      </c>
      <c r="B208" s="87"/>
      <c r="C208" s="53" t="s">
        <v>265</v>
      </c>
      <c r="D208" s="53">
        <f>(59.35)*10.764</f>
        <v>638.84339999999997</v>
      </c>
      <c r="E208" s="53">
        <v>0</v>
      </c>
      <c r="F208" s="53">
        <f t="shared" si="39"/>
        <v>638.84339999999997</v>
      </c>
      <c r="G208" s="53">
        <v>0</v>
      </c>
      <c r="H208" s="53">
        <f t="shared" si="40"/>
        <v>958.26509999999996</v>
      </c>
      <c r="I208" s="33"/>
      <c r="N208" s="33"/>
    </row>
    <row r="209" spans="1:14" s="54" customFormat="1" x14ac:dyDescent="0.35">
      <c r="A209" s="87">
        <f t="shared" si="36"/>
        <v>8</v>
      </c>
      <c r="B209" s="87"/>
      <c r="C209" s="53" t="s">
        <v>265</v>
      </c>
      <c r="D209" s="53">
        <f>(59.35)*10.764</f>
        <v>638.84339999999997</v>
      </c>
      <c r="E209" s="53">
        <v>0</v>
      </c>
      <c r="F209" s="53">
        <f>D209+E209</f>
        <v>638.84339999999997</v>
      </c>
      <c r="G209" s="53">
        <v>0</v>
      </c>
      <c r="H209" s="53">
        <f>F209*(($H$174)+1)+(IF(G209&lt;101,G209,IF(G209&lt;201,G209/2,IF(G209&lt;=301,G209/3,G209/4))))</f>
        <v>958.26509999999996</v>
      </c>
      <c r="I209" s="33"/>
      <c r="N209" s="33"/>
    </row>
    <row r="210" spans="1:14" s="54" customFormat="1" x14ac:dyDescent="0.35">
      <c r="A210" s="88" t="s">
        <v>275</v>
      </c>
      <c r="B210" s="88"/>
      <c r="C210" s="88"/>
      <c r="D210" s="88"/>
      <c r="E210" s="88"/>
      <c r="F210" s="88"/>
      <c r="G210" s="88"/>
      <c r="H210" s="88"/>
      <c r="I210" s="33"/>
      <c r="L210" s="86"/>
      <c r="M210" s="86"/>
    </row>
    <row r="211" spans="1:14" s="54" customFormat="1" x14ac:dyDescent="0.35">
      <c r="A211" s="87">
        <v>1</v>
      </c>
      <c r="B211" s="87"/>
      <c r="C211" s="79" t="s">
        <v>267</v>
      </c>
      <c r="D211" s="79">
        <f>(85.03)*10.764</f>
        <v>915.26292000000001</v>
      </c>
      <c r="E211" s="79">
        <v>0</v>
      </c>
      <c r="F211" s="79">
        <f>D211+E211</f>
        <v>915.26292000000001</v>
      </c>
      <c r="G211" s="79">
        <v>0</v>
      </c>
      <c r="H211" s="79">
        <f>F211*(($H$174)+1)+(IF(G211&lt;101,G211,IF(G211&lt;201,G211/2,IF(G211&lt;=301,G211/3,G211/4))))</f>
        <v>1372.89438</v>
      </c>
      <c r="I211" s="33"/>
      <c r="N211" s="33"/>
    </row>
    <row r="212" spans="1:14" s="54" customFormat="1" x14ac:dyDescent="0.35">
      <c r="A212" s="87">
        <f t="shared" ref="A212:A218" si="41">A211+1</f>
        <v>2</v>
      </c>
      <c r="B212" s="87"/>
      <c r="C212" s="79" t="s">
        <v>267</v>
      </c>
      <c r="D212" s="79">
        <f>(85.03)*10.764</f>
        <v>915.26292000000001</v>
      </c>
      <c r="E212" s="79">
        <v>0</v>
      </c>
      <c r="F212" s="79">
        <f t="shared" ref="F212:F214" si="42">D212+E212</f>
        <v>915.26292000000001</v>
      </c>
      <c r="G212" s="79">
        <v>0</v>
      </c>
      <c r="H212" s="79">
        <f t="shared" ref="H212:H214" si="43">F212*(($H$174)+1)+(IF(G212&lt;101,G212,IF(G212&lt;201,G212/2,IF(G212&lt;=301,G212/3,G212/4))))</f>
        <v>1372.89438</v>
      </c>
      <c r="I212" s="33"/>
      <c r="N212" s="33"/>
    </row>
    <row r="213" spans="1:14" s="54" customFormat="1" x14ac:dyDescent="0.35">
      <c r="A213" s="87">
        <f t="shared" si="41"/>
        <v>3</v>
      </c>
      <c r="B213" s="87"/>
      <c r="C213" s="79" t="s">
        <v>265</v>
      </c>
      <c r="D213" s="79">
        <f>(59.35)*10.764</f>
        <v>638.84339999999997</v>
      </c>
      <c r="E213" s="79">
        <v>0</v>
      </c>
      <c r="F213" s="79">
        <f t="shared" si="42"/>
        <v>638.84339999999997</v>
      </c>
      <c r="G213" s="79">
        <v>0</v>
      </c>
      <c r="H213" s="79">
        <f t="shared" si="43"/>
        <v>958.26509999999996</v>
      </c>
      <c r="I213" s="33"/>
      <c r="N213" s="33"/>
    </row>
    <row r="214" spans="1:14" s="54" customFormat="1" x14ac:dyDescent="0.35">
      <c r="A214" s="87">
        <f t="shared" si="41"/>
        <v>4</v>
      </c>
      <c r="B214" s="87"/>
      <c r="C214" s="79" t="s">
        <v>265</v>
      </c>
      <c r="D214" s="79">
        <f>(59.35)*10.764</f>
        <v>638.84339999999997</v>
      </c>
      <c r="E214" s="79">
        <v>0</v>
      </c>
      <c r="F214" s="79">
        <f t="shared" si="42"/>
        <v>638.84339999999997</v>
      </c>
      <c r="G214" s="79">
        <v>0</v>
      </c>
      <c r="H214" s="79">
        <f t="shared" si="43"/>
        <v>958.26509999999996</v>
      </c>
      <c r="I214" s="33"/>
      <c r="N214" s="33"/>
    </row>
    <row r="215" spans="1:14" s="54" customFormat="1" x14ac:dyDescent="0.35">
      <c r="A215" s="87">
        <f t="shared" si="41"/>
        <v>5</v>
      </c>
      <c r="B215" s="87"/>
      <c r="C215" s="79" t="s">
        <v>267</v>
      </c>
      <c r="D215" s="79">
        <f>(85.03)*10.764</f>
        <v>915.26292000000001</v>
      </c>
      <c r="E215" s="79">
        <v>0</v>
      </c>
      <c r="F215" s="79">
        <f>D215+E215</f>
        <v>915.26292000000001</v>
      </c>
      <c r="G215" s="79">
        <v>0</v>
      </c>
      <c r="H215" s="79">
        <f>F215*(($H$174)+1)+(IF(G215&lt;101,G215,IF(G215&lt;201,G215/2,IF(G215&lt;=301,G215/3,G215/4))))</f>
        <v>1372.89438</v>
      </c>
      <c r="I215" s="33"/>
      <c r="N215" s="33"/>
    </row>
    <row r="216" spans="1:14" s="54" customFormat="1" x14ac:dyDescent="0.35">
      <c r="A216" s="87">
        <f t="shared" si="41"/>
        <v>6</v>
      </c>
      <c r="B216" s="87"/>
      <c r="C216" s="79" t="s">
        <v>267</v>
      </c>
      <c r="D216" s="79">
        <f>(85.03)*10.764</f>
        <v>915.26292000000001</v>
      </c>
      <c r="E216" s="79">
        <v>0</v>
      </c>
      <c r="F216" s="79">
        <f t="shared" ref="F216:F217" si="44">D216+E216</f>
        <v>915.26292000000001</v>
      </c>
      <c r="G216" s="79">
        <v>0</v>
      </c>
      <c r="H216" s="79">
        <f t="shared" ref="H216:H217" si="45">F216*(($H$174)+1)+(IF(G216&lt;101,G216,IF(G216&lt;201,G216/2,IF(G216&lt;=301,G216/3,G216/4))))</f>
        <v>1372.89438</v>
      </c>
      <c r="I216" s="33"/>
      <c r="N216" s="33"/>
    </row>
    <row r="217" spans="1:14" s="54" customFormat="1" x14ac:dyDescent="0.35">
      <c r="A217" s="87">
        <f t="shared" si="41"/>
        <v>7</v>
      </c>
      <c r="B217" s="87"/>
      <c r="C217" s="79" t="s">
        <v>265</v>
      </c>
      <c r="D217" s="79">
        <f>(59.35)*10.764</f>
        <v>638.84339999999997</v>
      </c>
      <c r="E217" s="79">
        <v>0</v>
      </c>
      <c r="F217" s="79">
        <f t="shared" si="44"/>
        <v>638.84339999999997</v>
      </c>
      <c r="G217" s="79">
        <v>0</v>
      </c>
      <c r="H217" s="79">
        <f t="shared" si="45"/>
        <v>958.26509999999996</v>
      </c>
      <c r="I217" s="33"/>
      <c r="N217" s="33"/>
    </row>
    <row r="218" spans="1:14" s="54" customFormat="1" x14ac:dyDescent="0.35">
      <c r="A218" s="87">
        <f t="shared" si="41"/>
        <v>8</v>
      </c>
      <c r="B218" s="87"/>
      <c r="C218" s="79" t="s">
        <v>265</v>
      </c>
      <c r="D218" s="79">
        <f>(59.35)*10.764</f>
        <v>638.84339999999997</v>
      </c>
      <c r="E218" s="79">
        <v>0</v>
      </c>
      <c r="F218" s="79">
        <f>D218+E218</f>
        <v>638.84339999999997</v>
      </c>
      <c r="G218" s="79">
        <v>0</v>
      </c>
      <c r="H218" s="79">
        <f>F218*(($H$174)+1)+(IF(G218&lt;101,G218,IF(G218&lt;201,G218/2,IF(G218&lt;=301,G218/3,G218/4))))</f>
        <v>958.26509999999996</v>
      </c>
      <c r="I218" s="33"/>
      <c r="N218" s="33"/>
    </row>
    <row r="219" spans="1:14" s="54" customFormat="1" x14ac:dyDescent="0.35">
      <c r="A219" s="88" t="s">
        <v>276</v>
      </c>
      <c r="B219" s="88"/>
      <c r="C219" s="88"/>
      <c r="D219" s="88"/>
      <c r="E219" s="88"/>
      <c r="F219" s="88"/>
      <c r="G219" s="88"/>
      <c r="H219" s="88"/>
      <c r="I219" s="33"/>
      <c r="L219" s="86"/>
      <c r="M219" s="86"/>
    </row>
    <row r="220" spans="1:14" s="54" customFormat="1" x14ac:dyDescent="0.35">
      <c r="A220" s="87">
        <v>1</v>
      </c>
      <c r="B220" s="87"/>
      <c r="C220" s="79" t="s">
        <v>267</v>
      </c>
      <c r="D220" s="79">
        <f>(85.03)*10.764</f>
        <v>915.26292000000001</v>
      </c>
      <c r="E220" s="79">
        <v>0</v>
      </c>
      <c r="F220" s="79">
        <f>D220+E220</f>
        <v>915.26292000000001</v>
      </c>
      <c r="G220" s="79">
        <v>0</v>
      </c>
      <c r="H220" s="79">
        <f>F220*(($H$174)+1)+(IF(G220&lt;101,G220,IF(G220&lt;201,G220/2,IF(G220&lt;=301,G220/3,G220/4))))</f>
        <v>1372.89438</v>
      </c>
      <c r="I220" s="33"/>
      <c r="N220" s="33"/>
    </row>
    <row r="221" spans="1:14" s="54" customFormat="1" x14ac:dyDescent="0.35">
      <c r="A221" s="87">
        <f t="shared" ref="A221:A227" si="46">A220+1</f>
        <v>2</v>
      </c>
      <c r="B221" s="87"/>
      <c r="C221" s="79" t="s">
        <v>267</v>
      </c>
      <c r="D221" s="79">
        <f>(85.03)*10.764</f>
        <v>915.26292000000001</v>
      </c>
      <c r="E221" s="79">
        <v>0</v>
      </c>
      <c r="F221" s="79">
        <f t="shared" ref="F221:F223" si="47">D221+E221</f>
        <v>915.26292000000001</v>
      </c>
      <c r="G221" s="79">
        <v>0</v>
      </c>
      <c r="H221" s="79">
        <f t="shared" ref="H221:H223" si="48">F221*(($H$174)+1)+(IF(G221&lt;101,G221,IF(G221&lt;201,G221/2,IF(G221&lt;=301,G221/3,G221/4))))</f>
        <v>1372.89438</v>
      </c>
      <c r="I221" s="33"/>
      <c r="N221" s="33"/>
    </row>
    <row r="222" spans="1:14" s="54" customFormat="1" x14ac:dyDescent="0.35">
      <c r="A222" s="87">
        <f t="shared" si="46"/>
        <v>3</v>
      </c>
      <c r="B222" s="87"/>
      <c r="C222" s="79" t="s">
        <v>265</v>
      </c>
      <c r="D222" s="79">
        <f>(59.35)*10.764</f>
        <v>638.84339999999997</v>
      </c>
      <c r="E222" s="79">
        <v>0</v>
      </c>
      <c r="F222" s="79">
        <f t="shared" si="47"/>
        <v>638.84339999999997</v>
      </c>
      <c r="G222" s="79">
        <v>0</v>
      </c>
      <c r="H222" s="79">
        <f t="shared" si="48"/>
        <v>958.26509999999996</v>
      </c>
      <c r="I222" s="33"/>
      <c r="N222" s="33"/>
    </row>
    <row r="223" spans="1:14" s="54" customFormat="1" x14ac:dyDescent="0.35">
      <c r="A223" s="87">
        <f t="shared" si="46"/>
        <v>4</v>
      </c>
      <c r="B223" s="87"/>
      <c r="C223" s="79" t="s">
        <v>265</v>
      </c>
      <c r="D223" s="79">
        <f>(59.35)*10.764</f>
        <v>638.84339999999997</v>
      </c>
      <c r="E223" s="79">
        <v>0</v>
      </c>
      <c r="F223" s="79">
        <f t="shared" si="47"/>
        <v>638.84339999999997</v>
      </c>
      <c r="G223" s="79">
        <v>0</v>
      </c>
      <c r="H223" s="79">
        <f t="shared" si="48"/>
        <v>958.26509999999996</v>
      </c>
      <c r="I223" s="33"/>
      <c r="N223" s="33"/>
    </row>
    <row r="224" spans="1:14" s="54" customFormat="1" x14ac:dyDescent="0.35">
      <c r="A224" s="87">
        <f t="shared" si="46"/>
        <v>5</v>
      </c>
      <c r="B224" s="87"/>
      <c r="C224" s="53" t="s">
        <v>267</v>
      </c>
      <c r="D224" s="53">
        <f>(85.03)*10.764</f>
        <v>915.26292000000001</v>
      </c>
      <c r="E224" s="53">
        <v>0</v>
      </c>
      <c r="F224" s="53">
        <f>D224+E224</f>
        <v>915.26292000000001</v>
      </c>
      <c r="G224" s="53">
        <v>0</v>
      </c>
      <c r="H224" s="53">
        <f>F224*(($H$174)+1)+(IF(G224&lt;101,G224,IF(G224&lt;201,G224/2,IF(G224&lt;=301,G224/3,G224/4))))</f>
        <v>1372.89438</v>
      </c>
      <c r="I224" s="33"/>
      <c r="N224" s="33"/>
    </row>
    <row r="225" spans="1:14" s="54" customFormat="1" x14ac:dyDescent="0.35">
      <c r="A225" s="87">
        <f t="shared" si="46"/>
        <v>6</v>
      </c>
      <c r="B225" s="87"/>
      <c r="C225" s="74" t="s">
        <v>267</v>
      </c>
      <c r="D225" s="53">
        <f>(85.03)*10.764</f>
        <v>915.26292000000001</v>
      </c>
      <c r="E225" s="53">
        <v>0</v>
      </c>
      <c r="F225" s="53">
        <f t="shared" ref="F225:F226" si="49">D225+E225</f>
        <v>915.26292000000001</v>
      </c>
      <c r="G225" s="53">
        <v>0</v>
      </c>
      <c r="H225" s="53">
        <f t="shared" ref="H225:H226" si="50">F225*(($H$174)+1)+(IF(G225&lt;101,G225,IF(G225&lt;201,G225/2,IF(G225&lt;=301,G225/3,G225/4))))</f>
        <v>1372.89438</v>
      </c>
      <c r="I225" s="33"/>
      <c r="N225" s="33"/>
    </row>
    <row r="226" spans="1:14" s="54" customFormat="1" x14ac:dyDescent="0.35">
      <c r="A226" s="87">
        <f t="shared" si="46"/>
        <v>7</v>
      </c>
      <c r="B226" s="87"/>
      <c r="C226" s="53" t="s">
        <v>265</v>
      </c>
      <c r="D226" s="53">
        <f>(59.35)*10.764</f>
        <v>638.84339999999997</v>
      </c>
      <c r="E226" s="53">
        <v>0</v>
      </c>
      <c r="F226" s="53">
        <f t="shared" si="49"/>
        <v>638.84339999999997</v>
      </c>
      <c r="G226" s="53">
        <v>0</v>
      </c>
      <c r="H226" s="53">
        <f t="shared" si="50"/>
        <v>958.26509999999996</v>
      </c>
      <c r="I226" s="33"/>
      <c r="N226" s="33"/>
    </row>
    <row r="227" spans="1:14" s="54" customFormat="1" x14ac:dyDescent="0.35">
      <c r="A227" s="87">
        <f t="shared" si="46"/>
        <v>8</v>
      </c>
      <c r="B227" s="87"/>
      <c r="C227" s="53" t="s">
        <v>265</v>
      </c>
      <c r="D227" s="53">
        <f>(59.35)*10.764</f>
        <v>638.84339999999997</v>
      </c>
      <c r="E227" s="53">
        <v>0</v>
      </c>
      <c r="F227" s="53">
        <f>D227+E227</f>
        <v>638.84339999999997</v>
      </c>
      <c r="G227" s="53">
        <v>0</v>
      </c>
      <c r="H227" s="53">
        <f>F227*(($H$174)+1)+(IF(G227&lt;101,G227,IF(G227&lt;201,G227/2,IF(G227&lt;=301,G227/3,G227/4))))</f>
        <v>958.26509999999996</v>
      </c>
      <c r="I227" s="33"/>
      <c r="N227" s="33"/>
    </row>
    <row r="228" spans="1:14" s="54" customFormat="1" x14ac:dyDescent="0.35">
      <c r="A228" s="90" t="s">
        <v>270</v>
      </c>
      <c r="B228" s="91"/>
      <c r="C228" s="91"/>
      <c r="D228" s="91"/>
      <c r="E228" s="91"/>
      <c r="F228" s="91"/>
      <c r="G228" s="91"/>
      <c r="H228" s="92"/>
      <c r="J228" s="33"/>
    </row>
    <row r="229" spans="1:14" s="54" customFormat="1" x14ac:dyDescent="0.35">
      <c r="A229" s="93" t="s">
        <v>266</v>
      </c>
      <c r="B229" s="94"/>
      <c r="C229" s="94"/>
      <c r="D229" s="94"/>
      <c r="E229" s="94"/>
      <c r="F229" s="94"/>
      <c r="G229" s="94"/>
      <c r="H229" s="95"/>
      <c r="J229" s="33"/>
    </row>
    <row r="230" spans="1:14" s="54" customFormat="1" ht="15.75" customHeight="1" x14ac:dyDescent="0.35">
      <c r="A230" s="82">
        <v>4</v>
      </c>
      <c r="B230" s="84"/>
      <c r="C230" s="53" t="s">
        <v>265</v>
      </c>
      <c r="D230" s="53">
        <f>(60.03)*10.764</f>
        <v>646.16291999999999</v>
      </c>
      <c r="E230" s="53">
        <v>0</v>
      </c>
      <c r="F230" s="53">
        <f>D230+E230</f>
        <v>646.16291999999999</v>
      </c>
      <c r="G230" s="53">
        <v>0</v>
      </c>
      <c r="H230" s="53">
        <f>F230*(($H$174)+1)+(IF(G230&lt;101,G230,IF(G230&lt;201,G230/2,IF(G230&lt;=301,G230/3,G230/4))))</f>
        <v>969.24437999999998</v>
      </c>
      <c r="I230" s="33"/>
      <c r="L230" s="86"/>
      <c r="M230" s="86"/>
      <c r="N230" s="33"/>
    </row>
    <row r="231" spans="1:14" s="54" customFormat="1" ht="15.75" customHeight="1" x14ac:dyDescent="0.35">
      <c r="A231" s="82">
        <v>7</v>
      </c>
      <c r="B231" s="84"/>
      <c r="C231" s="53" t="s">
        <v>265</v>
      </c>
      <c r="D231" s="53">
        <f>(59.35)*10.764</f>
        <v>638.84339999999997</v>
      </c>
      <c r="E231" s="53">
        <v>0</v>
      </c>
      <c r="F231" s="53">
        <f>D231+E231</f>
        <v>638.84339999999997</v>
      </c>
      <c r="G231" s="53">
        <v>0</v>
      </c>
      <c r="H231" s="53">
        <f>F231*(($H$174)+1)+(IF(G231&lt;101,G231,IF(G231&lt;201,G231/2,IF(G231&lt;=301,G231/3,G231/4))))</f>
        <v>958.26509999999996</v>
      </c>
      <c r="I231" s="33"/>
      <c r="L231" s="86"/>
      <c r="M231" s="86"/>
      <c r="N231" s="33"/>
    </row>
    <row r="232" spans="1:14" s="54" customFormat="1" x14ac:dyDescent="0.35">
      <c r="A232" s="93" t="s">
        <v>271</v>
      </c>
      <c r="B232" s="94"/>
      <c r="C232" s="94"/>
      <c r="D232" s="94"/>
      <c r="E232" s="94"/>
      <c r="F232" s="94"/>
      <c r="G232" s="94"/>
      <c r="H232" s="95"/>
      <c r="J232" s="33"/>
    </row>
    <row r="233" spans="1:14" s="54" customFormat="1" ht="15.75" customHeight="1" x14ac:dyDescent="0.35">
      <c r="A233" s="82">
        <v>4</v>
      </c>
      <c r="B233" s="84"/>
      <c r="C233" s="53" t="s">
        <v>265</v>
      </c>
      <c r="D233" s="53">
        <f>(60.03)*10.764</f>
        <v>646.16291999999999</v>
      </c>
      <c r="E233" s="53">
        <v>0</v>
      </c>
      <c r="F233" s="53">
        <f>D233+E233</f>
        <v>646.16291999999999</v>
      </c>
      <c r="G233" s="53">
        <v>0</v>
      </c>
      <c r="H233" s="53">
        <f>F233*(($H$174)+1)+(IF(G233&lt;101,G233,IF(G233&lt;201,G233/2,IF(G233&lt;=301,G233/3,G233/4))))</f>
        <v>969.24437999999998</v>
      </c>
      <c r="I233" s="33"/>
      <c r="L233" s="86"/>
      <c r="M233" s="86"/>
      <c r="N233" s="33"/>
    </row>
    <row r="234" spans="1:14" s="54" customFormat="1" ht="15.75" customHeight="1" x14ac:dyDescent="0.35">
      <c r="A234" s="82">
        <v>5</v>
      </c>
      <c r="B234" s="84"/>
      <c r="C234" s="53" t="s">
        <v>265</v>
      </c>
      <c r="D234" s="53">
        <f>(59.75)*10.764</f>
        <v>643.149</v>
      </c>
      <c r="E234" s="53">
        <v>0</v>
      </c>
      <c r="F234" s="53">
        <f>D234+E234</f>
        <v>643.149</v>
      </c>
      <c r="G234" s="53">
        <v>0</v>
      </c>
      <c r="H234" s="53">
        <f>F234*(($H$174)+1)+(IF(G234&lt;101,G234,IF(G234&lt;201,G234/2,IF(G234&lt;=301,G234/3,G234/4))))</f>
        <v>964.72350000000006</v>
      </c>
      <c r="I234" s="33"/>
      <c r="L234" s="86"/>
      <c r="M234" s="86"/>
      <c r="N234" s="33"/>
    </row>
    <row r="235" spans="1:14" s="54" customFormat="1" ht="15.75" customHeight="1" x14ac:dyDescent="0.35">
      <c r="A235" s="82">
        <v>6</v>
      </c>
      <c r="B235" s="84"/>
      <c r="C235" s="53" t="s">
        <v>265</v>
      </c>
      <c r="D235" s="53">
        <f>(59.75)*10.764</f>
        <v>643.149</v>
      </c>
      <c r="E235" s="53">
        <v>0</v>
      </c>
      <c r="F235" s="53">
        <f>D235+E235</f>
        <v>643.149</v>
      </c>
      <c r="G235" s="53">
        <v>0</v>
      </c>
      <c r="H235" s="53">
        <f>F235*(($H$174)+1)+(IF(G235&lt;101,G235,IF(G235&lt;201,G235/2,IF(G235&lt;=301,G235/3,G235/4))))</f>
        <v>964.72350000000006</v>
      </c>
      <c r="I235" s="33"/>
      <c r="L235" s="86"/>
      <c r="M235" s="86"/>
      <c r="N235" s="33"/>
    </row>
    <row r="236" spans="1:14" s="54" customFormat="1" ht="15.75" customHeight="1" x14ac:dyDescent="0.35">
      <c r="A236" s="82">
        <v>7</v>
      </c>
      <c r="B236" s="84"/>
      <c r="C236" s="53" t="s">
        <v>265</v>
      </c>
      <c r="D236" s="53">
        <f>(59.35)*10.764</f>
        <v>638.84339999999997</v>
      </c>
      <c r="E236" s="53">
        <v>0</v>
      </c>
      <c r="F236" s="53">
        <f>D236+E236</f>
        <v>638.84339999999997</v>
      </c>
      <c r="G236" s="53">
        <v>0</v>
      </c>
      <c r="H236" s="53">
        <f>F236*(($H$174)+1)+(IF(G236&lt;101,G236,IF(G236&lt;201,G236/2,IF(G236&lt;=301,G236/3,G236/4))))</f>
        <v>958.26509999999996</v>
      </c>
      <c r="I236" s="33"/>
      <c r="L236" s="86"/>
      <c r="M236" s="86"/>
      <c r="N236" s="33"/>
    </row>
    <row r="237" spans="1:14" s="34" customFormat="1" x14ac:dyDescent="0.35">
      <c r="A237" s="85" t="s">
        <v>272</v>
      </c>
      <c r="B237" s="85"/>
      <c r="C237" s="85"/>
      <c r="D237" s="85"/>
      <c r="E237" s="85"/>
      <c r="F237" s="85"/>
      <c r="G237" s="85"/>
      <c r="H237" s="85"/>
      <c r="I237" s="33"/>
      <c r="L237" s="86"/>
      <c r="M237" s="86"/>
    </row>
    <row r="238" spans="1:14" s="34" customFormat="1" x14ac:dyDescent="0.35">
      <c r="A238" s="87">
        <v>1</v>
      </c>
      <c r="B238" s="87"/>
      <c r="C238" s="53" t="s">
        <v>267</v>
      </c>
      <c r="D238" s="53">
        <f>(1.05*2.625+2.9*2.275+0.9*0.2025+0.675*3.2+3.2*5.175+1.375*2.275+1.375*2.275+3.8*3.05+1.525*2.45+3.2*4.275+0.9*2.45+3.05*3.5+0.925*(0.9+3.05))*10.764</f>
        <v>861.68241899999998</v>
      </c>
      <c r="E238" s="50">
        <v>0</v>
      </c>
      <c r="F238" s="50">
        <f>D238+E238</f>
        <v>861.68241899999998</v>
      </c>
      <c r="G238" s="50">
        <v>0</v>
      </c>
      <c r="H238" s="50">
        <f>F238*(($H$174)+1)+(IF(G238&lt;101,G238,IF(G238&lt;201,G238/2,IF(G238&lt;=301,G238/3,G238/4))))</f>
        <v>1292.5236285000001</v>
      </c>
      <c r="I238" s="33"/>
      <c r="N238" s="33"/>
    </row>
    <row r="239" spans="1:14" s="34" customFormat="1" x14ac:dyDescent="0.35">
      <c r="A239" s="87">
        <f t="shared" ref="A239:A245" si="51">A238+1</f>
        <v>2</v>
      </c>
      <c r="B239" s="87"/>
      <c r="C239" s="53" t="s">
        <v>267</v>
      </c>
      <c r="D239" s="53">
        <f>(1.05*2.625+2.9*2.275+0.9*0.2025+0.675*3.2+3.2*5.175+1.375*2.275+1.375*2.275+3.8*3.05+1.525*2.45+3.2*4.275+0.9*2.45+3.05*3.5+0.925*(0.9+3.05))*10.764</f>
        <v>861.68241899999998</v>
      </c>
      <c r="E239" s="50">
        <v>0</v>
      </c>
      <c r="F239" s="50">
        <f t="shared" ref="F239:F241" si="52">D239+E239</f>
        <v>861.68241899999998</v>
      </c>
      <c r="G239" s="50">
        <v>0</v>
      </c>
      <c r="H239" s="50">
        <f t="shared" ref="H239:H241" si="53">F239*(($H$174)+1)+(IF(G239&lt;101,G239,IF(G239&lt;201,G239/2,IF(G239&lt;=301,G239/3,G239/4))))</f>
        <v>1292.5236285000001</v>
      </c>
      <c r="I239" s="33"/>
      <c r="N239" s="33"/>
    </row>
    <row r="240" spans="1:14" s="34" customFormat="1" x14ac:dyDescent="0.35">
      <c r="A240" s="87">
        <f t="shared" si="51"/>
        <v>3</v>
      </c>
      <c r="B240" s="87"/>
      <c r="C240" s="39" t="s">
        <v>267</v>
      </c>
      <c r="D240" s="53">
        <f>(2.375*1.05+2.275*2.9+3.2*5.0175+0.675*3.3+0.197*0.9+3.05*3.8+1.375*2.275+3.2*4.275+2.45*1.525+3.05*3.5+1.375*2.275+0.9*1.525+0.926*(0.9+1.375+0.9*1.375))*10.764</f>
        <v>840.82582349999984</v>
      </c>
      <c r="E240" s="50">
        <v>0</v>
      </c>
      <c r="F240" s="50">
        <f t="shared" si="52"/>
        <v>840.82582349999984</v>
      </c>
      <c r="G240" s="50">
        <v>0</v>
      </c>
      <c r="H240" s="50">
        <f t="shared" si="53"/>
        <v>1261.2387352499998</v>
      </c>
      <c r="I240" s="33"/>
      <c r="N240" s="33"/>
    </row>
    <row r="241" spans="1:14" s="34" customFormat="1" x14ac:dyDescent="0.35">
      <c r="A241" s="87">
        <f t="shared" si="51"/>
        <v>4</v>
      </c>
      <c r="B241" s="87"/>
      <c r="C241" s="53" t="s">
        <v>265</v>
      </c>
      <c r="D241" s="53">
        <f>(60.03)*10.764</f>
        <v>646.16291999999999</v>
      </c>
      <c r="E241" s="50">
        <v>0</v>
      </c>
      <c r="F241" s="50">
        <f t="shared" si="52"/>
        <v>646.16291999999999</v>
      </c>
      <c r="G241" s="50">
        <v>0</v>
      </c>
      <c r="H241" s="50">
        <f t="shared" si="53"/>
        <v>969.24437999999998</v>
      </c>
      <c r="I241" s="33"/>
      <c r="N241" s="33"/>
    </row>
    <row r="242" spans="1:14" s="34" customFormat="1" x14ac:dyDescent="0.35">
      <c r="A242" s="87">
        <f t="shared" si="51"/>
        <v>5</v>
      </c>
      <c r="B242" s="87"/>
      <c r="C242" s="53" t="s">
        <v>265</v>
      </c>
      <c r="D242" s="53">
        <f>(59.75)*10.764</f>
        <v>643.149</v>
      </c>
      <c r="E242" s="50">
        <v>0</v>
      </c>
      <c r="F242" s="50">
        <f>D242+E242</f>
        <v>643.149</v>
      </c>
      <c r="G242" s="50">
        <v>0</v>
      </c>
      <c r="H242" s="50">
        <f>F242*(($H$174)+1)+(IF(G242&lt;101,G242,IF(G242&lt;201,G242/2,IF(G242&lt;=301,G242/3,G242/4))))</f>
        <v>964.72350000000006</v>
      </c>
      <c r="I242" s="33"/>
      <c r="N242" s="33"/>
    </row>
    <row r="243" spans="1:14" s="54" customFormat="1" x14ac:dyDescent="0.35">
      <c r="A243" s="87">
        <f t="shared" si="51"/>
        <v>6</v>
      </c>
      <c r="B243" s="87"/>
      <c r="C243" s="53" t="s">
        <v>265</v>
      </c>
      <c r="D243" s="53">
        <f>(59.75)*10.764</f>
        <v>643.149</v>
      </c>
      <c r="E243" s="53">
        <v>0</v>
      </c>
      <c r="F243" s="53">
        <f t="shared" ref="F243" si="54">D243+E243</f>
        <v>643.149</v>
      </c>
      <c r="G243" s="53">
        <v>0</v>
      </c>
      <c r="H243" s="53">
        <f t="shared" ref="H243:H244" si="55">F243*(($H$174)+1)+(IF(G243&lt;101,G243,IF(G243&lt;201,G243/2,IF(G243&lt;=301,G243/3,G243/4))))</f>
        <v>964.72350000000006</v>
      </c>
      <c r="I243" s="63">
        <f>1.05*2.475+3.05*4.875+0.6*2.3+2.6*2.125+0.9*1.775+2.275*1.375+2.275*1.375+3.05*3.8+3.05*3.5+0.925*2.275+0.9*0.9+2.85*1.075</f>
        <v>60.469374999999985</v>
      </c>
      <c r="N243" s="33"/>
    </row>
    <row r="244" spans="1:14" s="54" customFormat="1" x14ac:dyDescent="0.35">
      <c r="A244" s="87">
        <f t="shared" si="51"/>
        <v>7</v>
      </c>
      <c r="B244" s="87"/>
      <c r="C244" s="53" t="s">
        <v>265</v>
      </c>
      <c r="D244" s="53">
        <f>(59.35)*10.764</f>
        <v>638.84339999999997</v>
      </c>
      <c r="E244" s="53">
        <v>0</v>
      </c>
      <c r="F244" s="53">
        <f>D244+E244</f>
        <v>638.84339999999997</v>
      </c>
      <c r="G244" s="53">
        <v>0</v>
      </c>
      <c r="H244" s="53">
        <f t="shared" si="55"/>
        <v>958.26509999999996</v>
      </c>
      <c r="I244" s="33"/>
      <c r="N244" s="33"/>
    </row>
    <row r="245" spans="1:14" s="54" customFormat="1" x14ac:dyDescent="0.35">
      <c r="A245" s="87">
        <f t="shared" si="51"/>
        <v>8</v>
      </c>
      <c r="B245" s="87"/>
      <c r="C245" s="53" t="s">
        <v>267</v>
      </c>
      <c r="D245" s="53">
        <f>(2.375*1.05+2.275*2.9+3.2*5.0175+0.675*3.3+0.197*0.9+3.05*3.8+1.375*2.275+3.2*4.275+2.45*1.525+3.05*3.5+1.375*2.275+0.9*1.525+0.926*(0.9+1.375+0.9*1.375))*10.764</f>
        <v>840.82582349999984</v>
      </c>
      <c r="E245" s="53">
        <v>0</v>
      </c>
      <c r="F245" s="53">
        <f>D245+E245</f>
        <v>840.82582349999984</v>
      </c>
      <c r="G245" s="53">
        <v>0</v>
      </c>
      <c r="H245" s="53">
        <f>F245*(($H$174)+1)+(IF(G245&lt;101,G245,IF(G245&lt;201,G245/2,IF(G245&lt;=301,G245/3,G245/4))))</f>
        <v>1261.2387352499998</v>
      </c>
      <c r="I245" s="33"/>
      <c r="N245" s="33"/>
    </row>
    <row r="246" spans="1:14" s="54" customFormat="1" x14ac:dyDescent="0.35">
      <c r="A246" s="85" t="s">
        <v>297</v>
      </c>
      <c r="B246" s="85"/>
      <c r="C246" s="85"/>
      <c r="D246" s="85"/>
      <c r="E246" s="85"/>
      <c r="F246" s="85"/>
      <c r="G246" s="85"/>
      <c r="H246" s="85"/>
      <c r="I246" s="33"/>
      <c r="L246" s="86"/>
      <c r="M246" s="86"/>
    </row>
    <row r="247" spans="1:14" s="54" customFormat="1" x14ac:dyDescent="0.35">
      <c r="A247" s="87">
        <v>1</v>
      </c>
      <c r="B247" s="87"/>
      <c r="C247" s="53" t="s">
        <v>267</v>
      </c>
      <c r="D247" s="53">
        <f>(1.05*2.625+2.9*2.275+0.9*0.2025+0.675*3.2+3.2*5.175+1.375*2.275+1.375*2.275+3.8*3.05+1.525*2.45+3.2*4.275+0.9*2.45+3.05*3.5+0.925*(0.9+3.05))*10.764</f>
        <v>861.68241899999998</v>
      </c>
      <c r="E247" s="53">
        <v>0</v>
      </c>
      <c r="F247" s="53">
        <f>D247+E247</f>
        <v>861.68241899999998</v>
      </c>
      <c r="G247" s="53">
        <v>0</v>
      </c>
      <c r="H247" s="53">
        <f>F247*(($H$174)+1)+(IF(G247&lt;101,G247,IF(G247&lt;201,G247/2,IF(G247&lt;=301,G247/3,G247/4))))</f>
        <v>1292.5236285000001</v>
      </c>
      <c r="I247" s="33"/>
      <c r="N247" s="33"/>
    </row>
    <row r="248" spans="1:14" s="54" customFormat="1" x14ac:dyDescent="0.35">
      <c r="A248" s="87">
        <f t="shared" ref="A248:A254" si="56">A247+1</f>
        <v>2</v>
      </c>
      <c r="B248" s="87"/>
      <c r="C248" s="53" t="s">
        <v>267</v>
      </c>
      <c r="D248" s="53">
        <f>(1.05*2.625+2.9*2.275+0.9*0.2025+0.675*3.2+3.2*5.175+1.375*2.275+1.375*2.275+3.8*3.05+1.525*2.45+3.2*4.275+0.9*2.45+3.05*3.5+0.925*(0.9+3.05))*10.764</f>
        <v>861.68241899999998</v>
      </c>
      <c r="E248" s="53">
        <v>0</v>
      </c>
      <c r="F248" s="53">
        <f t="shared" ref="F248:F250" si="57">D248+E248</f>
        <v>861.68241899999998</v>
      </c>
      <c r="G248" s="53">
        <v>0</v>
      </c>
      <c r="H248" s="53">
        <f t="shared" ref="H248:H250" si="58">F248*(($H$174)+1)+(IF(G248&lt;101,G248,IF(G248&lt;201,G248/2,IF(G248&lt;=301,G248/3,G248/4))))</f>
        <v>1292.5236285000001</v>
      </c>
      <c r="I248" s="33"/>
      <c r="N248" s="33"/>
    </row>
    <row r="249" spans="1:14" s="54" customFormat="1" x14ac:dyDescent="0.35">
      <c r="A249" s="87">
        <f t="shared" si="56"/>
        <v>3</v>
      </c>
      <c r="B249" s="87"/>
      <c r="C249" s="53" t="s">
        <v>267</v>
      </c>
      <c r="D249" s="53">
        <f>(2.375*1.05+2.275*2.9+3.2*5.0175+0.675*3.3+0.197*0.9+3.05*3.8+1.375*2.275+3.2*4.275+2.45*1.525+3.05*3.5+1.375*2.275+0.9*1.525+0.926*(0.9+1.375+0.9*1.375))*10.764</f>
        <v>840.82582349999984</v>
      </c>
      <c r="E249" s="72">
        <f>(2.8*1.075)*10.764</f>
        <v>32.399639999999998</v>
      </c>
      <c r="F249" s="53">
        <f t="shared" si="57"/>
        <v>873.22546349999982</v>
      </c>
      <c r="G249" s="53">
        <v>0</v>
      </c>
      <c r="H249" s="53">
        <f t="shared" si="58"/>
        <v>1309.8381952499997</v>
      </c>
      <c r="I249" s="33"/>
      <c r="N249" s="33"/>
    </row>
    <row r="250" spans="1:14" s="54" customFormat="1" x14ac:dyDescent="0.35">
      <c r="A250" s="87">
        <f t="shared" si="56"/>
        <v>4</v>
      </c>
      <c r="B250" s="87"/>
      <c r="C250" s="53" t="s">
        <v>265</v>
      </c>
      <c r="D250" s="53">
        <f>(60.03)*10.764</f>
        <v>646.16291999999999</v>
      </c>
      <c r="E250" s="53">
        <v>0</v>
      </c>
      <c r="F250" s="53">
        <f t="shared" si="57"/>
        <v>646.16291999999999</v>
      </c>
      <c r="G250" s="53">
        <v>0</v>
      </c>
      <c r="H250" s="53">
        <f t="shared" si="58"/>
        <v>969.24437999999998</v>
      </c>
      <c r="I250" s="33"/>
      <c r="N250" s="33"/>
    </row>
    <row r="251" spans="1:14" s="54" customFormat="1" x14ac:dyDescent="0.35">
      <c r="A251" s="87">
        <f t="shared" si="56"/>
        <v>5</v>
      </c>
      <c r="B251" s="87"/>
      <c r="C251" s="53" t="s">
        <v>265</v>
      </c>
      <c r="D251" s="53">
        <f>(59.75)*10.764</f>
        <v>643.149</v>
      </c>
      <c r="E251" s="53">
        <v>0</v>
      </c>
      <c r="F251" s="53">
        <f>D251+E251</f>
        <v>643.149</v>
      </c>
      <c r="G251" s="53">
        <v>0</v>
      </c>
      <c r="H251" s="53">
        <f>F251*(($H$174)+1)+(IF(G251&lt;101,G251,IF(G251&lt;201,G251/2,IF(G251&lt;=301,G251/3,G251/4))))</f>
        <v>964.72350000000006</v>
      </c>
      <c r="I251" s="33"/>
      <c r="N251" s="33"/>
    </row>
    <row r="252" spans="1:14" s="54" customFormat="1" x14ac:dyDescent="0.35">
      <c r="A252" s="87">
        <f t="shared" si="56"/>
        <v>6</v>
      </c>
      <c r="B252" s="87"/>
      <c r="C252" s="53" t="s">
        <v>265</v>
      </c>
      <c r="D252" s="53">
        <f>(59.75)*10.764</f>
        <v>643.149</v>
      </c>
      <c r="E252" s="53">
        <v>0</v>
      </c>
      <c r="F252" s="53">
        <f t="shared" ref="F252" si="59">D252+E252</f>
        <v>643.149</v>
      </c>
      <c r="G252" s="53">
        <v>0</v>
      </c>
      <c r="H252" s="53">
        <f t="shared" ref="H252:H253" si="60">F252*(($H$174)+1)+(IF(G252&lt;101,G252,IF(G252&lt;201,G252/2,IF(G252&lt;=301,G252/3,G252/4))))</f>
        <v>964.72350000000006</v>
      </c>
      <c r="I252" s="63">
        <f>1.05*2.475+3.05*4.875+0.6*2.3+2.6*2.125+0.9*1.775+2.275*1.375+2.275*1.375+3.05*3.8+3.05*3.5+0.925*2.275+0.9*0.9+2.85*1.075</f>
        <v>60.469374999999985</v>
      </c>
      <c r="N252" s="33"/>
    </row>
    <row r="253" spans="1:14" s="54" customFormat="1" x14ac:dyDescent="0.35">
      <c r="A253" s="87">
        <f t="shared" si="56"/>
        <v>7</v>
      </c>
      <c r="B253" s="87"/>
      <c r="C253" s="53" t="s">
        <v>265</v>
      </c>
      <c r="D253" s="53">
        <f>(59.35)*10.764</f>
        <v>638.84339999999997</v>
      </c>
      <c r="E253" s="53">
        <v>0</v>
      </c>
      <c r="F253" s="53">
        <f>D253+E253</f>
        <v>638.84339999999997</v>
      </c>
      <c r="G253" s="53">
        <v>0</v>
      </c>
      <c r="H253" s="53">
        <f t="shared" si="60"/>
        <v>958.26509999999996</v>
      </c>
      <c r="I253" s="33"/>
      <c r="N253" s="33"/>
    </row>
    <row r="254" spans="1:14" s="54" customFormat="1" x14ac:dyDescent="0.35">
      <c r="A254" s="87">
        <f t="shared" si="56"/>
        <v>8</v>
      </c>
      <c r="B254" s="87"/>
      <c r="C254" s="53" t="s">
        <v>267</v>
      </c>
      <c r="D254" s="53">
        <f>(2.375*1.05+2.275*2.9+3.2*5.0175+0.675*3.3+0.197*0.9+3.05*3.8+1.375*2.275+3.2*4.275+2.45*1.525+3.05*3.5+1.375*2.275+0.9*1.525+0.926*(0.9+1.375+0.9*1.375))*10.764</f>
        <v>840.82582349999984</v>
      </c>
      <c r="E254" s="53">
        <f>(2.8*1.075)*10.764</f>
        <v>32.399639999999998</v>
      </c>
      <c r="F254" s="53">
        <f>D254+E254</f>
        <v>873.22546349999982</v>
      </c>
      <c r="G254" s="53">
        <v>0</v>
      </c>
      <c r="H254" s="53">
        <f>F254*(($H$174)+1)+(IF(G254&lt;101,G254,IF(G254&lt;201,G254/2,IF(G254&lt;=301,G254/3,G254/4))))</f>
        <v>1309.8381952499997</v>
      </c>
      <c r="I254" s="33"/>
      <c r="N254" s="33"/>
    </row>
    <row r="255" spans="1:14" s="73" customFormat="1" x14ac:dyDescent="0.35">
      <c r="A255" s="85" t="s">
        <v>296</v>
      </c>
      <c r="B255" s="85"/>
      <c r="C255" s="85"/>
      <c r="D255" s="85"/>
      <c r="E255" s="85"/>
      <c r="F255" s="85"/>
      <c r="G255" s="85"/>
      <c r="H255" s="85"/>
      <c r="I255" s="33"/>
      <c r="L255" s="86"/>
      <c r="M255" s="86"/>
    </row>
    <row r="256" spans="1:14" s="73" customFormat="1" x14ac:dyDescent="0.35">
      <c r="A256" s="87">
        <v>1</v>
      </c>
      <c r="B256" s="87"/>
      <c r="C256" s="72" t="s">
        <v>267</v>
      </c>
      <c r="D256" s="72">
        <f>(1.05*2.625+2.9*2.275+0.9*0.2025+0.675*3.2+3.2*5.175+1.375*2.275+1.375*2.275+3.8*3.05+1.525*2.45+3.2*4.275+0.9*2.45+3.05*3.5+0.925*(0.9+3.05))*10.764</f>
        <v>861.68241899999998</v>
      </c>
      <c r="E256" s="72">
        <v>0</v>
      </c>
      <c r="F256" s="72">
        <f>D256+E256</f>
        <v>861.68241899999998</v>
      </c>
      <c r="G256" s="72">
        <v>0</v>
      </c>
      <c r="H256" s="72">
        <f>F256*(($H$174)+1)+(IF(G256&lt;101,G256,IF(G256&lt;201,G256/2,IF(G256&lt;=301,G256/3,G256/4))))</f>
        <v>1292.5236285000001</v>
      </c>
      <c r="I256" s="33"/>
      <c r="N256" s="33"/>
    </row>
    <row r="257" spans="1:14" s="73" customFormat="1" x14ac:dyDescent="0.35">
      <c r="A257" s="87">
        <f t="shared" ref="A257:A263" si="61">A256+1</f>
        <v>2</v>
      </c>
      <c r="B257" s="87"/>
      <c r="C257" s="72" t="s">
        <v>267</v>
      </c>
      <c r="D257" s="72">
        <f>(1.05*2.625+2.9*2.275+0.9*0.2025+0.675*3.2+3.2*5.175+1.375*2.275+1.375*2.275+3.8*3.05+1.525*2.45+3.2*4.275+0.9*2.45+3.05*3.5+0.925*(0.9+3.05))*10.764</f>
        <v>861.68241899999998</v>
      </c>
      <c r="E257" s="72">
        <v>0</v>
      </c>
      <c r="F257" s="72">
        <f t="shared" ref="F257:F259" si="62">D257+E257</f>
        <v>861.68241899999998</v>
      </c>
      <c r="G257" s="72">
        <v>0</v>
      </c>
      <c r="H257" s="72">
        <f t="shared" ref="H257:H259" si="63">F257*(($H$174)+1)+(IF(G257&lt;101,G257,IF(G257&lt;201,G257/2,IF(G257&lt;=301,G257/3,G257/4))))</f>
        <v>1292.5236285000001</v>
      </c>
      <c r="I257" s="33"/>
      <c r="N257" s="33"/>
    </row>
    <row r="258" spans="1:14" s="73" customFormat="1" x14ac:dyDescent="0.35">
      <c r="A258" s="87">
        <f t="shared" si="61"/>
        <v>3</v>
      </c>
      <c r="B258" s="87"/>
      <c r="C258" s="72" t="s">
        <v>267</v>
      </c>
      <c r="D258" s="72">
        <f>(2.375*1.05+2.275*2.9+3.2*5.0175+0.675*3.3+0.197*0.9+3.05*3.8+1.375*2.275+3.2*4.275+2.45*1.525+3.05*3.5+1.375*2.275+0.9*1.525+0.926*(0.9+1.375+0.9*1.375))*10.764</f>
        <v>840.82582349999984</v>
      </c>
      <c r="E258" s="72">
        <f>(2.8*1.075)*10.764</f>
        <v>32.399639999999998</v>
      </c>
      <c r="F258" s="72">
        <f t="shared" si="62"/>
        <v>873.22546349999982</v>
      </c>
      <c r="G258" s="72">
        <v>0</v>
      </c>
      <c r="H258" s="72">
        <f t="shared" si="63"/>
        <v>1309.8381952499997</v>
      </c>
      <c r="I258" s="33"/>
      <c r="N258" s="33"/>
    </row>
    <row r="259" spans="1:14" s="73" customFormat="1" x14ac:dyDescent="0.35">
      <c r="A259" s="87">
        <f t="shared" si="61"/>
        <v>4</v>
      </c>
      <c r="B259" s="87"/>
      <c r="C259" s="72" t="s">
        <v>265</v>
      </c>
      <c r="D259" s="72">
        <f>(60.03)*10.764</f>
        <v>646.16291999999999</v>
      </c>
      <c r="E259" s="72">
        <v>0</v>
      </c>
      <c r="F259" s="72">
        <f t="shared" si="62"/>
        <v>646.16291999999999</v>
      </c>
      <c r="G259" s="72">
        <v>0</v>
      </c>
      <c r="H259" s="72">
        <f t="shared" si="63"/>
        <v>969.24437999999998</v>
      </c>
      <c r="I259" s="33"/>
      <c r="N259" s="33"/>
    </row>
    <row r="260" spans="1:14" s="73" customFormat="1" x14ac:dyDescent="0.35">
      <c r="A260" s="87">
        <f t="shared" si="61"/>
        <v>5</v>
      </c>
      <c r="B260" s="87"/>
      <c r="C260" s="72" t="s">
        <v>265</v>
      </c>
      <c r="D260" s="72">
        <f>(59.75)*10.764</f>
        <v>643.149</v>
      </c>
      <c r="E260" s="72">
        <v>0</v>
      </c>
      <c r="F260" s="72">
        <f>D260+E260</f>
        <v>643.149</v>
      </c>
      <c r="G260" s="72">
        <v>0</v>
      </c>
      <c r="H260" s="72">
        <f>F260*(($H$174)+1)+(IF(G260&lt;101,G260,IF(G260&lt;201,G260/2,IF(G260&lt;=301,G260/3,G260/4))))</f>
        <v>964.72350000000006</v>
      </c>
      <c r="I260" s="33"/>
      <c r="N260" s="33"/>
    </row>
    <row r="261" spans="1:14" s="73" customFormat="1" x14ac:dyDescent="0.35">
      <c r="A261" s="87">
        <f t="shared" si="61"/>
        <v>6</v>
      </c>
      <c r="B261" s="87"/>
      <c r="C261" s="72" t="s">
        <v>265</v>
      </c>
      <c r="D261" s="72">
        <f>(59.75)*10.764</f>
        <v>643.149</v>
      </c>
      <c r="E261" s="72">
        <v>0</v>
      </c>
      <c r="F261" s="72">
        <f t="shared" ref="F261" si="64">D261+E261</f>
        <v>643.149</v>
      </c>
      <c r="G261" s="72">
        <v>0</v>
      </c>
      <c r="H261" s="72">
        <f t="shared" ref="H261:H262" si="65">F261*(($H$174)+1)+(IF(G261&lt;101,G261,IF(G261&lt;201,G261/2,IF(G261&lt;=301,G261/3,G261/4))))</f>
        <v>964.72350000000006</v>
      </c>
      <c r="I261" s="63">
        <f>1.05*2.475+3.05*4.875+0.6*2.3+2.6*2.125+0.9*1.775+2.275*1.375+2.275*1.375+3.05*3.8+3.05*3.5+0.925*2.275+0.9*0.9+2.85*1.075</f>
        <v>60.469374999999985</v>
      </c>
      <c r="N261" s="33"/>
    </row>
    <row r="262" spans="1:14" s="73" customFormat="1" x14ac:dyDescent="0.35">
      <c r="A262" s="87">
        <f t="shared" si="61"/>
        <v>7</v>
      </c>
      <c r="B262" s="87"/>
      <c r="C262" s="72" t="s">
        <v>265</v>
      </c>
      <c r="D262" s="72">
        <f>(59.35)*10.764</f>
        <v>638.84339999999997</v>
      </c>
      <c r="E262" s="72">
        <v>0</v>
      </c>
      <c r="F262" s="72">
        <f>D262+E262</f>
        <v>638.84339999999997</v>
      </c>
      <c r="G262" s="72">
        <v>0</v>
      </c>
      <c r="H262" s="72">
        <f t="shared" si="65"/>
        <v>958.26509999999996</v>
      </c>
      <c r="I262" s="33"/>
      <c r="N262" s="33"/>
    </row>
    <row r="263" spans="1:14" s="73" customFormat="1" x14ac:dyDescent="0.35">
      <c r="A263" s="87">
        <f t="shared" si="61"/>
        <v>8</v>
      </c>
      <c r="B263" s="87"/>
      <c r="C263" s="72" t="s">
        <v>267</v>
      </c>
      <c r="D263" s="72">
        <f>(2.375*1.05+2.275*2.9+3.2*5.0175+0.675*3.3+0.197*0.9+3.05*3.8+1.375*2.275+3.2*4.275+2.45*1.525+3.05*3.5+1.375*2.275+0.9*1.525+0.926*(0.9+1.375+0.9*1.375))*10.764</f>
        <v>840.82582349999984</v>
      </c>
      <c r="E263" s="72">
        <f>(2.8*1.075)*10.764</f>
        <v>32.399639999999998</v>
      </c>
      <c r="F263" s="72">
        <f>D263+E263</f>
        <v>873.22546349999982</v>
      </c>
      <c r="G263" s="72">
        <v>0</v>
      </c>
      <c r="H263" s="72">
        <f>F263*(($H$174)+1)+(IF(G263&lt;101,G263,IF(G263&lt;201,G263/2,IF(G263&lt;=301,G263/3,G263/4))))</f>
        <v>1309.8381952499997</v>
      </c>
      <c r="I263" s="33"/>
      <c r="N263" s="33"/>
    </row>
    <row r="264" spans="1:14" s="54" customFormat="1" x14ac:dyDescent="0.35">
      <c r="A264" s="88" t="s">
        <v>278</v>
      </c>
      <c r="B264" s="88"/>
      <c r="C264" s="88"/>
      <c r="D264" s="88"/>
      <c r="E264" s="88"/>
      <c r="F264" s="88"/>
      <c r="G264" s="88"/>
      <c r="H264" s="88"/>
      <c r="I264" s="33"/>
      <c r="L264" s="86"/>
      <c r="M264" s="86"/>
    </row>
    <row r="265" spans="1:14" s="54" customFormat="1" x14ac:dyDescent="0.35">
      <c r="A265" s="87">
        <v>1</v>
      </c>
      <c r="B265" s="87"/>
      <c r="C265" s="53" t="s">
        <v>267</v>
      </c>
      <c r="D265" s="53">
        <f>(1.05*2.625+2.9*2.275+0.9*0.2025+0.675*3.2+3.2*5.175+1.375*2.275+1.375*2.275+3.8*3.05+1.525*2.45+3.2*4.275+0.9*2.45+3.05*3.5+0.925*(0.9+3.05))*10.764</f>
        <v>861.68241899999998</v>
      </c>
      <c r="E265" s="53">
        <v>0</v>
      </c>
      <c r="F265" s="53">
        <f>D265+E265</f>
        <v>861.68241899999998</v>
      </c>
      <c r="G265" s="53">
        <v>0</v>
      </c>
      <c r="H265" s="53">
        <f>F265*(($H$174)+1)+(IF(G265&lt;101,G265,IF(G265&lt;201,G265/2,IF(G265&lt;=301,G265/3,G265/4))))</f>
        <v>1292.5236285000001</v>
      </c>
      <c r="I265" s="33"/>
      <c r="N265" s="33"/>
    </row>
    <row r="266" spans="1:14" s="54" customFormat="1" x14ac:dyDescent="0.35">
      <c r="A266" s="87">
        <f t="shared" ref="A266:A272" si="66">A265+1</f>
        <v>2</v>
      </c>
      <c r="B266" s="87"/>
      <c r="C266" s="53" t="s">
        <v>267</v>
      </c>
      <c r="D266" s="53">
        <f>(1.05*2.625+2.9*2.275+0.9*0.2025+0.675*3.2+3.2*5.175+1.375*2.275+1.375*2.275+3.8*3.05+1.525*2.45+3.2*4.275+0.9*2.45+3.05*3.5+0.925*(0.9+3.05))*10.764</f>
        <v>861.68241899999998</v>
      </c>
      <c r="E266" s="53">
        <v>0</v>
      </c>
      <c r="F266" s="53">
        <f t="shared" ref="F266:F268" si="67">D266+E266</f>
        <v>861.68241899999998</v>
      </c>
      <c r="G266" s="53">
        <v>0</v>
      </c>
      <c r="H266" s="53">
        <f t="shared" ref="H266:H268" si="68">F266*(($H$174)+1)+(IF(G266&lt;101,G266,IF(G266&lt;201,G266/2,IF(G266&lt;=301,G266/3,G266/4))))</f>
        <v>1292.5236285000001</v>
      </c>
      <c r="I266" s="33"/>
      <c r="N266" s="33"/>
    </row>
    <row r="267" spans="1:14" s="54" customFormat="1" x14ac:dyDescent="0.35">
      <c r="A267" s="87">
        <f t="shared" si="66"/>
        <v>3</v>
      </c>
      <c r="B267" s="87"/>
      <c r="C267" s="53" t="s">
        <v>267</v>
      </c>
      <c r="D267" s="53">
        <f>(2.375*1.05+2.275*2.9+3.2*5.0175+0.675*3.3+0.197*0.9+3.05*3.8+1.375*2.275+3.2*4.275+2.45*1.525+3.05*3.5+1.375*2.275+0.9*1.525+0.926*(0.9+1.375+0.9*1.375))*10.764</f>
        <v>840.82582349999984</v>
      </c>
      <c r="E267" s="72">
        <f>(2.8*1.075)*10.764</f>
        <v>32.399639999999998</v>
      </c>
      <c r="F267" s="53">
        <f t="shared" si="67"/>
        <v>873.22546349999982</v>
      </c>
      <c r="G267" s="53">
        <v>0</v>
      </c>
      <c r="H267" s="53">
        <f t="shared" si="68"/>
        <v>1309.8381952499997</v>
      </c>
      <c r="I267" s="33"/>
      <c r="N267" s="33"/>
    </row>
    <row r="268" spans="1:14" s="54" customFormat="1" x14ac:dyDescent="0.35">
      <c r="A268" s="87">
        <f t="shared" si="66"/>
        <v>4</v>
      </c>
      <c r="B268" s="87"/>
      <c r="C268" s="53" t="s">
        <v>265</v>
      </c>
      <c r="D268" s="53">
        <f>(60.03)*10.764</f>
        <v>646.16291999999999</v>
      </c>
      <c r="E268" s="53">
        <v>0</v>
      </c>
      <c r="F268" s="53">
        <f t="shared" si="67"/>
        <v>646.16291999999999</v>
      </c>
      <c r="G268" s="53">
        <v>0</v>
      </c>
      <c r="H268" s="53">
        <f t="shared" si="68"/>
        <v>969.24437999999998</v>
      </c>
      <c r="I268" s="33"/>
      <c r="N268" s="33"/>
    </row>
    <row r="269" spans="1:14" s="54" customFormat="1" x14ac:dyDescent="0.35">
      <c r="A269" s="87">
        <f t="shared" si="66"/>
        <v>5</v>
      </c>
      <c r="B269" s="87"/>
      <c r="C269" s="82" t="s">
        <v>273</v>
      </c>
      <c r="D269" s="83"/>
      <c r="E269" s="83"/>
      <c r="F269" s="83"/>
      <c r="G269" s="83"/>
      <c r="H269" s="84"/>
      <c r="I269" s="33"/>
      <c r="N269" s="33"/>
    </row>
    <row r="270" spans="1:14" s="54" customFormat="1" x14ac:dyDescent="0.35">
      <c r="A270" s="87">
        <f t="shared" si="66"/>
        <v>6</v>
      </c>
      <c r="B270" s="87"/>
      <c r="C270" s="53" t="s">
        <v>265</v>
      </c>
      <c r="D270" s="53">
        <f>(59.75)*10.764</f>
        <v>643.149</v>
      </c>
      <c r="E270" s="53">
        <v>0</v>
      </c>
      <c r="F270" s="53">
        <f t="shared" ref="F270:F271" si="69">D270+E270</f>
        <v>643.149</v>
      </c>
      <c r="G270" s="53">
        <v>0</v>
      </c>
      <c r="H270" s="53">
        <f t="shared" ref="H270:H271" si="70">F270*(($H$174)+1)+(IF(G270&lt;101,G270,IF(G270&lt;201,G270/2,IF(G270&lt;=301,G270/3,G270/4))))</f>
        <v>964.72350000000006</v>
      </c>
      <c r="I270" s="33"/>
      <c r="N270" s="33"/>
    </row>
    <row r="271" spans="1:14" s="54" customFormat="1" x14ac:dyDescent="0.35">
      <c r="A271" s="87">
        <f t="shared" si="66"/>
        <v>7</v>
      </c>
      <c r="B271" s="87"/>
      <c r="C271" s="53" t="s">
        <v>265</v>
      </c>
      <c r="D271" s="53">
        <f>(59.35)*10.764</f>
        <v>638.84339999999997</v>
      </c>
      <c r="E271" s="53">
        <v>0</v>
      </c>
      <c r="F271" s="53">
        <f t="shared" si="69"/>
        <v>638.84339999999997</v>
      </c>
      <c r="G271" s="53">
        <v>0</v>
      </c>
      <c r="H271" s="53">
        <f t="shared" si="70"/>
        <v>958.26509999999996</v>
      </c>
      <c r="I271" s="33"/>
      <c r="N271" s="33"/>
    </row>
    <row r="272" spans="1:14" s="54" customFormat="1" x14ac:dyDescent="0.35">
      <c r="A272" s="87">
        <f t="shared" si="66"/>
        <v>8</v>
      </c>
      <c r="B272" s="87"/>
      <c r="C272" s="53" t="s">
        <v>267</v>
      </c>
      <c r="D272" s="53">
        <f>(2.375*1.05+2.275*2.9+3.2*5.0175+0.675*3.3+0.197*0.9+3.05*3.8+1.375*2.275+3.2*4.275+2.45*1.525+3.05*3.5+1.375*2.275+0.9*1.525+0.926*(0.9+1.375+0.9*1.375))*10.764</f>
        <v>840.82582349999984</v>
      </c>
      <c r="E272" s="53">
        <f>(2.8*1.075)*10.764</f>
        <v>32.399639999999998</v>
      </c>
      <c r="F272" s="53">
        <f>D272+E272</f>
        <v>873.22546349999982</v>
      </c>
      <c r="G272" s="53">
        <v>0</v>
      </c>
      <c r="H272" s="53">
        <f>F272*(($H$174)+1)+(IF(G272&lt;101,G272,IF(G272&lt;201,G272/2,IF(G272&lt;=301,G272/3,G272/4))))</f>
        <v>1309.8381952499997</v>
      </c>
      <c r="I272" s="33"/>
      <c r="N272" s="33"/>
    </row>
    <row r="273" spans="1:8" s="32" customFormat="1" x14ac:dyDescent="0.35">
      <c r="A273" s="198" t="s">
        <v>67</v>
      </c>
      <c r="B273" s="198"/>
      <c r="C273" s="198"/>
      <c r="D273" s="198"/>
      <c r="E273" s="198"/>
      <c r="F273" s="198"/>
      <c r="G273" s="198"/>
      <c r="H273" s="198"/>
    </row>
    <row r="274" spans="1:8" s="32" customFormat="1" ht="30.65" customHeight="1" x14ac:dyDescent="0.35">
      <c r="A274" s="41" t="s">
        <v>151</v>
      </c>
      <c r="B274" s="208" t="s">
        <v>300</v>
      </c>
      <c r="C274" s="209"/>
      <c r="D274" s="209"/>
      <c r="E274" s="209"/>
      <c r="F274" s="209"/>
      <c r="G274" s="209"/>
      <c r="H274" s="210"/>
    </row>
    <row r="275" spans="1:8" s="32" customFormat="1" x14ac:dyDescent="0.35">
      <c r="A275" s="41" t="s">
        <v>151</v>
      </c>
      <c r="B275" s="98" t="str">
        <f>(IF(H173="Saleable area Loading :","We have considered Saleable area of Flats as per our Calculation.","We considered Saleable area of Flat as per Builder area Sheet."))</f>
        <v>We have considered Saleable area of Flats as per our Calculation.</v>
      </c>
      <c r="C275" s="99"/>
      <c r="D275" s="99"/>
      <c r="E275" s="99"/>
      <c r="F275" s="99"/>
      <c r="G275" s="99"/>
      <c r="H275" s="100"/>
    </row>
    <row r="276" spans="1:8" s="32" customFormat="1" x14ac:dyDescent="0.35">
      <c r="A276" s="41" t="s">
        <v>151</v>
      </c>
      <c r="B276" s="98" t="str">
        <f>(IF(H119="Saleable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6" s="99"/>
      <c r="D276" s="99"/>
      <c r="E276" s="99"/>
      <c r="F276" s="99"/>
      <c r="G276" s="99"/>
      <c r="H276" s="100"/>
    </row>
    <row r="277" spans="1:8" s="32" customFormat="1" x14ac:dyDescent="0.35">
      <c r="A277" s="41" t="s">
        <v>151</v>
      </c>
      <c r="B277" s="199" t="s">
        <v>121</v>
      </c>
      <c r="C277" s="200"/>
      <c r="D277" s="200"/>
      <c r="E277" s="200"/>
      <c r="F277" s="200"/>
      <c r="G277" s="200"/>
      <c r="H277" s="201"/>
    </row>
    <row r="278" spans="1:8" s="32" customFormat="1" x14ac:dyDescent="0.35">
      <c r="A278" s="41" t="s">
        <v>151</v>
      </c>
      <c r="B278" s="98" t="s">
        <v>282</v>
      </c>
      <c r="C278" s="99"/>
      <c r="D278" s="99"/>
      <c r="E278" s="99"/>
      <c r="F278" s="99"/>
      <c r="G278" s="99"/>
      <c r="H278" s="100"/>
    </row>
    <row r="279" spans="1:8" s="32" customFormat="1" x14ac:dyDescent="0.35">
      <c r="A279" s="41" t="s">
        <v>151</v>
      </c>
      <c r="B279" s="199" t="s">
        <v>150</v>
      </c>
      <c r="C279" s="200"/>
      <c r="D279" s="200"/>
      <c r="E279" s="200"/>
      <c r="F279" s="200"/>
      <c r="G279" s="200"/>
      <c r="H279" s="201"/>
    </row>
    <row r="280" spans="1:8" s="32" customFormat="1" x14ac:dyDescent="0.35">
      <c r="A280" s="41" t="s">
        <v>151</v>
      </c>
      <c r="B280" s="199" t="s">
        <v>122</v>
      </c>
      <c r="C280" s="200"/>
      <c r="D280" s="200"/>
      <c r="E280" s="200"/>
      <c r="F280" s="200"/>
      <c r="G280" s="200"/>
      <c r="H280" s="201"/>
    </row>
    <row r="281" spans="1:8" s="32" customFormat="1" ht="34.5" customHeight="1" x14ac:dyDescent="0.35">
      <c r="A281" s="41" t="s">
        <v>151</v>
      </c>
      <c r="B281" s="199" t="s">
        <v>152</v>
      </c>
      <c r="C281" s="200"/>
      <c r="D281" s="200"/>
      <c r="E281" s="200"/>
      <c r="F281" s="200"/>
      <c r="G281" s="200"/>
      <c r="H281" s="201"/>
    </row>
    <row r="282" spans="1:8" s="32" customFormat="1" x14ac:dyDescent="0.35">
      <c r="A282" s="41" t="s">
        <v>151</v>
      </c>
      <c r="B282" s="199" t="s">
        <v>123</v>
      </c>
      <c r="C282" s="200"/>
      <c r="D282" s="200"/>
      <c r="E282" s="200"/>
      <c r="F282" s="200"/>
      <c r="G282" s="200"/>
      <c r="H282" s="201"/>
    </row>
    <row r="283" spans="1:8" s="32" customFormat="1" ht="32.25" hidden="1" customHeight="1" x14ac:dyDescent="0.35">
      <c r="A283" s="47" t="s">
        <v>151</v>
      </c>
      <c r="B283" s="126" t="s">
        <v>178</v>
      </c>
      <c r="C283" s="127"/>
      <c r="D283" s="127"/>
      <c r="E283" s="127"/>
      <c r="F283" s="127"/>
      <c r="G283" s="127"/>
      <c r="H283" s="128"/>
    </row>
    <row r="284" spans="1:8" s="32" customFormat="1" ht="31.5" customHeight="1" x14ac:dyDescent="0.35">
      <c r="A284" s="51" t="s">
        <v>151</v>
      </c>
      <c r="B284" s="98" t="s">
        <v>252</v>
      </c>
      <c r="C284" s="99"/>
      <c r="D284" s="99"/>
      <c r="E284" s="99"/>
      <c r="F284" s="99"/>
      <c r="G284" s="99"/>
      <c r="H284" s="100"/>
    </row>
    <row r="285" spans="1:8" s="32" customFormat="1" x14ac:dyDescent="0.35">
      <c r="A285" s="52" t="s">
        <v>151</v>
      </c>
      <c r="B285" s="98" t="s">
        <v>258</v>
      </c>
      <c r="C285" s="99"/>
      <c r="D285" s="99"/>
      <c r="E285" s="99"/>
      <c r="F285" s="99"/>
      <c r="G285" s="99"/>
      <c r="H285" s="100"/>
    </row>
    <row r="286" spans="1:8" s="32" customFormat="1" ht="63" customHeight="1" x14ac:dyDescent="0.35">
      <c r="A286" s="71" t="s">
        <v>151</v>
      </c>
      <c r="B286" s="98" t="s">
        <v>298</v>
      </c>
      <c r="C286" s="99"/>
      <c r="D286" s="99"/>
      <c r="E286" s="99"/>
      <c r="F286" s="99"/>
      <c r="G286" s="99"/>
      <c r="H286" s="100"/>
    </row>
    <row r="287" spans="1:8" s="32" customFormat="1" x14ac:dyDescent="0.35">
      <c r="A287" s="75" t="s">
        <v>151</v>
      </c>
      <c r="B287" s="98" t="s">
        <v>302</v>
      </c>
      <c r="C287" s="99"/>
      <c r="D287" s="99"/>
      <c r="E287" s="99"/>
      <c r="F287" s="99"/>
      <c r="G287" s="99"/>
      <c r="H287" s="100"/>
    </row>
    <row r="288" spans="1:8" x14ac:dyDescent="0.35">
      <c r="A288" s="135" t="s">
        <v>60</v>
      </c>
      <c r="B288" s="135"/>
      <c r="C288" s="135"/>
      <c r="D288" s="135"/>
      <c r="E288" s="135"/>
      <c r="F288" s="135"/>
      <c r="G288" s="135"/>
      <c r="H288" s="135"/>
    </row>
    <row r="289" spans="1:8" x14ac:dyDescent="0.35">
      <c r="A289" s="150" t="s">
        <v>61</v>
      </c>
      <c r="B289" s="150"/>
      <c r="C289" s="150"/>
      <c r="D289" s="150"/>
      <c r="E289" s="150"/>
      <c r="F289" s="150"/>
      <c r="G289" s="150"/>
      <c r="H289" s="150"/>
    </row>
    <row r="290" spans="1:8" ht="15.75" customHeight="1" x14ac:dyDescent="0.35">
      <c r="A290" s="151" t="s">
        <v>62</v>
      </c>
      <c r="B290" s="151"/>
      <c r="C290" s="151"/>
      <c r="D290" s="151"/>
      <c r="E290" s="151"/>
      <c r="F290" s="151"/>
      <c r="G290" s="151"/>
      <c r="H290" s="151"/>
    </row>
    <row r="291" spans="1:8" x14ac:dyDescent="0.35">
      <c r="A291" s="150" t="s">
        <v>63</v>
      </c>
      <c r="B291" s="150"/>
      <c r="C291" s="150"/>
      <c r="D291" s="150"/>
      <c r="E291" s="150"/>
      <c r="F291" s="150"/>
      <c r="G291" s="150"/>
      <c r="H291" s="150"/>
    </row>
    <row r="292" spans="1:8" x14ac:dyDescent="0.35">
      <c r="A292" s="150" t="s">
        <v>64</v>
      </c>
      <c r="B292" s="150"/>
      <c r="C292" s="150"/>
      <c r="D292" s="150"/>
      <c r="E292" s="150"/>
      <c r="F292" s="150"/>
      <c r="G292" s="150"/>
      <c r="H292" s="150"/>
    </row>
    <row r="293" spans="1:8" x14ac:dyDescent="0.35">
      <c r="A293" s="150" t="s">
        <v>124</v>
      </c>
      <c r="B293" s="150"/>
      <c r="C293" s="150"/>
      <c r="D293" s="150"/>
      <c r="E293" s="150"/>
      <c r="F293" s="150"/>
      <c r="G293" s="150"/>
      <c r="H293" s="150"/>
    </row>
    <row r="294" spans="1:8" ht="34" customHeight="1" x14ac:dyDescent="0.35">
      <c r="A294" s="113" t="s">
        <v>125</v>
      </c>
      <c r="B294" s="113"/>
      <c r="C294" s="113"/>
      <c r="D294" s="113"/>
      <c r="E294" s="113"/>
      <c r="F294" s="113"/>
      <c r="G294" s="113"/>
      <c r="H294" s="113"/>
    </row>
    <row r="295" spans="1:8" x14ac:dyDescent="0.35">
      <c r="A295" s="168" t="s">
        <v>76</v>
      </c>
      <c r="B295" s="168"/>
      <c r="C295" s="168" t="s">
        <v>304</v>
      </c>
      <c r="D295" s="168"/>
      <c r="E295" s="168" t="s">
        <v>105</v>
      </c>
      <c r="F295" s="168"/>
      <c r="G295" s="169" t="s">
        <v>299</v>
      </c>
      <c r="H295" s="169"/>
    </row>
    <row r="296" spans="1:8" x14ac:dyDescent="0.35">
      <c r="A296" s="167" t="s">
        <v>78</v>
      </c>
      <c r="B296" s="167"/>
      <c r="C296" s="167"/>
      <c r="D296" s="167"/>
      <c r="E296" s="167"/>
      <c r="F296" s="167"/>
      <c r="G296" s="167"/>
      <c r="H296" s="167"/>
    </row>
    <row r="297" spans="1:8" x14ac:dyDescent="0.35">
      <c r="A297" s="167"/>
      <c r="B297" s="167"/>
      <c r="C297" s="167"/>
      <c r="D297" s="167"/>
      <c r="E297" s="167"/>
      <c r="F297" s="167"/>
      <c r="G297" s="167"/>
      <c r="H297" s="167"/>
    </row>
    <row r="298" spans="1:8" x14ac:dyDescent="0.35">
      <c r="A298" s="167"/>
      <c r="B298" s="167"/>
      <c r="C298" s="167"/>
      <c r="D298" s="167"/>
      <c r="E298" s="167"/>
      <c r="F298" s="167"/>
      <c r="G298" s="167"/>
      <c r="H298" s="167"/>
    </row>
    <row r="299" spans="1:8" x14ac:dyDescent="0.35">
      <c r="A299" s="35" t="s">
        <v>65</v>
      </c>
      <c r="B299" s="36"/>
      <c r="C299" s="36"/>
      <c r="D299" s="35" t="str">
        <f>E8</f>
        <v>Sunteck Crescent Park 1 &amp; 2</v>
      </c>
      <c r="F299" s="36"/>
      <c r="G299" s="36"/>
      <c r="H299" s="36"/>
    </row>
    <row r="300" spans="1:8" x14ac:dyDescent="0.35">
      <c r="A300" s="36"/>
      <c r="B300" s="36"/>
      <c r="C300" s="36"/>
      <c r="D300" s="36"/>
      <c r="E300" s="36"/>
      <c r="F300" s="36"/>
      <c r="G300" s="36"/>
      <c r="H300" s="36"/>
    </row>
    <row r="301" spans="1:8" x14ac:dyDescent="0.35">
      <c r="A301" s="36"/>
      <c r="B301" s="36"/>
      <c r="C301" s="36"/>
      <c r="D301" s="36"/>
      <c r="E301" s="36"/>
      <c r="F301" s="36"/>
      <c r="G301" s="36"/>
      <c r="H301" s="36"/>
    </row>
    <row r="302" spans="1:8" ht="15" customHeight="1" x14ac:dyDescent="0.35"/>
    <row r="342" spans="1:1" x14ac:dyDescent="0.35">
      <c r="A342" s="38" t="s">
        <v>162</v>
      </c>
    </row>
    <row r="385" spans="1:1" x14ac:dyDescent="0.35">
      <c r="A385" s="38" t="s">
        <v>66</v>
      </c>
    </row>
  </sheetData>
  <mergeCells count="496">
    <mergeCell ref="B287:H287"/>
    <mergeCell ref="B286:H286"/>
    <mergeCell ref="B284:H284"/>
    <mergeCell ref="A100:E100"/>
    <mergeCell ref="A94:B94"/>
    <mergeCell ref="A115:B115"/>
    <mergeCell ref="E115:F115"/>
    <mergeCell ref="A105:E105"/>
    <mergeCell ref="G115:H115"/>
    <mergeCell ref="A114:B114"/>
    <mergeCell ref="C114:D114"/>
    <mergeCell ref="E114:F114"/>
    <mergeCell ref="G114:H114"/>
    <mergeCell ref="B281:H281"/>
    <mergeCell ref="A241:B241"/>
    <mergeCell ref="G116:H116"/>
    <mergeCell ref="A180:B180"/>
    <mergeCell ref="B282:H282"/>
    <mergeCell ref="B280:H280"/>
    <mergeCell ref="B276:H276"/>
    <mergeCell ref="B274:H274"/>
    <mergeCell ref="B275:H275"/>
    <mergeCell ref="B277:H277"/>
    <mergeCell ref="B278:H278"/>
    <mergeCell ref="A273:H273"/>
    <mergeCell ref="A48:B48"/>
    <mergeCell ref="C48:H48"/>
    <mergeCell ref="B279:H279"/>
    <mergeCell ref="G85:H94"/>
    <mergeCell ref="A86:B86"/>
    <mergeCell ref="A87:B87"/>
    <mergeCell ref="A88:B88"/>
    <mergeCell ref="F97:H97"/>
    <mergeCell ref="A97:E97"/>
    <mergeCell ref="D119:D120"/>
    <mergeCell ref="A99:E99"/>
    <mergeCell ref="A98:E98"/>
    <mergeCell ref="A95:E95"/>
    <mergeCell ref="F99:H99"/>
    <mergeCell ref="F173:F174"/>
    <mergeCell ref="G119:G120"/>
    <mergeCell ref="A83:B83"/>
    <mergeCell ref="C83:H83"/>
    <mergeCell ref="C67:H67"/>
    <mergeCell ref="A75:B75"/>
    <mergeCell ref="A176:H176"/>
    <mergeCell ref="A255:H255"/>
    <mergeCell ref="A256:B256"/>
    <mergeCell ref="D57:H57"/>
    <mergeCell ref="A57:C57"/>
    <mergeCell ref="G50:H50"/>
    <mergeCell ref="A51:B52"/>
    <mergeCell ref="A69:B69"/>
    <mergeCell ref="A67:B67"/>
    <mergeCell ref="L180:M180"/>
    <mergeCell ref="A181:B181"/>
    <mergeCell ref="A70:B70"/>
    <mergeCell ref="A73:B73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A178:B178"/>
    <mergeCell ref="G70:H70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39:B39"/>
    <mergeCell ref="C39:H39"/>
    <mergeCell ref="F36:H36"/>
    <mergeCell ref="A44:D44"/>
    <mergeCell ref="A38:B38"/>
    <mergeCell ref="C38:H38"/>
    <mergeCell ref="A45:D45"/>
    <mergeCell ref="A46:D46"/>
    <mergeCell ref="A47:H47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71:F80"/>
    <mergeCell ref="G71:H80"/>
    <mergeCell ref="A79:B79"/>
    <mergeCell ref="A80:B80"/>
    <mergeCell ref="A77:B77"/>
    <mergeCell ref="A78:B78"/>
    <mergeCell ref="A296:H298"/>
    <mergeCell ref="A295:B295"/>
    <mergeCell ref="E295:F295"/>
    <mergeCell ref="C295:D295"/>
    <mergeCell ref="G295:H295"/>
    <mergeCell ref="A108:H108"/>
    <mergeCell ref="A106:E106"/>
    <mergeCell ref="F106:H106"/>
    <mergeCell ref="A107:E107"/>
    <mergeCell ref="F107:H107"/>
    <mergeCell ref="A237:H237"/>
    <mergeCell ref="A113:B113"/>
    <mergeCell ref="A110:B110"/>
    <mergeCell ref="A291:H291"/>
    <mergeCell ref="A111:H111"/>
    <mergeCell ref="A294:H294"/>
    <mergeCell ref="A292:H292"/>
    <mergeCell ref="A288:H288"/>
    <mergeCell ref="G112:H112"/>
    <mergeCell ref="C119:C120"/>
    <mergeCell ref="B173:B174"/>
    <mergeCell ref="A289:H289"/>
    <mergeCell ref="A242:B242"/>
    <mergeCell ref="A239:B239"/>
    <mergeCell ref="E84:F84"/>
    <mergeCell ref="G84:H84"/>
    <mergeCell ref="A101:E101"/>
    <mergeCell ref="F101:H101"/>
    <mergeCell ref="A103:E103"/>
    <mergeCell ref="F98:H98"/>
    <mergeCell ref="A102:E102"/>
    <mergeCell ref="E85:F94"/>
    <mergeCell ref="A92:B92"/>
    <mergeCell ref="A93:B93"/>
    <mergeCell ref="A84:B84"/>
    <mergeCell ref="F95:H95"/>
    <mergeCell ref="F100:H100"/>
    <mergeCell ref="A96:E96"/>
    <mergeCell ref="A85:B85"/>
    <mergeCell ref="E112:F112"/>
    <mergeCell ref="A117:H117"/>
    <mergeCell ref="A143:B143"/>
    <mergeCell ref="F119:F120"/>
    <mergeCell ref="A216:B216"/>
    <mergeCell ref="A217:B217"/>
    <mergeCell ref="A218:B218"/>
    <mergeCell ref="A210:H210"/>
    <mergeCell ref="C113:D113"/>
    <mergeCell ref="E113:F113"/>
    <mergeCell ref="G113:H113"/>
    <mergeCell ref="A122:H122"/>
    <mergeCell ref="E119:E120"/>
    <mergeCell ref="C110:D110"/>
    <mergeCell ref="E110:F110"/>
    <mergeCell ref="B119:B120"/>
    <mergeCell ref="A119:A120"/>
    <mergeCell ref="A58:C59"/>
    <mergeCell ref="D58:H58"/>
    <mergeCell ref="D59:H59"/>
    <mergeCell ref="C50:E50"/>
    <mergeCell ref="A293:H293"/>
    <mergeCell ref="A290:H290"/>
    <mergeCell ref="A238:B238"/>
    <mergeCell ref="A112:B112"/>
    <mergeCell ref="D173:D174"/>
    <mergeCell ref="E173:E174"/>
    <mergeCell ref="A89:B89"/>
    <mergeCell ref="A90:B90"/>
    <mergeCell ref="A91:B91"/>
    <mergeCell ref="F96:H96"/>
    <mergeCell ref="G110:H110"/>
    <mergeCell ref="F102:H102"/>
    <mergeCell ref="C109:D109"/>
    <mergeCell ref="C115:D115"/>
    <mergeCell ref="A177:H177"/>
    <mergeCell ref="A123:B123"/>
    <mergeCell ref="B283:H283"/>
    <mergeCell ref="A116:B116"/>
    <mergeCell ref="C116:D116"/>
    <mergeCell ref="E116:F116"/>
    <mergeCell ref="G51:H51"/>
    <mergeCell ref="A50:B50"/>
    <mergeCell ref="A54:H54"/>
    <mergeCell ref="A55:C55"/>
    <mergeCell ref="A56:C56"/>
    <mergeCell ref="D56:H56"/>
    <mergeCell ref="G53:H53"/>
    <mergeCell ref="C52:H52"/>
    <mergeCell ref="C51:E51"/>
    <mergeCell ref="A148:B148"/>
    <mergeCell ref="A153:B153"/>
    <mergeCell ref="A158:B158"/>
    <mergeCell ref="A163:B163"/>
    <mergeCell ref="A168:B168"/>
    <mergeCell ref="A182:B182"/>
    <mergeCell ref="A243:B243"/>
    <mergeCell ref="A244:B244"/>
    <mergeCell ref="A245:B245"/>
    <mergeCell ref="A270:B270"/>
    <mergeCell ref="A234:B234"/>
    <mergeCell ref="I14:P14"/>
    <mergeCell ref="F105:H105"/>
    <mergeCell ref="F103:H103"/>
    <mergeCell ref="A118:H118"/>
    <mergeCell ref="G109:H109"/>
    <mergeCell ref="A104:E104"/>
    <mergeCell ref="A124:B124"/>
    <mergeCell ref="A53:B53"/>
    <mergeCell ref="C53:E53"/>
    <mergeCell ref="D55:H55"/>
    <mergeCell ref="F104:H104"/>
    <mergeCell ref="E109:F109"/>
    <mergeCell ref="A109:B109"/>
    <mergeCell ref="C112:D112"/>
    <mergeCell ref="D64:H64"/>
    <mergeCell ref="A65:C65"/>
    <mergeCell ref="E42:H42"/>
    <mergeCell ref="A42:D42"/>
    <mergeCell ref="A81:B81"/>
    <mergeCell ref="C81:H81"/>
    <mergeCell ref="A76:B76"/>
    <mergeCell ref="A49:B49"/>
    <mergeCell ref="C49:E49"/>
    <mergeCell ref="G49:H49"/>
    <mergeCell ref="B285:H285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131:B131"/>
    <mergeCell ref="K131:L13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43:M143"/>
    <mergeCell ref="A144:B144"/>
    <mergeCell ref="L144:M144"/>
    <mergeCell ref="A145:B145"/>
    <mergeCell ref="L145:M145"/>
    <mergeCell ref="A146:B146"/>
    <mergeCell ref="L146:M146"/>
    <mergeCell ref="A121:H121"/>
    <mergeCell ref="A147:H147"/>
    <mergeCell ref="L138:M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A126:B126"/>
    <mergeCell ref="A125:B125"/>
    <mergeCell ref="L126:M126"/>
    <mergeCell ref="L125:M125"/>
    <mergeCell ref="L124:M124"/>
    <mergeCell ref="L123:M123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53:M153"/>
    <mergeCell ref="A154:B154"/>
    <mergeCell ref="L154:M154"/>
    <mergeCell ref="A155:B155"/>
    <mergeCell ref="L155:M155"/>
    <mergeCell ref="A156:B156"/>
    <mergeCell ref="K156:L156"/>
    <mergeCell ref="A157:B157"/>
    <mergeCell ref="L157:M157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L163:M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L168:M168"/>
    <mergeCell ref="A169:B169"/>
    <mergeCell ref="L169:M169"/>
    <mergeCell ref="A170:B170"/>
    <mergeCell ref="L170:M170"/>
    <mergeCell ref="A171:B171"/>
    <mergeCell ref="L171:M171"/>
    <mergeCell ref="A179:H179"/>
    <mergeCell ref="C173:C174"/>
    <mergeCell ref="G173:G174"/>
    <mergeCell ref="L178:M178"/>
    <mergeCell ref="A172:H172"/>
    <mergeCell ref="A173:A174"/>
    <mergeCell ref="L182:M182"/>
    <mergeCell ref="A175:H175"/>
    <mergeCell ref="A228:H228"/>
    <mergeCell ref="A229:H229"/>
    <mergeCell ref="A230:B230"/>
    <mergeCell ref="L230:M230"/>
    <mergeCell ref="A232:H232"/>
    <mergeCell ref="A233:B233"/>
    <mergeCell ref="L233:M233"/>
    <mergeCell ref="A201:H201"/>
    <mergeCell ref="L201:M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L181:M181"/>
    <mergeCell ref="A212:B212"/>
    <mergeCell ref="A213:B213"/>
    <mergeCell ref="A214:B214"/>
    <mergeCell ref="A215:B215"/>
    <mergeCell ref="L234:M234"/>
    <mergeCell ref="A235:B235"/>
    <mergeCell ref="L235:M235"/>
    <mergeCell ref="A231:B231"/>
    <mergeCell ref="L231:M231"/>
    <mergeCell ref="A236:B236"/>
    <mergeCell ref="L236:M236"/>
    <mergeCell ref="A264:H264"/>
    <mergeCell ref="L264:M264"/>
    <mergeCell ref="L237:M237"/>
    <mergeCell ref="L255:M255"/>
    <mergeCell ref="A258:B258"/>
    <mergeCell ref="A259:B259"/>
    <mergeCell ref="A260:B260"/>
    <mergeCell ref="A261:B261"/>
    <mergeCell ref="A262:B262"/>
    <mergeCell ref="A263:B263"/>
    <mergeCell ref="A257:B257"/>
    <mergeCell ref="A240:B240"/>
    <mergeCell ref="A271:B271"/>
    <mergeCell ref="A272:B272"/>
    <mergeCell ref="A183:H183"/>
    <mergeCell ref="L183:M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H192"/>
    <mergeCell ref="L192:M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C199:H199"/>
    <mergeCell ref="A265:B265"/>
    <mergeCell ref="L210:M210"/>
    <mergeCell ref="A211:B211"/>
    <mergeCell ref="A227:B227"/>
    <mergeCell ref="A219:H219"/>
    <mergeCell ref="L219:M219"/>
    <mergeCell ref="A220:B220"/>
    <mergeCell ref="A221:B221"/>
    <mergeCell ref="A222:B222"/>
    <mergeCell ref="A223:B223"/>
    <mergeCell ref="A224:B224"/>
    <mergeCell ref="A225:B225"/>
    <mergeCell ref="A226:B226"/>
    <mergeCell ref="C269:H269"/>
    <mergeCell ref="A246:H246"/>
    <mergeCell ref="L246:M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66:B266"/>
    <mergeCell ref="A267:B267"/>
    <mergeCell ref="A268:B268"/>
    <mergeCell ref="A269:B269"/>
  </mergeCells>
  <dataValidations count="12">
    <dataValidation type="list" allowBlank="1" showInputMessage="1" showErrorMessage="1" sqref="E4:H4">
      <formula1>"Axis Goregaon,Axis Thane,Axis Badlapur,Axis Sanpada,PNB Thane,Cent Kalyan,IBHF Kalyan,IBHF Badlapur,IBHF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19:E120">
      <formula1>"Attached Loft area,Attached Otla area,Attached Mezzanine area"</formula1>
    </dataValidation>
    <dataValidation type="list" allowBlank="1" showInputMessage="1" showErrorMessage="1" sqref="G295:H295">
      <formula1>"Kunal Kadam,Pranita Mhatre,Shruti Fule,Pooja Kawale,Mansee Mohite,Anjali Kamble,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6:H106">
      <formula1>"100000,150000,200000,250000,300000,350000,400000,500000,600000,700000,800000,900000,1000000,1200000,1400000,1500000"</formula1>
    </dataValidation>
    <dataValidation type="list" allowBlank="1" showInputMessage="1" showErrorMessage="1" sqref="B119:B120">
      <formula1>"Shop No. (Sale Plan),Sale / Rehab,Sale / Mhada"</formula1>
    </dataValidation>
    <dataValidation type="list" allowBlank="1" showInputMessage="1" showErrorMessage="1" sqref="B173:B174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73:E174">
      <formula1>"Fungible area,Balcony Area,Chajja Area,Cornice Area,AP Area,WS Area"</formula1>
    </dataValidation>
  </dataValidations>
  <hyperlinks>
    <hyperlink ref="C39" r:id="rId1"/>
    <hyperlink ref="I63" display="https://crescentpark.sunteck-kalyan.co/?utm_source=Google&amp;utm_medium=Search&amp;utm_campaign=2764_Sunteck- Kalyan_KDMC_Search_1Nov23&amp;utm_term=Sunteck%20crescent%20park&amp;utm_content=Search_Texttype&amp;gclid=Cj0KCQiA6vaqBhCbARIsACF9M6k5t5jxRUiadWp1bh9iv-Jet-12B_B0C"/>
    <hyperlink ref="I116" display="https://crescentpark.sunteck-kalyan.co/?utm_source=Google&amp;utm_medium=Search&amp;utm_campaign=2764_Sunteck-Kalyan_KDMC_Search_1Nov23&amp;utm_term=Sunteck%20crescent%20park&amp;utm_content=Search_Texttype&amp;gclid=CjwKCAiAjfyqBhAsEiwA-UdzJPL21MGI8ko_QuSUU- Ps2xS0_VczuZuYs"/>
    <hyperlink ref="I118" r:id="rId2"/>
    <hyperlink ref="I119" r:id="rId3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98" max="16383" man="1"/>
    <brk id="341" max="16383" man="1"/>
    <brk id="384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4"/>
  <sheetViews>
    <sheetView topLeftCell="A29" zoomScale="85" zoomScaleNormal="85" workbookViewId="0">
      <selection activeCell="J48" sqref="J48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1" t="s">
        <v>106</v>
      </c>
      <c r="C3" s="211"/>
      <c r="D3" s="211"/>
      <c r="E3" s="211"/>
      <c r="F3" s="211"/>
      <c r="G3" s="211"/>
      <c r="H3" s="211"/>
    </row>
    <row r="4" spans="1:9" x14ac:dyDescent="0.3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  <row r="34" spans="3:3" x14ac:dyDescent="0.35">
      <c r="C34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8"/>
      <c r="C4" s="48" t="s">
        <v>12</v>
      </c>
      <c r="D4" s="49" t="s">
        <v>179</v>
      </c>
      <c r="E4" s="49" t="s">
        <v>189</v>
      </c>
      <c r="F4" s="49" t="s">
        <v>171</v>
      </c>
      <c r="G4" s="49" t="s">
        <v>194</v>
      </c>
      <c r="H4" s="49" t="s">
        <v>212</v>
      </c>
      <c r="J4" t="s">
        <v>194</v>
      </c>
      <c r="K4" t="s">
        <v>210</v>
      </c>
    </row>
    <row r="5" spans="2:11" x14ac:dyDescent="0.35">
      <c r="B5" s="48"/>
      <c r="C5" s="48"/>
      <c r="D5" s="49" t="s">
        <v>180</v>
      </c>
      <c r="E5" s="49" t="s">
        <v>187</v>
      </c>
      <c r="F5" s="49" t="s">
        <v>209</v>
      </c>
      <c r="G5" s="49" t="s">
        <v>195</v>
      </c>
      <c r="H5" s="49" t="s">
        <v>213</v>
      </c>
    </row>
    <row r="6" spans="2:11" x14ac:dyDescent="0.35">
      <c r="B6" s="48"/>
      <c r="C6" s="48"/>
      <c r="D6" s="49" t="s">
        <v>181</v>
      </c>
      <c r="E6" s="49" t="s">
        <v>188</v>
      </c>
      <c r="F6" s="49" t="s">
        <v>210</v>
      </c>
      <c r="G6" s="49" t="s">
        <v>196</v>
      </c>
      <c r="H6" s="49" t="s">
        <v>226</v>
      </c>
    </row>
    <row r="7" spans="2:11" x14ac:dyDescent="0.35">
      <c r="B7" s="48"/>
      <c r="C7" s="48"/>
      <c r="D7" s="49" t="s">
        <v>182</v>
      </c>
      <c r="E7" s="49" t="s">
        <v>190</v>
      </c>
      <c r="F7" s="49" t="s">
        <v>211</v>
      </c>
      <c r="G7" s="49" t="s">
        <v>197</v>
      </c>
      <c r="H7" s="49" t="s">
        <v>214</v>
      </c>
    </row>
    <row r="8" spans="2:11" x14ac:dyDescent="0.35">
      <c r="B8" s="48"/>
      <c r="C8" s="48"/>
      <c r="D8" s="49" t="s">
        <v>183</v>
      </c>
      <c r="E8" s="49" t="s">
        <v>191</v>
      </c>
      <c r="F8" s="49"/>
      <c r="G8" s="49" t="s">
        <v>198</v>
      </c>
      <c r="H8" s="49" t="s">
        <v>215</v>
      </c>
    </row>
    <row r="9" spans="2:11" x14ac:dyDescent="0.35">
      <c r="B9" s="48"/>
      <c r="C9" s="48"/>
      <c r="D9" s="49" t="s">
        <v>184</v>
      </c>
      <c r="E9" s="49" t="s">
        <v>189</v>
      </c>
      <c r="F9" s="49"/>
      <c r="G9" s="49" t="s">
        <v>199</v>
      </c>
      <c r="H9" s="49" t="s">
        <v>216</v>
      </c>
    </row>
    <row r="10" spans="2:11" x14ac:dyDescent="0.35">
      <c r="B10" s="48"/>
      <c r="C10" s="48"/>
      <c r="D10" s="49" t="s">
        <v>185</v>
      </c>
      <c r="E10" s="49" t="s">
        <v>192</v>
      </c>
      <c r="F10" s="49"/>
      <c r="G10" s="49" t="s">
        <v>200</v>
      </c>
      <c r="H10" s="49" t="s">
        <v>217</v>
      </c>
    </row>
    <row r="11" spans="2:11" x14ac:dyDescent="0.35">
      <c r="B11" s="48"/>
      <c r="C11" s="48"/>
      <c r="D11" s="49" t="s">
        <v>186</v>
      </c>
      <c r="E11" s="49" t="s">
        <v>193</v>
      </c>
      <c r="F11" s="49"/>
      <c r="G11" s="49" t="s">
        <v>201</v>
      </c>
      <c r="H11" s="49" t="s">
        <v>218</v>
      </c>
    </row>
    <row r="12" spans="2:11" x14ac:dyDescent="0.35">
      <c r="B12" s="48"/>
      <c r="C12" s="48"/>
      <c r="D12" s="49"/>
      <c r="E12" s="49"/>
      <c r="F12" s="49"/>
      <c r="G12" s="49" t="s">
        <v>202</v>
      </c>
      <c r="H12" s="49" t="s">
        <v>219</v>
      </c>
    </row>
    <row r="13" spans="2:11" x14ac:dyDescent="0.35">
      <c r="B13" s="48"/>
      <c r="C13" s="48"/>
      <c r="D13" s="49"/>
      <c r="E13" s="49"/>
      <c r="F13" s="49"/>
      <c r="G13" s="49" t="s">
        <v>203</v>
      </c>
      <c r="H13" s="49" t="s">
        <v>220</v>
      </c>
    </row>
    <row r="14" spans="2:11" x14ac:dyDescent="0.35">
      <c r="B14" s="48"/>
      <c r="C14" s="48"/>
      <c r="D14" s="49"/>
      <c r="E14" s="49"/>
      <c r="F14" s="49"/>
      <c r="G14" s="49" t="s">
        <v>204</v>
      </c>
      <c r="H14" s="49" t="s">
        <v>221</v>
      </c>
    </row>
    <row r="15" spans="2:11" x14ac:dyDescent="0.35">
      <c r="B15" s="48"/>
      <c r="C15" s="48"/>
      <c r="D15" s="49"/>
      <c r="E15" s="49"/>
      <c r="F15" s="49"/>
      <c r="G15" s="49" t="s">
        <v>205</v>
      </c>
      <c r="H15" s="49" t="s">
        <v>222</v>
      </c>
    </row>
    <row r="16" spans="2:11" x14ac:dyDescent="0.35">
      <c r="B16" s="48"/>
      <c r="C16" s="48"/>
      <c r="D16" s="49"/>
      <c r="E16" s="49"/>
      <c r="F16" s="49"/>
      <c r="G16" s="49" t="s">
        <v>206</v>
      </c>
      <c r="H16" s="49" t="s">
        <v>223</v>
      </c>
    </row>
    <row r="17" spans="2:8" x14ac:dyDescent="0.35">
      <c r="B17" s="48"/>
      <c r="C17" s="48"/>
      <c r="D17" s="49"/>
      <c r="E17" s="49"/>
      <c r="F17" s="49"/>
      <c r="G17" s="49" t="s">
        <v>207</v>
      </c>
      <c r="H17" s="49" t="s">
        <v>224</v>
      </c>
    </row>
    <row r="18" spans="2:8" x14ac:dyDescent="0.35">
      <c r="B18" s="48"/>
      <c r="C18" s="48"/>
      <c r="D18" s="49"/>
      <c r="E18" s="49"/>
      <c r="F18" s="49"/>
      <c r="G18" s="49" t="s">
        <v>208</v>
      </c>
      <c r="H18" s="49" t="s">
        <v>225</v>
      </c>
    </row>
    <row r="24" spans="2:8" x14ac:dyDescent="0.35">
      <c r="C24" t="s">
        <v>168</v>
      </c>
    </row>
    <row r="25" spans="2:8" x14ac:dyDescent="0.35">
      <c r="C25" t="s">
        <v>227</v>
      </c>
    </row>
    <row r="26" spans="2:8" x14ac:dyDescent="0.35">
      <c r="C26" t="s">
        <v>228</v>
      </c>
    </row>
    <row r="27" spans="2:8" x14ac:dyDescent="0.35">
      <c r="C27" t="s">
        <v>229</v>
      </c>
    </row>
    <row r="28" spans="2:8" x14ac:dyDescent="0.35">
      <c r="C28" t="s">
        <v>230</v>
      </c>
    </row>
    <row r="29" spans="2:8" x14ac:dyDescent="0.35">
      <c r="C29" t="s">
        <v>231</v>
      </c>
    </row>
    <row r="30" spans="2:8" x14ac:dyDescent="0.35">
      <c r="C30" t="s">
        <v>168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2024-10-30T07:29:03Z</cp:lastPrinted>
  <dcterms:created xsi:type="dcterms:W3CDTF">2019-07-16T09:29:46Z</dcterms:created>
  <dcterms:modified xsi:type="dcterms:W3CDTF">2025-08-19T13:18:43Z</dcterms:modified>
</cp:coreProperties>
</file>