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VSJCV\Making\AXIS\2025-26\Axis\APF Dump\Aug 2025\20-08-2025\Axis Sanpada\"/>
    </mc:Choice>
  </mc:AlternateContent>
  <bookViews>
    <workbookView xWindow="0" yWindow="0" windowWidth="19200" windowHeight="6640" tabRatio="834"/>
  </bookViews>
  <sheets>
    <sheet name="Sheet1" sheetId="1" r:id="rId1"/>
    <sheet name="Rate" sheetId="14" r:id="rId2"/>
    <sheet name="Wing A" sheetId="11" r:id="rId3"/>
    <sheet name="Wing B" sheetId="12" r:id="rId4"/>
    <sheet name="Wing C" sheetId="13" r:id="rId5"/>
  </sheets>
  <definedNames>
    <definedName name="_xlnm.Print_Area" localSheetId="0">Sheet1!$A$1:$J$696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0" i="1" l="1"/>
  <c r="D147" i="1" l="1"/>
  <c r="D146" i="1"/>
  <c r="L145" i="1"/>
  <c r="D145" i="1"/>
  <c r="L144" i="1"/>
  <c r="D144" i="1"/>
  <c r="L143" i="1"/>
  <c r="D143" i="1"/>
  <c r="L142" i="1"/>
  <c r="D142" i="1"/>
  <c r="D141" i="1"/>
  <c r="L140" i="1"/>
  <c r="L141" i="1" s="1"/>
  <c r="L146" i="1" s="1"/>
  <c r="L147" i="1" s="1"/>
  <c r="C139" i="1" s="1"/>
  <c r="D140" i="1"/>
  <c r="L139" i="1"/>
  <c r="C138" i="1" s="1"/>
  <c r="L138" i="1"/>
  <c r="L137" i="1"/>
  <c r="D138" i="1" l="1"/>
  <c r="H138" i="1"/>
  <c r="D139" i="1"/>
  <c r="F138" i="1"/>
  <c r="D161" i="1"/>
  <c r="D160" i="1"/>
  <c r="L159" i="1"/>
  <c r="D159" i="1"/>
  <c r="L158" i="1"/>
  <c r="D158" i="1"/>
  <c r="L157" i="1"/>
  <c r="D157" i="1"/>
  <c r="L156" i="1"/>
  <c r="D156" i="1"/>
  <c r="D155" i="1"/>
  <c r="L154" i="1"/>
  <c r="L155" i="1" s="1"/>
  <c r="L160" i="1" s="1"/>
  <c r="L161" i="1" s="1"/>
  <c r="C153" i="1" s="1"/>
  <c r="D154" i="1"/>
  <c r="L153" i="1"/>
  <c r="C152" i="1" s="1"/>
  <c r="D152" i="1" s="1"/>
  <c r="L152" i="1"/>
  <c r="L151" i="1"/>
  <c r="K134" i="1" l="1"/>
  <c r="C136" i="1" s="1"/>
  <c r="H152" i="1"/>
  <c r="D153" i="1"/>
  <c r="F152" i="1"/>
  <c r="K148" i="1" s="1"/>
  <c r="C150" i="1" s="1"/>
  <c r="E450" i="1"/>
  <c r="F400" i="1"/>
  <c r="D400" i="1"/>
  <c r="C400" i="1"/>
  <c r="B400" i="1"/>
  <c r="K61" i="1"/>
  <c r="G61" i="1"/>
  <c r="D314" i="1"/>
  <c r="D313" i="1"/>
  <c r="L312" i="1"/>
  <c r="D312" i="1"/>
  <c r="L311" i="1"/>
  <c r="D311" i="1"/>
  <c r="L310" i="1"/>
  <c r="D310" i="1"/>
  <c r="L309" i="1"/>
  <c r="D309" i="1"/>
  <c r="D308" i="1"/>
  <c r="L307" i="1"/>
  <c r="L308" i="1" s="1"/>
  <c r="L313" i="1" s="1"/>
  <c r="L314" i="1" s="1"/>
  <c r="C306" i="1" s="1"/>
  <c r="D307" i="1"/>
  <c r="L306" i="1"/>
  <c r="C305" i="1" s="1"/>
  <c r="L305" i="1"/>
  <c r="L304" i="1"/>
  <c r="G400" i="1" l="1"/>
  <c r="K399" i="1" s="1"/>
  <c r="L399" i="1"/>
  <c r="M399" i="1" s="1"/>
  <c r="K400" i="1"/>
  <c r="L400" i="1" s="1"/>
  <c r="D305" i="1"/>
  <c r="H305" i="1"/>
  <c r="D306" i="1"/>
  <c r="F305" i="1"/>
  <c r="C382" i="1"/>
  <c r="F382" i="1"/>
  <c r="L382" i="1"/>
  <c r="K382" i="1"/>
  <c r="D382" i="1"/>
  <c r="B382" i="1"/>
  <c r="D286" i="1"/>
  <c r="D285" i="1"/>
  <c r="L284" i="1"/>
  <c r="D284" i="1"/>
  <c r="L283" i="1"/>
  <c r="D283" i="1"/>
  <c r="L282" i="1"/>
  <c r="D282" i="1"/>
  <c r="L281" i="1"/>
  <c r="D281" i="1"/>
  <c r="D280" i="1"/>
  <c r="L279" i="1"/>
  <c r="L280" i="1" s="1"/>
  <c r="L285" i="1" s="1"/>
  <c r="L286" i="1" s="1"/>
  <c r="C278" i="1" s="1"/>
  <c r="D279" i="1"/>
  <c r="L278" i="1"/>
  <c r="C277" i="1" s="1"/>
  <c r="L277" i="1"/>
  <c r="L276" i="1"/>
  <c r="K53" i="1"/>
  <c r="G53" i="1"/>
  <c r="K301" i="1" l="1"/>
  <c r="C303" i="1" s="1"/>
  <c r="M382" i="1"/>
  <c r="G382" i="1"/>
  <c r="D277" i="1"/>
  <c r="H277" i="1"/>
  <c r="F277" i="1"/>
  <c r="D278" i="1"/>
  <c r="K273" i="1" l="1"/>
  <c r="C275" i="1" s="1"/>
  <c r="F384" i="1"/>
  <c r="D384" i="1"/>
  <c r="C384" i="1"/>
  <c r="B384" i="1"/>
  <c r="L384" i="1"/>
  <c r="K384" i="1"/>
  <c r="D300" i="1"/>
  <c r="D299" i="1"/>
  <c r="L298" i="1"/>
  <c r="D298" i="1"/>
  <c r="L297" i="1"/>
  <c r="D297" i="1"/>
  <c r="L296" i="1"/>
  <c r="D296" i="1"/>
  <c r="L295" i="1"/>
  <c r="D295" i="1"/>
  <c r="D294" i="1"/>
  <c r="L293" i="1"/>
  <c r="L294" i="1" s="1"/>
  <c r="L299" i="1" s="1"/>
  <c r="D293" i="1"/>
  <c r="L292" i="1"/>
  <c r="C291" i="1" s="1"/>
  <c r="L291" i="1"/>
  <c r="L290" i="1"/>
  <c r="G51" i="1"/>
  <c r="K54" i="1"/>
  <c r="G54" i="1"/>
  <c r="H291" i="1" l="1"/>
  <c r="G384" i="1"/>
  <c r="L300" i="1"/>
  <c r="C292" i="1"/>
  <c r="F291" i="1" s="1"/>
  <c r="M384" i="1"/>
  <c r="D291" i="1"/>
  <c r="E501" i="1"/>
  <c r="K52" i="1"/>
  <c r="G52" i="1"/>
  <c r="D292" i="1" l="1"/>
  <c r="K287" i="1"/>
  <c r="C289" i="1" s="1"/>
  <c r="D258" i="1"/>
  <c r="D257" i="1"/>
  <c r="L256" i="1"/>
  <c r="D256" i="1"/>
  <c r="L255" i="1"/>
  <c r="D255" i="1"/>
  <c r="L254" i="1"/>
  <c r="D254" i="1"/>
  <c r="L253" i="1"/>
  <c r="D253" i="1"/>
  <c r="D252" i="1"/>
  <c r="L251" i="1"/>
  <c r="L252" i="1" s="1"/>
  <c r="L257" i="1" s="1"/>
  <c r="L258" i="1" s="1"/>
  <c r="C250" i="1" s="1"/>
  <c r="D251" i="1"/>
  <c r="L250" i="1"/>
  <c r="C249" i="1" s="1"/>
  <c r="L249" i="1"/>
  <c r="L248" i="1"/>
  <c r="F380" i="1"/>
  <c r="D380" i="1"/>
  <c r="C380" i="1"/>
  <c r="L380" i="1"/>
  <c r="K380" i="1"/>
  <c r="B380" i="1"/>
  <c r="M380" i="1" l="1"/>
  <c r="G380" i="1"/>
  <c r="D249" i="1"/>
  <c r="H249" i="1"/>
  <c r="D250" i="1"/>
  <c r="F249" i="1"/>
  <c r="F3" i="1"/>
  <c r="K245" i="1" l="1"/>
  <c r="C247" i="1" s="1"/>
  <c r="D244" i="1"/>
  <c r="D243" i="1"/>
  <c r="L242" i="1"/>
  <c r="D242" i="1"/>
  <c r="L241" i="1"/>
  <c r="D241" i="1"/>
  <c r="L240" i="1"/>
  <c r="D240" i="1"/>
  <c r="L239" i="1"/>
  <c r="D239" i="1"/>
  <c r="D238" i="1"/>
  <c r="L237" i="1"/>
  <c r="L238" i="1" s="1"/>
  <c r="L243" i="1" s="1"/>
  <c r="L244" i="1" s="1"/>
  <c r="C236" i="1" s="1"/>
  <c r="D237" i="1"/>
  <c r="L236" i="1"/>
  <c r="C235" i="1" s="1"/>
  <c r="L235" i="1"/>
  <c r="L234" i="1"/>
  <c r="D175" i="1"/>
  <c r="D174" i="1"/>
  <c r="L173" i="1"/>
  <c r="D173" i="1"/>
  <c r="L172" i="1"/>
  <c r="D172" i="1"/>
  <c r="L171" i="1"/>
  <c r="D171" i="1"/>
  <c r="L170" i="1"/>
  <c r="D170" i="1"/>
  <c r="D169" i="1"/>
  <c r="L168" i="1"/>
  <c r="L169" i="1" s="1"/>
  <c r="L174" i="1" s="1"/>
  <c r="L175" i="1" s="1"/>
  <c r="C167" i="1" s="1"/>
  <c r="D168" i="1"/>
  <c r="L167" i="1"/>
  <c r="C166" i="1" s="1"/>
  <c r="L166" i="1"/>
  <c r="L165" i="1"/>
  <c r="D119" i="1"/>
  <c r="D118" i="1"/>
  <c r="L117" i="1"/>
  <c r="D117" i="1"/>
  <c r="L116" i="1"/>
  <c r="D116" i="1"/>
  <c r="L115" i="1"/>
  <c r="D115" i="1"/>
  <c r="L114" i="1"/>
  <c r="D114" i="1"/>
  <c r="D113" i="1"/>
  <c r="L112" i="1"/>
  <c r="L113" i="1" s="1"/>
  <c r="L118" i="1" s="1"/>
  <c r="L119" i="1" s="1"/>
  <c r="C111" i="1" s="1"/>
  <c r="D112" i="1"/>
  <c r="L111" i="1"/>
  <c r="C110" i="1" s="1"/>
  <c r="L110" i="1"/>
  <c r="L109" i="1"/>
  <c r="H235" i="1" l="1"/>
  <c r="D236" i="1"/>
  <c r="F235" i="1"/>
  <c r="D235" i="1"/>
  <c r="H166" i="1"/>
  <c r="D166" i="1"/>
  <c r="D167" i="1"/>
  <c r="F166" i="1"/>
  <c r="H110" i="1"/>
  <c r="D111" i="1"/>
  <c r="F110" i="1"/>
  <c r="D110" i="1"/>
  <c r="D189" i="1"/>
  <c r="D188" i="1"/>
  <c r="L187" i="1"/>
  <c r="D187" i="1"/>
  <c r="L186" i="1"/>
  <c r="D186" i="1"/>
  <c r="L185" i="1"/>
  <c r="D185" i="1"/>
  <c r="L184" i="1"/>
  <c r="D184" i="1"/>
  <c r="D183" i="1"/>
  <c r="L182" i="1"/>
  <c r="L183" i="1" s="1"/>
  <c r="L188" i="1" s="1"/>
  <c r="L189" i="1" s="1"/>
  <c r="C181" i="1" s="1"/>
  <c r="D182" i="1"/>
  <c r="L181" i="1"/>
  <c r="C180" i="1" s="1"/>
  <c r="L180" i="1"/>
  <c r="L179" i="1"/>
  <c r="D402" i="1"/>
  <c r="F402" i="1"/>
  <c r="C402" i="1"/>
  <c r="B402" i="1"/>
  <c r="K60" i="1"/>
  <c r="G60" i="1"/>
  <c r="K231" i="1" l="1"/>
  <c r="C233" i="1" s="1"/>
  <c r="K162" i="1"/>
  <c r="C164" i="1" s="1"/>
  <c r="K106" i="1"/>
  <c r="C108" i="1" s="1"/>
  <c r="G402" i="1"/>
  <c r="K401" i="1" s="1"/>
  <c r="L401" i="1"/>
  <c r="M401" i="1" s="1"/>
  <c r="K402" i="1"/>
  <c r="D180" i="1"/>
  <c r="H180" i="1"/>
  <c r="D181" i="1"/>
  <c r="F180" i="1"/>
  <c r="D395" i="1"/>
  <c r="C395" i="1"/>
  <c r="F395" i="1"/>
  <c r="K395" i="1" s="1"/>
  <c r="B395" i="1"/>
  <c r="L402" i="1" l="1"/>
  <c r="G395" i="1"/>
  <c r="L395" i="1" s="1"/>
  <c r="K176" i="1"/>
  <c r="C178" i="1" s="1"/>
  <c r="K58" i="1"/>
  <c r="D390" i="1"/>
  <c r="D205" i="1"/>
  <c r="D204" i="1"/>
  <c r="L203" i="1"/>
  <c r="D203" i="1"/>
  <c r="L202" i="1"/>
  <c r="D202" i="1"/>
  <c r="L201" i="1"/>
  <c r="D201" i="1"/>
  <c r="L200" i="1"/>
  <c r="D200" i="1"/>
  <c r="D199" i="1"/>
  <c r="L198" i="1"/>
  <c r="L199" i="1" s="1"/>
  <c r="L204" i="1" s="1"/>
  <c r="L205" i="1" s="1"/>
  <c r="C197" i="1" s="1"/>
  <c r="D198" i="1"/>
  <c r="L197" i="1"/>
  <c r="C196" i="1" s="1"/>
  <c r="L196" i="1"/>
  <c r="L195" i="1"/>
  <c r="D196" i="1" l="1"/>
  <c r="H196" i="1"/>
  <c r="D197" i="1"/>
  <c r="F196" i="1"/>
  <c r="K56" i="1"/>
  <c r="G56" i="1"/>
  <c r="F390" i="1"/>
  <c r="K390" i="1" s="1"/>
  <c r="C390" i="1"/>
  <c r="B390" i="1"/>
  <c r="F393" i="1"/>
  <c r="D393" i="1"/>
  <c r="C393" i="1"/>
  <c r="B393" i="1"/>
  <c r="K393" i="1"/>
  <c r="F410" i="1"/>
  <c r="K410" i="1" s="1"/>
  <c r="D410" i="1"/>
  <c r="C410" i="1"/>
  <c r="B410" i="1"/>
  <c r="K408" i="1"/>
  <c r="K64" i="1"/>
  <c r="G57" i="1"/>
  <c r="K57" i="1"/>
  <c r="G410" i="1" l="1"/>
  <c r="L410" i="1" s="1"/>
  <c r="G390" i="1"/>
  <c r="L390" i="1" s="1"/>
  <c r="N390" i="1"/>
  <c r="G393" i="1"/>
  <c r="L393" i="1" s="1"/>
  <c r="K190" i="1"/>
  <c r="C192" i="1" s="1"/>
  <c r="D353" i="1" l="1"/>
  <c r="F353" i="1" l="1"/>
  <c r="K353" i="1" s="1"/>
  <c r="B353" i="1"/>
  <c r="C353" i="1"/>
  <c r="G353" i="1" s="1"/>
  <c r="K42" i="1"/>
  <c r="O353" i="1" l="1"/>
  <c r="N353" i="1"/>
  <c r="L353" i="1"/>
  <c r="K55" i="1"/>
  <c r="G55" i="1"/>
  <c r="F387" i="1" l="1"/>
  <c r="K387" i="1" s="1"/>
  <c r="C387" i="1"/>
  <c r="G387" i="1" s="1"/>
  <c r="B387" i="1"/>
  <c r="L387" i="1" l="1"/>
  <c r="G329" i="1"/>
  <c r="H15" i="14" l="1"/>
  <c r="L2" i="14"/>
  <c r="H2" i="14"/>
  <c r="G15" i="14"/>
  <c r="I15" i="14" s="1"/>
  <c r="G11" i="14"/>
  <c r="I11" i="14" s="1"/>
  <c r="G10" i="14"/>
  <c r="I10" i="14" s="1"/>
  <c r="G2" i="14"/>
  <c r="I2" i="14" s="1"/>
  <c r="G8" i="14"/>
  <c r="I8" i="14" s="1"/>
  <c r="G14" i="14"/>
  <c r="G13" i="14"/>
  <c r="G12" i="14"/>
  <c r="G9" i="14"/>
  <c r="G7" i="14"/>
  <c r="G6" i="14"/>
  <c r="G5" i="14"/>
  <c r="G4" i="14"/>
  <c r="G3" i="14"/>
  <c r="M2" i="14"/>
  <c r="L15" i="14"/>
  <c r="M15" i="14" s="1"/>
  <c r="L14" i="14"/>
  <c r="M14" i="14" s="1"/>
  <c r="L13" i="14"/>
  <c r="M13" i="14" s="1"/>
  <c r="L12" i="14"/>
  <c r="M12" i="14" s="1"/>
  <c r="L11" i="14"/>
  <c r="M11" i="14" s="1"/>
  <c r="L10" i="14"/>
  <c r="M10" i="14" s="1"/>
  <c r="L9" i="14"/>
  <c r="M9" i="14" s="1"/>
  <c r="L8" i="14"/>
  <c r="M8" i="14" s="1"/>
  <c r="L7" i="14"/>
  <c r="M7" i="14" s="1"/>
  <c r="L6" i="14"/>
  <c r="M6" i="14" s="1"/>
  <c r="L5" i="14"/>
  <c r="M5" i="14" s="1"/>
  <c r="L4" i="14"/>
  <c r="M4" i="14" s="1"/>
  <c r="L3" i="14"/>
  <c r="M3" i="14" s="1"/>
  <c r="L1" i="14"/>
  <c r="M1" i="14" s="1"/>
  <c r="H14" i="14" l="1"/>
  <c r="H13" i="14"/>
  <c r="H12" i="14"/>
  <c r="H11" i="14"/>
  <c r="H10" i="14"/>
  <c r="H9" i="14"/>
  <c r="H8" i="14"/>
  <c r="H7" i="14"/>
  <c r="H6" i="14"/>
  <c r="H5" i="14"/>
  <c r="H4" i="14"/>
  <c r="H3" i="14"/>
  <c r="H1" i="14"/>
  <c r="F416" i="1" l="1"/>
  <c r="K416" i="1" s="1"/>
  <c r="C416" i="1"/>
  <c r="G416" i="1" s="1"/>
  <c r="B416" i="1"/>
  <c r="K417" i="1"/>
  <c r="K414" i="1"/>
  <c r="F398" i="1"/>
  <c r="K398" i="1" s="1"/>
  <c r="C398" i="1"/>
  <c r="G398" i="1" s="1"/>
  <c r="B398" i="1"/>
  <c r="F356" i="1"/>
  <c r="K356" i="1" s="1"/>
  <c r="D356" i="1"/>
  <c r="B356" i="1"/>
  <c r="C356" i="1"/>
  <c r="G59" i="1"/>
  <c r="K66" i="1"/>
  <c r="K59" i="1"/>
  <c r="K43" i="1"/>
  <c r="G356" i="1" l="1"/>
  <c r="N356" i="1" s="1"/>
  <c r="L416" i="1"/>
  <c r="L398" i="1"/>
  <c r="D133" i="1"/>
  <c r="D132" i="1"/>
  <c r="L131" i="1"/>
  <c r="D131" i="1"/>
  <c r="L130" i="1"/>
  <c r="D130" i="1"/>
  <c r="L129" i="1"/>
  <c r="D129" i="1"/>
  <c r="L128" i="1"/>
  <c r="D128" i="1"/>
  <c r="D127" i="1"/>
  <c r="L126" i="1"/>
  <c r="L127" i="1" s="1"/>
  <c r="L132" i="1" s="1"/>
  <c r="L133" i="1" s="1"/>
  <c r="C125" i="1" s="1"/>
  <c r="D126" i="1"/>
  <c r="L125" i="1"/>
  <c r="C124" i="1" s="1"/>
  <c r="L124" i="1"/>
  <c r="L123" i="1"/>
  <c r="L356" i="1" l="1"/>
  <c r="H124" i="1"/>
  <c r="F124" i="1"/>
  <c r="D125" i="1"/>
  <c r="D124" i="1"/>
  <c r="D105" i="1"/>
  <c r="D104" i="1"/>
  <c r="L103" i="1"/>
  <c r="D103" i="1"/>
  <c r="L102" i="1"/>
  <c r="D102" i="1"/>
  <c r="L101" i="1"/>
  <c r="D101" i="1"/>
  <c r="L100" i="1"/>
  <c r="D100" i="1"/>
  <c r="D99" i="1"/>
  <c r="L98" i="1"/>
  <c r="L99" i="1" s="1"/>
  <c r="L104" i="1" s="1"/>
  <c r="L105" i="1" s="1"/>
  <c r="C97" i="1" s="1"/>
  <c r="D98" i="1"/>
  <c r="L97" i="1"/>
  <c r="C96" i="1" s="1"/>
  <c r="L96" i="1"/>
  <c r="L95" i="1"/>
  <c r="K120" i="1" l="1"/>
  <c r="C122" i="1" s="1"/>
  <c r="H96" i="1"/>
  <c r="D97" i="1"/>
  <c r="F96" i="1"/>
  <c r="D96" i="1"/>
  <c r="F378" i="1"/>
  <c r="K378" i="1" s="1"/>
  <c r="D378" i="1"/>
  <c r="C378" i="1"/>
  <c r="B378" i="1"/>
  <c r="F373" i="1"/>
  <c r="K373" i="1" s="1"/>
  <c r="C373" i="1"/>
  <c r="G373" i="1" s="1"/>
  <c r="B373" i="1"/>
  <c r="K51" i="1"/>
  <c r="K49" i="1"/>
  <c r="G49" i="1"/>
  <c r="G378" i="1" l="1"/>
  <c r="L378" i="1" s="1"/>
  <c r="K92" i="1"/>
  <c r="C94" i="1" s="1"/>
  <c r="L373" i="1"/>
  <c r="F407" i="1" l="1"/>
  <c r="B407" i="1"/>
  <c r="C407" i="1" l="1"/>
  <c r="G407" i="1" s="1"/>
  <c r="N407" i="1" s="1"/>
  <c r="P406" i="1"/>
  <c r="K407" i="1"/>
  <c r="K406" i="1" l="1"/>
  <c r="K411" i="1"/>
  <c r="F405" i="1"/>
  <c r="K63" i="1"/>
  <c r="L228" i="1"/>
  <c r="L227" i="1"/>
  <c r="L226" i="1"/>
  <c r="L225" i="1"/>
  <c r="D223" i="1" l="1"/>
  <c r="D230" i="1"/>
  <c r="D226" i="1"/>
  <c r="L222" i="1"/>
  <c r="C221" i="1" s="1"/>
  <c r="D221" i="1" s="1"/>
  <c r="L220" i="1"/>
  <c r="L221" i="1"/>
  <c r="D229" i="1"/>
  <c r="D225" i="1"/>
  <c r="L223" i="1"/>
  <c r="L224" i="1" s="1"/>
  <c r="L229" i="1" s="1"/>
  <c r="L230" i="1" s="1"/>
  <c r="C222" i="1" s="1"/>
  <c r="D228" i="1"/>
  <c r="D224" i="1"/>
  <c r="D227" i="1"/>
  <c r="F221" i="1" l="1"/>
  <c r="K217" i="1" s="1"/>
  <c r="C219" i="1" s="1"/>
  <c r="D222" i="1"/>
  <c r="H221" i="1"/>
  <c r="L407" i="1" l="1"/>
  <c r="K48" i="1"/>
  <c r="G48" i="1"/>
  <c r="L270" i="1"/>
  <c r="L269" i="1"/>
  <c r="L268" i="1"/>
  <c r="L267" i="1"/>
  <c r="L214" i="1"/>
  <c r="L213" i="1"/>
  <c r="L212" i="1"/>
  <c r="L211" i="1"/>
  <c r="C371" i="1"/>
  <c r="D371" i="1"/>
  <c r="F371" i="1"/>
  <c r="K371" i="1" s="1"/>
  <c r="B371" i="1"/>
  <c r="G371" i="1" l="1"/>
  <c r="L371" i="1" s="1"/>
  <c r="D265" i="1"/>
  <c r="D272" i="1"/>
  <c r="D268" i="1"/>
  <c r="L264" i="1"/>
  <c r="C263" i="1" s="1"/>
  <c r="L262" i="1"/>
  <c r="D271" i="1"/>
  <c r="D267" i="1"/>
  <c r="L263" i="1"/>
  <c r="D270" i="1"/>
  <c r="D266" i="1"/>
  <c r="D269" i="1"/>
  <c r="L265" i="1"/>
  <c r="L266" i="1" s="1"/>
  <c r="L271" i="1" s="1"/>
  <c r="L272" i="1" s="1"/>
  <c r="C264" i="1" s="1"/>
  <c r="C209" i="1"/>
  <c r="D209" i="1" s="1"/>
  <c r="D216" i="1"/>
  <c r="D212" i="1"/>
  <c r="L208" i="1"/>
  <c r="C207" i="1" s="1"/>
  <c r="L206" i="1"/>
  <c r="D215" i="1"/>
  <c r="D211" i="1"/>
  <c r="L207" i="1"/>
  <c r="D214" i="1"/>
  <c r="D210" i="1"/>
  <c r="D213" i="1"/>
  <c r="L209" i="1"/>
  <c r="L210" i="1" s="1"/>
  <c r="L215" i="1" s="1"/>
  <c r="L216" i="1" s="1"/>
  <c r="C208" i="1" s="1"/>
  <c r="D83" i="1"/>
  <c r="K62" i="1"/>
  <c r="K65" i="1"/>
  <c r="K41" i="1"/>
  <c r="K44" i="1"/>
  <c r="K45" i="1"/>
  <c r="K46" i="1"/>
  <c r="K47" i="1"/>
  <c r="K50" i="1"/>
  <c r="D376" i="1"/>
  <c r="F359" i="1"/>
  <c r="D359" i="1"/>
  <c r="C359" i="1"/>
  <c r="B359" i="1"/>
  <c r="G44" i="1"/>
  <c r="F413" i="1"/>
  <c r="K413" i="1" s="1"/>
  <c r="K405" i="1"/>
  <c r="D413" i="1"/>
  <c r="D405" i="1"/>
  <c r="C413" i="1"/>
  <c r="C405" i="1"/>
  <c r="B413" i="1"/>
  <c r="B405" i="1"/>
  <c r="F365" i="1"/>
  <c r="K365" i="1" s="1"/>
  <c r="D365" i="1"/>
  <c r="C365" i="1"/>
  <c r="B365" i="1"/>
  <c r="B350" i="1"/>
  <c r="F350" i="1"/>
  <c r="K350" i="1" s="1"/>
  <c r="D350" i="1"/>
  <c r="C350" i="1"/>
  <c r="F368" i="1"/>
  <c r="K368" i="1" s="1"/>
  <c r="D368" i="1"/>
  <c r="C368" i="1"/>
  <c r="F376" i="1"/>
  <c r="K376" i="1" s="1"/>
  <c r="C376" i="1"/>
  <c r="F362" i="1"/>
  <c r="K362" i="1" s="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F7" i="1"/>
  <c r="G45" i="1"/>
  <c r="G47" i="1"/>
  <c r="G50" i="1"/>
  <c r="D81" i="1"/>
  <c r="B362" i="1"/>
  <c r="C362" i="1"/>
  <c r="D362" i="1"/>
  <c r="B368" i="1"/>
  <c r="B376" i="1"/>
  <c r="G359" i="1" l="1"/>
  <c r="K359" i="1" s="1"/>
  <c r="L359" i="1" s="1"/>
  <c r="J34" i="11"/>
  <c r="I34" i="11" s="1"/>
  <c r="K35" i="13"/>
  <c r="J35" i="13" s="1"/>
  <c r="F35" i="12"/>
  <c r="E35" i="12" s="1"/>
  <c r="F34" i="11"/>
  <c r="E34" i="11" s="1"/>
  <c r="M34" i="11"/>
  <c r="L34" i="11" s="1"/>
  <c r="J35" i="12"/>
  <c r="I35" i="12" s="1"/>
  <c r="M35" i="12"/>
  <c r="L35" i="12" s="1"/>
  <c r="N35" i="13"/>
  <c r="M35" i="13" s="1"/>
  <c r="G35" i="13"/>
  <c r="F35" i="13" s="1"/>
  <c r="G365" i="1"/>
  <c r="L365" i="1" s="1"/>
  <c r="G413" i="1"/>
  <c r="L413" i="1" s="1"/>
  <c r="G362" i="1"/>
  <c r="L362" i="1" s="1"/>
  <c r="G405" i="1"/>
  <c r="L405" i="1" s="1"/>
  <c r="G350" i="1"/>
  <c r="L350" i="1" s="1"/>
  <c r="G368" i="1"/>
  <c r="L368" i="1" s="1"/>
  <c r="G376" i="1"/>
  <c r="L376" i="1" s="1"/>
  <c r="F263" i="1"/>
  <c r="D264" i="1"/>
  <c r="H263" i="1"/>
  <c r="D263" i="1"/>
  <c r="F207" i="1"/>
  <c r="D208" i="1"/>
  <c r="H207" i="1"/>
  <c r="D207" i="1"/>
  <c r="K259" i="1" l="1"/>
  <c r="C261" i="1" s="1"/>
  <c r="K87" i="1"/>
  <c r="C89" i="1" s="1"/>
</calcChain>
</file>

<file path=xl/sharedStrings.xml><?xml version="1.0" encoding="utf-8"?>
<sst xmlns="http://schemas.openxmlformats.org/spreadsheetml/2006/main" count="1143" uniqueCount="345">
  <si>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</si>
  <si>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</si>
  <si>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</si>
  <si>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</si>
  <si>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</si>
  <si>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</si>
  <si>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</si>
  <si>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</si>
  <si>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</si>
  <si>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</si>
  <si>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</si>
  <si>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</si>
  <si>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</si>
  <si>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</si>
  <si>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</si>
  <si>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</si>
  <si>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</si>
  <si>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</si>
  <si>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</si>
  <si>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Total number of Buildings</t>
  </si>
  <si>
    <t>Building wise Construction details</t>
  </si>
  <si>
    <t>Undertaking :</t>
  </si>
  <si>
    <t>Authorized Signatory
                                                                                                                                                                                                                                                                                     Name &amp; Seal of the agency</t>
  </si>
  <si>
    <t>Quality of infrastructure in vicinity</t>
  </si>
  <si>
    <t>Description</t>
  </si>
  <si>
    <t>PLC Y/N</t>
  </si>
  <si>
    <t>Type of Work</t>
  </si>
  <si>
    <t>Plinth</t>
  </si>
  <si>
    <t>3) The information furnished above is true and correct to my/our knowledge.</t>
  </si>
  <si>
    <t xml:space="preserve">Latitude &amp; Longitude </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</si>
  <si>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</si>
  <si>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</si>
  <si>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</si>
  <si>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</si>
  <si>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</si>
  <si>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</si>
  <si>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</si>
  <si>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</si>
  <si>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</si>
  <si>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Material laying at Site: :Bricks, Cement &amp; Steel etc.</t>
  </si>
  <si>
    <t>Wheather the construction is as per approved Building plan : Under Construction</t>
  </si>
  <si>
    <t>Does the boundaries at site match, as mentioned in the Docoumentation: NA</t>
  </si>
  <si>
    <t>Dated</t>
  </si>
  <si>
    <t xml:space="preserve">Project location details       </t>
  </si>
  <si>
    <t>Locality</t>
  </si>
  <si>
    <t>District</t>
  </si>
  <si>
    <t>Pin Code</t>
  </si>
  <si>
    <t>Near by Landmark</t>
  </si>
  <si>
    <t>Good</t>
  </si>
  <si>
    <t xml:space="preserve">Layout Approval No     </t>
  </si>
  <si>
    <t xml:space="preserve">Approval Detail : Plan approval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</si>
  <si>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</si>
  <si>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</si>
  <si>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</si>
  <si>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</si>
  <si>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</si>
  <si>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</si>
  <si>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</si>
  <si>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</si>
  <si>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</si>
  <si>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</si>
  <si>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</si>
  <si>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</si>
  <si>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</si>
  <si>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</si>
  <si>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</si>
  <si>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</si>
  <si>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</si>
  <si>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</si>
  <si>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</si>
  <si>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</si>
  <si>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</si>
  <si>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</si>
  <si>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</si>
  <si>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</si>
  <si>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</si>
  <si>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</si>
  <si>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</si>
  <si>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</si>
  <si>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</si>
  <si>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Contect Details ( Name &amp; Contect No.)</t>
  </si>
  <si>
    <t>Name / no of the Building</t>
  </si>
  <si>
    <t>Does property have Electricity / Water / Drainage Connection</t>
  </si>
  <si>
    <t>Date of Commencement of Construction</t>
  </si>
  <si>
    <t>Building details Floor Wise</t>
  </si>
  <si>
    <t>Floor</t>
  </si>
  <si>
    <t>Type of Structure : RCC Frame Structure</t>
  </si>
  <si>
    <t>Approved no of units</t>
  </si>
  <si>
    <t>Google Map :</t>
  </si>
  <si>
    <t>Middle Class</t>
  </si>
  <si>
    <t>Developing</t>
  </si>
  <si>
    <t>73 2/1, 61/1, 61/5, 73 1/2, 61 7/2</t>
  </si>
  <si>
    <t>Gut. No</t>
  </si>
  <si>
    <t>Gates Budruk</t>
  </si>
  <si>
    <t>Bhiwandi Wada Road</t>
  </si>
  <si>
    <t>Palghar</t>
  </si>
  <si>
    <t>Building</t>
  </si>
  <si>
    <t xml:space="preserve">RERA No. </t>
  </si>
  <si>
    <t>Open Plot</t>
  </si>
  <si>
    <t>About 30.6 Km from Atgaon Railway Station</t>
  </si>
  <si>
    <t>N</t>
  </si>
  <si>
    <t>Ganpati Temple, Gates</t>
  </si>
  <si>
    <t>Date of approval: 31/07/2014</t>
  </si>
  <si>
    <t>O. Certificate No.: NA</t>
  </si>
  <si>
    <t>Date of approval: NA</t>
  </si>
  <si>
    <t>M/s. Nirvana Lifestyle Ventures</t>
  </si>
  <si>
    <t>Axis Goregaon</t>
  </si>
  <si>
    <t>Wada</t>
  </si>
  <si>
    <t>Plot No.</t>
  </si>
  <si>
    <t>Accessibility to the Project from the City:
(Proximity to civic amenities like school, hospital, market)</t>
  </si>
  <si>
    <t>all available at  1 to 5 km.</t>
  </si>
  <si>
    <t>BS/RKKN/BP/GATES/WADA/SSNR/1777</t>
  </si>
  <si>
    <t>30/07/2014.</t>
  </si>
  <si>
    <t xml:space="preserve">NA Order No.: </t>
  </si>
  <si>
    <t>MHSL/KS.1/T.2/NP/SR-89/14</t>
  </si>
  <si>
    <t>31/07/2014.</t>
  </si>
  <si>
    <t xml:space="preserve">Approved usage of the Property: Residential
(Restrictive Covenants in regard to Land Use, if any)                                                                                                                                                </t>
  </si>
  <si>
    <t>Permissible FAR</t>
  </si>
  <si>
    <t>G.No.320
Approved By Grampanchayat, Gates Budruk</t>
  </si>
  <si>
    <t>2BHK + Terrace</t>
  </si>
  <si>
    <t>G + 1st Floor</t>
  </si>
  <si>
    <t>4BHK + Terrace</t>
  </si>
  <si>
    <t>Attached Terrace area
(Sq.Ft)</t>
  </si>
  <si>
    <t>Built-Up Area
(Sq.Ft)</t>
  </si>
  <si>
    <t xml:space="preserve"> Saleable area
(Sq.Ft)</t>
  </si>
  <si>
    <t>Bungalow/Villa on Plot no.29 = Villa No.29</t>
  </si>
  <si>
    <t>Bungalow/Villa on Plot no.37 = Villa No.37</t>
  </si>
  <si>
    <t>Bungalow/Villa on Plot no.40 = Villa No.40</t>
  </si>
  <si>
    <t xml:space="preserve">PHOTOGRAPHS OF PROPERTY : 
</t>
  </si>
  <si>
    <t>Approved Layout and (Building/Villa Floor Plan &amp; CC Approved by Grampanchayat, Gates Budruk)</t>
  </si>
  <si>
    <t>421 303.</t>
  </si>
  <si>
    <t>Total Land Area under Layout as Per 7/12 = 88000 Sq.Mt.</t>
  </si>
  <si>
    <t>Land Area under Plots (1 to 120) = 48110 Sq.Mt.</t>
  </si>
  <si>
    <t>Building/Villa Floor Plan-Approved by Grampanchayat, Gates Budruk</t>
  </si>
  <si>
    <t>Plot Area
(Sq.Ft)</t>
  </si>
  <si>
    <t>36,37,382/-</t>
  </si>
  <si>
    <t>37,65,964/-</t>
  </si>
  <si>
    <t xml:space="preserve">Value of the Villa No.29 </t>
  </si>
  <si>
    <t xml:space="preserve">Value of the Villa No.37 </t>
  </si>
  <si>
    <t xml:space="preserve">Value of the Villa No.40 </t>
  </si>
  <si>
    <t>Recommended Value of the Property :</t>
  </si>
  <si>
    <t>Permissible TDR/Paid FAR</t>
  </si>
  <si>
    <t>Total land area of the plot in Sq. Mt.</t>
  </si>
  <si>
    <t>Total FAR availaible</t>
  </si>
  <si>
    <t>Floor Approved Plan No.</t>
  </si>
  <si>
    <t>Approved by Grampanchayat, Gates Budruk</t>
  </si>
  <si>
    <t>Not Mentioned in Plan</t>
  </si>
  <si>
    <t>1) We have personally visited the property &amp; identified the same based on the documents provided.</t>
  </si>
  <si>
    <t>4) Legal title of the property is not verified by us.</t>
  </si>
  <si>
    <t>5) Gross carpet area =  Net Carpet area + Fungible area.</t>
  </si>
  <si>
    <t>6) Fungible Area= Enclosed Balcony + Flower Bed + Covered Balcony + Service Slab + Duct + Chajja + Wheather Shed area.</t>
  </si>
  <si>
    <t>2) Ie have no direct or Indirect Interest in the property being valued</t>
  </si>
  <si>
    <t>Total Approved Builtup area of the Villa in Sq. Mt.</t>
  </si>
  <si>
    <t xml:space="preserve">Value of the Villa No.9 </t>
  </si>
  <si>
    <t xml:space="preserve">Value of the Villa No.31 </t>
  </si>
  <si>
    <t>Value of the Villa No.95</t>
  </si>
  <si>
    <t>Value of the Villa No.100</t>
  </si>
  <si>
    <t>Bungalow/Villa on Plot no.9 = Villa No.9</t>
  </si>
  <si>
    <t>3BHK + Terrace</t>
  </si>
  <si>
    <t>G + 1st + Terrace Floor</t>
  </si>
  <si>
    <t>Bungalow/Villa on Plot no.31 = Villa No.31</t>
  </si>
  <si>
    <t>Bungalow/Villa on Plot no.95 = Villa No.95</t>
  </si>
  <si>
    <t>Bungalow/Villa on Plot no.100 = Villa No.100</t>
  </si>
  <si>
    <t>RERA Carpet area
(Sq.Ft)</t>
  </si>
  <si>
    <t>24,77,100/-</t>
  </si>
  <si>
    <t>27,24,800/-</t>
  </si>
  <si>
    <t>64,96, 575/-</t>
  </si>
  <si>
    <t>50,68,800/-</t>
  </si>
  <si>
    <t>40,49,735/-</t>
  </si>
  <si>
    <t xml:space="preserve">Value of the Villa No.28B </t>
  </si>
  <si>
    <t>Bungalow/Villa on Plot no.28B = Villa No.28B</t>
  </si>
  <si>
    <t>Wollywood Phase II, Gut No. 73 2/1,61/1,61/5,73 1/2,61 7/2 Gates Budruk, Tal.Wada, Dist.Palghar/Thane.</t>
  </si>
  <si>
    <t>37,70,000/-</t>
  </si>
  <si>
    <t>15/03/2021.</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</si>
  <si>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</si>
  <si>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</si>
  <si>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</si>
  <si>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</si>
  <si>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</si>
  <si>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</si>
  <si>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</si>
  <si>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</si>
  <si>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</si>
  <si>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</si>
  <si>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</si>
  <si>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</si>
  <si>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</si>
  <si>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</si>
  <si>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</si>
  <si>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</si>
  <si>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</si>
  <si>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</si>
  <si>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</si>
  <si>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</si>
  <si>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</si>
  <si>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</si>
  <si>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</si>
  <si>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</si>
  <si>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</si>
  <si>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</si>
  <si>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</si>
  <si>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</si>
  <si>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</si>
  <si>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</si>
  <si>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</si>
  <si>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</si>
  <si>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</si>
  <si>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Bungalow/Villa on Plot no.38 = Villa No.38</t>
  </si>
  <si>
    <t>Value of the Villa No.38</t>
  </si>
  <si>
    <t>48,58,698/-</t>
  </si>
  <si>
    <t>SSNR/611
Villa/Plot No.38</t>
  </si>
  <si>
    <t>26/02/2018.</t>
  </si>
  <si>
    <t>Floor Approved Plan No.(Villa/Plot No.38)</t>
  </si>
  <si>
    <t>Bungalow/Villa on Plot no.97A = Villa No.97A</t>
  </si>
  <si>
    <t>2BHK</t>
  </si>
  <si>
    <t>97A</t>
  </si>
  <si>
    <t>G.No.269
Approved By Grampanchayat, Gates Budruk</t>
  </si>
  <si>
    <t>Value of the Villa No.97A</t>
  </si>
  <si>
    <t>50,98,168/-</t>
  </si>
  <si>
    <t>Projected life : 60 Years After Completion</t>
  </si>
  <si>
    <t xml:space="preserve">40, 95, 97A, 100 </t>
  </si>
  <si>
    <t>43A</t>
  </si>
  <si>
    <t>09/02/2018.</t>
  </si>
  <si>
    <t>G.No.512
Approved By Grampanchayat, Gates Budruk</t>
  </si>
  <si>
    <t>Value of the Villa No.39</t>
  </si>
  <si>
    <t>56,63,498/-</t>
  </si>
  <si>
    <t>Value of the Villa No.43A</t>
  </si>
  <si>
    <t>43,31,900/-</t>
  </si>
  <si>
    <t>Bungalow/Villa on Plot no.39 = Villa No.39</t>
  </si>
  <si>
    <t xml:space="preserve">2BHK </t>
  </si>
  <si>
    <t>Bungalow/Villa on Plot no.43 = Villa No.43A</t>
  </si>
  <si>
    <t xml:space="preserve">2BHK + Terrace </t>
  </si>
  <si>
    <t>13A</t>
  </si>
  <si>
    <t>Bungalow/Villa on Plot no.13A = Villa No.13A</t>
  </si>
  <si>
    <t>Bungalow/Villa on Plot no.72 = Villa No.72</t>
  </si>
  <si>
    <t xml:space="preserve">3BHK </t>
  </si>
  <si>
    <t>Bungalow/Villa on Plot no.115 = Villa No.115</t>
  </si>
  <si>
    <t>27/11/2020.</t>
  </si>
  <si>
    <t xml:space="preserve">Value of the Villa No.13A </t>
  </si>
  <si>
    <t>55,25,244/-</t>
  </si>
  <si>
    <t>Value of the Villa No.72</t>
  </si>
  <si>
    <t>60,96,622/-</t>
  </si>
  <si>
    <t>Value of the Villa No.115</t>
  </si>
  <si>
    <t>83,23,321/-</t>
  </si>
  <si>
    <t>Recommended rate of the Plot + Villa Per Sq. Ft. (on Saleable area)</t>
  </si>
  <si>
    <t xml:space="preserve">Distressed valuation of the Property </t>
  </si>
  <si>
    <t>Rate of Villa Are converted from box price to per Sq. Ft (on 27/01/2022).
By Akash Sir</t>
  </si>
  <si>
    <t>Bungalow/Villa on Plot no.56B = Villa No.56B</t>
  </si>
  <si>
    <t>56B</t>
  </si>
  <si>
    <t>Development Charges</t>
  </si>
  <si>
    <t>Resort Membership</t>
  </si>
  <si>
    <t>Recommended rate for Car Parking</t>
  </si>
  <si>
    <t>2,00,000/-</t>
  </si>
  <si>
    <t>1,50,000/-</t>
  </si>
  <si>
    <t>11A</t>
  </si>
  <si>
    <t>Bungalow/Villa on Plot no.11A = Villa No.11A</t>
  </si>
  <si>
    <t>Plot No / Villa No.</t>
  </si>
  <si>
    <t>1. Vill no.38</t>
  </si>
  <si>
    <t>06/08/2021.</t>
  </si>
  <si>
    <t>2. Plot No.97A = Villa No.97A</t>
  </si>
  <si>
    <t>3. Plot No.39 &amp; 43A = Villa No.39 &amp; 43A</t>
  </si>
  <si>
    <t>31/05/2021.</t>
  </si>
  <si>
    <t>18/12/2021.</t>
  </si>
  <si>
    <t xml:space="preserve">4. Plot No.13A &amp; 115 = Villa No.13A, 115 </t>
  </si>
  <si>
    <t>6. Plot No.56B = Villa No.56B</t>
  </si>
  <si>
    <t>09/02/2022.</t>
  </si>
  <si>
    <t>7. Plot No.11A = Villa No.11A</t>
  </si>
  <si>
    <t>21/03/2022.</t>
  </si>
  <si>
    <t>21/01/2022.</t>
  </si>
  <si>
    <t xml:space="preserve">Remarks:  </t>
  </si>
  <si>
    <t>Construction work was in process at the time of  visit.</t>
  </si>
  <si>
    <t>All work completed. Please provide OC.</t>
  </si>
  <si>
    <t>Work same as last visit(31/08/2021)</t>
  </si>
  <si>
    <t xml:space="preserve">  Bungalow on Plot No. 28B</t>
  </si>
  <si>
    <t>63B</t>
  </si>
  <si>
    <t>106B</t>
  </si>
  <si>
    <t>Bungalow/Villa on Plot no.106B = Villa No.106B</t>
  </si>
  <si>
    <t>1BHK + Terrace</t>
  </si>
  <si>
    <t xml:space="preserve">Ground Floor </t>
  </si>
  <si>
    <t>Bungalow/Villa on Plot no.63B = Villa No.63B</t>
  </si>
  <si>
    <t>Bungalow/Villa on Plot no.60 = Villa No.60</t>
  </si>
  <si>
    <t>25/03/2022.</t>
  </si>
  <si>
    <t>Bungalow/Villa on Plot No. 106B = Ground Floor</t>
  </si>
  <si>
    <t>Gr.Floor</t>
  </si>
  <si>
    <t>Floor Approved Plan No.(Villa/Plot No.11A, 13A, 38, 43A, 56B, 106B, 115)</t>
  </si>
  <si>
    <t>G.No.512
Villa/Plot No.13A, 38, 43A,56B, 106B, 115</t>
  </si>
  <si>
    <t>Bungalow/Villa on Plot no.69 = Villa No.69</t>
  </si>
  <si>
    <t xml:space="preserve">9. Plot No.106B = Villa No.106B </t>
  </si>
  <si>
    <t>Bungalow/Villa on Plot no.85 = Villa No.85</t>
  </si>
  <si>
    <t>G + 2nd Floor</t>
  </si>
  <si>
    <t>10. Plot No.69 &amp; 85 = Villa No.69 &amp; 85</t>
  </si>
  <si>
    <t>10/05/2022.</t>
  </si>
  <si>
    <t>Bungalow/Villa on Plot No.85 = Gr + 2nd Floor</t>
  </si>
  <si>
    <t>5. Plot No.72 = Villa No.72</t>
  </si>
  <si>
    <t>8. Plot No.60, 63B = Villa No.60, 63B</t>
  </si>
  <si>
    <t>Bungalow/Villa on Plot No. 13A = Gr + 1st Floor</t>
  </si>
  <si>
    <t>Bungalow/Villa on Plot No. 11A = Gr + 1st Floor</t>
  </si>
  <si>
    <t>Bungalow/Villa on Plot No. 60 = Gr + 1st Floor</t>
  </si>
  <si>
    <t>Bungalow/Villa on Plot No. 38 = Gr + 1st Floor</t>
  </si>
  <si>
    <t>Bungalow/Villa on Plot No. 100 = Gr + 1st Floor</t>
  </si>
  <si>
    <t>Bungalow/Villa on Plot No.43A = Gr + 1st Floor</t>
  </si>
  <si>
    <t>Bungalow/Villa on Plot no.45 = Villa No.45</t>
  </si>
  <si>
    <t xml:space="preserve">3BHK + Terrace </t>
  </si>
  <si>
    <t>Bungalow/Villa on Plot No.45 = Gr + 1st Floor</t>
  </si>
  <si>
    <t>09/03/2023.</t>
  </si>
  <si>
    <t>11. Plot No.45 = Villa No.45</t>
  </si>
  <si>
    <t>Location Link</t>
  </si>
  <si>
    <t>https://goo.gl/maps/DFvkZ1vPWU8pvKaD9</t>
  </si>
  <si>
    <t>Bungalow/Villa on Plot No.51 = Gr + 1st Floor</t>
  </si>
  <si>
    <t xml:space="preserve">2 BHK + Terrace </t>
  </si>
  <si>
    <t>Bungalow/Villa on Plot no.51 = Villa No.51</t>
  </si>
  <si>
    <t>12. Plot No.51 = Villa No.51</t>
  </si>
  <si>
    <t>Bungalow/Villa on Plot No.49 = Gr + 1st Floor</t>
  </si>
  <si>
    <t>Date of Commencement of Construction (Villa No.11A, 13A, 39, 43A, 56B, 60, 63B, 69, 72, 85, 106B, 115, 45, 49, 51)</t>
  </si>
  <si>
    <t>Bungalow/Villa on Plot no.49 = Villa No.49</t>
  </si>
  <si>
    <t>13. Plot No.49 = Villa No.49</t>
  </si>
  <si>
    <r>
      <t>Floor Approved Plan No.(Villa/Plot No.60, 63B, 69, 72, 85, 45, 51,</t>
    </r>
    <r>
      <rPr>
        <b/>
        <sz val="11"/>
        <rFont val="Times New Roman"/>
        <family val="1"/>
      </rPr>
      <t xml:space="preserve"> 82</t>
    </r>
    <r>
      <rPr>
        <sz val="11"/>
        <rFont val="Times New Roman"/>
        <family val="1"/>
      </rPr>
      <t>)</t>
    </r>
  </si>
  <si>
    <r>
      <t>G.No.515
Villa/Plot No.60, 63B, 69, 72,</t>
    </r>
    <r>
      <rPr>
        <b/>
        <sz val="10.5"/>
        <rFont val="Times New Roman"/>
        <family val="1"/>
      </rPr>
      <t xml:space="preserve"> </t>
    </r>
    <r>
      <rPr>
        <sz val="10.5"/>
        <rFont val="Times New Roman"/>
        <family val="1"/>
      </rPr>
      <t>45 &amp; 51, 49,</t>
    </r>
    <r>
      <rPr>
        <b/>
        <sz val="10.5"/>
        <rFont val="Times New Roman"/>
        <family val="1"/>
      </rPr>
      <t xml:space="preserve"> 82</t>
    </r>
  </si>
  <si>
    <t>Bungalow/Villa on Plot No.82 = Gr + 1st Floor</t>
  </si>
  <si>
    <t>14. Plot No.82 = Villa No.82</t>
  </si>
  <si>
    <t>Bungalow/Villa on Plot no.82 = Villa No.82</t>
  </si>
  <si>
    <t>26 Villas</t>
  </si>
  <si>
    <t>Date of Commencement of Construction (Villa No.82</t>
  </si>
  <si>
    <t xml:space="preserve">Layout </t>
  </si>
  <si>
    <t>Floor Approved Plan No. Villa 82</t>
  </si>
  <si>
    <t>Wollywood Phase II, IV &amp; VI</t>
  </si>
  <si>
    <t>Wollywood Phase II = P99000014632
Wollywood Phase IV =  13A, 43A
Wollywood Phase VI = 72, 115, 45, 51, 82</t>
  </si>
  <si>
    <t>Bungalow/Villa on Plot No. 63B = Gr + 1st Floor</t>
  </si>
  <si>
    <t xml:space="preserve">Office No. 1031, Wing J, Akshar Business Park, Plot No. 03 Sector 25, Near APMC Market, Vashi, 
Navi Mumbai, Maharashtra 400703 TEL: 022-46090378/79/80                                                                                                           
E mail : vsjcapf@gmail.com. Web site : www.vsjadon.com
</t>
  </si>
  <si>
    <r>
      <t xml:space="preserve">Villa on Plot no.9,           Villa on Plot no.11A
Villa on Plot no.13A,      Villa on Plot no.28B
Villa on Plot no.29,         Villa on Plot no.31
Villa on Plot no.37,         Villa on Plot no.38
Villa on Plot no.39,         Villa on Plot no.40
Villa on Plot no.43A,      Villa on Plot no.45,
Villa on Plot no.49,        Villa on Plot no.51,         
Villa on Plot no.56B       Villa on Plot no.60,        
Villa on Plot no.63B       Villa on Plot no.69,         
Villa on Plot no.72         </t>
    </r>
    <r>
      <rPr>
        <b/>
        <sz val="11"/>
        <rFont val="Times New Roman"/>
        <family val="1"/>
      </rPr>
      <t xml:space="preserve">Villa on Plot no.82, </t>
    </r>
    <r>
      <rPr>
        <sz val="11"/>
        <rFont val="Times New Roman"/>
        <family val="1"/>
      </rPr>
      <t xml:space="preserve"> 
Villa on Plot no.85,         Villa on Plot no.95,      
Villa on Plot no.97/A,        Villa on Plot no.100,      
Villa on Plot no.106B,     Villa on Plot no.115      </t>
    </r>
    <r>
      <rPr>
        <sz val="11"/>
        <color rgb="FFFF0000"/>
        <rFont val="Times New Roman"/>
        <family val="1"/>
      </rPr>
      <t xml:space="preserve">
Villa on Plot no.69,         Villa on Plot no.105
Villa on Plot no.111</t>
    </r>
  </si>
  <si>
    <t>Bungalow/Villa on Plot No. 69  = Gr + 1st Floor</t>
  </si>
  <si>
    <t>Bungalow/Villa on Plot No. 97A  = Gr + 1st Floor</t>
  </si>
  <si>
    <t>U/C building</t>
  </si>
  <si>
    <t>Bungalow on 
Plot No.9, 11A, 13A, 28B, 29 = G + 1st Floor
31, 37, 38, 39, 40, 43A, 45, 49 = G + 1st Floor
51, 56B, 60, 63B, 69, 72 = G + 1st Floor
95, 97A, 100, 115, 82  = G + 1st Floor
Bungalow on Plot No.85 = G + 2nd Floor
Bungalow on Plot No.106B = Ground Floor</t>
  </si>
  <si>
    <t>s</t>
  </si>
  <si>
    <t>Wollywood Phase II (P99000014632)
Wollywood Phase IV (P99000016676)  =13A, 43A
Wollywood Phase VI (P99000028063) = 72, 115, 45, 51, 82</t>
  </si>
  <si>
    <t>19.630501,73.1246359</t>
  </si>
  <si>
    <t xml:space="preserve"> Updation Dates</t>
  </si>
  <si>
    <t xml:space="preserve">Bungalow on Plot No. 9, 11A, 28B, 97A, 13A, 29, 31, 37, 38, 39, 40, 56B, 63B, 69, 85, 95, 72, 106B, 100 &amp; 115 </t>
  </si>
  <si>
    <t xml:space="preserve">Bungalow/Villa on Plot No. 9, 11A, 13A, 29, 31, 37, 38 &amp; 39 = Gr + 1st Floor
Bungalow/Villa on Plot No.40, 85, 95, 28B, 56B, 60, 63B, 69, 97A, 115, 72 = Gr + 1st Floor
Bungalow/Villa on Plot No. 100 = Gr + 1st Floor
</t>
  </si>
  <si>
    <t>Bungalow on Plot No. 82</t>
  </si>
  <si>
    <t>1. Bungalow on Plot No.  43A, 45, 49, 51</t>
  </si>
  <si>
    <t>Work is same as last visit ( 15/05/2025).</t>
  </si>
  <si>
    <t>Phase II = 30/12/2023
Phase IV = 31/12/2026
Phase VI = 30/09/2025</t>
  </si>
  <si>
    <r>
      <t>2. We considered Saleable area as per our calculation.
3. We have considered rate by verifying it from market inquire.
4. We adopted Carpet area from Plans which are verified by grampanchayat.
5. We received Approved Layout plan verified by Town Planner &amp; Floor/Villa's Plan verified by Grampanchayat, Gates Budruk.
6. Please provide legible Approved Floor Plan &amp; C.C of Villa no.69.
7.Recommended rate should be considered as all inclusive rate if other charges are not mentioned. (Excluding GST &amp; other government Taxes).
8</t>
    </r>
    <r>
      <rPr>
        <b/>
        <sz val="11"/>
        <color rgb="FFFF0000"/>
        <rFont val="Times New Roman"/>
        <family val="1"/>
      </rPr>
      <t xml:space="preserve">.As per RERA, completion period of project Wollywood Phase IV Villa No. 43A is expired on Date 30/12/2024 but still project is under construction.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</si>
</sst>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
  </numFmts>
  <fonts count="30"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Calibri"/>
      <family val="2"/>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10.5"/>
      <color indexed="8"/>
      <name val="Times New Roman"/>
      <family val="1"/>
    </font>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sz val="11"/>
      <color rgb="FF000000"/>
      <name val="Times New Roman"/>
      <family val="1"/>
    </font>
    <font>
      <sz val="12"/>
      <name val="Times New Roman"/>
      <family val="1"/>
    </font>
    <font>
      <b/>
      <sz val="12"/>
      <name val="Times New Roman"/>
      <family val="1"/>
    </font>
    <font>
      <sz val="10.5"/>
      <name val="Times New Roman"/>
      <family val="1"/>
    </font>
    <font>
      <sz val="11"/>
      <color rgb="FFFF0000"/>
      <name val="Calibri"/>
      <family val="2"/>
      <scheme val="minor"/>
    </font>
    <font>
      <sz val="11"/>
      <color rgb="FF0070C0"/>
      <name val="Calibri"/>
      <family val="2"/>
      <scheme val="minor"/>
    </font>
    <font>
      <sz val="11"/>
      <color theme="9" tint="-0.249977111117893"/>
      <name val="Calibri"/>
      <family val="2"/>
      <scheme val="minor"/>
    </font>
    <font>
      <sz val="11"/>
      <name val="Calibri"/>
      <family val="2"/>
      <scheme val="minor"/>
    </font>
    <font>
      <sz val="11"/>
      <color rgb="FFFF0000"/>
      <name val="Times New Roman"/>
      <family val="1"/>
    </font>
    <font>
      <b/>
      <sz val="10.5"/>
      <name val="Times New Roman"/>
      <family val="1"/>
    </font>
    <font>
      <u/>
      <sz val="11"/>
      <color theme="10"/>
      <name val="Calibri"/>
      <family val="2"/>
      <scheme val="minor"/>
    </font>
    <font>
      <b/>
      <sz val="11"/>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6" tint="0.59999389629810485"/>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164" fontId="4" fillId="0" borderId="0" applyFont="0" applyFill="0" applyBorder="0" applyAlignment="0" applyProtection="0"/>
    <xf numFmtId="0" fontId="1" fillId="0" borderId="0"/>
    <xf numFmtId="0" fontId="14" fillId="0" borderId="0"/>
    <xf numFmtId="0" fontId="14" fillId="0" borderId="0"/>
    <xf numFmtId="0" fontId="28" fillId="0" borderId="0" applyNumberFormat="0" applyFill="0" applyBorder="0" applyAlignment="0" applyProtection="0"/>
  </cellStyleXfs>
  <cellXfs count="308">
    <xf numFmtId="0" fontId="0" fillId="0" borderId="0" xfId="0"/>
    <xf numFmtId="0" fontId="1" fillId="0" borderId="0" xfId="2"/>
    <xf numFmtId="0" fontId="5" fillId="0" borderId="1" xfId="0" applyFont="1" applyBorder="1" applyAlignment="1">
      <alignment vertical="top"/>
    </xf>
    <xf numFmtId="0" fontId="3" fillId="0" borderId="2" xfId="0" applyFont="1" applyBorder="1" applyAlignment="1">
      <alignment vertical="top"/>
    </xf>
    <xf numFmtId="0" fontId="3" fillId="2" borderId="2" xfId="0" applyFont="1" applyFill="1" applyBorder="1" applyAlignment="1">
      <alignment vertical="top"/>
    </xf>
    <xf numFmtId="0" fontId="0" fillId="0" borderId="2" xfId="0" applyBorder="1"/>
    <xf numFmtId="0" fontId="15" fillId="0" borderId="2" xfId="0" applyFont="1" applyBorder="1"/>
    <xf numFmtId="0" fontId="0" fillId="0" borderId="3" xfId="0" applyBorder="1"/>
    <xf numFmtId="0" fontId="0" fillId="3" borderId="2" xfId="0" applyFill="1" applyBorder="1"/>
    <xf numFmtId="0" fontId="15" fillId="0" borderId="2" xfId="0" applyFont="1" applyBorder="1" applyAlignment="1">
      <alignment horizontal="center"/>
    </xf>
    <xf numFmtId="1" fontId="10" fillId="0" borderId="2" xfId="0" applyNumberFormat="1" applyFont="1" applyBorder="1" applyAlignment="1">
      <alignment horizontal="center" vertical="center" wrapText="1"/>
    </xf>
    <xf numFmtId="0" fontId="2" fillId="0" borderId="0" xfId="0" applyFont="1" applyAlignment="1">
      <alignment vertical="top" wrapText="1"/>
    </xf>
    <xf numFmtId="0" fontId="12" fillId="0" borderId="0" xfId="0" applyFont="1" applyAlignment="1">
      <alignment vertical="top"/>
    </xf>
    <xf numFmtId="0" fontId="3" fillId="2" borderId="2" xfId="0" applyFont="1" applyFill="1" applyBorder="1" applyAlignment="1">
      <alignment horizontal="left" vertical="top"/>
    </xf>
    <xf numFmtId="0" fontId="16" fillId="0" borderId="0" xfId="0" applyFont="1"/>
    <xf numFmtId="0" fontId="2" fillId="0" borderId="0" xfId="0" applyFont="1" applyAlignment="1">
      <alignment vertical="top"/>
    </xf>
    <xf numFmtId="0" fontId="9" fillId="0" borderId="1" xfId="0" applyFont="1" applyBorder="1" applyAlignment="1">
      <alignment vertical="top"/>
    </xf>
    <xf numFmtId="0" fontId="17" fillId="0" borderId="2" xfId="0" applyFont="1" applyBorder="1" applyAlignment="1">
      <alignment vertical="top" wrapText="1"/>
    </xf>
    <xf numFmtId="0" fontId="17" fillId="0" borderId="2" xfId="0" applyFont="1" applyBorder="1" applyAlignment="1">
      <alignment horizontal="center" vertical="top" wrapText="1"/>
    </xf>
    <xf numFmtId="1" fontId="2" fillId="0" borderId="2"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 fontId="10" fillId="0" borderId="2" xfId="0" applyNumberFormat="1" applyFont="1" applyBorder="1" applyAlignment="1">
      <alignment vertical="center" wrapText="1"/>
    </xf>
    <xf numFmtId="0" fontId="15" fillId="0" borderId="0" xfId="0" applyFont="1"/>
    <xf numFmtId="2" fontId="0" fillId="0" borderId="0" xfId="0" applyNumberFormat="1"/>
    <xf numFmtId="0" fontId="17" fillId="0" borderId="13" xfId="4" applyFont="1" applyBorder="1" applyProtection="1">
      <protection hidden="1"/>
    </xf>
    <xf numFmtId="0" fontId="17" fillId="0" borderId="14" xfId="4" applyFont="1" applyBorder="1" applyProtection="1">
      <protection hidden="1"/>
    </xf>
    <xf numFmtId="0" fontId="9" fillId="0" borderId="2" xfId="4" applyFont="1" applyBorder="1" applyAlignment="1" applyProtection="1">
      <alignment horizontal="center" vertical="top"/>
      <protection locked="0"/>
    </xf>
    <xf numFmtId="0" fontId="17" fillId="0" borderId="0" xfId="4" applyFont="1" applyProtection="1">
      <protection hidden="1"/>
    </xf>
    <xf numFmtId="0" fontId="17" fillId="0" borderId="15" xfId="4" applyFont="1" applyBorder="1" applyProtection="1">
      <protection hidden="1"/>
    </xf>
    <xf numFmtId="1" fontId="19" fillId="0" borderId="2" xfId="0" applyNumberFormat="1" applyFont="1" applyBorder="1" applyAlignment="1">
      <alignment vertical="center" wrapText="1"/>
    </xf>
    <xf numFmtId="1" fontId="19" fillId="0" borderId="2" xfId="0" applyNumberFormat="1" applyFont="1" applyBorder="1" applyAlignment="1">
      <alignment horizontal="center" vertical="center" wrapText="1"/>
    </xf>
    <xf numFmtId="0" fontId="17" fillId="0" borderId="0" xfId="4" applyFont="1" applyAlignment="1" applyProtection="1">
      <alignment horizontal="center" vertical="center"/>
      <protection hidden="1"/>
    </xf>
    <xf numFmtId="0" fontId="17" fillId="0" borderId="15" xfId="4" applyFont="1" applyBorder="1" applyAlignment="1" applyProtection="1">
      <alignment horizontal="center" vertical="center"/>
      <protection hidden="1"/>
    </xf>
    <xf numFmtId="0" fontId="0" fillId="0" borderId="0" xfId="0" applyAlignment="1">
      <alignment horizontal="center" vertical="center"/>
    </xf>
    <xf numFmtId="0" fontId="9" fillId="0" borderId="23" xfId="4" applyFont="1" applyBorder="1" applyAlignment="1" applyProtection="1">
      <alignment horizontal="center" vertical="top"/>
      <protection locked="0"/>
    </xf>
    <xf numFmtId="0" fontId="9" fillId="0" borderId="2" xfId="0" applyFont="1" applyBorder="1" applyAlignment="1">
      <alignment horizontal="center" vertical="top" wrapText="1"/>
    </xf>
    <xf numFmtId="0" fontId="8" fillId="2" borderId="2" xfId="0" applyFont="1" applyFill="1" applyBorder="1" applyAlignment="1">
      <alignment vertical="top"/>
    </xf>
    <xf numFmtId="0" fontId="9" fillId="2" borderId="2" xfId="0" applyFont="1" applyFill="1" applyBorder="1" applyAlignment="1">
      <alignment horizontal="left" vertical="top"/>
    </xf>
    <xf numFmtId="0" fontId="22" fillId="0" borderId="0" xfId="0" applyFont="1"/>
    <xf numFmtId="0" fontId="23" fillId="0" borderId="0" xfId="0" applyFont="1"/>
    <xf numFmtId="0" fontId="24" fillId="0" borderId="0" xfId="0" applyFont="1"/>
    <xf numFmtId="0" fontId="25" fillId="0" borderId="0" xfId="0" applyFont="1"/>
    <xf numFmtId="2" fontId="15" fillId="0" borderId="0" xfId="0" applyNumberFormat="1" applyFont="1"/>
    <xf numFmtId="1" fontId="0" fillId="0" borderId="0" xfId="0" applyNumberFormat="1"/>
    <xf numFmtId="0" fontId="8" fillId="0" borderId="2" xfId="0" applyFont="1" applyBorder="1" applyAlignment="1">
      <alignment horizontal="center" vertical="top" wrapText="1"/>
    </xf>
    <xf numFmtId="0" fontId="9" fillId="0" borderId="2" xfId="4" applyFont="1" applyBorder="1" applyAlignment="1" applyProtection="1">
      <alignment horizontal="center" vertical="top" wrapText="1"/>
      <protection locked="0"/>
    </xf>
    <xf numFmtId="0" fontId="18" fillId="0" borderId="0" xfId="0" applyFont="1" applyProtection="1">
      <protection hidden="1"/>
    </xf>
    <xf numFmtId="0" fontId="17" fillId="0" borderId="15" xfId="4" applyFont="1" applyBorder="1"/>
    <xf numFmtId="0" fontId="9" fillId="0" borderId="2" xfId="4" applyFont="1" applyBorder="1" applyAlignment="1" applyProtection="1">
      <alignment horizontal="center" wrapText="1"/>
      <protection locked="0"/>
    </xf>
    <xf numFmtId="0" fontId="18" fillId="0" borderId="15" xfId="0" applyFont="1" applyBorder="1" applyProtection="1">
      <protection hidden="1"/>
    </xf>
    <xf numFmtId="1" fontId="9" fillId="0" borderId="2" xfId="4" applyNumberFormat="1" applyFont="1" applyBorder="1" applyAlignment="1" applyProtection="1">
      <alignment horizontal="center" wrapText="1"/>
      <protection locked="0"/>
    </xf>
    <xf numFmtId="1" fontId="14" fillId="0" borderId="15" xfId="0" applyNumberFormat="1" applyFont="1" applyBorder="1"/>
    <xf numFmtId="1" fontId="14" fillId="0" borderId="15" xfId="0" applyNumberFormat="1" applyFont="1" applyBorder="1" applyAlignment="1">
      <alignment horizontal="right"/>
    </xf>
    <xf numFmtId="0" fontId="9" fillId="0" borderId="31" xfId="4" applyFont="1" applyBorder="1" applyAlignment="1" applyProtection="1">
      <alignment horizontal="center" wrapText="1"/>
      <protection locked="0"/>
    </xf>
    <xf numFmtId="0" fontId="18" fillId="0" borderId="16" xfId="0" applyFont="1" applyBorder="1" applyProtection="1">
      <protection hidden="1"/>
    </xf>
    <xf numFmtId="1" fontId="14" fillId="0" borderId="17" xfId="0" applyNumberFormat="1" applyFont="1" applyBorder="1"/>
    <xf numFmtId="0" fontId="9" fillId="0" borderId="19" xfId="4" applyFont="1" applyBorder="1" applyAlignment="1" applyProtection="1">
      <alignment horizontal="center" vertical="top" wrapText="1"/>
      <protection locked="0"/>
    </xf>
    <xf numFmtId="165" fontId="9" fillId="0" borderId="2" xfId="4" applyNumberFormat="1" applyFont="1" applyBorder="1" applyAlignment="1" applyProtection="1">
      <alignment horizontal="center" wrapText="1"/>
      <protection locked="0"/>
    </xf>
    <xf numFmtId="0" fontId="17" fillId="0" borderId="2" xfId="4" applyFont="1" applyBorder="1" applyAlignment="1" applyProtection="1">
      <alignment horizontal="center" vertical="top"/>
      <protection locked="0"/>
    </xf>
    <xf numFmtId="0" fontId="17" fillId="0" borderId="2" xfId="0" applyFont="1" applyBorder="1" applyAlignment="1">
      <alignment horizontal="center" vertical="top" wrapText="1"/>
    </xf>
    <xf numFmtId="0" fontId="9" fillId="0" borderId="2" xfId="4" applyFont="1" applyBorder="1" applyAlignment="1" applyProtection="1">
      <alignment horizontal="center" vertical="top" wrapText="1"/>
      <protection locked="0"/>
    </xf>
    <xf numFmtId="0" fontId="9" fillId="0" borderId="2" xfId="4" applyFont="1" applyBorder="1" applyAlignment="1" applyProtection="1">
      <alignment horizontal="center" vertical="top"/>
      <protection locked="0"/>
    </xf>
    <xf numFmtId="0" fontId="9" fillId="0" borderId="23" xfId="4" applyFont="1" applyBorder="1" applyAlignment="1" applyProtection="1">
      <alignment horizontal="center" vertical="top" wrapText="1"/>
      <protection locked="0"/>
    </xf>
    <xf numFmtId="0" fontId="9" fillId="0" borderId="2" xfId="4" applyFont="1" applyBorder="1" applyAlignment="1" applyProtection="1">
      <alignment horizontal="center" vertical="top" wrapText="1"/>
      <protection locked="0"/>
    </xf>
    <xf numFmtId="9" fontId="9" fillId="0" borderId="2" xfId="4" applyNumberFormat="1" applyFont="1" applyBorder="1" applyAlignment="1" applyProtection="1">
      <alignment horizontal="center" vertical="center" wrapText="1"/>
      <protection hidden="1"/>
    </xf>
    <xf numFmtId="0" fontId="2" fillId="0" borderId="1" xfId="3" applyFont="1" applyBorder="1" applyAlignment="1">
      <alignment horizontal="left" vertical="top" wrapText="1"/>
    </xf>
    <xf numFmtId="0" fontId="2" fillId="0" borderId="4" xfId="3" applyFont="1" applyBorder="1" applyAlignment="1">
      <alignment horizontal="left" vertical="top" wrapText="1"/>
    </xf>
    <xf numFmtId="0" fontId="2" fillId="0" borderId="5" xfId="3" applyFont="1" applyBorder="1" applyAlignment="1">
      <alignment horizontal="left" vertical="top" wrapText="1"/>
    </xf>
    <xf numFmtId="0" fontId="9" fillId="0" borderId="30" xfId="4" applyFont="1" applyBorder="1" applyAlignment="1" applyProtection="1">
      <alignment horizontal="center" vertical="top" wrapText="1"/>
      <protection locked="0"/>
    </xf>
    <xf numFmtId="0" fontId="9" fillId="0" borderId="31" xfId="4" applyFont="1" applyBorder="1" applyAlignment="1" applyProtection="1">
      <alignment horizontal="center" vertical="top" wrapText="1"/>
      <protection locked="0"/>
    </xf>
    <xf numFmtId="9" fontId="9" fillId="0" borderId="31" xfId="4" applyNumberFormat="1" applyFont="1" applyBorder="1" applyAlignment="1" applyProtection="1">
      <alignment horizontal="center" vertical="center" wrapText="1"/>
      <protection hidden="1"/>
    </xf>
    <xf numFmtId="1" fontId="20" fillId="0" borderId="1" xfId="0" applyNumberFormat="1" applyFont="1" applyBorder="1" applyAlignment="1">
      <alignment horizontal="center" vertical="center" wrapText="1"/>
    </xf>
    <xf numFmtId="1" fontId="20" fillId="0" borderId="4" xfId="0" applyNumberFormat="1" applyFont="1" applyBorder="1" applyAlignment="1">
      <alignment horizontal="center" vertical="center" wrapText="1"/>
    </xf>
    <xf numFmtId="1" fontId="20" fillId="0" borderId="5"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2" fillId="0" borderId="1" xfId="0" applyNumberFormat="1" applyFont="1" applyBorder="1" applyAlignment="1">
      <alignment horizontal="center" vertical="top" wrapText="1"/>
    </xf>
    <xf numFmtId="1" fontId="2" fillId="0" borderId="5" xfId="0" applyNumberFormat="1" applyFont="1" applyBorder="1" applyAlignment="1">
      <alignment horizontal="center" vertical="top" wrapText="1"/>
    </xf>
    <xf numFmtId="0" fontId="3" fillId="0" borderId="1"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164" fontId="3" fillId="2" borderId="1" xfId="1" applyFont="1" applyFill="1" applyBorder="1" applyAlignment="1">
      <alignment horizontal="left" vertical="top" wrapText="1"/>
    </xf>
    <xf numFmtId="164" fontId="3" fillId="2" borderId="4" xfId="1" applyFont="1" applyFill="1" applyBorder="1" applyAlignment="1">
      <alignment horizontal="left" vertical="top" wrapText="1"/>
    </xf>
    <xf numFmtId="164" fontId="3" fillId="2" borderId="5" xfId="1" applyFont="1" applyFill="1" applyBorder="1" applyAlignment="1">
      <alignment horizontal="left" vertical="top" wrapText="1"/>
    </xf>
    <xf numFmtId="1" fontId="20" fillId="0" borderId="2" xfId="0" applyNumberFormat="1" applyFont="1" applyBorder="1" applyAlignment="1">
      <alignment horizontal="center" vertical="center" wrapText="1"/>
    </xf>
    <xf numFmtId="0" fontId="2" fillId="0" borderId="7" xfId="0" applyFont="1" applyBorder="1" applyAlignment="1">
      <alignment horizontal="left" vertical="top"/>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16" fillId="0" borderId="2" xfId="3" applyFont="1" applyBorder="1" applyAlignment="1">
      <alignment vertical="top"/>
    </xf>
    <xf numFmtId="14" fontId="16" fillId="0" borderId="2" xfId="3" applyNumberFormat="1" applyFont="1" applyBorder="1" applyAlignment="1">
      <alignment horizontal="center" vertical="center"/>
    </xf>
    <xf numFmtId="1" fontId="20" fillId="4" borderId="2" xfId="0" applyNumberFormat="1" applyFont="1" applyFill="1" applyBorder="1" applyAlignment="1">
      <alignment horizontal="center" vertical="center" wrapText="1"/>
    </xf>
    <xf numFmtId="1" fontId="19" fillId="0" borderId="2" xfId="0" applyNumberFormat="1" applyFont="1" applyBorder="1" applyAlignment="1">
      <alignment horizontal="center" vertical="center" wrapText="1"/>
    </xf>
    <xf numFmtId="0" fontId="2" fillId="0" borderId="1" xfId="0" applyFont="1" applyBorder="1" applyAlignment="1">
      <alignment horizontal="left" vertical="top" wrapText="1"/>
    </xf>
    <xf numFmtId="0" fontId="3" fillId="0" borderId="5" xfId="0" applyFont="1" applyBorder="1" applyAlignment="1">
      <alignment horizontal="left" vertical="top" wrapText="1"/>
    </xf>
    <xf numFmtId="0" fontId="13" fillId="2" borderId="1"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14" fontId="3" fillId="2" borderId="1" xfId="0" applyNumberFormat="1" applyFont="1" applyFill="1" applyBorder="1" applyAlignment="1">
      <alignment horizontal="left" vertical="top"/>
    </xf>
    <xf numFmtId="14" fontId="3" fillId="2" borderId="4" xfId="0" applyNumberFormat="1" applyFont="1" applyFill="1" applyBorder="1" applyAlignment="1">
      <alignment horizontal="left" vertical="top"/>
    </xf>
    <xf numFmtId="14" fontId="3" fillId="2" borderId="5" xfId="0" applyNumberFormat="1" applyFont="1" applyFill="1" applyBorder="1" applyAlignment="1">
      <alignment horizontal="left" vertical="top"/>
    </xf>
    <xf numFmtId="9" fontId="9" fillId="0" borderId="24" xfId="4" applyNumberFormat="1" applyFont="1" applyBorder="1" applyAlignment="1" applyProtection="1">
      <alignment horizontal="center" vertical="center" wrapText="1"/>
      <protection hidden="1"/>
    </xf>
    <xf numFmtId="9" fontId="9" fillId="0" borderId="32" xfId="4" applyNumberFormat="1" applyFont="1" applyBorder="1" applyAlignment="1" applyProtection="1">
      <alignment horizontal="center" vertical="center" wrapText="1"/>
      <protection hidden="1"/>
    </xf>
    <xf numFmtId="0" fontId="9" fillId="0" borderId="23" xfId="4" applyFont="1" applyBorder="1" applyAlignment="1" applyProtection="1">
      <alignment horizontal="center" vertical="top"/>
      <protection locked="0"/>
    </xf>
    <xf numFmtId="0" fontId="9" fillId="0" borderId="2" xfId="4" applyFont="1" applyBorder="1" applyAlignment="1" applyProtection="1">
      <alignment horizontal="center" vertical="top"/>
      <protection locked="0"/>
    </xf>
    <xf numFmtId="0" fontId="2" fillId="0" borderId="2" xfId="3" applyFont="1" applyBorder="1" applyAlignment="1">
      <alignment horizontal="center" vertical="top"/>
    </xf>
    <xf numFmtId="0" fontId="2" fillId="0" borderId="2" xfId="3" applyFont="1" applyBorder="1" applyAlignment="1">
      <alignment vertical="top"/>
    </xf>
    <xf numFmtId="16" fontId="2" fillId="0" borderId="2" xfId="3" applyNumberFormat="1" applyFont="1" applyBorder="1" applyAlignment="1">
      <alignment horizontal="center" vertical="center"/>
    </xf>
    <xf numFmtId="0" fontId="2" fillId="0" borderId="2" xfId="3" applyFont="1" applyBorder="1" applyAlignment="1">
      <alignment horizontal="center" vertical="center"/>
    </xf>
    <xf numFmtId="0" fontId="8" fillId="0" borderId="20" xfId="4" applyFont="1" applyBorder="1" applyAlignment="1" applyProtection="1">
      <alignment horizontal="center" vertical="top" wrapText="1"/>
      <protection locked="0"/>
    </xf>
    <xf numFmtId="0" fontId="8" fillId="0" borderId="21" xfId="4" applyFont="1" applyBorder="1" applyAlignment="1" applyProtection="1">
      <alignment horizontal="center" vertical="top" wrapText="1"/>
      <protection locked="0"/>
    </xf>
    <xf numFmtId="0" fontId="8" fillId="0" borderId="21" xfId="4" applyFont="1" applyBorder="1" applyAlignment="1" applyProtection="1">
      <alignment horizontal="left" vertical="top" wrapText="1"/>
      <protection locked="0"/>
    </xf>
    <xf numFmtId="0" fontId="8" fillId="0" borderId="22" xfId="4" applyFont="1" applyBorder="1" applyAlignment="1" applyProtection="1">
      <alignment horizontal="left" vertical="top" wrapText="1"/>
      <protection locked="0"/>
    </xf>
    <xf numFmtId="0" fontId="9" fillId="0" borderId="24" xfId="4" applyFont="1" applyBorder="1" applyAlignment="1" applyProtection="1">
      <alignment horizontal="center" vertical="top"/>
      <protection locked="0"/>
    </xf>
    <xf numFmtId="0" fontId="8" fillId="0" borderId="23" xfId="4" applyFont="1" applyBorder="1" applyAlignment="1" applyProtection="1">
      <alignment horizontal="left" vertical="top"/>
      <protection locked="0"/>
    </xf>
    <xf numFmtId="0" fontId="8" fillId="0" borderId="2" xfId="4" applyFont="1" applyBorder="1" applyAlignment="1" applyProtection="1">
      <alignment horizontal="left" vertical="top"/>
      <protection locked="0"/>
    </xf>
    <xf numFmtId="0" fontId="8" fillId="0" borderId="2" xfId="4" applyFont="1" applyBorder="1" applyAlignment="1" applyProtection="1">
      <alignment horizontal="left" vertical="top" wrapText="1"/>
      <protection locked="0"/>
    </xf>
    <xf numFmtId="0" fontId="8" fillId="0" borderId="24" xfId="4" applyFont="1" applyBorder="1" applyAlignment="1" applyProtection="1">
      <alignment horizontal="left" vertical="top" wrapText="1"/>
      <protection locked="0"/>
    </xf>
    <xf numFmtId="0" fontId="9" fillId="0" borderId="24" xfId="4" applyFont="1" applyBorder="1" applyAlignment="1" applyProtection="1">
      <alignment horizontal="center" vertical="top" wrapText="1"/>
      <protection locked="0"/>
    </xf>
    <xf numFmtId="1" fontId="6" fillId="0" borderId="2" xfId="0" applyNumberFormat="1" applyFont="1" applyBorder="1" applyAlignment="1">
      <alignment horizontal="center" vertical="center" wrapText="1"/>
    </xf>
    <xf numFmtId="16" fontId="16" fillId="0" borderId="2" xfId="3" applyNumberFormat="1" applyFont="1" applyBorder="1" applyAlignment="1">
      <alignment horizontal="center" vertical="center"/>
    </xf>
    <xf numFmtId="0" fontId="16" fillId="0" borderId="2" xfId="3" applyFont="1" applyBorder="1" applyAlignment="1">
      <alignment horizontal="center" vertical="center"/>
    </xf>
    <xf numFmtId="14" fontId="9" fillId="2" borderId="1" xfId="0" applyNumberFormat="1" applyFont="1" applyFill="1" applyBorder="1" applyAlignment="1">
      <alignment horizontal="left" vertical="top"/>
    </xf>
    <xf numFmtId="14" fontId="9" fillId="2" borderId="4" xfId="0" applyNumberFormat="1" applyFont="1" applyFill="1" applyBorder="1" applyAlignment="1">
      <alignment horizontal="left" vertical="top"/>
    </xf>
    <xf numFmtId="14" fontId="9" fillId="2" borderId="5" xfId="0" applyNumberFormat="1" applyFont="1" applyFill="1" applyBorder="1" applyAlignment="1">
      <alignment horizontal="left" vertical="top"/>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8" fillId="2" borderId="1"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1" xfId="0" applyFont="1" applyFill="1" applyBorder="1" applyAlignment="1">
      <alignment horizontal="left" vertical="top"/>
    </xf>
    <xf numFmtId="0" fontId="8" fillId="2" borderId="4" xfId="0" applyFont="1" applyFill="1" applyBorder="1" applyAlignment="1">
      <alignment horizontal="left" vertical="top"/>
    </xf>
    <xf numFmtId="0" fontId="8" fillId="2" borderId="5" xfId="0" applyFont="1" applyFill="1" applyBorder="1" applyAlignment="1">
      <alignment horizontal="left" vertical="top"/>
    </xf>
    <xf numFmtId="0" fontId="21" fillId="2" borderId="1" xfId="0" applyFont="1" applyFill="1" applyBorder="1" applyAlignment="1">
      <alignment horizontal="left" vertical="top" wrapText="1"/>
    </xf>
    <xf numFmtId="0" fontId="21" fillId="2" borderId="4" xfId="0" applyFont="1" applyFill="1" applyBorder="1" applyAlignment="1">
      <alignment horizontal="left" vertical="top" wrapText="1"/>
    </xf>
    <xf numFmtId="0" fontId="21" fillId="2" borderId="5" xfId="0" applyFont="1" applyFill="1" applyBorder="1" applyAlignment="1">
      <alignment horizontal="left" vertical="top" wrapText="1"/>
    </xf>
    <xf numFmtId="0" fontId="9" fillId="0" borderId="2" xfId="0" applyFont="1" applyBorder="1" applyAlignment="1">
      <alignment horizontal="center" vertical="top" wrapText="1"/>
    </xf>
    <xf numFmtId="0" fontId="9" fillId="0" borderId="1" xfId="0" applyFont="1" applyBorder="1" applyAlignment="1">
      <alignment horizontal="center" vertical="top" wrapText="1"/>
    </xf>
    <xf numFmtId="0" fontId="9" fillId="0" borderId="5" xfId="0" applyFont="1" applyBorder="1" applyAlignment="1">
      <alignment horizontal="center" vertical="top" wrapText="1"/>
    </xf>
    <xf numFmtId="1" fontId="9" fillId="0" borderId="2"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1" xfId="0" applyFont="1" applyBorder="1" applyAlignment="1">
      <alignment horizontal="center" vertical="top" wrapText="1"/>
    </xf>
    <xf numFmtId="0" fontId="17" fillId="0" borderId="5" xfId="0" applyFont="1" applyBorder="1" applyAlignment="1">
      <alignment horizontal="center" vertical="top" wrapText="1"/>
    </xf>
    <xf numFmtId="2" fontId="17" fillId="0" borderId="2" xfId="0" applyNumberFormat="1" applyFont="1" applyBorder="1" applyAlignment="1">
      <alignment horizontal="center" vertical="top" wrapText="1"/>
    </xf>
    <xf numFmtId="1" fontId="3" fillId="2" borderId="1" xfId="1" applyNumberFormat="1" applyFont="1" applyFill="1" applyBorder="1" applyAlignment="1">
      <alignment horizontal="left" vertical="top"/>
    </xf>
    <xf numFmtId="1" fontId="3" fillId="2" borderId="4" xfId="1" applyNumberFormat="1" applyFont="1" applyFill="1" applyBorder="1" applyAlignment="1">
      <alignment horizontal="left" vertical="top"/>
    </xf>
    <xf numFmtId="1" fontId="3" fillId="2" borderId="5" xfId="1" applyNumberFormat="1" applyFont="1" applyFill="1" applyBorder="1" applyAlignment="1">
      <alignment horizontal="left" vertical="top"/>
    </xf>
    <xf numFmtId="0" fontId="2" fillId="0" borderId="1" xfId="3" applyFont="1" applyBorder="1" applyAlignment="1">
      <alignment horizontal="left" vertical="top"/>
    </xf>
    <xf numFmtId="0" fontId="2" fillId="0" borderId="4" xfId="3" applyFont="1" applyBorder="1" applyAlignment="1">
      <alignment horizontal="left" vertical="top"/>
    </xf>
    <xf numFmtId="0" fontId="2" fillId="0" borderId="5" xfId="3" applyFont="1" applyBorder="1" applyAlignment="1">
      <alignment horizontal="left" vertical="top"/>
    </xf>
    <xf numFmtId="1" fontId="10" fillId="0" borderId="2" xfId="0" applyNumberFormat="1" applyFont="1" applyBorder="1" applyAlignment="1">
      <alignment horizontal="center" vertical="center" wrapText="1"/>
    </xf>
    <xf numFmtId="0" fontId="8" fillId="0" borderId="2" xfId="4" applyFont="1" applyBorder="1" applyAlignment="1" applyProtection="1">
      <alignment horizontal="center" vertical="top" wrapText="1"/>
      <protection locked="0"/>
    </xf>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0" borderId="1" xfId="0" applyFont="1" applyBorder="1" applyAlignment="1">
      <alignment horizontal="left" vertical="top" wrapText="1"/>
    </xf>
    <xf numFmtId="14" fontId="8" fillId="2" borderId="1" xfId="0" applyNumberFormat="1" applyFont="1" applyFill="1" applyBorder="1" applyAlignment="1">
      <alignment horizontal="left" vertical="top"/>
    </xf>
    <xf numFmtId="9" fontId="8" fillId="5" borderId="6" xfId="4" applyNumberFormat="1" applyFont="1" applyFill="1" applyBorder="1" applyAlignment="1" applyProtection="1">
      <alignment horizontal="center" vertical="center" wrapText="1"/>
      <protection locked="0"/>
    </xf>
    <xf numFmtId="0" fontId="8" fillId="5" borderId="7" xfId="4" applyFont="1" applyFill="1" applyBorder="1" applyAlignment="1" applyProtection="1">
      <alignment horizontal="center" vertical="center" wrapText="1"/>
      <protection locked="0"/>
    </xf>
    <xf numFmtId="0" fontId="8" fillId="5" borderId="26" xfId="4" applyFont="1" applyFill="1" applyBorder="1" applyAlignment="1" applyProtection="1">
      <alignment horizontal="center" vertical="center" wrapText="1"/>
      <protection locked="0"/>
    </xf>
    <xf numFmtId="0" fontId="8" fillId="5" borderId="29" xfId="4" applyFont="1" applyFill="1" applyBorder="1" applyAlignment="1" applyProtection="1">
      <alignment horizontal="center" vertical="center" wrapText="1"/>
      <protection locked="0"/>
    </xf>
    <xf numFmtId="0" fontId="8" fillId="5" borderId="16" xfId="4" applyFont="1" applyFill="1" applyBorder="1" applyAlignment="1" applyProtection="1">
      <alignment horizontal="center" vertical="center" wrapText="1"/>
      <protection locked="0"/>
    </xf>
    <xf numFmtId="0" fontId="8" fillId="5" borderId="17" xfId="4" applyFont="1" applyFill="1" applyBorder="1" applyAlignment="1" applyProtection="1">
      <alignment horizontal="center" vertical="center" wrapText="1"/>
      <protection locked="0"/>
    </xf>
    <xf numFmtId="0" fontId="8" fillId="0" borderId="6" xfId="4" applyFont="1" applyBorder="1" applyAlignment="1" applyProtection="1">
      <alignment horizontal="center" vertical="center" wrapText="1"/>
      <protection locked="0"/>
    </xf>
    <xf numFmtId="0" fontId="8" fillId="0" borderId="8" xfId="4" applyFont="1" applyBorder="1" applyAlignment="1" applyProtection="1">
      <alignment horizontal="center" vertical="center" wrapText="1"/>
      <protection locked="0"/>
    </xf>
    <xf numFmtId="0" fontId="8" fillId="0" borderId="29" xfId="4" applyFont="1" applyBorder="1" applyAlignment="1" applyProtection="1">
      <alignment horizontal="center" vertical="center" wrapText="1"/>
      <protection locked="0"/>
    </xf>
    <xf numFmtId="0" fontId="8" fillId="0" borderId="28" xfId="4" applyFont="1" applyBorder="1" applyAlignment="1" applyProtection="1">
      <alignment horizontal="center" vertical="center" wrapText="1"/>
      <protection locked="0"/>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7" fillId="0" borderId="2" xfId="0" applyFont="1" applyBorder="1" applyAlignment="1">
      <alignment horizontal="left" vertical="top" wrapText="1"/>
    </xf>
    <xf numFmtId="0" fontId="0" fillId="0" borderId="5" xfId="0" applyBorder="1" applyAlignment="1">
      <alignment horizontal="left"/>
    </xf>
    <xf numFmtId="0" fontId="3" fillId="0" borderId="18"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2" fillId="0" borderId="1" xfId="0" applyFont="1" applyBorder="1" applyAlignment="1">
      <alignment vertical="top"/>
    </xf>
    <xf numFmtId="0" fontId="2" fillId="0" borderId="4" xfId="0" applyFont="1" applyBorder="1" applyAlignment="1">
      <alignment vertical="top"/>
    </xf>
    <xf numFmtId="0" fontId="2" fillId="0" borderId="5" xfId="0" applyFont="1" applyBorder="1" applyAlignment="1">
      <alignment vertical="top"/>
    </xf>
    <xf numFmtId="0" fontId="9" fillId="0" borderId="19" xfId="4" applyFont="1" applyBorder="1" applyAlignment="1" applyProtection="1">
      <alignment horizontal="center" vertical="top" wrapText="1"/>
      <protection locked="0"/>
    </xf>
    <xf numFmtId="0" fontId="5" fillId="0" borderId="1" xfId="0" applyFont="1" applyBorder="1" applyAlignment="1">
      <alignment horizontal="left" vertical="top"/>
    </xf>
    <xf numFmtId="0" fontId="9" fillId="0" borderId="1"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2" fillId="0" borderId="1"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2" fillId="0" borderId="2" xfId="0" applyFont="1" applyBorder="1" applyAlignment="1">
      <alignment horizontal="left" vertical="top"/>
    </xf>
    <xf numFmtId="0" fontId="28" fillId="0" borderId="1" xfId="5" applyBorder="1" applyAlignment="1">
      <alignment horizontal="left" vertical="top"/>
    </xf>
    <xf numFmtId="0" fontId="3" fillId="0" borderId="4" xfId="0" applyFont="1" applyBorder="1" applyAlignment="1">
      <alignment horizontal="left" vertical="top" wrapText="1"/>
    </xf>
    <xf numFmtId="0" fontId="3" fillId="0" borderId="1"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9" fillId="0" borderId="1" xfId="0" applyFont="1" applyBorder="1" applyAlignment="1">
      <alignmen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3"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2" xfId="0" applyFont="1" applyBorder="1" applyAlignment="1">
      <alignment horizontal="left" vertical="top"/>
    </xf>
    <xf numFmtId="0" fontId="2" fillId="0" borderId="1"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14" fontId="3" fillId="0" borderId="1" xfId="0" applyNumberFormat="1" applyFont="1" applyBorder="1" applyAlignment="1">
      <alignment horizontal="left" vertical="top"/>
    </xf>
    <xf numFmtId="14" fontId="3" fillId="0" borderId="4" xfId="0" applyNumberFormat="1" applyFont="1" applyBorder="1" applyAlignment="1">
      <alignment horizontal="left" vertical="top"/>
    </xf>
    <xf numFmtId="14" fontId="3" fillId="0" borderId="5" xfId="0" applyNumberFormat="1" applyFont="1" applyBorder="1" applyAlignment="1">
      <alignment horizontal="left" vertical="top"/>
    </xf>
    <xf numFmtId="14" fontId="17" fillId="0" borderId="1" xfId="0" applyNumberFormat="1" applyFont="1" applyBorder="1" applyAlignment="1">
      <alignment horizontal="left" vertical="top"/>
    </xf>
    <xf numFmtId="14" fontId="17" fillId="0" borderId="4" xfId="0" applyNumberFormat="1" applyFont="1" applyBorder="1" applyAlignment="1">
      <alignment horizontal="left" vertical="top"/>
    </xf>
    <xf numFmtId="14" fontId="17" fillId="0" borderId="5" xfId="0" applyNumberFormat="1" applyFont="1" applyBorder="1" applyAlignment="1">
      <alignment horizontal="left" vertical="top"/>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17" fillId="2" borderId="1"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5" xfId="0" applyFont="1" applyFill="1" applyBorder="1" applyAlignment="1">
      <alignment horizontal="left" vertical="top" wrapText="1"/>
    </xf>
    <xf numFmtId="0" fontId="5" fillId="0" borderId="1" xfId="0" applyFont="1" applyBorder="1" applyAlignment="1">
      <alignment horizontal="center" vertical="top"/>
    </xf>
    <xf numFmtId="0" fontId="5" fillId="0" borderId="5" xfId="0" applyFont="1" applyBorder="1" applyAlignment="1">
      <alignment horizontal="center" vertical="top"/>
    </xf>
    <xf numFmtId="0" fontId="5" fillId="0" borderId="4" xfId="0" applyFont="1" applyBorder="1" applyAlignment="1">
      <alignment vertical="top"/>
    </xf>
    <xf numFmtId="0" fontId="5" fillId="0" borderId="5" xfId="0" applyFont="1" applyBorder="1" applyAlignment="1">
      <alignment vertical="top"/>
    </xf>
    <xf numFmtId="0" fontId="3" fillId="2" borderId="2" xfId="0" applyFont="1" applyFill="1" applyBorder="1" applyAlignment="1">
      <alignment horizontal="left" vertical="top" wrapText="1"/>
    </xf>
    <xf numFmtId="0" fontId="3" fillId="0" borderId="2" xfId="0" applyFont="1" applyBorder="1" applyAlignment="1">
      <alignment horizontal="left" vertical="top" wrapText="1"/>
    </xf>
    <xf numFmtId="0" fontId="17" fillId="0" borderId="1" xfId="0"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2" xfId="0" applyFont="1" applyBorder="1" applyAlignment="1">
      <alignment horizontal="left" vertical="top"/>
    </xf>
    <xf numFmtId="0" fontId="2" fillId="0" borderId="6" xfId="3" applyFont="1" applyBorder="1" applyAlignment="1">
      <alignment horizontal="center" vertical="top" wrapText="1"/>
    </xf>
    <xf numFmtId="0" fontId="2" fillId="0" borderId="7" xfId="3" applyFont="1" applyBorder="1" applyAlignment="1">
      <alignment horizontal="center" vertical="top" wrapText="1"/>
    </xf>
    <xf numFmtId="0" fontId="2" fillId="0" borderId="8" xfId="3" applyFont="1" applyBorder="1" applyAlignment="1">
      <alignment horizontal="center" vertical="top" wrapText="1"/>
    </xf>
    <xf numFmtId="0" fontId="2" fillId="0" borderId="9" xfId="3" applyFont="1" applyBorder="1" applyAlignment="1">
      <alignment horizontal="center" vertical="top" wrapText="1"/>
    </xf>
    <xf numFmtId="0" fontId="2" fillId="0" borderId="0" xfId="3" applyFont="1" applyAlignment="1">
      <alignment horizontal="center" vertical="top" wrapText="1"/>
    </xf>
    <xf numFmtId="0" fontId="2" fillId="0" borderId="10" xfId="3" applyFont="1" applyBorder="1" applyAlignment="1">
      <alignment horizontal="center" vertical="top" wrapText="1"/>
    </xf>
    <xf numFmtId="0" fontId="2" fillId="0" borderId="11" xfId="3" applyFont="1" applyBorder="1" applyAlignment="1">
      <alignment horizontal="center" vertical="top" wrapText="1"/>
    </xf>
    <xf numFmtId="0" fontId="2" fillId="0" borderId="3" xfId="3" applyFont="1" applyBorder="1" applyAlignment="1">
      <alignment horizontal="center" vertical="top" wrapText="1"/>
    </xf>
    <xf numFmtId="0" fontId="2" fillId="0" borderId="12" xfId="3" applyFont="1" applyBorder="1" applyAlignment="1">
      <alignment horizontal="center" vertical="top" wrapText="1"/>
    </xf>
    <xf numFmtId="0" fontId="3" fillId="0" borderId="1" xfId="3" applyFont="1" applyBorder="1" applyAlignment="1">
      <alignment vertical="top"/>
    </xf>
    <xf numFmtId="0" fontId="3" fillId="0" borderId="4" xfId="3" applyFont="1" applyBorder="1" applyAlignment="1">
      <alignment vertical="top"/>
    </xf>
    <xf numFmtId="0" fontId="3" fillId="0" borderId="5" xfId="3" applyFont="1" applyBorder="1" applyAlignment="1">
      <alignment vertical="top"/>
    </xf>
    <xf numFmtId="0" fontId="3" fillId="0" borderId="1" xfId="3" applyFont="1" applyBorder="1" applyAlignment="1">
      <alignment horizontal="left" vertical="top"/>
    </xf>
    <xf numFmtId="0" fontId="3" fillId="0" borderId="4" xfId="3" applyFont="1" applyBorder="1" applyAlignment="1">
      <alignment horizontal="left" vertical="top"/>
    </xf>
    <xf numFmtId="0" fontId="3" fillId="0" borderId="5" xfId="3" applyFont="1" applyBorder="1" applyAlignment="1">
      <alignment horizontal="left" vertical="top"/>
    </xf>
    <xf numFmtId="0" fontId="8" fillId="0" borderId="1" xfId="2" applyFont="1" applyBorder="1" applyAlignment="1">
      <alignment horizontal="left" vertical="top" wrapText="1"/>
    </xf>
    <xf numFmtId="0" fontId="8" fillId="0" borderId="4" xfId="2" applyFont="1" applyBorder="1" applyAlignment="1">
      <alignment horizontal="left" vertical="top" wrapText="1"/>
    </xf>
    <xf numFmtId="0" fontId="8" fillId="0" borderId="5" xfId="2" applyFont="1" applyBorder="1" applyAlignment="1">
      <alignment horizontal="left" vertical="top" wrapText="1"/>
    </xf>
    <xf numFmtId="164" fontId="9" fillId="2" borderId="1" xfId="1" applyFont="1" applyFill="1" applyBorder="1" applyAlignment="1">
      <alignment horizontal="left" vertical="top" wrapText="1"/>
    </xf>
    <xf numFmtId="164" fontId="9" fillId="2" borderId="4" xfId="1" applyFont="1" applyFill="1" applyBorder="1" applyAlignment="1">
      <alignment horizontal="left" vertical="top" wrapText="1"/>
    </xf>
    <xf numFmtId="164" fontId="9" fillId="2" borderId="5" xfId="1" applyFont="1" applyFill="1" applyBorder="1" applyAlignment="1">
      <alignment horizontal="lef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11" xfId="0" applyFont="1" applyBorder="1" applyAlignment="1">
      <alignment horizontal="left" vertical="top"/>
    </xf>
    <xf numFmtId="0" fontId="3" fillId="0" borderId="3" xfId="0" applyFont="1" applyBorder="1" applyAlignment="1">
      <alignment horizontal="left" vertical="top"/>
    </xf>
    <xf numFmtId="0" fontId="3" fillId="0" borderId="12" xfId="0" applyFont="1" applyBorder="1" applyAlignment="1">
      <alignment horizontal="left" vertical="top"/>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5" xfId="3" applyFont="1" applyBorder="1" applyAlignment="1">
      <alignment horizontal="left" vertical="top" wrapText="1"/>
    </xf>
    <xf numFmtId="0" fontId="11" fillId="0" borderId="1" xfId="0" applyFont="1" applyBorder="1" applyAlignment="1">
      <alignment horizontal="center" vertical="top"/>
    </xf>
    <xf numFmtId="0" fontId="11" fillId="0" borderId="4" xfId="0" applyFont="1" applyBorder="1" applyAlignment="1">
      <alignment horizontal="center" vertical="top"/>
    </xf>
    <xf numFmtId="0" fontId="11" fillId="0" borderId="5" xfId="0" applyFont="1" applyBorder="1" applyAlignment="1">
      <alignment horizontal="center" vertical="top"/>
    </xf>
    <xf numFmtId="0" fontId="8" fillId="0" borderId="2" xfId="0" applyFont="1" applyBorder="1" applyAlignment="1">
      <alignment horizontal="center" vertical="top" wrapText="1"/>
    </xf>
    <xf numFmtId="0" fontId="8" fillId="0" borderId="1"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3" xfId="0" applyFont="1" applyBorder="1" applyAlignment="1">
      <alignment vertical="top" wrapText="1"/>
    </xf>
    <xf numFmtId="0" fontId="8" fillId="0" borderId="12" xfId="0" applyFont="1" applyBorder="1" applyAlignment="1">
      <alignment vertical="top" wrapText="1"/>
    </xf>
    <xf numFmtId="0" fontId="7" fillId="0" borderId="4" xfId="0" applyFont="1" applyBorder="1" applyAlignment="1">
      <alignment horizontal="left" vertical="top"/>
    </xf>
    <xf numFmtId="0" fontId="7" fillId="0" borderId="5" xfId="0" applyFont="1" applyBorder="1" applyAlignment="1">
      <alignment horizontal="left" vertical="top"/>
    </xf>
    <xf numFmtId="0" fontId="0" fillId="3" borderId="2" xfId="0" applyFill="1" applyBorder="1" applyAlignment="1">
      <alignment horizontal="left" vertical="top" wrapText="1"/>
    </xf>
    <xf numFmtId="0" fontId="0" fillId="3" borderId="2" xfId="0" applyFill="1" applyBorder="1" applyAlignment="1">
      <alignment horizontal="left" vertical="top"/>
    </xf>
    <xf numFmtId="1" fontId="2" fillId="2" borderId="1" xfId="1" applyNumberFormat="1" applyFont="1" applyFill="1" applyBorder="1" applyAlignment="1">
      <alignment horizontal="left" vertical="top"/>
    </xf>
    <xf numFmtId="1" fontId="2" fillId="2" borderId="4" xfId="1" applyNumberFormat="1" applyFont="1" applyFill="1" applyBorder="1" applyAlignment="1">
      <alignment horizontal="left" vertical="top"/>
    </xf>
    <xf numFmtId="1" fontId="2" fillId="2" borderId="5" xfId="1" applyNumberFormat="1" applyFont="1" applyFill="1" applyBorder="1" applyAlignment="1">
      <alignment horizontal="left" vertical="top"/>
    </xf>
    <xf numFmtId="0" fontId="3" fillId="0" borderId="4" xfId="0" applyFont="1" applyBorder="1" applyAlignment="1">
      <alignment horizontal="center" vertical="top"/>
    </xf>
    <xf numFmtId="14" fontId="3" fillId="0" borderId="1" xfId="0" applyNumberFormat="1" applyFont="1" applyBorder="1" applyAlignment="1">
      <alignment horizontal="left" vertical="top" wrapText="1"/>
    </xf>
    <xf numFmtId="0" fontId="3" fillId="0" borderId="2" xfId="0" applyFont="1" applyBorder="1" applyAlignment="1">
      <alignment horizontal="center" vertical="top"/>
    </xf>
    <xf numFmtId="0" fontId="8" fillId="0" borderId="25" xfId="4" applyFont="1" applyBorder="1" applyAlignment="1" applyProtection="1">
      <alignment horizontal="center" vertical="center"/>
      <protection locked="0"/>
    </xf>
    <xf numFmtId="0" fontId="8" fillId="0" borderId="8" xfId="4" applyFont="1" applyBorder="1" applyAlignment="1" applyProtection="1">
      <alignment horizontal="center" vertical="center"/>
      <protection locked="0"/>
    </xf>
    <xf numFmtId="0" fontId="8" fillId="0" borderId="27" xfId="4" applyFont="1" applyBorder="1" applyAlignment="1" applyProtection="1">
      <alignment horizontal="center" vertical="center"/>
      <protection locked="0"/>
    </xf>
    <xf numFmtId="0" fontId="8" fillId="0" borderId="28" xfId="4" applyFont="1" applyBorder="1" applyAlignment="1" applyProtection="1">
      <alignment horizontal="center" vertical="center"/>
      <protection locked="0"/>
    </xf>
    <xf numFmtId="0" fontId="8" fillId="5" borderId="8" xfId="4" applyFont="1" applyFill="1" applyBorder="1" applyAlignment="1" applyProtection="1">
      <alignment horizontal="center" vertical="center" wrapText="1"/>
      <protection locked="0"/>
    </xf>
    <xf numFmtId="0" fontId="8" fillId="5" borderId="28" xfId="4" applyFont="1" applyFill="1" applyBorder="1" applyAlignment="1" applyProtection="1">
      <alignment horizontal="center" vertical="center" wrapText="1"/>
      <protection locked="0"/>
    </xf>
    <xf numFmtId="0" fontId="16" fillId="0" borderId="2" xfId="4" applyFont="1" applyBorder="1" applyAlignment="1" applyProtection="1">
      <alignment horizontal="left" vertical="top" wrapText="1"/>
      <protection locked="0"/>
    </xf>
    <xf numFmtId="0" fontId="5" fillId="0" borderId="2" xfId="0" applyFont="1" applyBorder="1" applyAlignment="1">
      <alignment horizontal="left" vertical="top"/>
    </xf>
    <xf numFmtId="164" fontId="9" fillId="2" borderId="2" xfId="1" applyFont="1" applyFill="1" applyBorder="1" applyAlignment="1">
      <alignment horizontal="left" vertical="top" wrapText="1"/>
    </xf>
    <xf numFmtId="164" fontId="3" fillId="2" borderId="2" xfId="1" applyFont="1" applyFill="1" applyBorder="1" applyAlignment="1">
      <alignment horizontal="left" vertical="top" wrapText="1"/>
    </xf>
    <xf numFmtId="0" fontId="8" fillId="0" borderId="2" xfId="0" applyFont="1" applyBorder="1" applyAlignment="1">
      <alignment horizontal="left" vertical="top"/>
    </xf>
    <xf numFmtId="0" fontId="0" fillId="3" borderId="2" xfId="0" applyFill="1" applyBorder="1" applyAlignment="1">
      <alignment horizontal="center" wrapText="1"/>
    </xf>
    <xf numFmtId="0" fontId="15" fillId="0" borderId="2" xfId="0" applyFont="1" applyBorder="1" applyAlignment="1">
      <alignment horizontal="center"/>
    </xf>
    <xf numFmtId="0" fontId="8" fillId="0" borderId="23"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2" xfId="4" applyFont="1" applyBorder="1" applyAlignment="1" applyProtection="1">
      <alignment horizontal="left" vertical="center" wrapText="1"/>
      <protection locked="0"/>
    </xf>
    <xf numFmtId="0" fontId="8" fillId="0" borderId="24" xfId="4" applyFont="1" applyBorder="1" applyAlignment="1" applyProtection="1">
      <alignment horizontal="left" vertical="center" wrapText="1"/>
      <protection locked="0"/>
    </xf>
  </cellXfs>
  <cellStyles count="6">
    <cellStyle name="Comma" xfId="1" builtinId="3"/>
    <cellStyle name="Excel Built-in Normal" xfId="2"/>
    <cellStyle name="Hyperlink" xfId="5" builtinId="8"/>
    <cellStyle name="Normal" xfId="0" builtinId="0"/>
    <cellStyle name="Normal 2" xfId="3"/>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twoCellAnchor editAs="oneCell">
    <xdr:from>
      <xdr:col>1</xdr:col>
      <xdr:colOff>582706</xdr:colOff>
      <xdr:row>676</xdr:row>
      <xdr:rowOff>19611</xdr:rowOff>
    </xdr:from>
    <xdr:to>
      <xdr:col>9</xdr:col>
      <xdr:colOff>969368</xdr:colOff>
      <xdr:row>695</xdr:row>
      <xdr:rowOff>87867</xdr:rowOff>
    </xdr:to>
    <xdr:pic>
      <xdr:nvPicPr>
        <xdr:cNvPr id="4739" name="Picture 14">
          <a:extLst>
            <a:ext uri="{FF2B5EF4-FFF2-40B4-BE49-F238E27FC236}">
              <a16:creationId xmlns:a16="http://schemas.microsoft.com/office/drawing/2014/main" id="{00000000-0008-0000-0000-0000831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174377" y="117788952"/>
          <a:ext cx="5711697" cy="3474844"/>
        </a:xfrm>
        <a:prstGeom prst="rect">
          <a:avLst/>
        </a:prstGeom>
        <a:noFill/>
        <a:ln w="9525">
          <a:solidFill>
            <a:srgbClr val="08080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582705</xdr:colOff>
      <xdr:row>656</xdr:row>
      <xdr:rowOff>17930</xdr:rowOff>
    </xdr:from>
    <xdr:to>
      <xdr:col>9</xdr:col>
      <xdr:colOff>960943</xdr:colOff>
      <xdr:row>675</xdr:row>
      <xdr:rowOff>92445</xdr:rowOff>
    </xdr:to>
    <xdr:pic>
      <xdr:nvPicPr>
        <xdr:cNvPr id="4740" name="Picture 15">
          <a:extLst>
            <a:ext uri="{FF2B5EF4-FFF2-40B4-BE49-F238E27FC236}">
              <a16:creationId xmlns:a16="http://schemas.microsoft.com/office/drawing/2014/main" id="{00000000-0008-0000-0000-0000841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174376" y="114201389"/>
          <a:ext cx="5703273" cy="3481103"/>
        </a:xfrm>
        <a:prstGeom prst="rect">
          <a:avLst/>
        </a:prstGeom>
        <a:noFill/>
        <a:ln w="9525">
          <a:solidFill>
            <a:srgbClr val="08080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575981</xdr:colOff>
      <xdr:row>610</xdr:row>
      <xdr:rowOff>87406</xdr:rowOff>
    </xdr:from>
    <xdr:to>
      <xdr:col>9</xdr:col>
      <xdr:colOff>688218</xdr:colOff>
      <xdr:row>651</xdr:row>
      <xdr:rowOff>174231</xdr:rowOff>
    </xdr:to>
    <xdr:pic>
      <xdr:nvPicPr>
        <xdr:cNvPr id="131" name="Pictur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3"/>
        <a:stretch>
          <a:fillRect/>
        </a:stretch>
      </xdr:blipFill>
      <xdr:spPr>
        <a:xfrm rot="5400000">
          <a:off x="167346" y="107023641"/>
          <a:ext cx="7437884" cy="5437272"/>
        </a:xfrm>
        <a:prstGeom prst="rect">
          <a:avLst/>
        </a:prstGeom>
        <a:ln>
          <a:solidFill>
            <a:schemeClr val="tx1"/>
          </a:solidFill>
        </a:ln>
      </xdr:spPr>
    </xdr:pic>
    <xdr:clientData/>
  </xdr:twoCellAnchor>
  <xdr:twoCellAnchor editAs="oneCell">
    <xdr:from>
      <xdr:col>2</xdr:col>
      <xdr:colOff>834863</xdr:colOff>
      <xdr:row>485</xdr:row>
      <xdr:rowOff>137359</xdr:rowOff>
    </xdr:from>
    <xdr:to>
      <xdr:col>5</xdr:col>
      <xdr:colOff>279863</xdr:colOff>
      <xdr:row>495</xdr:row>
      <xdr:rowOff>95859</xdr:rowOff>
    </xdr:to>
    <xdr:pic>
      <xdr:nvPicPr>
        <xdr:cNvPr id="48" name="Picture 4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206463" y="80248959"/>
          <a:ext cx="1350000" cy="1800000"/>
        </a:xfrm>
        <a:prstGeom prst="rect">
          <a:avLst/>
        </a:prstGeom>
        <a:ln>
          <a:solidFill>
            <a:schemeClr val="tx1"/>
          </a:solidFill>
        </a:ln>
      </xdr:spPr>
    </xdr:pic>
    <xdr:clientData/>
  </xdr:twoCellAnchor>
  <xdr:oneCellAnchor>
    <xdr:from>
      <xdr:col>10</xdr:col>
      <xdr:colOff>908050</xdr:colOff>
      <xdr:row>453</xdr:row>
      <xdr:rowOff>127000</xdr:rowOff>
    </xdr:from>
    <xdr:ext cx="470513" cy="311496"/>
    <xdr:sp macro="" textlink="">
      <xdr:nvSpPr>
        <xdr:cNvPr id="4" name="TextBox 3"/>
        <xdr:cNvSpPr txBox="1"/>
      </xdr:nvSpPr>
      <xdr:spPr>
        <a:xfrm>
          <a:off x="9042400" y="74345800"/>
          <a:ext cx="47051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43A</a:t>
          </a:r>
        </a:p>
      </xdr:txBody>
    </xdr:sp>
    <xdr:clientData/>
  </xdr:oneCellAnchor>
  <xdr:twoCellAnchor>
    <xdr:from>
      <xdr:col>1</xdr:col>
      <xdr:colOff>107950</xdr:colOff>
      <xdr:row>450</xdr:row>
      <xdr:rowOff>114300</xdr:rowOff>
    </xdr:from>
    <xdr:to>
      <xdr:col>9</xdr:col>
      <xdr:colOff>1329363</xdr:colOff>
      <xdr:row>495</xdr:row>
      <xdr:rowOff>95859</xdr:rowOff>
    </xdr:to>
    <xdr:grpSp>
      <xdr:nvGrpSpPr>
        <xdr:cNvPr id="5" name="Group 4"/>
        <xdr:cNvGrpSpPr/>
      </xdr:nvGrpSpPr>
      <xdr:grpSpPr>
        <a:xfrm>
          <a:off x="711200" y="73583800"/>
          <a:ext cx="6650663" cy="8268309"/>
          <a:chOff x="711200" y="73780650"/>
          <a:chExt cx="6650663" cy="8268309"/>
        </a:xfrm>
      </xdr:grpSpPr>
      <xdr:pic>
        <xdr:nvPicPr>
          <xdr:cNvPr id="38" name="Picture 3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756063" y="73780650"/>
            <a:ext cx="1539000" cy="2052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06864" y="73780650"/>
            <a:ext cx="1539000" cy="2052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057665" y="73780650"/>
            <a:ext cx="1539000" cy="2052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711200" y="78092856"/>
            <a:ext cx="1539000" cy="2052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5708466" y="73780650"/>
            <a:ext cx="1539000" cy="2052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406864" y="78092856"/>
            <a:ext cx="1539000" cy="2052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057665" y="78092856"/>
            <a:ext cx="1539000" cy="2052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549365" y="75936753"/>
            <a:ext cx="1539000" cy="2052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736252" y="80248959"/>
            <a:ext cx="1350000" cy="180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676674" y="80248959"/>
            <a:ext cx="1350000" cy="180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050763" y="75936753"/>
            <a:ext cx="1539000" cy="2052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701564" y="75936753"/>
            <a:ext cx="2736000" cy="2052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5146885" y="80248959"/>
            <a:ext cx="2214978" cy="1800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5708466" y="78092856"/>
            <a:ext cx="1539000" cy="2052000"/>
          </a:xfrm>
          <a:prstGeom prst="rect">
            <a:avLst/>
          </a:prstGeom>
          <a:ln>
            <a:solidFill>
              <a:schemeClr val="tx1"/>
            </a:solidFill>
          </a:ln>
        </xdr:spPr>
      </xdr:pic>
      <xdr:sp macro="" textlink="">
        <xdr:nvSpPr>
          <xdr:cNvPr id="54" name="TextBox 53"/>
          <xdr:cNvSpPr txBox="1"/>
        </xdr:nvSpPr>
        <xdr:spPr>
          <a:xfrm>
            <a:off x="1556163" y="73914000"/>
            <a:ext cx="47051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43A</a:t>
            </a:r>
          </a:p>
        </xdr:txBody>
      </xdr:sp>
      <xdr:sp macro="" textlink="">
        <xdr:nvSpPr>
          <xdr:cNvPr id="55" name="TextBox 54"/>
          <xdr:cNvSpPr txBox="1"/>
        </xdr:nvSpPr>
        <xdr:spPr>
          <a:xfrm>
            <a:off x="3416514" y="73850500"/>
            <a:ext cx="47051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43A</a:t>
            </a:r>
          </a:p>
        </xdr:txBody>
      </xdr:sp>
      <xdr:sp macro="" textlink="">
        <xdr:nvSpPr>
          <xdr:cNvPr id="56" name="TextBox 55"/>
          <xdr:cNvSpPr txBox="1"/>
        </xdr:nvSpPr>
        <xdr:spPr>
          <a:xfrm>
            <a:off x="4476765" y="73799700"/>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45</a:t>
            </a:r>
          </a:p>
        </xdr:txBody>
      </xdr:sp>
      <xdr:sp macro="" textlink="">
        <xdr:nvSpPr>
          <xdr:cNvPr id="57" name="TextBox 56"/>
          <xdr:cNvSpPr txBox="1"/>
        </xdr:nvSpPr>
        <xdr:spPr>
          <a:xfrm>
            <a:off x="6387916" y="73863200"/>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49</a:t>
            </a:r>
          </a:p>
        </xdr:txBody>
      </xdr:sp>
      <xdr:sp macro="" textlink="">
        <xdr:nvSpPr>
          <xdr:cNvPr id="58" name="TextBox 57"/>
          <xdr:cNvSpPr txBox="1"/>
        </xdr:nvSpPr>
        <xdr:spPr>
          <a:xfrm>
            <a:off x="1869913" y="76190753"/>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51</a:t>
            </a:r>
          </a:p>
        </xdr:txBody>
      </xdr:sp>
      <xdr:sp macro="" textlink="">
        <xdr:nvSpPr>
          <xdr:cNvPr id="59" name="TextBox 58"/>
          <xdr:cNvSpPr txBox="1"/>
        </xdr:nvSpPr>
        <xdr:spPr>
          <a:xfrm>
            <a:off x="4447814" y="75962153"/>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51</a:t>
            </a:r>
          </a:p>
        </xdr:txBody>
      </xdr:sp>
      <xdr:sp macro="" textlink="">
        <xdr:nvSpPr>
          <xdr:cNvPr id="60" name="TextBox 59"/>
          <xdr:cNvSpPr txBox="1"/>
        </xdr:nvSpPr>
        <xdr:spPr>
          <a:xfrm>
            <a:off x="5847815" y="76311403"/>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82</a:t>
            </a:r>
          </a:p>
        </xdr:txBody>
      </xdr:sp>
      <xdr:sp macro="" textlink="">
        <xdr:nvSpPr>
          <xdr:cNvPr id="78" name="TextBox 77"/>
          <xdr:cNvSpPr txBox="1"/>
        </xdr:nvSpPr>
        <xdr:spPr>
          <a:xfrm>
            <a:off x="1231900" y="79547006"/>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FF00"/>
                </a:solidFill>
                <a:effectLst>
                  <a:outerShdw blurRad="38100" dist="25400" dir="5400000" algn="ctr" rotWithShape="0">
                    <a:srgbClr val="6E747A">
                      <a:alpha val="43000"/>
                    </a:srgbClr>
                  </a:outerShdw>
                </a:effectLst>
              </a:rPr>
              <a:t>45</a:t>
            </a:r>
          </a:p>
        </xdr:txBody>
      </xdr:sp>
      <xdr:sp macro="" textlink="">
        <xdr:nvSpPr>
          <xdr:cNvPr id="79" name="TextBox 78"/>
          <xdr:cNvSpPr txBox="1"/>
        </xdr:nvSpPr>
        <xdr:spPr>
          <a:xfrm>
            <a:off x="3175214" y="79680356"/>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FF00"/>
                </a:solidFill>
                <a:effectLst>
                  <a:outerShdw blurRad="38100" dist="25400" dir="5400000" algn="ctr" rotWithShape="0">
                    <a:srgbClr val="6E747A">
                      <a:alpha val="43000"/>
                    </a:srgbClr>
                  </a:outerShdw>
                </a:effectLst>
              </a:rPr>
              <a:t>49</a:t>
            </a:r>
          </a:p>
        </xdr:txBody>
      </xdr:sp>
      <xdr:sp macro="" textlink="">
        <xdr:nvSpPr>
          <xdr:cNvPr id="83" name="TextBox 82"/>
          <xdr:cNvSpPr txBox="1"/>
        </xdr:nvSpPr>
        <xdr:spPr>
          <a:xfrm>
            <a:off x="4362465" y="79591456"/>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FF00"/>
                </a:solidFill>
                <a:effectLst>
                  <a:outerShdw blurRad="38100" dist="25400" dir="5400000" algn="ctr" rotWithShape="0">
                    <a:srgbClr val="6E747A">
                      <a:alpha val="43000"/>
                    </a:srgbClr>
                  </a:outerShdw>
                </a:effectLst>
              </a:rPr>
              <a:t>49</a:t>
            </a:r>
          </a:p>
        </xdr:txBody>
      </xdr:sp>
      <xdr:sp macro="" textlink="">
        <xdr:nvSpPr>
          <xdr:cNvPr id="84" name="TextBox 83"/>
          <xdr:cNvSpPr txBox="1"/>
        </xdr:nvSpPr>
        <xdr:spPr>
          <a:xfrm>
            <a:off x="5873566" y="79553356"/>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FF00"/>
                </a:solidFill>
                <a:effectLst>
                  <a:outerShdw blurRad="38100" dist="25400" dir="5400000" algn="ctr" rotWithShape="0">
                    <a:srgbClr val="6E747A">
                      <a:alpha val="43000"/>
                    </a:srgbClr>
                  </a:outerShdw>
                </a:effectLst>
              </a:rPr>
              <a:t>51</a:t>
            </a:r>
          </a:p>
        </xdr:txBody>
      </xdr:sp>
      <xdr:sp macro="" textlink="">
        <xdr:nvSpPr>
          <xdr:cNvPr id="85" name="TextBox 84"/>
          <xdr:cNvSpPr txBox="1"/>
        </xdr:nvSpPr>
        <xdr:spPr>
          <a:xfrm>
            <a:off x="1244252" y="81538009"/>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FF00"/>
                </a:solidFill>
                <a:effectLst>
                  <a:outerShdw blurRad="38100" dist="25400" dir="5400000" algn="ctr" rotWithShape="0">
                    <a:srgbClr val="6E747A">
                      <a:alpha val="43000"/>
                    </a:srgbClr>
                  </a:outerShdw>
                </a:effectLst>
              </a:rPr>
              <a:t>82</a:t>
            </a:r>
          </a:p>
        </xdr:txBody>
      </xdr:sp>
      <xdr:sp macro="" textlink="">
        <xdr:nvSpPr>
          <xdr:cNvPr id="86" name="TextBox 85"/>
          <xdr:cNvSpPr txBox="1"/>
        </xdr:nvSpPr>
        <xdr:spPr>
          <a:xfrm>
            <a:off x="2650963" y="81461809"/>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FF00"/>
                </a:solidFill>
                <a:effectLst>
                  <a:outerShdw blurRad="38100" dist="25400" dir="5400000" algn="ctr" rotWithShape="0">
                    <a:srgbClr val="6E747A">
                      <a:alpha val="43000"/>
                    </a:srgbClr>
                  </a:outerShdw>
                </a:effectLst>
              </a:rPr>
              <a:t>82</a:t>
            </a:r>
          </a:p>
        </xdr:txBody>
      </xdr:sp>
      <xdr:sp macro="" textlink="">
        <xdr:nvSpPr>
          <xdr:cNvPr id="87" name="TextBox 86"/>
          <xdr:cNvSpPr txBox="1"/>
        </xdr:nvSpPr>
        <xdr:spPr>
          <a:xfrm>
            <a:off x="4229124" y="81430059"/>
            <a:ext cx="3666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FF00"/>
                </a:solidFill>
                <a:effectLst>
                  <a:outerShdw blurRad="38100" dist="25400" dir="5400000" algn="ctr" rotWithShape="0">
                    <a:srgbClr val="6E747A">
                      <a:alpha val="43000"/>
                    </a:srgbClr>
                  </a:outerShdw>
                </a:effectLst>
              </a:rPr>
              <a:t>82</a:t>
            </a:r>
          </a:p>
        </xdr:txBody>
      </xdr:sp>
    </xdr:grpSp>
    <xdr:clientData/>
  </xdr:twoCellAnchor>
  <xdr:twoCellAnchor>
    <xdr:from>
      <xdr:col>1</xdr:col>
      <xdr:colOff>736600</xdr:colOff>
      <xdr:row>561</xdr:row>
      <xdr:rowOff>63500</xdr:rowOff>
    </xdr:from>
    <xdr:to>
      <xdr:col>9</xdr:col>
      <xdr:colOff>523247</xdr:colOff>
      <xdr:row>594</xdr:row>
      <xdr:rowOff>11854</xdr:rowOff>
    </xdr:to>
    <xdr:grpSp>
      <xdr:nvGrpSpPr>
        <xdr:cNvPr id="6" name="Group 5"/>
        <xdr:cNvGrpSpPr/>
      </xdr:nvGrpSpPr>
      <xdr:grpSpPr>
        <a:xfrm>
          <a:off x="1339850" y="93973650"/>
          <a:ext cx="5215897" cy="6025304"/>
          <a:chOff x="1339850" y="94170500"/>
          <a:chExt cx="5215897" cy="6025304"/>
        </a:xfrm>
      </xdr:grpSpPr>
      <xdr:pic>
        <xdr:nvPicPr>
          <xdr:cNvPr id="125" name="Picture 12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5342012" y="94170500"/>
            <a:ext cx="1213735" cy="1620000"/>
          </a:xfrm>
          <a:prstGeom prst="rect">
            <a:avLst/>
          </a:prstGeom>
          <a:ln>
            <a:solidFill>
              <a:schemeClr val="tx1"/>
            </a:solidFill>
          </a:ln>
        </xdr:spPr>
      </xdr:pic>
      <xdr:pic>
        <xdr:nvPicPr>
          <xdr:cNvPr id="130" name="Picture 129"/>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007958" y="94178044"/>
            <a:ext cx="1213735" cy="1620000"/>
          </a:xfrm>
          <a:prstGeom prst="rect">
            <a:avLst/>
          </a:prstGeom>
          <a:ln>
            <a:solidFill>
              <a:schemeClr val="tx1"/>
            </a:solidFill>
          </a:ln>
        </xdr:spPr>
      </xdr:pic>
      <xdr:pic>
        <xdr:nvPicPr>
          <xdr:cNvPr id="132" name="Picture 13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673904" y="94170500"/>
            <a:ext cx="1213735" cy="1627543"/>
          </a:xfrm>
          <a:prstGeom prst="rect">
            <a:avLst/>
          </a:prstGeom>
          <a:ln>
            <a:solidFill>
              <a:schemeClr val="tx1"/>
            </a:solidFill>
          </a:ln>
        </xdr:spPr>
      </xdr:pic>
      <xdr:pic>
        <xdr:nvPicPr>
          <xdr:cNvPr id="133" name="Picture 13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1339850" y="94178044"/>
            <a:ext cx="1213735" cy="1620000"/>
          </a:xfrm>
          <a:prstGeom prst="rect">
            <a:avLst/>
          </a:prstGeom>
          <a:ln>
            <a:solidFill>
              <a:schemeClr val="tx1"/>
            </a:solidFill>
          </a:ln>
        </xdr:spPr>
      </xdr:pic>
      <xdr:pic>
        <xdr:nvPicPr>
          <xdr:cNvPr id="88" name="Picture 87"/>
          <xdr:cNvPicPr>
            <a:picLocks noChangeAspect="1"/>
          </xdr:cNvPicPr>
        </xdr:nvPicPr>
        <xdr:blipFill>
          <a:blip xmlns:r="http://schemas.openxmlformats.org/officeDocument/2006/relationships" r:embed="rId23"/>
          <a:stretch>
            <a:fillRect/>
          </a:stretch>
        </xdr:blipFill>
        <xdr:spPr>
          <a:xfrm>
            <a:off x="1993900" y="95923100"/>
            <a:ext cx="1900559" cy="2520000"/>
          </a:xfrm>
          <a:prstGeom prst="rect">
            <a:avLst/>
          </a:prstGeom>
          <a:ln>
            <a:solidFill>
              <a:schemeClr val="tx1"/>
            </a:solidFill>
          </a:ln>
        </xdr:spPr>
      </xdr:pic>
      <xdr:pic>
        <xdr:nvPicPr>
          <xdr:cNvPr id="89" name="Picture 88"/>
          <xdr:cNvPicPr>
            <a:picLocks noChangeAspect="1"/>
          </xdr:cNvPicPr>
        </xdr:nvPicPr>
        <xdr:blipFill>
          <a:blip xmlns:r="http://schemas.openxmlformats.org/officeDocument/2006/relationships" r:embed="rId24"/>
          <a:stretch>
            <a:fillRect/>
          </a:stretch>
        </xdr:blipFill>
        <xdr:spPr>
          <a:xfrm>
            <a:off x="4050256" y="95923100"/>
            <a:ext cx="1900559" cy="2520000"/>
          </a:xfrm>
          <a:prstGeom prst="rect">
            <a:avLst/>
          </a:prstGeom>
          <a:ln>
            <a:solidFill>
              <a:schemeClr val="tx1"/>
            </a:solidFill>
          </a:ln>
        </xdr:spPr>
      </xdr:pic>
      <xdr:pic>
        <xdr:nvPicPr>
          <xdr:cNvPr id="90" name="Picture 89"/>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a:ext>
            </a:extLst>
          </a:blip>
          <a:srcRect b="9093"/>
          <a:stretch/>
        </xdr:blipFill>
        <xdr:spPr>
          <a:xfrm>
            <a:off x="2921553" y="98564352"/>
            <a:ext cx="1213735" cy="1631452"/>
          </a:xfrm>
          <a:prstGeom prst="rect">
            <a:avLst/>
          </a:prstGeom>
          <a:ln>
            <a:solidFill>
              <a:schemeClr val="tx1"/>
            </a:solidFill>
          </a:ln>
        </xdr:spPr>
      </xdr:pic>
      <xdr:pic>
        <xdr:nvPicPr>
          <xdr:cNvPr id="91" name="Picture 90"/>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1581150" y="98571454"/>
            <a:ext cx="1213735" cy="1620000"/>
          </a:xfrm>
          <a:prstGeom prst="rect">
            <a:avLst/>
          </a:prstGeom>
          <a:ln>
            <a:solidFill>
              <a:schemeClr val="tx1"/>
            </a:solidFill>
          </a:ln>
        </xdr:spPr>
      </xdr:pic>
      <xdr:pic>
        <xdr:nvPicPr>
          <xdr:cNvPr id="92" name="Picture 91"/>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4249258" y="98539300"/>
            <a:ext cx="2158286" cy="1620000"/>
          </a:xfrm>
          <a:prstGeom prst="rect">
            <a:avLst/>
          </a:prstGeom>
          <a:ln>
            <a:solidFill>
              <a:schemeClr val="tx1"/>
            </a:solidFill>
          </a:ln>
        </xdr:spPr>
      </xdr:pic>
    </xdr:grpSp>
    <xdr:clientData/>
  </xdr:twoCellAnchor>
  <xdr:twoCellAnchor>
    <xdr:from>
      <xdr:col>1</xdr:col>
      <xdr:colOff>174611</xdr:colOff>
      <xdr:row>502</xdr:row>
      <xdr:rowOff>146050</xdr:rowOff>
    </xdr:from>
    <xdr:to>
      <xdr:col>9</xdr:col>
      <xdr:colOff>1468311</xdr:colOff>
      <xdr:row>548</xdr:row>
      <xdr:rowOff>120338</xdr:rowOff>
    </xdr:to>
    <xdr:grpSp>
      <xdr:nvGrpSpPr>
        <xdr:cNvPr id="7" name="Group 6"/>
        <xdr:cNvGrpSpPr/>
      </xdr:nvGrpSpPr>
      <xdr:grpSpPr>
        <a:xfrm>
          <a:off x="777861" y="83191350"/>
          <a:ext cx="6722950" cy="8445188"/>
          <a:chOff x="777861" y="83388200"/>
          <a:chExt cx="6722950" cy="8445188"/>
        </a:xfrm>
      </xdr:grpSpPr>
      <xdr:pic>
        <xdr:nvPicPr>
          <xdr:cNvPr id="62" name="Picture 61"/>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787400" y="83388200"/>
            <a:ext cx="2158286" cy="162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3057511" y="83388200"/>
            <a:ext cx="2158286" cy="162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5327622" y="83388200"/>
            <a:ext cx="2158286" cy="1620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5321300" y="86789416"/>
            <a:ext cx="2158286" cy="1620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a:ext>
            </a:extLst>
          </a:blip>
          <a:stretch>
            <a:fillRect/>
          </a:stretch>
        </xdr:blipFill>
        <xdr:spPr>
          <a:xfrm>
            <a:off x="3047972" y="88503916"/>
            <a:ext cx="2158286" cy="1620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a:ext>
            </a:extLst>
          </a:blip>
          <a:stretch>
            <a:fillRect/>
          </a:stretch>
        </xdr:blipFill>
        <xdr:spPr>
          <a:xfrm>
            <a:off x="5342525" y="88517938"/>
            <a:ext cx="2158286" cy="1620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777861" y="88503916"/>
            <a:ext cx="2158286" cy="1620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a:ext>
            </a:extLst>
          </a:blip>
          <a:stretch>
            <a:fillRect/>
          </a:stretch>
        </xdr:blipFill>
        <xdr:spPr>
          <a:xfrm>
            <a:off x="3060672" y="86807144"/>
            <a:ext cx="2158286" cy="1620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a:ext>
            </a:extLst>
          </a:blip>
          <a:stretch>
            <a:fillRect/>
          </a:stretch>
        </xdr:blipFill>
        <xdr:spPr>
          <a:xfrm>
            <a:off x="4675756" y="90213388"/>
            <a:ext cx="1213735" cy="1620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a:ext>
            </a:extLst>
          </a:blip>
          <a:stretch>
            <a:fillRect/>
          </a:stretch>
        </xdr:blipFill>
        <xdr:spPr>
          <a:xfrm>
            <a:off x="787400" y="85097672"/>
            <a:ext cx="2158286" cy="1620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a:ext>
            </a:extLst>
          </a:blip>
          <a:stretch>
            <a:fillRect/>
          </a:stretch>
        </xdr:blipFill>
        <xdr:spPr>
          <a:xfrm>
            <a:off x="3350196" y="90213388"/>
            <a:ext cx="1213735" cy="1620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a:ext>
            </a:extLst>
          </a:blip>
          <a:stretch>
            <a:fillRect/>
          </a:stretch>
        </xdr:blipFill>
        <xdr:spPr>
          <a:xfrm>
            <a:off x="2024636" y="90213388"/>
            <a:ext cx="1213735" cy="1620000"/>
          </a:xfrm>
          <a:prstGeom prst="rect">
            <a:avLst/>
          </a:prstGeom>
          <a:ln>
            <a:solidFill>
              <a:schemeClr val="tx1"/>
            </a:solidFill>
          </a:ln>
        </xdr:spPr>
      </xdr:pic>
      <xdr:pic>
        <xdr:nvPicPr>
          <xdr:cNvPr id="74" name="Picture 73"/>
          <xdr:cNvPicPr>
            <a:picLocks noChangeAspect="1"/>
          </xdr:cNvPicPr>
        </xdr:nvPicPr>
        <xdr:blipFill rotWithShape="1">
          <a:blip xmlns:r="http://schemas.openxmlformats.org/officeDocument/2006/relationships" r:embed="rId40" cstate="print">
            <a:extLst>
              <a:ext uri="{28A0092B-C50C-407E-A947-70E740481C1C}">
                <a14:useLocalDpi xmlns:a14="http://schemas.microsoft.com/office/drawing/2010/main"/>
              </a:ext>
            </a:extLst>
          </a:blip>
          <a:srcRect b="7968"/>
          <a:stretch/>
        </xdr:blipFill>
        <xdr:spPr>
          <a:xfrm>
            <a:off x="3057511" y="85097672"/>
            <a:ext cx="2158286" cy="1624278"/>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a:ext>
            </a:extLst>
          </a:blip>
          <a:stretch>
            <a:fillRect/>
          </a:stretch>
        </xdr:blipFill>
        <xdr:spPr>
          <a:xfrm>
            <a:off x="5327622" y="85097672"/>
            <a:ext cx="2158286" cy="1620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a:ext>
            </a:extLst>
          </a:blip>
          <a:stretch>
            <a:fillRect/>
          </a:stretch>
        </xdr:blipFill>
        <xdr:spPr>
          <a:xfrm>
            <a:off x="787400" y="86807144"/>
            <a:ext cx="2158286" cy="162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FvkZ1vPWU8pvKaD9"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655"/>
  <sheetViews>
    <sheetView tabSelected="1" view="pageBreakPreview" topLeftCell="A293" zoomScaleNormal="100" zoomScaleSheetLayoutView="100" zoomScalePageLayoutView="85" workbookViewId="0">
      <selection activeCell="H291" sqref="H291:J300"/>
    </sheetView>
  </sheetViews>
  <sheetFormatPr defaultRowHeight="14.5" x14ac:dyDescent="0.35"/>
  <cols>
    <col min="1" max="1" width="8.6328125" customWidth="1"/>
    <col min="2" max="2" width="11" customWidth="1"/>
    <col min="3" max="3" width="13.90625" customWidth="1"/>
    <col min="4" max="4" width="7" customWidth="1"/>
    <col min="5" max="5" width="6.36328125" customWidth="1"/>
    <col min="6" max="6" width="10.54296875" customWidth="1"/>
    <col min="7" max="7" width="9.90625" customWidth="1"/>
    <col min="8" max="8" width="9.54296875" customWidth="1"/>
    <col min="9" max="9" width="9.453125" customWidth="1"/>
    <col min="10" max="10" width="30.08984375" customWidth="1"/>
    <col min="11" max="11" width="18.90625" customWidth="1"/>
    <col min="14" max="14" width="12.36328125" bestFit="1" customWidth="1"/>
  </cols>
  <sheetData>
    <row r="1" spans="1:15" ht="44" customHeight="1" x14ac:dyDescent="0.35">
      <c r="A1" s="220" t="s">
        <v>328</v>
      </c>
      <c r="B1" s="221"/>
      <c r="C1" s="221"/>
      <c r="D1" s="221"/>
      <c r="E1" s="221"/>
      <c r="F1" s="221"/>
      <c r="G1" s="221"/>
      <c r="H1" s="221"/>
      <c r="I1" s="221"/>
      <c r="J1" s="222"/>
    </row>
    <row r="2" spans="1:15" x14ac:dyDescent="0.35">
      <c r="A2" s="209" t="s">
        <v>30</v>
      </c>
      <c r="B2" s="210"/>
      <c r="C2" s="210"/>
      <c r="D2" s="210"/>
      <c r="E2" s="210"/>
      <c r="F2" s="210"/>
      <c r="G2" s="210"/>
      <c r="H2" s="210"/>
      <c r="I2" s="210"/>
      <c r="J2" s="211"/>
    </row>
    <row r="3" spans="1:15" x14ac:dyDescent="0.35">
      <c r="A3" s="179" t="s">
        <v>0</v>
      </c>
      <c r="B3" s="80"/>
      <c r="C3" s="80"/>
      <c r="D3" s="80"/>
      <c r="E3" s="81"/>
      <c r="F3" s="212" t="str">
        <f ca="1">TEXT(TODAY(),"DD/MM/YYYY")</f>
        <v>22/08/2025</v>
      </c>
      <c r="G3" s="213"/>
      <c r="H3" s="213"/>
      <c r="I3" s="213"/>
      <c r="J3" s="214"/>
    </row>
    <row r="4" spans="1:15" x14ac:dyDescent="0.35">
      <c r="A4" s="179" t="s">
        <v>1</v>
      </c>
      <c r="B4" s="80"/>
      <c r="C4" s="80"/>
      <c r="D4" s="80"/>
      <c r="E4" s="81"/>
      <c r="F4" s="79" t="s">
        <v>106</v>
      </c>
      <c r="G4" s="173"/>
      <c r="H4" s="173"/>
      <c r="I4" s="173"/>
      <c r="J4" s="174"/>
    </row>
    <row r="5" spans="1:15" x14ac:dyDescent="0.35">
      <c r="A5" s="179" t="s">
        <v>2</v>
      </c>
      <c r="B5" s="80"/>
      <c r="C5" s="80"/>
      <c r="D5" s="80"/>
      <c r="E5" s="81"/>
      <c r="F5" s="215">
        <v>45888</v>
      </c>
      <c r="G5" s="216"/>
      <c r="H5" s="216"/>
      <c r="I5" s="216"/>
      <c r="J5" s="217"/>
    </row>
    <row r="6" spans="1:15" x14ac:dyDescent="0.35">
      <c r="A6" s="179" t="s">
        <v>3</v>
      </c>
      <c r="B6" s="80"/>
      <c r="C6" s="80"/>
      <c r="D6" s="80"/>
      <c r="E6" s="81"/>
      <c r="F6" s="156" t="s">
        <v>105</v>
      </c>
      <c r="G6" s="190"/>
      <c r="H6" s="190"/>
      <c r="I6" s="190"/>
      <c r="J6" s="95"/>
    </row>
    <row r="7" spans="1:15" x14ac:dyDescent="0.35">
      <c r="A7" s="179" t="s">
        <v>4</v>
      </c>
      <c r="B7" s="80"/>
      <c r="C7" s="80"/>
      <c r="D7" s="80"/>
      <c r="E7" s="81"/>
      <c r="F7" s="156" t="str">
        <f>F6</f>
        <v>M/s. Nirvana Lifestyle Ventures</v>
      </c>
      <c r="G7" s="190"/>
      <c r="H7" s="190"/>
      <c r="I7" s="190"/>
      <c r="J7" s="95"/>
    </row>
    <row r="8" spans="1:15" x14ac:dyDescent="0.35">
      <c r="A8" s="179" t="s">
        <v>5</v>
      </c>
      <c r="B8" s="80"/>
      <c r="C8" s="80"/>
      <c r="D8" s="80"/>
      <c r="E8" s="81"/>
      <c r="F8" s="183" t="s">
        <v>325</v>
      </c>
      <c r="G8" s="184"/>
      <c r="H8" s="184"/>
      <c r="I8" s="184"/>
      <c r="J8" s="185"/>
    </row>
    <row r="9" spans="1:15" x14ac:dyDescent="0.35">
      <c r="A9" s="79" t="s">
        <v>80</v>
      </c>
      <c r="B9" s="80"/>
      <c r="C9" s="80"/>
      <c r="D9" s="80"/>
      <c r="E9" s="81"/>
      <c r="F9" s="79">
        <v>2262296229</v>
      </c>
      <c r="G9" s="173"/>
      <c r="H9" s="173"/>
      <c r="I9" s="173"/>
      <c r="J9" s="174"/>
    </row>
    <row r="10" spans="1:15" ht="183.65" customHeight="1" x14ac:dyDescent="0.35">
      <c r="A10" s="79" t="s">
        <v>81</v>
      </c>
      <c r="B10" s="173"/>
      <c r="C10" s="173"/>
      <c r="D10" s="173"/>
      <c r="E10" s="174"/>
      <c r="F10" s="87" t="s">
        <v>329</v>
      </c>
      <c r="G10" s="181"/>
      <c r="H10" s="181"/>
      <c r="I10" s="181"/>
      <c r="J10" s="182"/>
    </row>
    <row r="11" spans="1:15" ht="31.5" customHeight="1" x14ac:dyDescent="0.35">
      <c r="A11" s="179" t="s">
        <v>6</v>
      </c>
      <c r="B11" s="80"/>
      <c r="C11" s="80"/>
      <c r="D11" s="80"/>
      <c r="E11" s="81"/>
      <c r="F11" s="87" t="s">
        <v>129</v>
      </c>
      <c r="G11" s="88"/>
      <c r="H11" s="88"/>
      <c r="I11" s="88"/>
      <c r="J11" s="89"/>
    </row>
    <row r="12" spans="1:15" ht="45.75" customHeight="1" x14ac:dyDescent="0.35">
      <c r="A12" s="79" t="s">
        <v>97</v>
      </c>
      <c r="B12" s="80"/>
      <c r="C12" s="80"/>
      <c r="D12" s="80"/>
      <c r="E12" s="81"/>
      <c r="F12" s="87" t="s">
        <v>335</v>
      </c>
      <c r="G12" s="88"/>
      <c r="H12" s="88"/>
      <c r="I12" s="88"/>
      <c r="J12" s="89"/>
      <c r="K12" s="87" t="s">
        <v>326</v>
      </c>
      <c r="L12" s="88"/>
      <c r="M12" s="88"/>
      <c r="N12" s="88"/>
      <c r="O12" s="89"/>
    </row>
    <row r="13" spans="1:15" x14ac:dyDescent="0.35">
      <c r="A13" s="208" t="s">
        <v>43</v>
      </c>
      <c r="B13" s="208"/>
      <c r="C13" s="87" t="s">
        <v>171</v>
      </c>
      <c r="D13" s="88"/>
      <c r="E13" s="88"/>
      <c r="F13" s="88"/>
      <c r="G13" s="88"/>
      <c r="H13" s="88"/>
      <c r="I13" s="88"/>
      <c r="J13" s="89"/>
    </row>
    <row r="14" spans="1:15" ht="15" customHeight="1" x14ac:dyDescent="0.35">
      <c r="A14" s="16" t="s">
        <v>92</v>
      </c>
      <c r="B14" s="232" t="s">
        <v>91</v>
      </c>
      <c r="C14" s="233"/>
      <c r="D14" s="233"/>
      <c r="E14" s="233"/>
      <c r="F14" s="234"/>
      <c r="G14" s="218" t="s">
        <v>44</v>
      </c>
      <c r="H14" s="219"/>
      <c r="I14" s="218" t="s">
        <v>93</v>
      </c>
      <c r="J14" s="219"/>
    </row>
    <row r="15" spans="1:15" x14ac:dyDescent="0.35">
      <c r="A15" s="2" t="s">
        <v>7</v>
      </c>
      <c r="B15" s="79" t="s">
        <v>94</v>
      </c>
      <c r="C15" s="173"/>
      <c r="D15" s="173"/>
      <c r="E15" s="174"/>
      <c r="F15" s="3" t="s">
        <v>45</v>
      </c>
      <c r="G15" s="79" t="s">
        <v>95</v>
      </c>
      <c r="H15" s="173"/>
      <c r="I15" s="173"/>
      <c r="J15" s="174"/>
    </row>
    <row r="16" spans="1:15" x14ac:dyDescent="0.35">
      <c r="A16" s="2" t="s">
        <v>8</v>
      </c>
      <c r="B16" s="79" t="s">
        <v>107</v>
      </c>
      <c r="C16" s="173"/>
      <c r="D16" s="173"/>
      <c r="E16" s="174"/>
      <c r="F16" s="3" t="s">
        <v>46</v>
      </c>
      <c r="G16" s="79" t="s">
        <v>130</v>
      </c>
      <c r="H16" s="173"/>
      <c r="I16" s="173"/>
      <c r="J16" s="174"/>
    </row>
    <row r="17" spans="1:10" ht="32.25" customHeight="1" x14ac:dyDescent="0.35">
      <c r="A17" s="235" t="s">
        <v>47</v>
      </c>
      <c r="B17" s="235"/>
      <c r="C17" s="230" t="s">
        <v>101</v>
      </c>
      <c r="D17" s="230"/>
      <c r="E17" s="230"/>
      <c r="F17" s="231" t="s">
        <v>37</v>
      </c>
      <c r="G17" s="231"/>
      <c r="H17" s="190" t="s">
        <v>99</v>
      </c>
      <c r="I17" s="190"/>
      <c r="J17" s="95"/>
    </row>
    <row r="18" spans="1:10" ht="15" customHeight="1" x14ac:dyDescent="0.35">
      <c r="A18" s="197" t="s">
        <v>109</v>
      </c>
      <c r="B18" s="203"/>
      <c r="C18" s="203"/>
      <c r="D18" s="203"/>
      <c r="E18" s="204"/>
      <c r="F18" s="257" t="s">
        <v>110</v>
      </c>
      <c r="G18" s="258"/>
      <c r="H18" s="258"/>
      <c r="I18" s="258"/>
      <c r="J18" s="259"/>
    </row>
    <row r="19" spans="1:10" x14ac:dyDescent="0.35">
      <c r="A19" s="205"/>
      <c r="B19" s="206"/>
      <c r="C19" s="206"/>
      <c r="D19" s="206"/>
      <c r="E19" s="207"/>
      <c r="F19" s="260"/>
      <c r="G19" s="261"/>
      <c r="H19" s="261"/>
      <c r="I19" s="261"/>
      <c r="J19" s="262"/>
    </row>
    <row r="20" spans="1:10" ht="15" customHeight="1" x14ac:dyDescent="0.35">
      <c r="A20" s="197" t="s">
        <v>82</v>
      </c>
      <c r="B20" s="198"/>
      <c r="C20" s="198"/>
      <c r="D20" s="198"/>
      <c r="E20" s="199"/>
      <c r="F20" s="197" t="s">
        <v>32</v>
      </c>
      <c r="G20" s="203"/>
      <c r="H20" s="203"/>
      <c r="I20" s="203"/>
      <c r="J20" s="204"/>
    </row>
    <row r="21" spans="1:10" x14ac:dyDescent="0.35">
      <c r="A21" s="200"/>
      <c r="B21" s="201"/>
      <c r="C21" s="201"/>
      <c r="D21" s="201"/>
      <c r="E21" s="202"/>
      <c r="F21" s="205"/>
      <c r="G21" s="206"/>
      <c r="H21" s="206"/>
      <c r="I21" s="206"/>
      <c r="J21" s="207"/>
    </row>
    <row r="22" spans="1:10" x14ac:dyDescent="0.35">
      <c r="A22" s="179" t="s">
        <v>9</v>
      </c>
      <c r="B22" s="80"/>
      <c r="C22" s="80"/>
      <c r="D22" s="80"/>
      <c r="E22" s="81"/>
      <c r="F22" s="194" t="s">
        <v>89</v>
      </c>
      <c r="G22" s="195"/>
      <c r="H22" s="195"/>
      <c r="I22" s="195"/>
      <c r="J22" s="196"/>
    </row>
    <row r="23" spans="1:10" x14ac:dyDescent="0.35">
      <c r="A23" s="179" t="s">
        <v>10</v>
      </c>
      <c r="B23" s="80"/>
      <c r="C23" s="80"/>
      <c r="D23" s="80"/>
      <c r="E23" s="81"/>
      <c r="F23" s="191" t="s">
        <v>38</v>
      </c>
      <c r="G23" s="192"/>
      <c r="H23" s="192"/>
      <c r="I23" s="192"/>
      <c r="J23" s="193"/>
    </row>
    <row r="24" spans="1:10" x14ac:dyDescent="0.35">
      <c r="A24" s="179" t="s">
        <v>11</v>
      </c>
      <c r="B24" s="80"/>
      <c r="C24" s="80"/>
      <c r="D24" s="80"/>
      <c r="E24" s="81"/>
      <c r="F24" s="194" t="s">
        <v>90</v>
      </c>
      <c r="G24" s="195"/>
      <c r="H24" s="195"/>
      <c r="I24" s="195"/>
      <c r="J24" s="196"/>
    </row>
    <row r="25" spans="1:10" x14ac:dyDescent="0.35">
      <c r="A25" s="179" t="s">
        <v>23</v>
      </c>
      <c r="B25" s="80"/>
      <c r="C25" s="80"/>
      <c r="D25" s="80"/>
      <c r="E25" s="81"/>
      <c r="F25" s="191" t="s">
        <v>48</v>
      </c>
      <c r="G25" s="228"/>
      <c r="H25" s="228"/>
      <c r="I25" s="228"/>
      <c r="J25" s="229"/>
    </row>
    <row r="26" spans="1:10" x14ac:dyDescent="0.35">
      <c r="A26" s="226" t="s">
        <v>12</v>
      </c>
      <c r="B26" s="227"/>
      <c r="C26" s="226" t="s">
        <v>13</v>
      </c>
      <c r="D26" s="227"/>
      <c r="E26" s="186" t="s">
        <v>14</v>
      </c>
      <c r="F26" s="227"/>
      <c r="G26" s="186" t="s">
        <v>36</v>
      </c>
      <c r="H26" s="187"/>
      <c r="I26" s="226" t="s">
        <v>15</v>
      </c>
      <c r="J26" s="227"/>
    </row>
    <row r="27" spans="1:10" x14ac:dyDescent="0.35">
      <c r="A27" s="186" t="s">
        <v>16</v>
      </c>
      <c r="B27" s="187"/>
      <c r="C27" s="186" t="s">
        <v>35</v>
      </c>
      <c r="D27" s="187"/>
      <c r="E27" s="186" t="s">
        <v>35</v>
      </c>
      <c r="F27" s="187"/>
      <c r="G27" s="186" t="s">
        <v>35</v>
      </c>
      <c r="H27" s="187"/>
      <c r="I27" s="186" t="s">
        <v>35</v>
      </c>
      <c r="J27" s="187"/>
    </row>
    <row r="28" spans="1:10" x14ac:dyDescent="0.35">
      <c r="A28" s="226" t="s">
        <v>17</v>
      </c>
      <c r="B28" s="227"/>
      <c r="C28" s="186" t="s">
        <v>98</v>
      </c>
      <c r="D28" s="187"/>
      <c r="E28" s="186" t="s">
        <v>98</v>
      </c>
      <c r="F28" s="187"/>
      <c r="G28" s="186" t="s">
        <v>98</v>
      </c>
      <c r="H28" s="187"/>
      <c r="I28" s="186" t="s">
        <v>96</v>
      </c>
      <c r="J28" s="187"/>
    </row>
    <row r="29" spans="1:10" x14ac:dyDescent="0.35">
      <c r="A29" s="79" t="s">
        <v>41</v>
      </c>
      <c r="B29" s="173"/>
      <c r="C29" s="173"/>
      <c r="D29" s="173"/>
      <c r="E29" s="173"/>
      <c r="F29" s="173"/>
      <c r="G29" s="173"/>
      <c r="H29" s="173"/>
      <c r="I29" s="173"/>
      <c r="J29" s="174"/>
    </row>
    <row r="30" spans="1:10" x14ac:dyDescent="0.35">
      <c r="A30" s="79" t="s">
        <v>86</v>
      </c>
      <c r="B30" s="173"/>
      <c r="C30" s="173"/>
      <c r="D30" s="173"/>
      <c r="E30" s="173"/>
      <c r="F30" s="173"/>
      <c r="G30" s="173"/>
      <c r="H30" s="173"/>
      <c r="I30" s="173"/>
      <c r="J30" s="174"/>
    </row>
    <row r="31" spans="1:10" x14ac:dyDescent="0.35">
      <c r="A31" s="79" t="s">
        <v>29</v>
      </c>
      <c r="B31" s="174"/>
      <c r="C31" s="79" t="s">
        <v>336</v>
      </c>
      <c r="D31" s="173"/>
      <c r="E31" s="173"/>
      <c r="F31" s="173"/>
      <c r="G31" s="173"/>
      <c r="H31" s="173"/>
      <c r="I31" s="173"/>
      <c r="J31" s="174"/>
    </row>
    <row r="32" spans="1:10" x14ac:dyDescent="0.35">
      <c r="A32" s="79" t="s">
        <v>306</v>
      </c>
      <c r="B32" s="174"/>
      <c r="C32" s="189" t="s">
        <v>307</v>
      </c>
      <c r="D32" s="173"/>
      <c r="E32" s="173"/>
      <c r="F32" s="173"/>
      <c r="G32" s="173"/>
      <c r="H32" s="173"/>
      <c r="I32" s="173"/>
      <c r="J32" s="174"/>
    </row>
    <row r="33" spans="1:11" x14ac:dyDescent="0.35">
      <c r="A33" s="183" t="s">
        <v>18</v>
      </c>
      <c r="B33" s="184"/>
      <c r="C33" s="184"/>
      <c r="D33" s="184"/>
      <c r="E33" s="184"/>
      <c r="F33" s="184"/>
      <c r="G33" s="184"/>
      <c r="H33" s="184"/>
      <c r="I33" s="184"/>
      <c r="J33" s="185"/>
    </row>
    <row r="34" spans="1:11" ht="15" customHeight="1" x14ac:dyDescent="0.35">
      <c r="A34" s="170" t="s">
        <v>116</v>
      </c>
      <c r="B34" s="170"/>
      <c r="C34" s="170"/>
      <c r="D34" s="170"/>
      <c r="E34" s="170"/>
      <c r="F34" s="170"/>
      <c r="G34" s="170"/>
      <c r="H34" s="170"/>
      <c r="I34" s="170"/>
      <c r="J34" s="170"/>
    </row>
    <row r="35" spans="1:11" x14ac:dyDescent="0.35">
      <c r="A35" s="170"/>
      <c r="B35" s="170"/>
      <c r="C35" s="170"/>
      <c r="D35" s="170"/>
      <c r="E35" s="170"/>
      <c r="F35" s="170"/>
      <c r="G35" s="170"/>
      <c r="H35" s="170"/>
      <c r="I35" s="170"/>
      <c r="J35" s="170"/>
    </row>
    <row r="36" spans="1:11" x14ac:dyDescent="0.35">
      <c r="A36" s="188" t="s">
        <v>18</v>
      </c>
      <c r="B36" s="188"/>
      <c r="C36" s="188"/>
      <c r="D36" s="188"/>
      <c r="E36" s="188"/>
      <c r="F36" s="188"/>
      <c r="G36" s="188"/>
      <c r="H36" s="188"/>
      <c r="I36" s="188"/>
      <c r="J36" s="188"/>
    </row>
    <row r="37" spans="1:11" x14ac:dyDescent="0.35">
      <c r="A37" s="188" t="s">
        <v>131</v>
      </c>
      <c r="B37" s="188"/>
      <c r="C37" s="188"/>
      <c r="D37" s="188"/>
      <c r="E37" s="188"/>
      <c r="F37" s="188"/>
      <c r="G37" s="188"/>
      <c r="H37" s="188"/>
      <c r="I37" s="188"/>
      <c r="J37" s="188"/>
    </row>
    <row r="38" spans="1:11" ht="14.25" customHeight="1" x14ac:dyDescent="0.35">
      <c r="A38" s="188" t="s">
        <v>132</v>
      </c>
      <c r="B38" s="188"/>
      <c r="C38" s="188"/>
      <c r="D38" s="188"/>
      <c r="E38" s="188"/>
      <c r="F38" s="188"/>
      <c r="G38" s="188"/>
      <c r="H38" s="188"/>
      <c r="I38" s="188"/>
      <c r="J38" s="188"/>
    </row>
    <row r="39" spans="1:11" x14ac:dyDescent="0.35">
      <c r="A39" s="188" t="s">
        <v>133</v>
      </c>
      <c r="B39" s="188"/>
      <c r="C39" s="188"/>
      <c r="D39" s="188"/>
      <c r="E39" s="188"/>
      <c r="F39" s="188"/>
      <c r="G39" s="188"/>
      <c r="H39" s="188"/>
      <c r="I39" s="188"/>
      <c r="J39" s="188"/>
    </row>
    <row r="40" spans="1:11" ht="47.25" customHeight="1" x14ac:dyDescent="0.35">
      <c r="A40" s="17" t="s">
        <v>108</v>
      </c>
      <c r="B40" s="141" t="s">
        <v>142</v>
      </c>
      <c r="C40" s="141"/>
      <c r="D40" s="141" t="s">
        <v>117</v>
      </c>
      <c r="E40" s="141"/>
      <c r="F40" s="59" t="s">
        <v>141</v>
      </c>
      <c r="G40" s="59" t="s">
        <v>143</v>
      </c>
      <c r="H40" s="141" t="s">
        <v>152</v>
      </c>
      <c r="I40" s="141"/>
      <c r="J40" s="141"/>
    </row>
    <row r="41" spans="1:11" ht="16.5" customHeight="1" x14ac:dyDescent="0.35">
      <c r="A41" s="59">
        <v>9</v>
      </c>
      <c r="B41" s="144">
        <v>220.5</v>
      </c>
      <c r="C41" s="144"/>
      <c r="D41" s="141">
        <v>0.6</v>
      </c>
      <c r="E41" s="141"/>
      <c r="F41" s="59">
        <v>0</v>
      </c>
      <c r="G41" s="59">
        <v>0.6</v>
      </c>
      <c r="H41" s="141">
        <v>133.77000000000001</v>
      </c>
      <c r="I41" s="141"/>
      <c r="J41" s="141"/>
      <c r="K41" s="23">
        <f t="shared" ref="K41:K65" si="0">H41/B41</f>
        <v>0.60666666666666669</v>
      </c>
    </row>
    <row r="42" spans="1:11" ht="16.5" customHeight="1" x14ac:dyDescent="0.35">
      <c r="A42" s="59" t="s">
        <v>254</v>
      </c>
      <c r="B42" s="144">
        <v>258.755</v>
      </c>
      <c r="C42" s="144"/>
      <c r="D42" s="141">
        <v>0.27</v>
      </c>
      <c r="E42" s="141"/>
      <c r="F42" s="59">
        <v>0</v>
      </c>
      <c r="G42" s="59">
        <v>0.27</v>
      </c>
      <c r="H42" s="141">
        <v>68.760000000000005</v>
      </c>
      <c r="I42" s="141"/>
      <c r="J42" s="141"/>
      <c r="K42" s="23">
        <f t="shared" ref="K42" si="1">H42/B42</f>
        <v>0.26573399547834825</v>
      </c>
    </row>
    <row r="43" spans="1:11" ht="16.5" customHeight="1" x14ac:dyDescent="0.35">
      <c r="A43" s="18" t="s">
        <v>232</v>
      </c>
      <c r="B43" s="144">
        <v>324</v>
      </c>
      <c r="C43" s="144"/>
      <c r="D43" s="142">
        <v>0.2</v>
      </c>
      <c r="E43" s="143"/>
      <c r="F43" s="18">
        <v>0</v>
      </c>
      <c r="G43" s="18">
        <v>0.2</v>
      </c>
      <c r="H43" s="141">
        <v>67.760000000000005</v>
      </c>
      <c r="I43" s="141"/>
      <c r="J43" s="141"/>
      <c r="K43" s="23">
        <f t="shared" ref="K43" si="2">H43/B43</f>
        <v>0.20913580246913582</v>
      </c>
    </row>
    <row r="44" spans="1:11" ht="16.5" customHeight="1" x14ac:dyDescent="0.35">
      <c r="A44" s="18">
        <v>28</v>
      </c>
      <c r="B44" s="144">
        <v>220</v>
      </c>
      <c r="C44" s="144"/>
      <c r="D44" s="142">
        <v>0.68</v>
      </c>
      <c r="E44" s="143"/>
      <c r="F44" s="18">
        <v>0</v>
      </c>
      <c r="G44" s="18">
        <f>D44+F44</f>
        <v>0.68</v>
      </c>
      <c r="H44" s="141">
        <v>150.21</v>
      </c>
      <c r="I44" s="141"/>
      <c r="J44" s="141"/>
      <c r="K44" s="23">
        <f t="shared" si="0"/>
        <v>0.68277272727272731</v>
      </c>
    </row>
    <row r="45" spans="1:11" ht="16.5" customHeight="1" x14ac:dyDescent="0.35">
      <c r="A45" s="18">
        <v>29</v>
      </c>
      <c r="B45" s="144">
        <v>220</v>
      </c>
      <c r="C45" s="144"/>
      <c r="D45" s="142">
        <v>0.84</v>
      </c>
      <c r="E45" s="143"/>
      <c r="F45" s="18">
        <v>0</v>
      </c>
      <c r="G45" s="18">
        <f>D45+F45</f>
        <v>0.84</v>
      </c>
      <c r="H45" s="141">
        <v>186.54</v>
      </c>
      <c r="I45" s="141"/>
      <c r="J45" s="141"/>
      <c r="K45" s="23">
        <f t="shared" si="0"/>
        <v>0.84790909090909083</v>
      </c>
    </row>
    <row r="46" spans="1:11" ht="16.5" customHeight="1" x14ac:dyDescent="0.35">
      <c r="A46" s="18">
        <v>31</v>
      </c>
      <c r="B46" s="144">
        <v>220.96</v>
      </c>
      <c r="C46" s="144"/>
      <c r="D46" s="142">
        <v>0.62</v>
      </c>
      <c r="E46" s="143"/>
      <c r="F46" s="18">
        <v>0</v>
      </c>
      <c r="G46" s="18">
        <v>0.62</v>
      </c>
      <c r="H46" s="141">
        <v>138.36000000000001</v>
      </c>
      <c r="I46" s="141"/>
      <c r="J46" s="141"/>
      <c r="K46" s="23">
        <f t="shared" si="0"/>
        <v>0.62617668356263578</v>
      </c>
    </row>
    <row r="47" spans="1:11" ht="15.75" customHeight="1" x14ac:dyDescent="0.35">
      <c r="A47" s="18">
        <v>37</v>
      </c>
      <c r="B47" s="144">
        <v>153</v>
      </c>
      <c r="C47" s="144"/>
      <c r="D47" s="142">
        <v>0.52</v>
      </c>
      <c r="E47" s="143"/>
      <c r="F47" s="18">
        <v>0</v>
      </c>
      <c r="G47" s="18">
        <f t="shared" ref="G47:G59" si="3">D47+F47</f>
        <v>0.52</v>
      </c>
      <c r="H47" s="141">
        <v>80.05</v>
      </c>
      <c r="I47" s="141"/>
      <c r="J47" s="141"/>
      <c r="K47" s="23">
        <f t="shared" si="0"/>
        <v>0.523202614379085</v>
      </c>
    </row>
    <row r="48" spans="1:11" ht="15.75" customHeight="1" x14ac:dyDescent="0.35">
      <c r="A48" s="18">
        <v>38</v>
      </c>
      <c r="B48" s="144">
        <v>162</v>
      </c>
      <c r="C48" s="144"/>
      <c r="D48" s="142">
        <v>0.57999999999999996</v>
      </c>
      <c r="E48" s="143"/>
      <c r="F48" s="18">
        <v>0</v>
      </c>
      <c r="G48" s="18">
        <f t="shared" si="3"/>
        <v>0.57999999999999996</v>
      </c>
      <c r="H48" s="141">
        <v>94.45</v>
      </c>
      <c r="I48" s="141"/>
      <c r="J48" s="141"/>
      <c r="K48" s="23">
        <f>H48/B48</f>
        <v>0.5830246913580247</v>
      </c>
    </row>
    <row r="49" spans="1:11" x14ac:dyDescent="0.35">
      <c r="A49" s="35">
        <v>39</v>
      </c>
      <c r="B49" s="137">
        <v>165</v>
      </c>
      <c r="C49" s="137"/>
      <c r="D49" s="138">
        <v>0.45</v>
      </c>
      <c r="E49" s="139"/>
      <c r="F49" s="35">
        <v>0</v>
      </c>
      <c r="G49" s="35">
        <f t="shared" si="3"/>
        <v>0.45</v>
      </c>
      <c r="H49" s="137">
        <v>74.06</v>
      </c>
      <c r="I49" s="137"/>
      <c r="J49" s="137"/>
      <c r="K49" s="23">
        <f t="shared" ref="K49" si="4">H49/B49</f>
        <v>0.44884848484848489</v>
      </c>
    </row>
    <row r="50" spans="1:11" x14ac:dyDescent="0.35">
      <c r="A50" s="35">
        <v>40</v>
      </c>
      <c r="B50" s="137">
        <v>153.75</v>
      </c>
      <c r="C50" s="137"/>
      <c r="D50" s="138">
        <v>0.37</v>
      </c>
      <c r="E50" s="139"/>
      <c r="F50" s="35">
        <v>0</v>
      </c>
      <c r="G50" s="35">
        <f t="shared" si="3"/>
        <v>0.37</v>
      </c>
      <c r="H50" s="137">
        <v>74.930000000000007</v>
      </c>
      <c r="I50" s="137"/>
      <c r="J50" s="137"/>
      <c r="K50" s="23">
        <f t="shared" si="0"/>
        <v>0.48734959349593499</v>
      </c>
    </row>
    <row r="51" spans="1:11" x14ac:dyDescent="0.35">
      <c r="A51" s="35" t="s">
        <v>221</v>
      </c>
      <c r="B51" s="137">
        <v>180.5</v>
      </c>
      <c r="C51" s="137"/>
      <c r="D51" s="138">
        <v>0.35</v>
      </c>
      <c r="E51" s="139"/>
      <c r="F51" s="35">
        <v>0</v>
      </c>
      <c r="G51" s="35">
        <f>D51+F51</f>
        <v>0.35</v>
      </c>
      <c r="H51" s="137">
        <v>64.11</v>
      </c>
      <c r="I51" s="137"/>
      <c r="J51" s="137"/>
      <c r="K51" s="23">
        <f t="shared" ref="K51" si="5">H51/B51</f>
        <v>0.35518005540166203</v>
      </c>
    </row>
    <row r="52" spans="1:11" x14ac:dyDescent="0.35">
      <c r="A52" s="35">
        <v>45</v>
      </c>
      <c r="B52" s="137">
        <v>190</v>
      </c>
      <c r="C52" s="137"/>
      <c r="D52" s="138">
        <v>0.43</v>
      </c>
      <c r="E52" s="139"/>
      <c r="F52" s="35">
        <v>0</v>
      </c>
      <c r="G52" s="35">
        <f t="shared" ref="G52" si="6">D52+F52</f>
        <v>0.43</v>
      </c>
      <c r="H52" s="137">
        <v>81.739999999999995</v>
      </c>
      <c r="I52" s="137"/>
      <c r="J52" s="137"/>
      <c r="K52" s="23">
        <f t="shared" ref="K52" si="7">H52/B52</f>
        <v>0.43021052631578943</v>
      </c>
    </row>
    <row r="53" spans="1:11" s="22" customFormat="1" x14ac:dyDescent="0.35">
      <c r="A53" s="35">
        <v>49</v>
      </c>
      <c r="B53" s="137">
        <v>177</v>
      </c>
      <c r="C53" s="137"/>
      <c r="D53" s="138">
        <v>0.45</v>
      </c>
      <c r="E53" s="139"/>
      <c r="F53" s="35">
        <v>0</v>
      </c>
      <c r="G53" s="35">
        <f t="shared" ref="G53" si="8">D53+F53</f>
        <v>0.45</v>
      </c>
      <c r="H53" s="137">
        <v>81.19</v>
      </c>
      <c r="I53" s="137"/>
      <c r="J53" s="137"/>
      <c r="K53" s="42">
        <f>H53/B53</f>
        <v>0.45870056497175138</v>
      </c>
    </row>
    <row r="54" spans="1:11" x14ac:dyDescent="0.35">
      <c r="A54" s="35">
        <v>51</v>
      </c>
      <c r="B54" s="137">
        <v>180</v>
      </c>
      <c r="C54" s="137"/>
      <c r="D54" s="138">
        <v>0.41</v>
      </c>
      <c r="E54" s="139"/>
      <c r="F54" s="35">
        <v>0</v>
      </c>
      <c r="G54" s="35">
        <f t="shared" ref="G54" si="9">D54+F54</f>
        <v>0.41</v>
      </c>
      <c r="H54" s="137">
        <v>71.11</v>
      </c>
      <c r="I54" s="137"/>
      <c r="J54" s="137"/>
      <c r="K54" s="23">
        <f t="shared" ref="K54" si="10">H54/B54</f>
        <v>0.39505555555555555</v>
      </c>
    </row>
    <row r="55" spans="1:11" s="22" customFormat="1" x14ac:dyDescent="0.35">
      <c r="A55" s="35" t="s">
        <v>248</v>
      </c>
      <c r="B55" s="137">
        <v>242</v>
      </c>
      <c r="C55" s="137"/>
      <c r="D55" s="138">
        <v>0.2</v>
      </c>
      <c r="E55" s="139"/>
      <c r="F55" s="35">
        <v>0</v>
      </c>
      <c r="G55" s="35">
        <f t="shared" ref="G55:G57" si="11">D55+F55</f>
        <v>0.2</v>
      </c>
      <c r="H55" s="137">
        <v>72.290000000000006</v>
      </c>
      <c r="I55" s="137"/>
      <c r="J55" s="137"/>
      <c r="K55" s="42">
        <f t="shared" ref="K55:K57" si="12">H55/B55</f>
        <v>0.29871900826446285</v>
      </c>
    </row>
    <row r="56" spans="1:11" x14ac:dyDescent="0.35">
      <c r="A56" s="35">
        <v>60</v>
      </c>
      <c r="B56" s="137">
        <v>200</v>
      </c>
      <c r="C56" s="137"/>
      <c r="D56" s="138">
        <v>0.34</v>
      </c>
      <c r="E56" s="139"/>
      <c r="F56" s="35">
        <v>0</v>
      </c>
      <c r="G56" s="35">
        <f t="shared" ref="G56" si="13">D56+F56</f>
        <v>0.34</v>
      </c>
      <c r="H56" s="137">
        <v>68.31</v>
      </c>
      <c r="I56" s="137"/>
      <c r="J56" s="137"/>
      <c r="K56" s="23">
        <f t="shared" ref="K56" si="14">H56/B56</f>
        <v>0.34155000000000002</v>
      </c>
    </row>
    <row r="57" spans="1:11" x14ac:dyDescent="0.35">
      <c r="A57" s="35" t="s">
        <v>274</v>
      </c>
      <c r="B57" s="137">
        <v>162</v>
      </c>
      <c r="C57" s="137"/>
      <c r="D57" s="138">
        <v>0.33</v>
      </c>
      <c r="E57" s="139"/>
      <c r="F57" s="35">
        <v>0</v>
      </c>
      <c r="G57" s="35">
        <f t="shared" si="11"/>
        <v>0.33</v>
      </c>
      <c r="H57" s="137">
        <v>54.46</v>
      </c>
      <c r="I57" s="137"/>
      <c r="J57" s="137"/>
      <c r="K57" s="23">
        <f t="shared" si="12"/>
        <v>0.33617283950617283</v>
      </c>
    </row>
    <row r="58" spans="1:11" x14ac:dyDescent="0.35">
      <c r="A58" s="35">
        <v>69</v>
      </c>
      <c r="B58" s="137">
        <v>157.5</v>
      </c>
      <c r="C58" s="137"/>
      <c r="D58" s="138">
        <v>0.32</v>
      </c>
      <c r="E58" s="139"/>
      <c r="F58" s="35">
        <v>0</v>
      </c>
      <c r="G58" s="35">
        <v>0.32</v>
      </c>
      <c r="H58" s="137">
        <v>102.67</v>
      </c>
      <c r="I58" s="137"/>
      <c r="J58" s="137"/>
      <c r="K58" s="23">
        <f t="shared" ref="K58" si="15">H58/B58</f>
        <v>0.65187301587301594</v>
      </c>
    </row>
    <row r="59" spans="1:11" x14ac:dyDescent="0.35">
      <c r="A59" s="35">
        <v>72</v>
      </c>
      <c r="B59" s="137">
        <v>153.16</v>
      </c>
      <c r="C59" s="137"/>
      <c r="D59" s="138">
        <v>0.61</v>
      </c>
      <c r="E59" s="139"/>
      <c r="F59" s="35">
        <v>0</v>
      </c>
      <c r="G59" s="35">
        <f t="shared" si="3"/>
        <v>0.61</v>
      </c>
      <c r="H59" s="137">
        <v>92.37</v>
      </c>
      <c r="I59" s="137"/>
      <c r="J59" s="137"/>
      <c r="K59" s="23">
        <f t="shared" ref="K59" si="16">H59/B59</f>
        <v>0.60309480282057981</v>
      </c>
    </row>
    <row r="60" spans="1:11" x14ac:dyDescent="0.35">
      <c r="A60" s="44">
        <v>82</v>
      </c>
      <c r="B60" s="269">
        <v>185.03</v>
      </c>
      <c r="C60" s="269"/>
      <c r="D60" s="270">
        <v>0.36</v>
      </c>
      <c r="E60" s="271"/>
      <c r="F60" s="44">
        <v>0</v>
      </c>
      <c r="G60" s="44">
        <f t="shared" ref="G60" si="17">D60+F60</f>
        <v>0.36</v>
      </c>
      <c r="H60" s="269">
        <v>67.569999999999993</v>
      </c>
      <c r="I60" s="269"/>
      <c r="J60" s="269"/>
      <c r="K60" s="23">
        <f t="shared" ref="K60" si="18">H60/B60</f>
        <v>0.36518402421228985</v>
      </c>
    </row>
    <row r="61" spans="1:11" x14ac:dyDescent="0.35">
      <c r="A61" s="35">
        <v>85</v>
      </c>
      <c r="B61" s="140">
        <v>180</v>
      </c>
      <c r="C61" s="140"/>
      <c r="D61" s="138">
        <v>0.5</v>
      </c>
      <c r="E61" s="139"/>
      <c r="F61" s="35">
        <v>0</v>
      </c>
      <c r="G61" s="35">
        <f t="shared" ref="G61" si="19">D61+F61</f>
        <v>0.5</v>
      </c>
      <c r="H61" s="137">
        <v>90.94</v>
      </c>
      <c r="I61" s="137"/>
      <c r="J61" s="137"/>
      <c r="K61" s="23">
        <f t="shared" ref="K61" si="20">H61/B61</f>
        <v>0.50522222222222224</v>
      </c>
    </row>
    <row r="62" spans="1:11" x14ac:dyDescent="0.35">
      <c r="A62" s="18">
        <v>95</v>
      </c>
      <c r="B62" s="144">
        <v>241.5</v>
      </c>
      <c r="C62" s="144"/>
      <c r="D62" s="142">
        <v>0.4</v>
      </c>
      <c r="E62" s="143"/>
      <c r="F62" s="18">
        <v>0</v>
      </c>
      <c r="G62" s="18">
        <v>0.4</v>
      </c>
      <c r="H62" s="141">
        <v>99.86</v>
      </c>
      <c r="I62" s="141"/>
      <c r="J62" s="141"/>
      <c r="K62" s="23">
        <f t="shared" si="0"/>
        <v>0.41349896480331261</v>
      </c>
    </row>
    <row r="63" spans="1:11" x14ac:dyDescent="0.35">
      <c r="A63" s="18" t="s">
        <v>215</v>
      </c>
      <c r="B63" s="144">
        <v>242</v>
      </c>
      <c r="C63" s="144"/>
      <c r="D63" s="142">
        <v>0.25</v>
      </c>
      <c r="E63" s="143"/>
      <c r="F63" s="18">
        <v>0</v>
      </c>
      <c r="G63" s="35">
        <v>0.25</v>
      </c>
      <c r="H63" s="137">
        <v>63.92</v>
      </c>
      <c r="I63" s="137"/>
      <c r="J63" s="137"/>
      <c r="K63" s="23">
        <f t="shared" ref="K63:K64" si="21">H63/B63</f>
        <v>0.26413223140495867</v>
      </c>
    </row>
    <row r="64" spans="1:11" x14ac:dyDescent="0.35">
      <c r="A64" s="18" t="s">
        <v>275</v>
      </c>
      <c r="B64" s="141">
        <v>199.87</v>
      </c>
      <c r="C64" s="141"/>
      <c r="D64" s="142">
        <v>0.32</v>
      </c>
      <c r="E64" s="143"/>
      <c r="F64" s="18">
        <v>0</v>
      </c>
      <c r="G64" s="18">
        <v>0.32</v>
      </c>
      <c r="H64" s="141">
        <v>63.94</v>
      </c>
      <c r="I64" s="141"/>
      <c r="J64" s="141"/>
      <c r="K64" s="23">
        <f t="shared" si="21"/>
        <v>0.31990794016110469</v>
      </c>
    </row>
    <row r="65" spans="1:11" x14ac:dyDescent="0.35">
      <c r="A65" s="18">
        <v>100</v>
      </c>
      <c r="B65" s="141">
        <v>195.5</v>
      </c>
      <c r="C65" s="141"/>
      <c r="D65" s="142">
        <v>0.45</v>
      </c>
      <c r="E65" s="143"/>
      <c r="F65" s="18">
        <v>0</v>
      </c>
      <c r="G65" s="18">
        <v>0.45</v>
      </c>
      <c r="H65" s="141">
        <v>89.8</v>
      </c>
      <c r="I65" s="141"/>
      <c r="J65" s="141"/>
      <c r="K65" s="23">
        <f t="shared" si="0"/>
        <v>0.45933503836317136</v>
      </c>
    </row>
    <row r="66" spans="1:11" x14ac:dyDescent="0.35">
      <c r="A66" s="18">
        <v>115</v>
      </c>
      <c r="B66" s="141">
        <v>210</v>
      </c>
      <c r="C66" s="141"/>
      <c r="D66" s="142">
        <v>0.52</v>
      </c>
      <c r="E66" s="143"/>
      <c r="F66" s="18">
        <v>0</v>
      </c>
      <c r="G66" s="18">
        <v>0.52</v>
      </c>
      <c r="H66" s="141">
        <v>111.29</v>
      </c>
      <c r="I66" s="141"/>
      <c r="J66" s="141"/>
      <c r="K66" s="23">
        <f t="shared" ref="K66" si="22">H66/B66</f>
        <v>0.52995238095238095</v>
      </c>
    </row>
    <row r="67" spans="1:11" x14ac:dyDescent="0.35">
      <c r="A67" s="179" t="s">
        <v>19</v>
      </c>
      <c r="B67" s="80"/>
      <c r="C67" s="80"/>
      <c r="D67" s="80"/>
      <c r="E67" s="81"/>
      <c r="F67" s="180" t="s">
        <v>321</v>
      </c>
      <c r="G67" s="181"/>
      <c r="H67" s="181"/>
      <c r="I67" s="181"/>
      <c r="J67" s="182"/>
    </row>
    <row r="68" spans="1:11" x14ac:dyDescent="0.35">
      <c r="A68" s="183" t="s">
        <v>50</v>
      </c>
      <c r="B68" s="184"/>
      <c r="C68" s="184"/>
      <c r="D68" s="184"/>
      <c r="E68" s="184"/>
      <c r="F68" s="184"/>
      <c r="G68" s="184"/>
      <c r="H68" s="184"/>
      <c r="I68" s="184"/>
      <c r="J68" s="185"/>
    </row>
    <row r="69" spans="1:11" x14ac:dyDescent="0.35">
      <c r="A69" s="156" t="s">
        <v>49</v>
      </c>
      <c r="B69" s="95"/>
      <c r="C69" s="96" t="s">
        <v>111</v>
      </c>
      <c r="D69" s="97"/>
      <c r="E69" s="97"/>
      <c r="F69" s="98"/>
      <c r="G69" s="13" t="s">
        <v>42</v>
      </c>
      <c r="H69" s="99" t="s">
        <v>112</v>
      </c>
      <c r="I69" s="100"/>
      <c r="J69" s="101"/>
    </row>
    <row r="70" spans="1:11" ht="31.5" customHeight="1" x14ac:dyDescent="0.35">
      <c r="A70" s="156" t="s">
        <v>144</v>
      </c>
      <c r="B70" s="95"/>
      <c r="C70" s="96" t="s">
        <v>145</v>
      </c>
      <c r="D70" s="97"/>
      <c r="E70" s="97"/>
      <c r="F70" s="98"/>
      <c r="G70" s="13" t="s">
        <v>42</v>
      </c>
      <c r="H70" s="99" t="s">
        <v>146</v>
      </c>
      <c r="I70" s="100"/>
      <c r="J70" s="101"/>
    </row>
    <row r="71" spans="1:11" ht="31.5" customHeight="1" x14ac:dyDescent="0.35">
      <c r="A71" s="94" t="s">
        <v>324</v>
      </c>
      <c r="B71" s="95"/>
      <c r="C71" s="96" t="s">
        <v>145</v>
      </c>
      <c r="D71" s="97"/>
      <c r="E71" s="97"/>
      <c r="F71" s="98"/>
      <c r="G71" s="13" t="s">
        <v>42</v>
      </c>
      <c r="H71" s="99">
        <v>44892</v>
      </c>
      <c r="I71" s="100"/>
      <c r="J71" s="101"/>
    </row>
    <row r="72" spans="1:11" ht="31.5" customHeight="1" x14ac:dyDescent="0.35">
      <c r="A72" s="156" t="s">
        <v>212</v>
      </c>
      <c r="B72" s="95"/>
      <c r="C72" s="96" t="s">
        <v>210</v>
      </c>
      <c r="D72" s="97"/>
      <c r="E72" s="97"/>
      <c r="F72" s="98"/>
      <c r="G72" s="13" t="s">
        <v>42</v>
      </c>
      <c r="H72" s="99" t="s">
        <v>173</v>
      </c>
      <c r="I72" s="100"/>
      <c r="J72" s="101"/>
    </row>
    <row r="73" spans="1:11" ht="63" customHeight="1" x14ac:dyDescent="0.35">
      <c r="A73" s="87" t="s">
        <v>284</v>
      </c>
      <c r="B73" s="89"/>
      <c r="C73" s="134" t="s">
        <v>285</v>
      </c>
      <c r="D73" s="135"/>
      <c r="E73" s="135"/>
      <c r="F73" s="136"/>
      <c r="G73" s="37" t="s">
        <v>42</v>
      </c>
      <c r="H73" s="123" t="s">
        <v>222</v>
      </c>
      <c r="I73" s="124"/>
      <c r="J73" s="125"/>
    </row>
    <row r="74" spans="1:11" ht="63" customHeight="1" x14ac:dyDescent="0.35">
      <c r="A74" s="87" t="s">
        <v>316</v>
      </c>
      <c r="B74" s="89"/>
      <c r="C74" s="134" t="s">
        <v>317</v>
      </c>
      <c r="D74" s="135"/>
      <c r="E74" s="135"/>
      <c r="F74" s="136"/>
      <c r="G74" s="37" t="s">
        <v>42</v>
      </c>
      <c r="H74" s="123" t="s">
        <v>237</v>
      </c>
      <c r="I74" s="124"/>
      <c r="J74" s="125"/>
    </row>
    <row r="75" spans="1:11" ht="48.75" customHeight="1" x14ac:dyDescent="0.35">
      <c r="A75" s="232" t="s">
        <v>83</v>
      </c>
      <c r="B75" s="234"/>
      <c r="C75" s="223" t="s">
        <v>118</v>
      </c>
      <c r="D75" s="224"/>
      <c r="E75" s="224"/>
      <c r="F75" s="225"/>
      <c r="G75" s="4" t="s">
        <v>42</v>
      </c>
      <c r="H75" s="153" t="s">
        <v>211</v>
      </c>
      <c r="I75" s="154"/>
      <c r="J75" s="155"/>
    </row>
    <row r="76" spans="1:11" ht="48.75" customHeight="1" x14ac:dyDescent="0.35">
      <c r="A76" s="232" t="s">
        <v>83</v>
      </c>
      <c r="B76" s="234"/>
      <c r="C76" s="223" t="s">
        <v>216</v>
      </c>
      <c r="D76" s="224"/>
      <c r="E76" s="224"/>
      <c r="F76" s="225"/>
      <c r="G76" s="4" t="s">
        <v>42</v>
      </c>
      <c r="H76" s="153" t="s">
        <v>211</v>
      </c>
      <c r="I76" s="154"/>
      <c r="J76" s="155"/>
    </row>
    <row r="77" spans="1:11" ht="99.75" customHeight="1" x14ac:dyDescent="0.35">
      <c r="A77" s="126" t="s">
        <v>313</v>
      </c>
      <c r="B77" s="127"/>
      <c r="C77" s="128" t="s">
        <v>223</v>
      </c>
      <c r="D77" s="129"/>
      <c r="E77" s="129"/>
      <c r="F77" s="130"/>
      <c r="G77" s="36" t="s">
        <v>42</v>
      </c>
      <c r="H77" s="131" t="s">
        <v>211</v>
      </c>
      <c r="I77" s="132"/>
      <c r="J77" s="133"/>
    </row>
    <row r="78" spans="1:11" ht="58.5" customHeight="1" x14ac:dyDescent="0.35">
      <c r="A78" s="126" t="s">
        <v>322</v>
      </c>
      <c r="B78" s="127"/>
      <c r="C78" s="128" t="s">
        <v>223</v>
      </c>
      <c r="D78" s="129"/>
      <c r="E78" s="129"/>
      <c r="F78" s="130"/>
      <c r="G78" s="36" t="s">
        <v>42</v>
      </c>
      <c r="H78" s="157">
        <v>44361</v>
      </c>
      <c r="I78" s="132"/>
      <c r="J78" s="133"/>
    </row>
    <row r="79" spans="1:11" x14ac:dyDescent="0.35">
      <c r="A79" s="156" t="s">
        <v>113</v>
      </c>
      <c r="B79" s="95"/>
      <c r="C79" s="96" t="s">
        <v>114</v>
      </c>
      <c r="D79" s="97"/>
      <c r="E79" s="97"/>
      <c r="F79" s="98" t="s">
        <v>102</v>
      </c>
      <c r="G79" s="4" t="s">
        <v>42</v>
      </c>
      <c r="H79" s="99" t="s">
        <v>115</v>
      </c>
      <c r="I79" s="100"/>
      <c r="J79" s="101"/>
    </row>
    <row r="80" spans="1:11" x14ac:dyDescent="0.35">
      <c r="A80" s="156" t="s">
        <v>103</v>
      </c>
      <c r="B80" s="95"/>
      <c r="C80" s="96" t="s">
        <v>35</v>
      </c>
      <c r="D80" s="97"/>
      <c r="E80" s="97"/>
      <c r="F80" s="98" t="s">
        <v>104</v>
      </c>
      <c r="G80" s="4" t="s">
        <v>42</v>
      </c>
      <c r="H80" s="99" t="s">
        <v>35</v>
      </c>
      <c r="I80" s="100"/>
      <c r="J80" s="101"/>
    </row>
    <row r="81" spans="1:12" ht="42" customHeight="1" x14ac:dyDescent="0.35">
      <c r="A81" s="208" t="s">
        <v>54</v>
      </c>
      <c r="B81" s="208"/>
      <c r="C81" s="208"/>
      <c r="D81" s="290" t="str">
        <f>H75</f>
        <v>26/02/2018.</v>
      </c>
      <c r="E81" s="290"/>
      <c r="F81" s="79" t="s">
        <v>51</v>
      </c>
      <c r="G81" s="171"/>
      <c r="H81" s="289" t="s">
        <v>343</v>
      </c>
      <c r="I81" s="173"/>
      <c r="J81" s="174"/>
    </row>
    <row r="82" spans="1:12" x14ac:dyDescent="0.35">
      <c r="A82" s="175" t="s">
        <v>20</v>
      </c>
      <c r="B82" s="176"/>
      <c r="C82" s="176"/>
      <c r="D82" s="176"/>
      <c r="E82" s="176"/>
      <c r="F82" s="176"/>
      <c r="G82" s="176"/>
      <c r="H82" s="176"/>
      <c r="I82" s="176"/>
      <c r="J82" s="177"/>
    </row>
    <row r="83" spans="1:12" ht="18" customHeight="1" x14ac:dyDescent="0.35">
      <c r="A83" s="79" t="s">
        <v>79</v>
      </c>
      <c r="B83" s="173"/>
      <c r="C83" s="174"/>
      <c r="D83" s="186">
        <f>SUM(H41:J65)</f>
        <v>2233.17</v>
      </c>
      <c r="E83" s="187"/>
      <c r="F83" s="170" t="s">
        <v>87</v>
      </c>
      <c r="G83" s="170"/>
      <c r="H83" s="170"/>
      <c r="I83" s="137" t="s">
        <v>321</v>
      </c>
      <c r="J83" s="137"/>
    </row>
    <row r="84" spans="1:12" ht="102.75" customHeight="1" x14ac:dyDescent="0.35">
      <c r="A84" s="186" t="s">
        <v>52</v>
      </c>
      <c r="B84" s="288"/>
      <c r="C84" s="94" t="s">
        <v>333</v>
      </c>
      <c r="D84" s="168"/>
      <c r="E84" s="168"/>
      <c r="F84" s="168"/>
      <c r="G84" s="168"/>
      <c r="H84" s="168"/>
      <c r="I84" s="168"/>
      <c r="J84" s="169"/>
    </row>
    <row r="85" spans="1:12" x14ac:dyDescent="0.35">
      <c r="A85" s="79" t="s">
        <v>33</v>
      </c>
      <c r="B85" s="173"/>
      <c r="C85" s="173"/>
      <c r="D85" s="173"/>
      <c r="E85" s="174"/>
      <c r="F85" s="156" t="s">
        <v>219</v>
      </c>
      <c r="G85" s="190"/>
      <c r="H85" s="190"/>
      <c r="I85" s="190"/>
      <c r="J85" s="95"/>
    </row>
    <row r="86" spans="1:12" ht="15" thickBot="1" x14ac:dyDescent="0.4">
      <c r="A86" s="172" t="s">
        <v>39</v>
      </c>
      <c r="B86" s="172"/>
      <c r="C86" s="172"/>
      <c r="D86" s="172"/>
      <c r="E86" s="172"/>
      <c r="F86" s="172"/>
      <c r="G86" s="172"/>
      <c r="H86" s="172"/>
      <c r="I86" s="172"/>
      <c r="J86" s="172"/>
    </row>
    <row r="87" spans="1:12" ht="45.5" customHeight="1" x14ac:dyDescent="0.35">
      <c r="A87" s="110" t="s">
        <v>174</v>
      </c>
      <c r="B87" s="111"/>
      <c r="C87" s="112" t="s">
        <v>339</v>
      </c>
      <c r="D87" s="112"/>
      <c r="E87" s="112"/>
      <c r="F87" s="112"/>
      <c r="G87" s="112"/>
      <c r="H87" s="112"/>
      <c r="I87" s="112"/>
      <c r="J87" s="113"/>
      <c r="K87" s="24" t="str">
        <f>(IF(F207&gt;99%,"All work completed. Please provide OC.",IF(F207&gt;89.8%,"Plinth, RCC, Brick, Plaster, Flooring, Painting work Completed. Finishing work is in process.",IF(F207&lt;94%,(IF(C207=0,"Work not yet Started.",IF(D207=25%,"Piling work in process",IF(D207=50%,"Excavation work in process",IF(D207=100%,"Excavation work Completed. ","0")))&amp;(IF(C208=0%,"",IF(C208=L209,"Footing work is process",IF(C208=L210,"Footing work Completed",IF(C208=L211,"1st Basement Completed",IF(C208=L212,"1st &amp; 2nd Basement Completed",IF(C208=L213,"1st to 3rd Basement Completed",IF(C208=L214,"1st to 4th Basement Completed",IF(C208=L215,"Plinth work is process",IF(C208=L216,"Plinth work completed","0")))))))))))&amp;(IF(C209=(D88+G88+I88),", RCC Slab",IF(C209&gt;0,", RCC upto "&amp;C209&amp;" Slab",""))&amp;(IF(C210=I88,", Brickwork",IF(C210&gt;0,", Brickwork upto "&amp;C210&amp;" Floor",""))&amp;(IF(C211=I88,", Internal Plaster",IF(C211&gt;0,", Internal Plaster upto "&amp;C211&amp;" Floor",""))&amp;(IF(C212=I88,", External Plaster",IF(C212&gt;0,", External Plaster upto "&amp;C212&amp;" Floor",""))&amp;(IF(C213=I88,", Flooring",IF(C213&gt;0,", Flooring upto "&amp;C213&amp;" Floor",""))&amp;(IF(C214=I88,", Painting",IF(C214&gt;0,", Painting upto "&amp;C214&amp;" Floor",""))&amp;(IF(C215&gt;0,", Finishing upto "&amp;C215&amp;" Floor","")&amp;(IF(C209&gt;0.5," Completed",""))))))))))))))</f>
        <v>All work completed. Please provide OC.</v>
      </c>
      <c r="L87" s="25"/>
    </row>
    <row r="88" spans="1:12" ht="15" customHeight="1" x14ac:dyDescent="0.35">
      <c r="A88" s="34" t="s">
        <v>175</v>
      </c>
      <c r="B88" s="26">
        <v>0</v>
      </c>
      <c r="C88" s="26" t="s">
        <v>176</v>
      </c>
      <c r="D88" s="26">
        <v>1</v>
      </c>
      <c r="E88" s="105" t="s">
        <v>177</v>
      </c>
      <c r="F88" s="105"/>
      <c r="G88" s="26">
        <v>0</v>
      </c>
      <c r="H88" s="26" t="s">
        <v>178</v>
      </c>
      <c r="I88" s="105">
        <v>1</v>
      </c>
      <c r="J88" s="114"/>
      <c r="K88" s="27"/>
      <c r="L88" s="28"/>
    </row>
    <row r="89" spans="1:12" ht="21" customHeight="1" x14ac:dyDescent="0.35">
      <c r="A89" s="304" t="s">
        <v>179</v>
      </c>
      <c r="B89" s="305"/>
      <c r="C89" s="306" t="str">
        <f>K87</f>
        <v>All work completed. Please provide OC.</v>
      </c>
      <c r="D89" s="306"/>
      <c r="E89" s="306"/>
      <c r="F89" s="306"/>
      <c r="G89" s="306"/>
      <c r="H89" s="306"/>
      <c r="I89" s="306"/>
      <c r="J89" s="307"/>
      <c r="K89" s="27" t="s">
        <v>180</v>
      </c>
      <c r="L89" s="28"/>
    </row>
    <row r="90" spans="1:12" s="33" customFormat="1" x14ac:dyDescent="0.35">
      <c r="A90" s="291" t="s">
        <v>183</v>
      </c>
      <c r="B90" s="292"/>
      <c r="C90" s="158">
        <v>1</v>
      </c>
      <c r="D90" s="159"/>
      <c r="E90" s="295"/>
      <c r="F90" s="164" t="s">
        <v>184</v>
      </c>
      <c r="G90" s="165"/>
      <c r="H90" s="158">
        <v>1</v>
      </c>
      <c r="I90" s="159"/>
      <c r="J90" s="160"/>
      <c r="K90" s="31"/>
      <c r="L90" s="32"/>
    </row>
    <row r="91" spans="1:12" s="33" customFormat="1" ht="15" thickBot="1" x14ac:dyDescent="0.4">
      <c r="A91" s="293"/>
      <c r="B91" s="294"/>
      <c r="C91" s="161"/>
      <c r="D91" s="162"/>
      <c r="E91" s="296"/>
      <c r="F91" s="166"/>
      <c r="G91" s="167"/>
      <c r="H91" s="161"/>
      <c r="I91" s="162"/>
      <c r="J91" s="163"/>
      <c r="K91" s="31"/>
      <c r="L91" s="32"/>
    </row>
    <row r="92" spans="1:12" hidden="1" x14ac:dyDescent="0.35">
      <c r="A92" s="110" t="s">
        <v>174</v>
      </c>
      <c r="B92" s="111"/>
      <c r="C92" s="112" t="s">
        <v>296</v>
      </c>
      <c r="D92" s="112"/>
      <c r="E92" s="112"/>
      <c r="F92" s="112"/>
      <c r="G92" s="112"/>
      <c r="H92" s="112"/>
      <c r="I92" s="112"/>
      <c r="J92" s="113"/>
      <c r="K92" s="24" t="str">
        <f>(IF(F96&gt;99%,"All work completed. Please provide OC.",IF(F96&gt;89.8%,"Plinth, RCC, Brick, Plaster, Flooring, Painting work Completed. Finishing work is in process.",IF(F96&lt;94%,(IF(C96=0,"Work not yet Started.",IF(D96=25%,"Piling work in process",IF(D96=50%,"Excavation work in process",IF(D96=100%,"Excavation work Completed. ","0")))&amp;(IF(C97=0%,"",IF(C97=L98,"Footing work is process",IF(C97=L99,"Footing work Completed",IF(C97=L100,"1st Basement Completed",IF(C97=L101,"1st &amp; 2nd Basement Completed",IF(C97=L102,"1st to 3rd Basement Completed",IF(C97=L103,"1st to 4th Basement Completed",IF(C97=L104,"Plinth work is process",IF(C97=L105,"Plinth work completed","0")))))))))))&amp;(IF(C98=(D93+G93+I93),", RCC Slab",IF(C98&gt;0,", RCC upto "&amp;C98&amp;" Slab",""))&amp;(IF(C99=I93,", Brickwork",IF(C99&gt;0,", Brickwork upto "&amp;C99&amp;" Floor",""))&amp;(IF(C100=I93,", Internal Plaster",IF(C100&gt;0,", Internal Plaster upto "&amp;C100&amp;" Floor",""))&amp;(IF(C101=I93,", External Plaster",IF(C101&gt;0,", External Plaster upto "&amp;C101&amp;" Floor",""))&amp;(IF(C102=I93,", Flooring",IF(C102&gt;0,", Flooring upto "&amp;C102&amp;" Floor",""))&amp;(IF(C103=I93,", Painting",IF(C103&gt;0,", Painting upto "&amp;C103&amp;" Floor",""))&amp;(IF(C104&gt;0,", Finishing upto "&amp;C104&amp;" Floor","")&amp;(IF(C98&gt;0.5," Completed",""))))))))))))))</f>
        <v>All work completed. Please provide OC.</v>
      </c>
      <c r="L92" s="25"/>
    </row>
    <row r="93" spans="1:12" ht="15" hidden="1" customHeight="1" x14ac:dyDescent="0.35">
      <c r="A93" s="34" t="s">
        <v>175</v>
      </c>
      <c r="B93" s="26">
        <v>0</v>
      </c>
      <c r="C93" s="26" t="s">
        <v>176</v>
      </c>
      <c r="D93" s="26">
        <v>1</v>
      </c>
      <c r="E93" s="105" t="s">
        <v>177</v>
      </c>
      <c r="F93" s="105"/>
      <c r="G93" s="26">
        <v>0</v>
      </c>
      <c r="H93" s="26" t="s">
        <v>178</v>
      </c>
      <c r="I93" s="105">
        <v>1</v>
      </c>
      <c r="J93" s="114"/>
      <c r="K93" s="27"/>
      <c r="L93" s="28"/>
    </row>
    <row r="94" spans="1:12" hidden="1" x14ac:dyDescent="0.35">
      <c r="A94" s="115" t="s">
        <v>179</v>
      </c>
      <c r="B94" s="116"/>
      <c r="C94" s="117" t="str">
        <f>K92</f>
        <v>All work completed. Please provide OC.</v>
      </c>
      <c r="D94" s="117"/>
      <c r="E94" s="117"/>
      <c r="F94" s="117"/>
      <c r="G94" s="117"/>
      <c r="H94" s="117"/>
      <c r="I94" s="117"/>
      <c r="J94" s="118"/>
      <c r="K94" s="27" t="s">
        <v>180</v>
      </c>
      <c r="L94" s="28"/>
    </row>
    <row r="95" spans="1:12" ht="15" hidden="1" customHeight="1" x14ac:dyDescent="0.35">
      <c r="A95" s="62" t="s">
        <v>26</v>
      </c>
      <c r="B95" s="63"/>
      <c r="C95" s="45" t="s">
        <v>181</v>
      </c>
      <c r="D95" s="63" t="s">
        <v>182</v>
      </c>
      <c r="E95" s="63"/>
      <c r="F95" s="63" t="s">
        <v>183</v>
      </c>
      <c r="G95" s="63"/>
      <c r="H95" s="63" t="s">
        <v>184</v>
      </c>
      <c r="I95" s="63"/>
      <c r="J95" s="119"/>
      <c r="K95" s="46" t="s">
        <v>185</v>
      </c>
      <c r="L95" s="47">
        <f>I93*25%</f>
        <v>0.25</v>
      </c>
    </row>
    <row r="96" spans="1:12" ht="15" hidden="1" customHeight="1" x14ac:dyDescent="0.35">
      <c r="A96" s="62" t="s">
        <v>186</v>
      </c>
      <c r="B96" s="63"/>
      <c r="C96" s="48">
        <f>L97</f>
        <v>1</v>
      </c>
      <c r="D96" s="64">
        <f>((100/I93)*C96)/100</f>
        <v>1</v>
      </c>
      <c r="E96" s="64"/>
      <c r="F96" s="64">
        <f>(((C97/I93*10)+(40/(D93+G93+I93)*C98)+(7.5/(I93)*C99)+(7.5/(I93)*C100)+(10/I93*C101)+(10/I93*C102)+(5/I93*C103)+(5/I93*C104)+(5/I93*C105))/100)</f>
        <v>1</v>
      </c>
      <c r="G96" s="64"/>
      <c r="H96" s="64">
        <f>((((C96/I93)*20)+((C97/I93)*25)+(30/(I93+G93+D93)*C98)+(5/I93*C99)+(5/I93*C100)+(5/I93*C101)+(5/I93*C102)+(0/I93*C103)+(0/I93*C104)+(5/I93*C105))/100)</f>
        <v>1</v>
      </c>
      <c r="I96" s="64"/>
      <c r="J96" s="102"/>
      <c r="K96" s="46" t="s">
        <v>187</v>
      </c>
      <c r="L96" s="49">
        <f>I93*50%</f>
        <v>0.5</v>
      </c>
    </row>
    <row r="97" spans="1:12" ht="15" hidden="1" customHeight="1" x14ac:dyDescent="0.35">
      <c r="A97" s="62" t="s">
        <v>27</v>
      </c>
      <c r="B97" s="63"/>
      <c r="C97" s="50">
        <f>L105</f>
        <v>1</v>
      </c>
      <c r="D97" s="64">
        <f>((100/I93)*C97)/100</f>
        <v>1</v>
      </c>
      <c r="E97" s="64"/>
      <c r="F97" s="64"/>
      <c r="G97" s="64"/>
      <c r="H97" s="64"/>
      <c r="I97" s="64"/>
      <c r="J97" s="102"/>
      <c r="K97" s="46" t="s">
        <v>188</v>
      </c>
      <c r="L97" s="49">
        <f>I93</f>
        <v>1</v>
      </c>
    </row>
    <row r="98" spans="1:12" ht="15" hidden="1" customHeight="1" x14ac:dyDescent="0.35">
      <c r="A98" s="104" t="s">
        <v>189</v>
      </c>
      <c r="B98" s="105"/>
      <c r="C98" s="50">
        <v>2</v>
      </c>
      <c r="D98" s="64">
        <f>((100/(D93+G93+I93))*C98)/100</f>
        <v>1</v>
      </c>
      <c r="E98" s="64"/>
      <c r="F98" s="64"/>
      <c r="G98" s="64"/>
      <c r="H98" s="64"/>
      <c r="I98" s="64"/>
      <c r="J98" s="102"/>
      <c r="K98" s="46" t="s">
        <v>190</v>
      </c>
      <c r="L98" s="51">
        <f>(IF(B93&gt;1,(I93/(B93+2)),I93/4))</f>
        <v>0.25</v>
      </c>
    </row>
    <row r="99" spans="1:12" ht="15" hidden="1" customHeight="1" x14ac:dyDescent="0.35">
      <c r="A99" s="62" t="s">
        <v>191</v>
      </c>
      <c r="B99" s="63" t="s">
        <v>192</v>
      </c>
      <c r="C99" s="48">
        <v>1</v>
      </c>
      <c r="D99" s="64">
        <f>((100/I93)*C99)/100</f>
        <v>1</v>
      </c>
      <c r="E99" s="64"/>
      <c r="F99" s="64"/>
      <c r="G99" s="64"/>
      <c r="H99" s="64"/>
      <c r="I99" s="64"/>
      <c r="J99" s="102"/>
      <c r="K99" s="46" t="s">
        <v>193</v>
      </c>
      <c r="L99" s="51">
        <f>(IF(B93&gt;1,(I93/(B93+2)+L98),I93/4+L98))</f>
        <v>0.5</v>
      </c>
    </row>
    <row r="100" spans="1:12" ht="15" hidden="1" customHeight="1" x14ac:dyDescent="0.35">
      <c r="A100" s="62" t="s">
        <v>194</v>
      </c>
      <c r="B100" s="63" t="s">
        <v>192</v>
      </c>
      <c r="C100" s="48">
        <v>1</v>
      </c>
      <c r="D100" s="64">
        <f>((100/I93)*C100)/100</f>
        <v>1</v>
      </c>
      <c r="E100" s="64"/>
      <c r="F100" s="64"/>
      <c r="G100" s="64"/>
      <c r="H100" s="64"/>
      <c r="I100" s="64"/>
      <c r="J100" s="102"/>
      <c r="K100" s="46" t="s">
        <v>195</v>
      </c>
      <c r="L100" s="51">
        <f>(IF(B93&gt;1,(I93/(B93+2)+L99),0))</f>
        <v>0</v>
      </c>
    </row>
    <row r="101" spans="1:12" ht="15" hidden="1" customHeight="1" x14ac:dyDescent="0.35">
      <c r="A101" s="62" t="s">
        <v>196</v>
      </c>
      <c r="B101" s="63" t="s">
        <v>197</v>
      </c>
      <c r="C101" s="48">
        <v>1</v>
      </c>
      <c r="D101" s="64">
        <f>((100/(I93))*C101)/100</f>
        <v>1</v>
      </c>
      <c r="E101" s="64"/>
      <c r="F101" s="64"/>
      <c r="G101" s="64"/>
      <c r="H101" s="64"/>
      <c r="I101" s="64"/>
      <c r="J101" s="102"/>
      <c r="K101" s="46" t="s">
        <v>198</v>
      </c>
      <c r="L101" s="51">
        <f>(IF(B93&gt;2,(I93/(B93+2)+L100),0))</f>
        <v>0</v>
      </c>
    </row>
    <row r="102" spans="1:12" ht="15" hidden="1" customHeight="1" x14ac:dyDescent="0.35">
      <c r="A102" s="62" t="s">
        <v>199</v>
      </c>
      <c r="B102" s="63" t="s">
        <v>199</v>
      </c>
      <c r="C102" s="48">
        <v>1</v>
      </c>
      <c r="D102" s="64">
        <f>((100/I93)*C102)/100</f>
        <v>1</v>
      </c>
      <c r="E102" s="64"/>
      <c r="F102" s="64"/>
      <c r="G102" s="64"/>
      <c r="H102" s="64"/>
      <c r="I102" s="64"/>
      <c r="J102" s="102"/>
      <c r="K102" s="46" t="s">
        <v>200</v>
      </c>
      <c r="L102" s="52">
        <f>(IF(B93&gt;3,(I93/(B93+2)+L101),0))</f>
        <v>0</v>
      </c>
    </row>
    <row r="103" spans="1:12" ht="15" hidden="1" customHeight="1" x14ac:dyDescent="0.35">
      <c r="A103" s="62" t="s">
        <v>201</v>
      </c>
      <c r="B103" s="63"/>
      <c r="C103" s="48">
        <v>1</v>
      </c>
      <c r="D103" s="64">
        <f>((100/I93)*C103)/100</f>
        <v>1</v>
      </c>
      <c r="E103" s="64"/>
      <c r="F103" s="64"/>
      <c r="G103" s="64"/>
      <c r="H103" s="64"/>
      <c r="I103" s="64"/>
      <c r="J103" s="102"/>
      <c r="K103" s="46" t="s">
        <v>202</v>
      </c>
      <c r="L103" s="51">
        <f>(IF(B93&gt;4,(I93/(B93+2)+L102),0))</f>
        <v>0</v>
      </c>
    </row>
    <row r="104" spans="1:12" ht="15" hidden="1" customHeight="1" x14ac:dyDescent="0.35">
      <c r="A104" s="62" t="s">
        <v>203</v>
      </c>
      <c r="B104" s="63" t="s">
        <v>203</v>
      </c>
      <c r="C104" s="48">
        <v>1</v>
      </c>
      <c r="D104" s="64">
        <f>((100/(I93))*C104)/100</f>
        <v>1</v>
      </c>
      <c r="E104" s="64"/>
      <c r="F104" s="64"/>
      <c r="G104" s="64"/>
      <c r="H104" s="64"/>
      <c r="I104" s="64"/>
      <c r="J104" s="102"/>
      <c r="K104" s="46" t="s">
        <v>204</v>
      </c>
      <c r="L104" s="51">
        <f>(IF(B93=1,(I93/(B93+3)+L99),IF(B93=0,(I93/4+L99),IF(B93&gt;1,0))))</f>
        <v>0.75</v>
      </c>
    </row>
    <row r="105" spans="1:12" ht="15" hidden="1" customHeight="1" thickBot="1" x14ac:dyDescent="0.4">
      <c r="A105" s="68" t="s">
        <v>205</v>
      </c>
      <c r="B105" s="69"/>
      <c r="C105" s="53">
        <v>1</v>
      </c>
      <c r="D105" s="70">
        <f>((100/(I93))*C105)/100</f>
        <v>1</v>
      </c>
      <c r="E105" s="70"/>
      <c r="F105" s="70"/>
      <c r="G105" s="70"/>
      <c r="H105" s="70"/>
      <c r="I105" s="70"/>
      <c r="J105" s="103"/>
      <c r="K105" s="54" t="s">
        <v>206</v>
      </c>
      <c r="L105" s="55">
        <f>(IF(B93&gt;1.5,(I93/(B93+2)+L99+MAX(0,L100-L99)+MAX(0,L101-L100)+MAX(0,L102-L101)+MAX(0,L103-L102)+MAX(0,L104-L103)),IF(B93=1,(I93/(B93+3)+L104),IF(B93=0,I93/4+L104))))</f>
        <v>1</v>
      </c>
    </row>
    <row r="106" spans="1:12" hidden="1" x14ac:dyDescent="0.35">
      <c r="A106" s="110" t="s">
        <v>174</v>
      </c>
      <c r="B106" s="111"/>
      <c r="C106" s="112" t="s">
        <v>297</v>
      </c>
      <c r="D106" s="112"/>
      <c r="E106" s="112"/>
      <c r="F106" s="112"/>
      <c r="G106" s="112"/>
      <c r="H106" s="112"/>
      <c r="I106" s="112"/>
      <c r="J106" s="113"/>
      <c r="K106" s="24" t="str">
        <f>(IF(F110&gt;99%,"All work completed. Please provide OC.",IF(F110&gt;89.8%,"Plinth, RCC, Brick, Plaster, Flooring, Painting work Completed. Finishing work is in process.",IF(F110&lt;94%,(IF(C110=0,"Work not yet Started.",IF(D110=25%,"Piling work in process",IF(D110=50%,"Excavation work in process",IF(D110=100%,"Excavation work Completed. ","0")))&amp;(IF(C111=0%,"",IF(C111=L112,"Footing work is process",IF(C111=L113,"Footing work Completed",IF(C111=L114,"1st Basement Completed",IF(C111=L115,"1st &amp; 2nd Basement Completed",IF(C111=L116,"1st to 3rd Basement Completed",IF(C111=L117,"1st to 4th Basement Completed",IF(C111=L118,"Plinth work is process",IF(C111=L119,"Plinth work completed","0")))))))))))&amp;(IF(C112=(D107+G107+I107),", RCC Slab",IF(C112&gt;0,", RCC upto "&amp;C112&amp;" Slab",""))&amp;(IF(C113=I107,", Brickwork",IF(C113&gt;0,", Brickwork upto "&amp;C113&amp;" Floor",""))&amp;(IF(C114=I107,", Internal Plaster",IF(C114&gt;0,", Internal Plaster upto "&amp;C114&amp;" Floor",""))&amp;(IF(C115=I107,", External Plaster",IF(C115&gt;0,", External Plaster upto "&amp;C115&amp;" Floor",""))&amp;(IF(C116=I107,", Flooring",IF(C116&gt;0,", Flooring upto "&amp;C116&amp;" Floor",""))&amp;(IF(C117=I107,", Painting",IF(C117&gt;0,", Painting upto "&amp;C117&amp;" Floor",""))&amp;(IF(C118&gt;0,", Finishing upto "&amp;C118&amp;" Floor","")&amp;(IF(C112&gt;0.5," Completed",""))))))))))))))</f>
        <v>All work completed. Please provide OC.</v>
      </c>
      <c r="L106" s="25"/>
    </row>
    <row r="107" spans="1:12" ht="15" hidden="1" customHeight="1" x14ac:dyDescent="0.35">
      <c r="A107" s="34" t="s">
        <v>175</v>
      </c>
      <c r="B107" s="26">
        <v>0</v>
      </c>
      <c r="C107" s="26" t="s">
        <v>176</v>
      </c>
      <c r="D107" s="26">
        <v>1</v>
      </c>
      <c r="E107" s="105" t="s">
        <v>177</v>
      </c>
      <c r="F107" s="105"/>
      <c r="G107" s="26">
        <v>0</v>
      </c>
      <c r="H107" s="26" t="s">
        <v>178</v>
      </c>
      <c r="I107" s="105">
        <v>1</v>
      </c>
      <c r="J107" s="114"/>
      <c r="K107" s="27"/>
      <c r="L107" s="28"/>
    </row>
    <row r="108" spans="1:12" hidden="1" x14ac:dyDescent="0.35">
      <c r="A108" s="115" t="s">
        <v>179</v>
      </c>
      <c r="B108" s="116"/>
      <c r="C108" s="117" t="str">
        <f>K106</f>
        <v>All work completed. Please provide OC.</v>
      </c>
      <c r="D108" s="117"/>
      <c r="E108" s="117"/>
      <c r="F108" s="117"/>
      <c r="G108" s="117"/>
      <c r="H108" s="117"/>
      <c r="I108" s="117"/>
      <c r="J108" s="118"/>
      <c r="K108" s="27" t="s">
        <v>180</v>
      </c>
      <c r="L108" s="28"/>
    </row>
    <row r="109" spans="1:12" ht="15" hidden="1" customHeight="1" x14ac:dyDescent="0.35">
      <c r="A109" s="62" t="s">
        <v>26</v>
      </c>
      <c r="B109" s="63"/>
      <c r="C109" s="45" t="s">
        <v>181</v>
      </c>
      <c r="D109" s="63" t="s">
        <v>182</v>
      </c>
      <c r="E109" s="63"/>
      <c r="F109" s="63" t="s">
        <v>183</v>
      </c>
      <c r="G109" s="63"/>
      <c r="H109" s="63" t="s">
        <v>184</v>
      </c>
      <c r="I109" s="63"/>
      <c r="J109" s="119"/>
      <c r="K109" s="46" t="s">
        <v>185</v>
      </c>
      <c r="L109" s="47">
        <f>I107*25%</f>
        <v>0.25</v>
      </c>
    </row>
    <row r="110" spans="1:12" ht="15" hidden="1" customHeight="1" x14ac:dyDescent="0.35">
      <c r="A110" s="62" t="s">
        <v>186</v>
      </c>
      <c r="B110" s="63"/>
      <c r="C110" s="48">
        <f>L111</f>
        <v>1</v>
      </c>
      <c r="D110" s="64">
        <f>((100/I107)*C110)/100</f>
        <v>1</v>
      </c>
      <c r="E110" s="64"/>
      <c r="F110" s="64">
        <f>(((C111/I107*10)+(40/(D107+G107+I107)*C112)+(7.5/(I107)*C113)+(7.5/(I107)*C114)+(10/I107*C115)+(10/I107*C116)+(5/I107*C117)+(5/I107*C118)+(5/I107*C119))/100)</f>
        <v>1</v>
      </c>
      <c r="G110" s="64"/>
      <c r="H110" s="64">
        <f>((((C110/I107)*20)+((C111/I107)*25)+(30/(I107+G107+D107)*C112)+(5/I107*C113)+(5/I107*C114)+(5/I107*C115)+(5/I107*C116)+(0/I107*C117)+(0/I107*C118)+(5/I107*C119))/100)</f>
        <v>1</v>
      </c>
      <c r="I110" s="64"/>
      <c r="J110" s="102"/>
      <c r="K110" s="46" t="s">
        <v>187</v>
      </c>
      <c r="L110" s="49">
        <f>I107*50%</f>
        <v>0.5</v>
      </c>
    </row>
    <row r="111" spans="1:12" ht="15" hidden="1" customHeight="1" x14ac:dyDescent="0.35">
      <c r="A111" s="62" t="s">
        <v>27</v>
      </c>
      <c r="B111" s="63"/>
      <c r="C111" s="50">
        <f>L119</f>
        <v>1</v>
      </c>
      <c r="D111" s="64">
        <f>((100/I107)*C111)/100</f>
        <v>1</v>
      </c>
      <c r="E111" s="64"/>
      <c r="F111" s="64"/>
      <c r="G111" s="64"/>
      <c r="H111" s="64"/>
      <c r="I111" s="64"/>
      <c r="J111" s="102"/>
      <c r="K111" s="46" t="s">
        <v>188</v>
      </c>
      <c r="L111" s="49">
        <f>I107</f>
        <v>1</v>
      </c>
    </row>
    <row r="112" spans="1:12" ht="15" hidden="1" customHeight="1" x14ac:dyDescent="0.35">
      <c r="A112" s="104" t="s">
        <v>189</v>
      </c>
      <c r="B112" s="105"/>
      <c r="C112" s="50">
        <v>2</v>
      </c>
      <c r="D112" s="64">
        <f>((100/(D107+G107+I107))*C112)/100</f>
        <v>1</v>
      </c>
      <c r="E112" s="64"/>
      <c r="F112" s="64"/>
      <c r="G112" s="64"/>
      <c r="H112" s="64"/>
      <c r="I112" s="64"/>
      <c r="J112" s="102"/>
      <c r="K112" s="46" t="s">
        <v>190</v>
      </c>
      <c r="L112" s="51">
        <f>(IF(B107&gt;1,(I107/(B107+2)),I107/4))</f>
        <v>0.25</v>
      </c>
    </row>
    <row r="113" spans="1:12" ht="15" hidden="1" customHeight="1" x14ac:dyDescent="0.35">
      <c r="A113" s="62" t="s">
        <v>191</v>
      </c>
      <c r="B113" s="63" t="s">
        <v>192</v>
      </c>
      <c r="C113" s="48">
        <v>1</v>
      </c>
      <c r="D113" s="64">
        <f>((100/I107)*C113)/100</f>
        <v>1</v>
      </c>
      <c r="E113" s="64"/>
      <c r="F113" s="64"/>
      <c r="G113" s="64"/>
      <c r="H113" s="64"/>
      <c r="I113" s="64"/>
      <c r="J113" s="102"/>
      <c r="K113" s="46" t="s">
        <v>193</v>
      </c>
      <c r="L113" s="51">
        <f>(IF(B107&gt;1,(I107/(B107+2)+L112),I107/4+L112))</f>
        <v>0.5</v>
      </c>
    </row>
    <row r="114" spans="1:12" ht="15" hidden="1" customHeight="1" x14ac:dyDescent="0.35">
      <c r="A114" s="62" t="s">
        <v>194</v>
      </c>
      <c r="B114" s="63" t="s">
        <v>192</v>
      </c>
      <c r="C114" s="48">
        <v>1</v>
      </c>
      <c r="D114" s="64">
        <f>((100/I107)*C114)/100</f>
        <v>1</v>
      </c>
      <c r="E114" s="64"/>
      <c r="F114" s="64"/>
      <c r="G114" s="64"/>
      <c r="H114" s="64"/>
      <c r="I114" s="64"/>
      <c r="J114" s="102"/>
      <c r="K114" s="46" t="s">
        <v>195</v>
      </c>
      <c r="L114" s="51">
        <f>(IF(B107&gt;1,(I107/(B107+2)+L113),0))</f>
        <v>0</v>
      </c>
    </row>
    <row r="115" spans="1:12" ht="15" hidden="1" customHeight="1" x14ac:dyDescent="0.35">
      <c r="A115" s="62" t="s">
        <v>196</v>
      </c>
      <c r="B115" s="63" t="s">
        <v>197</v>
      </c>
      <c r="C115" s="48">
        <v>1</v>
      </c>
      <c r="D115" s="64">
        <f>((100/(I107))*C115)/100</f>
        <v>1</v>
      </c>
      <c r="E115" s="64"/>
      <c r="F115" s="64"/>
      <c r="G115" s="64"/>
      <c r="H115" s="64"/>
      <c r="I115" s="64"/>
      <c r="J115" s="102"/>
      <c r="K115" s="46" t="s">
        <v>198</v>
      </c>
      <c r="L115" s="51">
        <f>(IF(B107&gt;2,(I107/(B107+2)+L114),0))</f>
        <v>0</v>
      </c>
    </row>
    <row r="116" spans="1:12" ht="15" hidden="1" customHeight="1" x14ac:dyDescent="0.35">
      <c r="A116" s="62" t="s">
        <v>199</v>
      </c>
      <c r="B116" s="63" t="s">
        <v>199</v>
      </c>
      <c r="C116" s="48">
        <v>1</v>
      </c>
      <c r="D116" s="64">
        <f>((100/I107)*C116)/100</f>
        <v>1</v>
      </c>
      <c r="E116" s="64"/>
      <c r="F116" s="64"/>
      <c r="G116" s="64"/>
      <c r="H116" s="64"/>
      <c r="I116" s="64"/>
      <c r="J116" s="102"/>
      <c r="K116" s="46" t="s">
        <v>200</v>
      </c>
      <c r="L116" s="52">
        <f>(IF(B107&gt;3,(I107/(B107+2)+L115),0))</f>
        <v>0</v>
      </c>
    </row>
    <row r="117" spans="1:12" ht="15" hidden="1" customHeight="1" x14ac:dyDescent="0.35">
      <c r="A117" s="62" t="s">
        <v>201</v>
      </c>
      <c r="B117" s="63"/>
      <c r="C117" s="48">
        <v>1</v>
      </c>
      <c r="D117" s="64">
        <f>((100/I107)*C117)/100</f>
        <v>1</v>
      </c>
      <c r="E117" s="64"/>
      <c r="F117" s="64"/>
      <c r="G117" s="64"/>
      <c r="H117" s="64"/>
      <c r="I117" s="64"/>
      <c r="J117" s="102"/>
      <c r="K117" s="46" t="s">
        <v>202</v>
      </c>
      <c r="L117" s="51">
        <f>(IF(B107&gt;4,(I107/(B107+2)+L116),0))</f>
        <v>0</v>
      </c>
    </row>
    <row r="118" spans="1:12" ht="15" hidden="1" customHeight="1" x14ac:dyDescent="0.35">
      <c r="A118" s="62" t="s">
        <v>203</v>
      </c>
      <c r="B118" s="63" t="s">
        <v>203</v>
      </c>
      <c r="C118" s="48">
        <v>1</v>
      </c>
      <c r="D118" s="64">
        <f>((100/(I107))*C118)/100</f>
        <v>1</v>
      </c>
      <c r="E118" s="64"/>
      <c r="F118" s="64"/>
      <c r="G118" s="64"/>
      <c r="H118" s="64"/>
      <c r="I118" s="64"/>
      <c r="J118" s="102"/>
      <c r="K118" s="46" t="s">
        <v>204</v>
      </c>
      <c r="L118" s="51">
        <f>(IF(B107=1,(I107/(B107+3)+L113),IF(B107=0,(I107/4+L113),IF(B107&gt;1,0))))</f>
        <v>0.75</v>
      </c>
    </row>
    <row r="119" spans="1:12" ht="15" hidden="1" customHeight="1" thickBot="1" x14ac:dyDescent="0.4">
      <c r="A119" s="68" t="s">
        <v>205</v>
      </c>
      <c r="B119" s="69"/>
      <c r="C119" s="48">
        <v>1</v>
      </c>
      <c r="D119" s="70">
        <f>((100/(I107))*C119)/100</f>
        <v>1</v>
      </c>
      <c r="E119" s="70"/>
      <c r="F119" s="70"/>
      <c r="G119" s="70"/>
      <c r="H119" s="70"/>
      <c r="I119" s="70"/>
      <c r="J119" s="103"/>
      <c r="K119" s="54" t="s">
        <v>206</v>
      </c>
      <c r="L119" s="55">
        <f>(IF(B107&gt;1.5,(I107/(B107+2)+L113+MAX(0,L114-L113)+MAX(0,L115-L114)+MAX(0,L116-L115)+MAX(0,L117-L116)+MAX(0,L118-L117)),IF(B107=1,(I107/(B107+3)+L118),IF(B107=0,I107/4+L118))))</f>
        <v>1</v>
      </c>
    </row>
    <row r="120" spans="1:12" hidden="1" x14ac:dyDescent="0.35">
      <c r="A120" s="110" t="s">
        <v>174</v>
      </c>
      <c r="B120" s="111"/>
      <c r="C120" s="112" t="s">
        <v>295</v>
      </c>
      <c r="D120" s="112"/>
      <c r="E120" s="112"/>
      <c r="F120" s="112"/>
      <c r="G120" s="112"/>
      <c r="H120" s="112"/>
      <c r="I120" s="112"/>
      <c r="J120" s="113"/>
      <c r="K120" s="24" t="str">
        <f>(IF(F124&gt;99%,"All work completed. Please provide OC.",IF(F124&gt;89.8%,"Plinth, RCC, Brick, Plaster, Flooring, Painting work Completed. Finishing work is in process.",IF(F124&lt;94%,(IF(C124=0,"Work not yet Started.",IF(D124=25%,"Piling work in process",IF(D124=50%,"Excavation work in process",IF(D124=100%,"Excavation work Completed. ","0")))&amp;(IF(C125=0%,"",IF(C125=L126,"Footing work is process",IF(C125=L127,"Footing work Completed",IF(C125=L128,"1st Basement Completed",IF(C125=L129,"1st &amp; 2nd Basement Completed",IF(C125=L130,"1st to 3rd Basement Completed",IF(C125=L131,"1st to 4th Basement Completed",IF(C125=L132,"Plinth work is process",IF(C125=L133,"Plinth work completed","0")))))))))))&amp;(IF(C126=(D121+G121+I121),", RCC Slab",IF(C126&gt;0,", RCC upto "&amp;C126&amp;" Slab",""))&amp;(IF(C127=I121,", Brickwork",IF(C127&gt;0,", Brickwork upto "&amp;C127&amp;" Floor",""))&amp;(IF(C128=I121,", Internal Plaster",IF(C128&gt;0,", Internal Plaster upto "&amp;C128&amp;" Floor",""))&amp;(IF(C129=I121,", External Plaster",IF(C129&gt;0,", External Plaster upto "&amp;C129&amp;" Floor",""))&amp;(IF(C130=I121,", Flooring",IF(C130&gt;0,", Flooring upto "&amp;C130&amp;" Floor",""))&amp;(IF(C131=I121,", Painting",IF(C131&gt;0,", Painting upto "&amp;C131&amp;" Floor",""))&amp;(IF(C132&gt;0,", Finishing upto "&amp;C132&amp;" Floor","")&amp;(IF(C126&gt;0.5," Completed",""))))))))))))))</f>
        <v>All work completed. Please provide OC.</v>
      </c>
      <c r="L120" s="25"/>
    </row>
    <row r="121" spans="1:12" ht="15" hidden="1" customHeight="1" x14ac:dyDescent="0.35">
      <c r="A121" s="34" t="s">
        <v>175</v>
      </c>
      <c r="B121" s="26">
        <v>0</v>
      </c>
      <c r="C121" s="26" t="s">
        <v>176</v>
      </c>
      <c r="D121" s="26">
        <v>1</v>
      </c>
      <c r="E121" s="105" t="s">
        <v>177</v>
      </c>
      <c r="F121" s="105"/>
      <c r="G121" s="26">
        <v>0</v>
      </c>
      <c r="H121" s="26" t="s">
        <v>178</v>
      </c>
      <c r="I121" s="105">
        <v>1</v>
      </c>
      <c r="J121" s="114"/>
      <c r="K121" s="27"/>
      <c r="L121" s="28"/>
    </row>
    <row r="122" spans="1:12" hidden="1" x14ac:dyDescent="0.35">
      <c r="A122" s="115" t="s">
        <v>179</v>
      </c>
      <c r="B122" s="116"/>
      <c r="C122" s="117" t="str">
        <f>K120</f>
        <v>All work completed. Please provide OC.</v>
      </c>
      <c r="D122" s="117"/>
      <c r="E122" s="117"/>
      <c r="F122" s="117"/>
      <c r="G122" s="117"/>
      <c r="H122" s="117"/>
      <c r="I122" s="117"/>
      <c r="J122" s="118"/>
      <c r="K122" s="27" t="s">
        <v>180</v>
      </c>
      <c r="L122" s="28"/>
    </row>
    <row r="123" spans="1:12" ht="15" hidden="1" customHeight="1" x14ac:dyDescent="0.35">
      <c r="A123" s="62" t="s">
        <v>26</v>
      </c>
      <c r="B123" s="63"/>
      <c r="C123" s="45" t="s">
        <v>181</v>
      </c>
      <c r="D123" s="63" t="s">
        <v>182</v>
      </c>
      <c r="E123" s="63"/>
      <c r="F123" s="63" t="s">
        <v>183</v>
      </c>
      <c r="G123" s="63"/>
      <c r="H123" s="63" t="s">
        <v>184</v>
      </c>
      <c r="I123" s="63"/>
      <c r="J123" s="119"/>
      <c r="K123" s="46" t="s">
        <v>185</v>
      </c>
      <c r="L123" s="47">
        <f>I121*25%</f>
        <v>0.25</v>
      </c>
    </row>
    <row r="124" spans="1:12" ht="15" hidden="1" customHeight="1" x14ac:dyDescent="0.35">
      <c r="A124" s="62" t="s">
        <v>186</v>
      </c>
      <c r="B124" s="63"/>
      <c r="C124" s="48">
        <f>L125</f>
        <v>1</v>
      </c>
      <c r="D124" s="64">
        <f>((100/I121)*C124)/100</f>
        <v>1</v>
      </c>
      <c r="E124" s="64"/>
      <c r="F124" s="64">
        <f>(((C125/I121*10)+(40/(D121+G121+I121)*C126)+(7.5/(I121)*C127)+(7.5/(I121)*C128)+(10/I121*C129)+(10/I121*C130)+(5/I121*C131)+(5/I121*C132)+(5/I121*C133))/100)</f>
        <v>1</v>
      </c>
      <c r="G124" s="64"/>
      <c r="H124" s="64">
        <f>((((C124/I121)*20)+((C125/I121)*25)+(30/(I121+G121+D121)*C126)+(5/I121*C127)+(5/I121*C128)+(5/I121*C129)+(5/I121*C130)+(0/I121*C131)+(0/I121*C132)+(5/I121*C133))/100)</f>
        <v>1</v>
      </c>
      <c r="I124" s="64"/>
      <c r="J124" s="102"/>
      <c r="K124" s="46" t="s">
        <v>187</v>
      </c>
      <c r="L124" s="49">
        <f>I121*50%</f>
        <v>0.5</v>
      </c>
    </row>
    <row r="125" spans="1:12" ht="15" hidden="1" customHeight="1" x14ac:dyDescent="0.35">
      <c r="A125" s="62" t="s">
        <v>27</v>
      </c>
      <c r="B125" s="63"/>
      <c r="C125" s="50">
        <f>L133</f>
        <v>1</v>
      </c>
      <c r="D125" s="64">
        <f>((100/I121)*C125)/100</f>
        <v>1</v>
      </c>
      <c r="E125" s="64"/>
      <c r="F125" s="64"/>
      <c r="G125" s="64"/>
      <c r="H125" s="64"/>
      <c r="I125" s="64"/>
      <c r="J125" s="102"/>
      <c r="K125" s="46" t="s">
        <v>188</v>
      </c>
      <c r="L125" s="49">
        <f>I121</f>
        <v>1</v>
      </c>
    </row>
    <row r="126" spans="1:12" ht="15" hidden="1" customHeight="1" x14ac:dyDescent="0.35">
      <c r="A126" s="104" t="s">
        <v>189</v>
      </c>
      <c r="B126" s="105"/>
      <c r="C126" s="50">
        <v>2</v>
      </c>
      <c r="D126" s="64">
        <f>((100/(D121+G121+I121))*C126)/100</f>
        <v>1</v>
      </c>
      <c r="E126" s="64"/>
      <c r="F126" s="64"/>
      <c r="G126" s="64"/>
      <c r="H126" s="64"/>
      <c r="I126" s="64"/>
      <c r="J126" s="102"/>
      <c r="K126" s="46" t="s">
        <v>190</v>
      </c>
      <c r="L126" s="51">
        <f>(IF(B121&gt;1,(I121/(B121+2)),I121/4))</f>
        <v>0.25</v>
      </c>
    </row>
    <row r="127" spans="1:12" ht="15" hidden="1" customHeight="1" x14ac:dyDescent="0.35">
      <c r="A127" s="62" t="s">
        <v>191</v>
      </c>
      <c r="B127" s="63" t="s">
        <v>192</v>
      </c>
      <c r="C127" s="48">
        <v>1</v>
      </c>
      <c r="D127" s="64">
        <f>((100/I121)*C127)/100</f>
        <v>1</v>
      </c>
      <c r="E127" s="64"/>
      <c r="F127" s="64"/>
      <c r="G127" s="64"/>
      <c r="H127" s="64"/>
      <c r="I127" s="64"/>
      <c r="J127" s="102"/>
      <c r="K127" s="46" t="s">
        <v>193</v>
      </c>
      <c r="L127" s="51">
        <f>(IF(B121&gt;1,(I121/(B121+2)+L126),I121/4+L126))</f>
        <v>0.5</v>
      </c>
    </row>
    <row r="128" spans="1:12" ht="15" hidden="1" customHeight="1" x14ac:dyDescent="0.35">
      <c r="A128" s="62" t="s">
        <v>194</v>
      </c>
      <c r="B128" s="63" t="s">
        <v>192</v>
      </c>
      <c r="C128" s="48">
        <v>1</v>
      </c>
      <c r="D128" s="64">
        <f>((100/I121)*C128)/100</f>
        <v>1</v>
      </c>
      <c r="E128" s="64"/>
      <c r="F128" s="64"/>
      <c r="G128" s="64"/>
      <c r="H128" s="64"/>
      <c r="I128" s="64"/>
      <c r="J128" s="102"/>
      <c r="K128" s="46" t="s">
        <v>195</v>
      </c>
      <c r="L128" s="51">
        <f>(IF(B121&gt;1,(I121/(B121+2)+L127),0))</f>
        <v>0</v>
      </c>
    </row>
    <row r="129" spans="1:12" ht="15" hidden="1" customHeight="1" x14ac:dyDescent="0.35">
      <c r="A129" s="62" t="s">
        <v>196</v>
      </c>
      <c r="B129" s="63" t="s">
        <v>197</v>
      </c>
      <c r="C129" s="48">
        <v>1</v>
      </c>
      <c r="D129" s="64">
        <f>((100/(I121))*C129)/100</f>
        <v>1</v>
      </c>
      <c r="E129" s="64"/>
      <c r="F129" s="64"/>
      <c r="G129" s="64"/>
      <c r="H129" s="64"/>
      <c r="I129" s="64"/>
      <c r="J129" s="102"/>
      <c r="K129" s="46" t="s">
        <v>198</v>
      </c>
      <c r="L129" s="51">
        <f>(IF(B121&gt;2,(I121/(B121+2)+L128),0))</f>
        <v>0</v>
      </c>
    </row>
    <row r="130" spans="1:12" ht="15" hidden="1" customHeight="1" x14ac:dyDescent="0.35">
      <c r="A130" s="62" t="s">
        <v>199</v>
      </c>
      <c r="B130" s="63" t="s">
        <v>199</v>
      </c>
      <c r="C130" s="48">
        <v>1</v>
      </c>
      <c r="D130" s="64">
        <f>((100/I121)*C130)/100</f>
        <v>1</v>
      </c>
      <c r="E130" s="64"/>
      <c r="F130" s="64"/>
      <c r="G130" s="64"/>
      <c r="H130" s="64"/>
      <c r="I130" s="64"/>
      <c r="J130" s="102"/>
      <c r="K130" s="46" t="s">
        <v>200</v>
      </c>
      <c r="L130" s="52">
        <f>(IF(B121&gt;3,(I121/(B121+2)+L129),0))</f>
        <v>0</v>
      </c>
    </row>
    <row r="131" spans="1:12" ht="15" hidden="1" customHeight="1" x14ac:dyDescent="0.35">
      <c r="A131" s="62" t="s">
        <v>201</v>
      </c>
      <c r="B131" s="63"/>
      <c r="C131" s="48">
        <v>1</v>
      </c>
      <c r="D131" s="64">
        <f>((100/I121)*C131)/100</f>
        <v>1</v>
      </c>
      <c r="E131" s="64"/>
      <c r="F131" s="64"/>
      <c r="G131" s="64"/>
      <c r="H131" s="64"/>
      <c r="I131" s="64"/>
      <c r="J131" s="102"/>
      <c r="K131" s="46" t="s">
        <v>202</v>
      </c>
      <c r="L131" s="51">
        <f>(IF(B121&gt;4,(I121/(B121+2)+L130),0))</f>
        <v>0</v>
      </c>
    </row>
    <row r="132" spans="1:12" ht="15" hidden="1" customHeight="1" x14ac:dyDescent="0.35">
      <c r="A132" s="62" t="s">
        <v>203</v>
      </c>
      <c r="B132" s="63" t="s">
        <v>203</v>
      </c>
      <c r="C132" s="48">
        <v>1</v>
      </c>
      <c r="D132" s="64">
        <f>((100/(I121))*C132)/100</f>
        <v>1</v>
      </c>
      <c r="E132" s="64"/>
      <c r="F132" s="64"/>
      <c r="G132" s="64"/>
      <c r="H132" s="64"/>
      <c r="I132" s="64"/>
      <c r="J132" s="102"/>
      <c r="K132" s="46" t="s">
        <v>204</v>
      </c>
      <c r="L132" s="51">
        <f>(IF(B121=1,(I121/(B121+3)+L127),IF(B121=0,(I121/4+L127),IF(B121&gt;1,0))))</f>
        <v>0.75</v>
      </c>
    </row>
    <row r="133" spans="1:12" ht="15" hidden="1" customHeight="1" thickBot="1" x14ac:dyDescent="0.4">
      <c r="A133" s="68" t="s">
        <v>205</v>
      </c>
      <c r="B133" s="69"/>
      <c r="C133" s="53">
        <v>1</v>
      </c>
      <c r="D133" s="70">
        <f>((100/(I121))*C133)/100</f>
        <v>1</v>
      </c>
      <c r="E133" s="70"/>
      <c r="F133" s="70"/>
      <c r="G133" s="70"/>
      <c r="H133" s="70"/>
      <c r="I133" s="70"/>
      <c r="J133" s="103"/>
      <c r="K133" s="54" t="s">
        <v>206</v>
      </c>
      <c r="L133" s="55">
        <f>(IF(B121&gt;1.5,(I121/(B121+2)+L127+MAX(0,L128-L127)+MAX(0,L129-L128)+MAX(0,L130-L129)+MAX(0,L131-L130)+MAX(0,L132-L131)),IF(B121=1,(I121/(B121+3)+L132),IF(B121=0,I121/4+L132))))</f>
        <v>1</v>
      </c>
    </row>
    <row r="134" spans="1:12" hidden="1" x14ac:dyDescent="0.35">
      <c r="A134" s="110" t="s">
        <v>174</v>
      </c>
      <c r="B134" s="111"/>
      <c r="C134" s="112" t="s">
        <v>330</v>
      </c>
      <c r="D134" s="112"/>
      <c r="E134" s="112"/>
      <c r="F134" s="112"/>
      <c r="G134" s="112"/>
      <c r="H134" s="112"/>
      <c r="I134" s="112"/>
      <c r="J134" s="113"/>
      <c r="K134" s="24" t="str">
        <f>(IF(F138&gt;99%,"All work completed. Please provide OC.",IF(F138&gt;89.8%,"Plinth, RCC, Brick, Plaster, Flooring, Painting work Completed. Finishing work is in process.",IF(F138&lt;94%,(IF(C138=0,"Work not yet Started.",IF(D138=25%,"Piling work in process",IF(D138=50%,"Excavation work in process",IF(D138=100%,"Excavation work Completed. ","0")))&amp;(IF(C139=0%,"",IF(C139=L140,"Footing work is process",IF(C139=L141,"Footing work Completed",IF(C139=L142,"1st Basement Completed",IF(C139=L143,"1st &amp; 2nd Basement Completed",IF(C139=L144,"1st to 3rd Basement Completed",IF(C139=L145,"1st to 4th Basement Completed",IF(C139=L146,"Plinth work is process",IF(C139=L147,"Plinth work completed","0")))))))))))&amp;(IF(C140=(D135+G135+I135),", RCC Slab",IF(C140&gt;0,", RCC upto "&amp;C140&amp;" Slab",""))&amp;(IF(C141=I135,", Brickwork",IF(C141&gt;0,", Brickwork upto "&amp;C141&amp;" Floor",""))&amp;(IF(C142=I135,", Internal Plaster",IF(C142&gt;0,", Internal Plaster upto "&amp;C142&amp;" Floor",""))&amp;(IF(C143=I135,", External Plaster",IF(C143&gt;0,", External Plaster upto "&amp;C143&amp;" Floor",""))&amp;(IF(C144=I135,", Flooring",IF(C144&gt;0,", Flooring upto "&amp;C144&amp;" Floor",""))&amp;(IF(C145=I135,", Painting",IF(C145&gt;0,", Painting upto "&amp;C145&amp;" Floor",""))&amp;(IF(C146&gt;0,", Finishing upto "&amp;C146&amp;" Floor","")&amp;(IF(C140&gt;0.5," Completed",""))))))))))))))</f>
        <v>All work completed. Please provide OC.</v>
      </c>
      <c r="L134" s="25"/>
    </row>
    <row r="135" spans="1:12" ht="15" hidden="1" customHeight="1" x14ac:dyDescent="0.35">
      <c r="A135" s="34" t="s">
        <v>175</v>
      </c>
      <c r="B135" s="26">
        <v>0</v>
      </c>
      <c r="C135" s="26" t="s">
        <v>176</v>
      </c>
      <c r="D135" s="26">
        <v>1</v>
      </c>
      <c r="E135" s="105" t="s">
        <v>177</v>
      </c>
      <c r="F135" s="105"/>
      <c r="G135" s="26">
        <v>0</v>
      </c>
      <c r="H135" s="26" t="s">
        <v>178</v>
      </c>
      <c r="I135" s="105">
        <v>1</v>
      </c>
      <c r="J135" s="114"/>
      <c r="K135" s="27"/>
      <c r="L135" s="28"/>
    </row>
    <row r="136" spans="1:12" hidden="1" x14ac:dyDescent="0.35">
      <c r="A136" s="115" t="s">
        <v>179</v>
      </c>
      <c r="B136" s="116"/>
      <c r="C136" s="117" t="str">
        <f>K134</f>
        <v>All work completed. Please provide OC.</v>
      </c>
      <c r="D136" s="117"/>
      <c r="E136" s="117"/>
      <c r="F136" s="117"/>
      <c r="G136" s="117"/>
      <c r="H136" s="117"/>
      <c r="I136" s="117"/>
      <c r="J136" s="118"/>
      <c r="K136" s="27" t="s">
        <v>180</v>
      </c>
      <c r="L136" s="28"/>
    </row>
    <row r="137" spans="1:12" ht="15" hidden="1" customHeight="1" x14ac:dyDescent="0.35">
      <c r="A137" s="62" t="s">
        <v>26</v>
      </c>
      <c r="B137" s="63"/>
      <c r="C137" s="45" t="s">
        <v>181</v>
      </c>
      <c r="D137" s="63" t="s">
        <v>182</v>
      </c>
      <c r="E137" s="63"/>
      <c r="F137" s="63" t="s">
        <v>183</v>
      </c>
      <c r="G137" s="63"/>
      <c r="H137" s="63" t="s">
        <v>184</v>
      </c>
      <c r="I137" s="63"/>
      <c r="J137" s="119"/>
      <c r="K137" s="46" t="s">
        <v>185</v>
      </c>
      <c r="L137" s="47">
        <f>I135*25%</f>
        <v>0.25</v>
      </c>
    </row>
    <row r="138" spans="1:12" ht="15" hidden="1" customHeight="1" x14ac:dyDescent="0.35">
      <c r="A138" s="62" t="s">
        <v>186</v>
      </c>
      <c r="B138" s="63"/>
      <c r="C138" s="48">
        <f>L139</f>
        <v>1</v>
      </c>
      <c r="D138" s="64">
        <f>((100/I135)*C138)/100</f>
        <v>1</v>
      </c>
      <c r="E138" s="64"/>
      <c r="F138" s="64">
        <f>(((C139/I135*10)+(40/(D135+G135+I135)*C140)+(7.5/(I135)*C141)+(7.5/(I135)*C142)+(10/I135*C143)+(10/I135*C144)+(5/I135*C145)+(5/I135*C146)+(5/I135*C147))/100)</f>
        <v>1</v>
      </c>
      <c r="G138" s="64"/>
      <c r="H138" s="64">
        <f>((((C138/I135)*20)+((C139/I135)*25)+(30/(I135+G135+D135)*C140)+(5/I135*C141)+(5/I135*C142)+(5/I135*C143)+(5/I135*C144)+(0/I135*C145)+(0/I135*C146)+(5/I135*C147))/100)</f>
        <v>1</v>
      </c>
      <c r="I138" s="64"/>
      <c r="J138" s="102"/>
      <c r="K138" s="46" t="s">
        <v>187</v>
      </c>
      <c r="L138" s="49">
        <f>I135*50%</f>
        <v>0.5</v>
      </c>
    </row>
    <row r="139" spans="1:12" ht="15" hidden="1" customHeight="1" x14ac:dyDescent="0.35">
      <c r="A139" s="62" t="s">
        <v>27</v>
      </c>
      <c r="B139" s="63"/>
      <c r="C139" s="50">
        <f>L147</f>
        <v>1</v>
      </c>
      <c r="D139" s="64">
        <f>((100/I135)*C139)/100</f>
        <v>1</v>
      </c>
      <c r="E139" s="64"/>
      <c r="F139" s="64"/>
      <c r="G139" s="64"/>
      <c r="H139" s="64"/>
      <c r="I139" s="64"/>
      <c r="J139" s="102"/>
      <c r="K139" s="46" t="s">
        <v>188</v>
      </c>
      <c r="L139" s="49">
        <f>I135</f>
        <v>1</v>
      </c>
    </row>
    <row r="140" spans="1:12" ht="15" hidden="1" customHeight="1" x14ac:dyDescent="0.35">
      <c r="A140" s="104" t="s">
        <v>189</v>
      </c>
      <c r="B140" s="105"/>
      <c r="C140" s="50">
        <v>2</v>
      </c>
      <c r="D140" s="64">
        <f>((100/(D135+G135+I135))*C140)/100</f>
        <v>1</v>
      </c>
      <c r="E140" s="64"/>
      <c r="F140" s="64"/>
      <c r="G140" s="64"/>
      <c r="H140" s="64"/>
      <c r="I140" s="64"/>
      <c r="J140" s="102"/>
      <c r="K140" s="46" t="s">
        <v>190</v>
      </c>
      <c r="L140" s="51">
        <f>(IF(B135&gt;1,(I135/(B135+2)),I135/4))</f>
        <v>0.25</v>
      </c>
    </row>
    <row r="141" spans="1:12" ht="15" hidden="1" customHeight="1" x14ac:dyDescent="0.35">
      <c r="A141" s="62" t="s">
        <v>191</v>
      </c>
      <c r="B141" s="63" t="s">
        <v>192</v>
      </c>
      <c r="C141" s="48">
        <v>1</v>
      </c>
      <c r="D141" s="64">
        <f>((100/I135)*C141)/100</f>
        <v>1</v>
      </c>
      <c r="E141" s="64"/>
      <c r="F141" s="64"/>
      <c r="G141" s="64"/>
      <c r="H141" s="64"/>
      <c r="I141" s="64"/>
      <c r="J141" s="102"/>
      <c r="K141" s="46" t="s">
        <v>193</v>
      </c>
      <c r="L141" s="51">
        <f>(IF(B135&gt;1,(I135/(B135+2)+L140),I135/4+L140))</f>
        <v>0.5</v>
      </c>
    </row>
    <row r="142" spans="1:12" ht="15" hidden="1" customHeight="1" x14ac:dyDescent="0.35">
      <c r="A142" s="62" t="s">
        <v>194</v>
      </c>
      <c r="B142" s="63" t="s">
        <v>192</v>
      </c>
      <c r="C142" s="48">
        <v>1</v>
      </c>
      <c r="D142" s="64">
        <f>((100/I135)*C142)/100</f>
        <v>1</v>
      </c>
      <c r="E142" s="64"/>
      <c r="F142" s="64"/>
      <c r="G142" s="64"/>
      <c r="H142" s="64"/>
      <c r="I142" s="64"/>
      <c r="J142" s="102"/>
      <c r="K142" s="46" t="s">
        <v>195</v>
      </c>
      <c r="L142" s="51">
        <f>(IF(B135&gt;1,(I135/(B135+2)+L141),0))</f>
        <v>0</v>
      </c>
    </row>
    <row r="143" spans="1:12" ht="15" hidden="1" customHeight="1" x14ac:dyDescent="0.35">
      <c r="A143" s="62" t="s">
        <v>196</v>
      </c>
      <c r="B143" s="63" t="s">
        <v>197</v>
      </c>
      <c r="C143" s="48">
        <v>1</v>
      </c>
      <c r="D143" s="64">
        <f>((100/(I135))*C143)/100</f>
        <v>1</v>
      </c>
      <c r="E143" s="64"/>
      <c r="F143" s="64"/>
      <c r="G143" s="64"/>
      <c r="H143" s="64"/>
      <c r="I143" s="64"/>
      <c r="J143" s="102"/>
      <c r="K143" s="46" t="s">
        <v>198</v>
      </c>
      <c r="L143" s="51">
        <f>(IF(B135&gt;2,(I135/(B135+2)+L142),0))</f>
        <v>0</v>
      </c>
    </row>
    <row r="144" spans="1:12" ht="15" hidden="1" customHeight="1" x14ac:dyDescent="0.35">
      <c r="A144" s="62" t="s">
        <v>199</v>
      </c>
      <c r="B144" s="63" t="s">
        <v>199</v>
      </c>
      <c r="C144" s="48">
        <v>1</v>
      </c>
      <c r="D144" s="64">
        <f>((100/I135)*C144)/100</f>
        <v>1</v>
      </c>
      <c r="E144" s="64"/>
      <c r="F144" s="64"/>
      <c r="G144" s="64"/>
      <c r="H144" s="64"/>
      <c r="I144" s="64"/>
      <c r="J144" s="102"/>
      <c r="K144" s="46" t="s">
        <v>200</v>
      </c>
      <c r="L144" s="52">
        <f>(IF(B135&gt;3,(I135/(B135+2)+L143),0))</f>
        <v>0</v>
      </c>
    </row>
    <row r="145" spans="1:12" ht="15" hidden="1" customHeight="1" x14ac:dyDescent="0.35">
      <c r="A145" s="62" t="s">
        <v>201</v>
      </c>
      <c r="B145" s="63"/>
      <c r="C145" s="48">
        <v>1</v>
      </c>
      <c r="D145" s="64">
        <f>((100/I135)*C145)/100</f>
        <v>1</v>
      </c>
      <c r="E145" s="64"/>
      <c r="F145" s="64"/>
      <c r="G145" s="64"/>
      <c r="H145" s="64"/>
      <c r="I145" s="64"/>
      <c r="J145" s="102"/>
      <c r="K145" s="46" t="s">
        <v>202</v>
      </c>
      <c r="L145" s="51">
        <f>(IF(B135&gt;4,(I135/(B135+2)+L144),0))</f>
        <v>0</v>
      </c>
    </row>
    <row r="146" spans="1:12" ht="15" hidden="1" customHeight="1" x14ac:dyDescent="0.35">
      <c r="A146" s="62" t="s">
        <v>203</v>
      </c>
      <c r="B146" s="63" t="s">
        <v>203</v>
      </c>
      <c r="C146" s="48">
        <v>1</v>
      </c>
      <c r="D146" s="64">
        <f>((100/(I135))*C146)/100</f>
        <v>1</v>
      </c>
      <c r="E146" s="64"/>
      <c r="F146" s="64"/>
      <c r="G146" s="64"/>
      <c r="H146" s="64"/>
      <c r="I146" s="64"/>
      <c r="J146" s="102"/>
      <c r="K146" s="46" t="s">
        <v>204</v>
      </c>
      <c r="L146" s="51">
        <f>(IF(B135=1,(I135/(B135+3)+L141),IF(B135=0,(I135/4+L141),IF(B135&gt;1,0))))</f>
        <v>0.75</v>
      </c>
    </row>
    <row r="147" spans="1:12" ht="15" hidden="1" customHeight="1" thickBot="1" x14ac:dyDescent="0.4">
      <c r="A147" s="68" t="s">
        <v>205</v>
      </c>
      <c r="B147" s="69"/>
      <c r="C147" s="53">
        <v>1</v>
      </c>
      <c r="D147" s="70">
        <f>((100/(I135))*C147)/100</f>
        <v>1</v>
      </c>
      <c r="E147" s="70"/>
      <c r="F147" s="70"/>
      <c r="G147" s="70"/>
      <c r="H147" s="70"/>
      <c r="I147" s="70"/>
      <c r="J147" s="103"/>
      <c r="K147" s="54" t="s">
        <v>206</v>
      </c>
      <c r="L147" s="55">
        <f>(IF(B135&gt;1.5,(I135/(B135+2)+L141+MAX(0,L142-L141)+MAX(0,L143-L142)+MAX(0,L144-L143)+MAX(0,L145-L144)+MAX(0,L146-L145)),IF(B135=1,(I135/(B135+3)+L146),IF(B135=0,I135/4+L146))))</f>
        <v>1</v>
      </c>
    </row>
    <row r="148" spans="1:12" hidden="1" x14ac:dyDescent="0.35">
      <c r="A148" s="110" t="s">
        <v>174</v>
      </c>
      <c r="B148" s="111"/>
      <c r="C148" s="112" t="s">
        <v>331</v>
      </c>
      <c r="D148" s="112"/>
      <c r="E148" s="112"/>
      <c r="F148" s="112"/>
      <c r="G148" s="112"/>
      <c r="H148" s="112"/>
      <c r="I148" s="112"/>
      <c r="J148" s="113"/>
      <c r="K148" s="24" t="str">
        <f>(IF(F152&gt;99%,"All work completed. Please provide OC.",IF(F152&gt;89.8%,"Plinth, RCC, Brick, Plaster, Flooring, Painting work Completed. Finishing work is in process.",IF(F152&lt;94%,(IF(C152=0,"Work not yet Started.",IF(D152=25%,"Piling work in process",IF(D152=50%,"Excavation work in process",IF(D152=100%,"Excavation work Completed. ","0")))&amp;(IF(C153=0%,"",IF(C153=L154,"Footing work is process",IF(C153=L155,"Footing work Completed",IF(C153=L156,"1st Basement Completed",IF(C153=L157,"1st &amp; 2nd Basement Completed",IF(C153=L158,"1st to 3rd Basement Completed",IF(C153=L159,"1st to 4th Basement Completed",IF(C153=L160,"Plinth work is process",IF(C153=L161,"Plinth work completed","0")))))))))))&amp;(IF(C154=(D149+G149+I149),", RCC Slab",IF(C154&gt;0,", RCC upto "&amp;C154&amp;" Slab",""))&amp;(IF(C155=I149,", Brickwork",IF(C155&gt;0,", Brickwork upto "&amp;C155&amp;" Floor",""))&amp;(IF(C156=I149,", Internal Plaster",IF(C156&gt;0,", Internal Plaster upto "&amp;C156&amp;" Floor",""))&amp;(IF(C157=I149,", External Plaster",IF(C157&gt;0,", External Plaster upto "&amp;C157&amp;" Floor",""))&amp;(IF(C158=I149,", Flooring",IF(C158&gt;0,", Flooring upto "&amp;C158&amp;" Floor",""))&amp;(IF(C159=I149,", Painting",IF(C159&gt;0,", Painting upto "&amp;C159&amp;" Floor",""))&amp;(IF(C160&gt;0,", Finishing upto "&amp;C160&amp;" Floor","")&amp;(IF(C154&gt;0.5," Completed",""))))))))))))))</f>
        <v>All work completed. Please provide OC.</v>
      </c>
      <c r="L148" s="25"/>
    </row>
    <row r="149" spans="1:12" ht="15" hidden="1" customHeight="1" x14ac:dyDescent="0.35">
      <c r="A149" s="34" t="s">
        <v>175</v>
      </c>
      <c r="B149" s="26">
        <v>0</v>
      </c>
      <c r="C149" s="26" t="s">
        <v>176</v>
      </c>
      <c r="D149" s="26">
        <v>1</v>
      </c>
      <c r="E149" s="105" t="s">
        <v>177</v>
      </c>
      <c r="F149" s="105"/>
      <c r="G149" s="26">
        <v>0</v>
      </c>
      <c r="H149" s="26" t="s">
        <v>178</v>
      </c>
      <c r="I149" s="105">
        <v>1</v>
      </c>
      <c r="J149" s="114"/>
      <c r="K149" s="27"/>
      <c r="L149" s="28"/>
    </row>
    <row r="150" spans="1:12" hidden="1" x14ac:dyDescent="0.35">
      <c r="A150" s="115" t="s">
        <v>179</v>
      </c>
      <c r="B150" s="116"/>
      <c r="C150" s="117" t="str">
        <f>K148</f>
        <v>All work completed. Please provide OC.</v>
      </c>
      <c r="D150" s="117"/>
      <c r="E150" s="117"/>
      <c r="F150" s="117"/>
      <c r="G150" s="117"/>
      <c r="H150" s="117"/>
      <c r="I150" s="117"/>
      <c r="J150" s="118"/>
      <c r="K150" s="27" t="s">
        <v>180</v>
      </c>
      <c r="L150" s="28"/>
    </row>
    <row r="151" spans="1:12" ht="15" hidden="1" customHeight="1" x14ac:dyDescent="0.35">
      <c r="A151" s="62" t="s">
        <v>26</v>
      </c>
      <c r="B151" s="63"/>
      <c r="C151" s="45" t="s">
        <v>181</v>
      </c>
      <c r="D151" s="63" t="s">
        <v>182</v>
      </c>
      <c r="E151" s="63"/>
      <c r="F151" s="63" t="s">
        <v>183</v>
      </c>
      <c r="G151" s="63"/>
      <c r="H151" s="63" t="s">
        <v>184</v>
      </c>
      <c r="I151" s="63"/>
      <c r="J151" s="119"/>
      <c r="K151" s="46" t="s">
        <v>185</v>
      </c>
      <c r="L151" s="47">
        <f>I149*25%</f>
        <v>0.25</v>
      </c>
    </row>
    <row r="152" spans="1:12" ht="15" hidden="1" customHeight="1" x14ac:dyDescent="0.35">
      <c r="A152" s="62" t="s">
        <v>186</v>
      </c>
      <c r="B152" s="63"/>
      <c r="C152" s="48">
        <f>L153</f>
        <v>1</v>
      </c>
      <c r="D152" s="64">
        <f>((100/I149)*C152)/100</f>
        <v>1</v>
      </c>
      <c r="E152" s="64"/>
      <c r="F152" s="64">
        <f>(((C153/I149*10)+(40/(D149+G149+I149)*C154)+(7.5/(I149)*C155)+(7.5/(I149)*C156)+(10/I149*C157)+(10/I149*C158)+(5/I149*C159)+(5/I149*C160)+(5/I149*C161))/100)</f>
        <v>1</v>
      </c>
      <c r="G152" s="64"/>
      <c r="H152" s="64">
        <f>((((C152/I149)*20)+((C153/I149)*25)+(30/(I149+G149+D149)*C154)+(5/I149*C155)+(5/I149*C156)+(5/I149*C157)+(5/I149*C158)+(0/I149*C159)+(0/I149*C160)+(5/I149*C161))/100)</f>
        <v>1</v>
      </c>
      <c r="I152" s="64"/>
      <c r="J152" s="102"/>
      <c r="K152" s="46" t="s">
        <v>187</v>
      </c>
      <c r="L152" s="49">
        <f>I149*50%</f>
        <v>0.5</v>
      </c>
    </row>
    <row r="153" spans="1:12" ht="15" hidden="1" customHeight="1" x14ac:dyDescent="0.35">
      <c r="A153" s="62" t="s">
        <v>27</v>
      </c>
      <c r="B153" s="63"/>
      <c r="C153" s="50">
        <f>L161</f>
        <v>1</v>
      </c>
      <c r="D153" s="64">
        <f>((100/I149)*C153)/100</f>
        <v>1</v>
      </c>
      <c r="E153" s="64"/>
      <c r="F153" s="64"/>
      <c r="G153" s="64"/>
      <c r="H153" s="64"/>
      <c r="I153" s="64"/>
      <c r="J153" s="102"/>
      <c r="K153" s="46" t="s">
        <v>188</v>
      </c>
      <c r="L153" s="49">
        <f>I149</f>
        <v>1</v>
      </c>
    </row>
    <row r="154" spans="1:12" ht="15" hidden="1" customHeight="1" x14ac:dyDescent="0.35">
      <c r="A154" s="104" t="s">
        <v>189</v>
      </c>
      <c r="B154" s="105"/>
      <c r="C154" s="50">
        <v>2</v>
      </c>
      <c r="D154" s="64">
        <f>((100/(D149+G149+I149))*C154)/100</f>
        <v>1</v>
      </c>
      <c r="E154" s="64"/>
      <c r="F154" s="64"/>
      <c r="G154" s="64"/>
      <c r="H154" s="64"/>
      <c r="I154" s="64"/>
      <c r="J154" s="102"/>
      <c r="K154" s="46" t="s">
        <v>190</v>
      </c>
      <c r="L154" s="51">
        <f>(IF(B149&gt;1,(I149/(B149+2)),I149/4))</f>
        <v>0.25</v>
      </c>
    </row>
    <row r="155" spans="1:12" ht="15" hidden="1" customHeight="1" x14ac:dyDescent="0.35">
      <c r="A155" s="62" t="s">
        <v>191</v>
      </c>
      <c r="B155" s="63" t="s">
        <v>192</v>
      </c>
      <c r="C155" s="48">
        <v>1</v>
      </c>
      <c r="D155" s="64">
        <f>((100/I149)*C155)/100</f>
        <v>1</v>
      </c>
      <c r="E155" s="64"/>
      <c r="F155" s="64"/>
      <c r="G155" s="64"/>
      <c r="H155" s="64"/>
      <c r="I155" s="64"/>
      <c r="J155" s="102"/>
      <c r="K155" s="46" t="s">
        <v>193</v>
      </c>
      <c r="L155" s="51">
        <f>(IF(B149&gt;1,(I149/(B149+2)+L154),I149/4+L154))</f>
        <v>0.5</v>
      </c>
    </row>
    <row r="156" spans="1:12" ht="15" hidden="1" customHeight="1" x14ac:dyDescent="0.35">
      <c r="A156" s="62" t="s">
        <v>194</v>
      </c>
      <c r="B156" s="63" t="s">
        <v>192</v>
      </c>
      <c r="C156" s="48">
        <v>1</v>
      </c>
      <c r="D156" s="64">
        <f>((100/I149)*C156)/100</f>
        <v>1</v>
      </c>
      <c r="E156" s="64"/>
      <c r="F156" s="64"/>
      <c r="G156" s="64"/>
      <c r="H156" s="64"/>
      <c r="I156" s="64"/>
      <c r="J156" s="102"/>
      <c r="K156" s="46" t="s">
        <v>195</v>
      </c>
      <c r="L156" s="51">
        <f>(IF(B149&gt;1,(I149/(B149+2)+L155),0))</f>
        <v>0</v>
      </c>
    </row>
    <row r="157" spans="1:12" ht="15" hidden="1" customHeight="1" x14ac:dyDescent="0.35">
      <c r="A157" s="62" t="s">
        <v>196</v>
      </c>
      <c r="B157" s="63" t="s">
        <v>197</v>
      </c>
      <c r="C157" s="48">
        <v>1</v>
      </c>
      <c r="D157" s="64">
        <f>((100/(I149))*C157)/100</f>
        <v>1</v>
      </c>
      <c r="E157" s="64"/>
      <c r="F157" s="64"/>
      <c r="G157" s="64"/>
      <c r="H157" s="64"/>
      <c r="I157" s="64"/>
      <c r="J157" s="102"/>
      <c r="K157" s="46" t="s">
        <v>198</v>
      </c>
      <c r="L157" s="51">
        <f>(IF(B149&gt;2,(I149/(B149+2)+L156),0))</f>
        <v>0</v>
      </c>
    </row>
    <row r="158" spans="1:12" ht="15" hidden="1" customHeight="1" x14ac:dyDescent="0.35">
      <c r="A158" s="62" t="s">
        <v>199</v>
      </c>
      <c r="B158" s="63" t="s">
        <v>199</v>
      </c>
      <c r="C158" s="48">
        <v>1</v>
      </c>
      <c r="D158" s="64">
        <f>((100/I149)*C158)/100</f>
        <v>1</v>
      </c>
      <c r="E158" s="64"/>
      <c r="F158" s="64"/>
      <c r="G158" s="64"/>
      <c r="H158" s="64"/>
      <c r="I158" s="64"/>
      <c r="J158" s="102"/>
      <c r="K158" s="46" t="s">
        <v>200</v>
      </c>
      <c r="L158" s="52">
        <f>(IF(B149&gt;3,(I149/(B149+2)+L157),0))</f>
        <v>0</v>
      </c>
    </row>
    <row r="159" spans="1:12" ht="15" hidden="1" customHeight="1" x14ac:dyDescent="0.35">
      <c r="A159" s="62" t="s">
        <v>201</v>
      </c>
      <c r="B159" s="63"/>
      <c r="C159" s="48">
        <v>1</v>
      </c>
      <c r="D159" s="64">
        <f>((100/I149)*C159)/100</f>
        <v>1</v>
      </c>
      <c r="E159" s="64"/>
      <c r="F159" s="64"/>
      <c r="G159" s="64"/>
      <c r="H159" s="64"/>
      <c r="I159" s="64"/>
      <c r="J159" s="102"/>
      <c r="K159" s="46" t="s">
        <v>202</v>
      </c>
      <c r="L159" s="51">
        <f>(IF(B149&gt;4,(I149/(B149+2)+L158),0))</f>
        <v>0</v>
      </c>
    </row>
    <row r="160" spans="1:12" ht="15" hidden="1" customHeight="1" x14ac:dyDescent="0.35">
      <c r="A160" s="62" t="s">
        <v>203</v>
      </c>
      <c r="B160" s="63" t="s">
        <v>203</v>
      </c>
      <c r="C160" s="48">
        <v>1</v>
      </c>
      <c r="D160" s="64">
        <f>((100/(I149))*C160)/100</f>
        <v>1</v>
      </c>
      <c r="E160" s="64"/>
      <c r="F160" s="64"/>
      <c r="G160" s="64"/>
      <c r="H160" s="64"/>
      <c r="I160" s="64"/>
      <c r="J160" s="102"/>
      <c r="K160" s="46" t="s">
        <v>204</v>
      </c>
      <c r="L160" s="51">
        <f>(IF(B149=1,(I149/(B149+3)+L155),IF(B149=0,(I149/4+L155),IF(B149&gt;1,0))))</f>
        <v>0.75</v>
      </c>
    </row>
    <row r="161" spans="1:12" ht="15" hidden="1" customHeight="1" thickBot="1" x14ac:dyDescent="0.4">
      <c r="A161" s="68" t="s">
        <v>205</v>
      </c>
      <c r="B161" s="69"/>
      <c r="C161" s="48">
        <v>1</v>
      </c>
      <c r="D161" s="70">
        <f>((100/(I149))*C161)/100</f>
        <v>1</v>
      </c>
      <c r="E161" s="70"/>
      <c r="F161" s="70"/>
      <c r="G161" s="70"/>
      <c r="H161" s="70"/>
      <c r="I161" s="70"/>
      <c r="J161" s="103"/>
      <c r="K161" s="54" t="s">
        <v>206</v>
      </c>
      <c r="L161" s="55">
        <f>(IF(B149&gt;1.5,(I149/(B149+2)+L155+MAX(0,L156-L155)+MAX(0,L157-L156)+MAX(0,L158-L157)+MAX(0,L159-L158)+MAX(0,L160-L159)),IF(B149=1,(I149/(B149+3)+L160),IF(B149=0,I149/4+L160))))</f>
        <v>1</v>
      </c>
    </row>
    <row r="162" spans="1:12" hidden="1" x14ac:dyDescent="0.35">
      <c r="A162" s="110" t="s">
        <v>174</v>
      </c>
      <c r="B162" s="111"/>
      <c r="C162" s="112" t="s">
        <v>327</v>
      </c>
      <c r="D162" s="112"/>
      <c r="E162" s="112"/>
      <c r="F162" s="112"/>
      <c r="G162" s="112"/>
      <c r="H162" s="112"/>
      <c r="I162" s="112"/>
      <c r="J162" s="113"/>
      <c r="K162" s="24" t="str">
        <f>(IF(F166&gt;99%,"All work completed. Please provide OC.",IF(F166&gt;89.8%,"Plinth, RCC, Brick, Plaster, Flooring, Painting work Completed. Finishing work is in process.",IF(F166&lt;94%,(IF(C166=0,"Work not yet Started.",IF(D166=25%,"Piling work in process",IF(D166=50%,"Excavation work in process",IF(D166=100%,"Excavation work Completed. ","0")))&amp;(IF(C167=0%,"",IF(C167=L168,"Footing work is process",IF(C167=L169,"Footing work Completed",IF(C167=L170,"1st Basement Completed",IF(C167=L171,"1st &amp; 2nd Basement Completed",IF(C167=L172,"1st to 3rd Basement Completed",IF(C167=L173,"1st to 4th Basement Completed",IF(C167=L174,"Plinth work is process",IF(C167=L175,"Plinth work completed","0")))))))))))&amp;(IF(C168=(D163+G163+I163),", RCC Slab",IF(C168&gt;0,", RCC upto "&amp;C168&amp;" Slab",""))&amp;(IF(C169=I163,", Brickwork",IF(C169&gt;0,", Brickwork upto "&amp;C169&amp;" Floor",""))&amp;(IF(C170=I163,", Internal Plaster",IF(C170&gt;0,", Internal Plaster upto "&amp;C170&amp;" Floor",""))&amp;(IF(C171=I163,", External Plaster",IF(C171&gt;0,", External Plaster upto "&amp;C171&amp;" Floor",""))&amp;(IF(C172=I163,", Flooring",IF(C172&gt;0,", Flooring upto "&amp;C172&amp;" Floor",""))&amp;(IF(C173=I163,", Painting",IF(C173&gt;0,", Painting upto "&amp;C173&amp;" Floor",""))&amp;(IF(C174&gt;0,", Finishing upto "&amp;C174&amp;" Floor","")&amp;(IF(C168&gt;0.5," Completed",""))))))))))))))</f>
        <v>All work completed. Please provide OC.</v>
      </c>
      <c r="L162" s="25"/>
    </row>
    <row r="163" spans="1:12" ht="15" hidden="1" customHeight="1" x14ac:dyDescent="0.35">
      <c r="A163" s="34" t="s">
        <v>175</v>
      </c>
      <c r="B163" s="26">
        <v>0</v>
      </c>
      <c r="C163" s="26" t="s">
        <v>176</v>
      </c>
      <c r="D163" s="26">
        <v>1</v>
      </c>
      <c r="E163" s="105" t="s">
        <v>177</v>
      </c>
      <c r="F163" s="105"/>
      <c r="G163" s="26">
        <v>0</v>
      </c>
      <c r="H163" s="26" t="s">
        <v>178</v>
      </c>
      <c r="I163" s="105">
        <v>1</v>
      </c>
      <c r="J163" s="114"/>
      <c r="K163" s="27"/>
      <c r="L163" s="28"/>
    </row>
    <row r="164" spans="1:12" hidden="1" x14ac:dyDescent="0.35">
      <c r="A164" s="115" t="s">
        <v>179</v>
      </c>
      <c r="B164" s="116"/>
      <c r="C164" s="117" t="str">
        <f>K162</f>
        <v>All work completed. Please provide OC.</v>
      </c>
      <c r="D164" s="117"/>
      <c r="E164" s="117"/>
      <c r="F164" s="117"/>
      <c r="G164" s="117"/>
      <c r="H164" s="117"/>
      <c r="I164" s="117"/>
      <c r="J164" s="118"/>
      <c r="K164" s="27" t="s">
        <v>180</v>
      </c>
      <c r="L164" s="28"/>
    </row>
    <row r="165" spans="1:12" ht="15" hidden="1" customHeight="1" x14ac:dyDescent="0.35">
      <c r="A165" s="62" t="s">
        <v>26</v>
      </c>
      <c r="B165" s="63"/>
      <c r="C165" s="45" t="s">
        <v>181</v>
      </c>
      <c r="D165" s="63" t="s">
        <v>182</v>
      </c>
      <c r="E165" s="63"/>
      <c r="F165" s="63" t="s">
        <v>183</v>
      </c>
      <c r="G165" s="63"/>
      <c r="H165" s="63" t="s">
        <v>184</v>
      </c>
      <c r="I165" s="63"/>
      <c r="J165" s="119"/>
      <c r="K165" s="46" t="s">
        <v>185</v>
      </c>
      <c r="L165" s="47">
        <f>I163*25%</f>
        <v>0.25</v>
      </c>
    </row>
    <row r="166" spans="1:12" ht="15" hidden="1" customHeight="1" x14ac:dyDescent="0.35">
      <c r="A166" s="62" t="s">
        <v>186</v>
      </c>
      <c r="B166" s="63"/>
      <c r="C166" s="48">
        <f>L167</f>
        <v>1</v>
      </c>
      <c r="D166" s="64">
        <f>((100/I163)*C166)/100</f>
        <v>1</v>
      </c>
      <c r="E166" s="64"/>
      <c r="F166" s="64">
        <f>(((C167/I163*10)+(40/(D163+G163+I163)*C168)+(7.5/(I163)*C169)+(7.5/(I163)*C170)+(10/I163*C171)+(10/I163*C172)+(5/I163*C173)+(5/I163*C174)+(5/I163*C175))/100)</f>
        <v>1</v>
      </c>
      <c r="G166" s="64"/>
      <c r="H166" s="64">
        <f>((((C166/I163)*20)+((C167/I163)*25)+(30/(I163+G163+D163)*C168)+(5/I163*C169)+(5/I163*C170)+(5/I163*C171)+(5/I163*C172)+(0/I163*C173)+(0/I163*C174)+(5/I163*C175))/100)</f>
        <v>1</v>
      </c>
      <c r="I166" s="64"/>
      <c r="J166" s="102"/>
      <c r="K166" s="46" t="s">
        <v>187</v>
      </c>
      <c r="L166" s="49">
        <f>I163*50%</f>
        <v>0.5</v>
      </c>
    </row>
    <row r="167" spans="1:12" ht="15" hidden="1" customHeight="1" x14ac:dyDescent="0.35">
      <c r="A167" s="62" t="s">
        <v>27</v>
      </c>
      <c r="B167" s="63"/>
      <c r="C167" s="50">
        <f>L175</f>
        <v>1</v>
      </c>
      <c r="D167" s="64">
        <f>((100/I163)*C167)/100</f>
        <v>1</v>
      </c>
      <c r="E167" s="64"/>
      <c r="F167" s="64"/>
      <c r="G167" s="64"/>
      <c r="H167" s="64"/>
      <c r="I167" s="64"/>
      <c r="J167" s="102"/>
      <c r="K167" s="46" t="s">
        <v>188</v>
      </c>
      <c r="L167" s="49">
        <f>I163</f>
        <v>1</v>
      </c>
    </row>
    <row r="168" spans="1:12" ht="15" hidden="1" customHeight="1" x14ac:dyDescent="0.35">
      <c r="A168" s="104" t="s">
        <v>189</v>
      </c>
      <c r="B168" s="105"/>
      <c r="C168" s="50">
        <v>2</v>
      </c>
      <c r="D168" s="64">
        <f>((100/(D163+G163+I163))*C168)/100</f>
        <v>1</v>
      </c>
      <c r="E168" s="64"/>
      <c r="F168" s="64"/>
      <c r="G168" s="64"/>
      <c r="H168" s="64"/>
      <c r="I168" s="64"/>
      <c r="J168" s="102"/>
      <c r="K168" s="46" t="s">
        <v>190</v>
      </c>
      <c r="L168" s="51">
        <f>(IF(B163&gt;1,(I163/(B163+2)),I163/4))</f>
        <v>0.25</v>
      </c>
    </row>
    <row r="169" spans="1:12" ht="15" hidden="1" customHeight="1" x14ac:dyDescent="0.35">
      <c r="A169" s="62" t="s">
        <v>191</v>
      </c>
      <c r="B169" s="63" t="s">
        <v>192</v>
      </c>
      <c r="C169" s="48">
        <v>1</v>
      </c>
      <c r="D169" s="64">
        <f>((100/I163)*C169)/100</f>
        <v>1</v>
      </c>
      <c r="E169" s="64"/>
      <c r="F169" s="64"/>
      <c r="G169" s="64"/>
      <c r="H169" s="64"/>
      <c r="I169" s="64"/>
      <c r="J169" s="102"/>
      <c r="K169" s="46" t="s">
        <v>193</v>
      </c>
      <c r="L169" s="51">
        <f>(IF(B163&gt;1,(I163/(B163+2)+L168),I163/4+L168))</f>
        <v>0.5</v>
      </c>
    </row>
    <row r="170" spans="1:12" ht="15" hidden="1" customHeight="1" x14ac:dyDescent="0.35">
      <c r="A170" s="62" t="s">
        <v>194</v>
      </c>
      <c r="B170" s="63" t="s">
        <v>192</v>
      </c>
      <c r="C170" s="48">
        <v>1</v>
      </c>
      <c r="D170" s="64">
        <f>((100/I163)*C170)/100</f>
        <v>1</v>
      </c>
      <c r="E170" s="64"/>
      <c r="F170" s="64"/>
      <c r="G170" s="64"/>
      <c r="H170" s="64"/>
      <c r="I170" s="64"/>
      <c r="J170" s="102"/>
      <c r="K170" s="46" t="s">
        <v>195</v>
      </c>
      <c r="L170" s="51">
        <f>(IF(B163&gt;1,(I163/(B163+2)+L169),0))</f>
        <v>0</v>
      </c>
    </row>
    <row r="171" spans="1:12" ht="15" hidden="1" customHeight="1" x14ac:dyDescent="0.35">
      <c r="A171" s="62" t="s">
        <v>196</v>
      </c>
      <c r="B171" s="63" t="s">
        <v>197</v>
      </c>
      <c r="C171" s="48">
        <v>1</v>
      </c>
      <c r="D171" s="64">
        <f>((100/(I163))*C171)/100</f>
        <v>1</v>
      </c>
      <c r="E171" s="64"/>
      <c r="F171" s="64"/>
      <c r="G171" s="64"/>
      <c r="H171" s="64"/>
      <c r="I171" s="64"/>
      <c r="J171" s="102"/>
      <c r="K171" s="46" t="s">
        <v>198</v>
      </c>
      <c r="L171" s="51">
        <f>(IF(B163&gt;2,(I163/(B163+2)+L170),0))</f>
        <v>0</v>
      </c>
    </row>
    <row r="172" spans="1:12" ht="15" hidden="1" customHeight="1" x14ac:dyDescent="0.35">
      <c r="A172" s="62" t="s">
        <v>199</v>
      </c>
      <c r="B172" s="63" t="s">
        <v>199</v>
      </c>
      <c r="C172" s="48">
        <v>1</v>
      </c>
      <c r="D172" s="64">
        <f>((100/I163)*C172)/100</f>
        <v>1</v>
      </c>
      <c r="E172" s="64"/>
      <c r="F172" s="64"/>
      <c r="G172" s="64"/>
      <c r="H172" s="64"/>
      <c r="I172" s="64"/>
      <c r="J172" s="102"/>
      <c r="K172" s="46" t="s">
        <v>200</v>
      </c>
      <c r="L172" s="52">
        <f>(IF(B163&gt;3,(I163/(B163+2)+L171),0))</f>
        <v>0</v>
      </c>
    </row>
    <row r="173" spans="1:12" ht="15" hidden="1" customHeight="1" x14ac:dyDescent="0.35">
      <c r="A173" s="62" t="s">
        <v>201</v>
      </c>
      <c r="B173" s="63"/>
      <c r="C173" s="48">
        <v>1</v>
      </c>
      <c r="D173" s="64">
        <f>((100/I163)*C173)/100</f>
        <v>1</v>
      </c>
      <c r="E173" s="64"/>
      <c r="F173" s="64"/>
      <c r="G173" s="64"/>
      <c r="H173" s="64"/>
      <c r="I173" s="64"/>
      <c r="J173" s="102"/>
      <c r="K173" s="46" t="s">
        <v>202</v>
      </c>
      <c r="L173" s="51">
        <f>(IF(B163&gt;4,(I163/(B163+2)+L172),0))</f>
        <v>0</v>
      </c>
    </row>
    <row r="174" spans="1:12" ht="15" hidden="1" customHeight="1" x14ac:dyDescent="0.35">
      <c r="A174" s="62" t="s">
        <v>203</v>
      </c>
      <c r="B174" s="63" t="s">
        <v>203</v>
      </c>
      <c r="C174" s="48">
        <v>1</v>
      </c>
      <c r="D174" s="64">
        <f>((100/(I163))*C174)/100</f>
        <v>1</v>
      </c>
      <c r="E174" s="64"/>
      <c r="F174" s="64"/>
      <c r="G174" s="64"/>
      <c r="H174" s="64"/>
      <c r="I174" s="64"/>
      <c r="J174" s="102"/>
      <c r="K174" s="46" t="s">
        <v>204</v>
      </c>
      <c r="L174" s="51">
        <f>(IF(B163=1,(I163/(B163+3)+L169),IF(B163=0,(I163/4+L169),IF(B163&gt;1,0))))</f>
        <v>0.75</v>
      </c>
    </row>
    <row r="175" spans="1:12" ht="15" hidden="1" customHeight="1" thickBot="1" x14ac:dyDescent="0.4">
      <c r="A175" s="68" t="s">
        <v>205</v>
      </c>
      <c r="B175" s="69"/>
      <c r="C175" s="53">
        <v>1</v>
      </c>
      <c r="D175" s="70">
        <f>((100/(I163))*C175)/100</f>
        <v>1</v>
      </c>
      <c r="E175" s="70"/>
      <c r="F175" s="70"/>
      <c r="G175" s="70"/>
      <c r="H175" s="70"/>
      <c r="I175" s="70"/>
      <c r="J175" s="103"/>
      <c r="K175" s="54" t="s">
        <v>206</v>
      </c>
      <c r="L175" s="55">
        <f>(IF(B163&gt;1.5,(I163/(B163+2)+L169+MAX(0,L170-L169)+MAX(0,L171-L170)+MAX(0,L172-L171)+MAX(0,L173-L172)+MAX(0,L174-L173)),IF(B163=1,(I163/(B163+3)+L174),IF(B163=0,I163/4+L174))))</f>
        <v>1</v>
      </c>
    </row>
    <row r="176" spans="1:12" hidden="1" x14ac:dyDescent="0.35">
      <c r="A176" s="110" t="s">
        <v>174</v>
      </c>
      <c r="B176" s="111"/>
      <c r="C176" s="112" t="s">
        <v>292</v>
      </c>
      <c r="D176" s="112"/>
      <c r="E176" s="112"/>
      <c r="F176" s="112"/>
      <c r="G176" s="112"/>
      <c r="H176" s="112"/>
      <c r="I176" s="112"/>
      <c r="J176" s="113"/>
      <c r="K176" s="24" t="str">
        <f>(IF(F180&gt;99%,"All work completed. Please provide OC.",IF(F180&gt;89.8%,"Plinth, RCC, Brick, Plaster, Flooring, Painting work Completed. Finishing work is in process.",IF(F180&lt;94%,(IF(C180=0,"Work not yet Started.",IF(D180=25%,"Piling work in process",IF(D180=50%,"Excavation work in process",IF(D180=100%,"Excavation work Completed. ","0")))&amp;(IF(C181=0%,"",IF(C181=L182,"Footing work is process",IF(C181=L183,"Footing work Completed",IF(C181=L184,"1st Basement Completed",IF(C181=L185,"1st &amp; 2nd Basement Completed",IF(C181=L186,"1st to 3rd Basement Completed",IF(C181=L187,"1st to 4th Basement Completed",IF(C181=L188,"Plinth work is process",IF(C181=L189,"Plinth work completed","0")))))))))))&amp;(IF(C182=(D177+G177+I177),", RCC Slab",IF(C182&gt;0,", RCC upto "&amp;C182&amp;" Slab",""))&amp;(IF(C183=I177,", Brickwork",IF(C183&gt;0,", Brickwork upto "&amp;C183&amp;" Floor",""))&amp;(IF(C184=I177,", Internal Plaster",IF(C184&gt;0,", Internal Plaster upto "&amp;C184&amp;" Floor",""))&amp;(IF(C185=I177,", External Plaster",IF(C185&gt;0,", External Plaster upto "&amp;C185&amp;" Floor",""))&amp;(IF(C186=I177,", Flooring",IF(C186&gt;0,", Flooring upto "&amp;C186&amp;" Floor",""))&amp;(IF(C187=I177,", Painting",IF(C187&gt;0,", Painting upto "&amp;C187&amp;" Floor",""))&amp;(IF(C188&gt;0,", Finishing upto "&amp;C188&amp;" Floor","")&amp;(IF(C182&gt;0.5," Completed",""))))))))))))))</f>
        <v>All work completed. Please provide OC.</v>
      </c>
      <c r="L176" s="25"/>
    </row>
    <row r="177" spans="1:12" ht="15" hidden="1" customHeight="1" x14ac:dyDescent="0.35">
      <c r="A177" s="34" t="s">
        <v>175</v>
      </c>
      <c r="B177" s="26">
        <v>0</v>
      </c>
      <c r="C177" s="26" t="s">
        <v>176</v>
      </c>
      <c r="D177" s="26">
        <v>1</v>
      </c>
      <c r="E177" s="105" t="s">
        <v>177</v>
      </c>
      <c r="F177" s="105"/>
      <c r="G177" s="26">
        <v>0</v>
      </c>
      <c r="H177" s="26" t="s">
        <v>178</v>
      </c>
      <c r="I177" s="105">
        <v>2</v>
      </c>
      <c r="J177" s="114"/>
      <c r="K177" s="27"/>
      <c r="L177" s="28"/>
    </row>
    <row r="178" spans="1:12" ht="17.25" hidden="1" customHeight="1" x14ac:dyDescent="0.35">
      <c r="A178" s="115" t="s">
        <v>179</v>
      </c>
      <c r="B178" s="116"/>
      <c r="C178" s="117" t="str">
        <f>K176</f>
        <v>All work completed. Please provide OC.</v>
      </c>
      <c r="D178" s="117"/>
      <c r="E178" s="117"/>
      <c r="F178" s="117"/>
      <c r="G178" s="117"/>
      <c r="H178" s="117"/>
      <c r="I178" s="117"/>
      <c r="J178" s="118"/>
      <c r="K178" s="27" t="s">
        <v>180</v>
      </c>
      <c r="L178" s="28"/>
    </row>
    <row r="179" spans="1:12" ht="15" hidden="1" customHeight="1" x14ac:dyDescent="0.35">
      <c r="A179" s="62" t="s">
        <v>26</v>
      </c>
      <c r="B179" s="63"/>
      <c r="C179" s="45" t="s">
        <v>181</v>
      </c>
      <c r="D179" s="63" t="s">
        <v>182</v>
      </c>
      <c r="E179" s="63"/>
      <c r="F179" s="63" t="s">
        <v>183</v>
      </c>
      <c r="G179" s="63"/>
      <c r="H179" s="63" t="s">
        <v>184</v>
      </c>
      <c r="I179" s="63"/>
      <c r="J179" s="119"/>
      <c r="K179" s="46" t="s">
        <v>185</v>
      </c>
      <c r="L179" s="47">
        <f>I177*25%</f>
        <v>0.5</v>
      </c>
    </row>
    <row r="180" spans="1:12" ht="15" hidden="1" customHeight="1" x14ac:dyDescent="0.35">
      <c r="A180" s="62" t="s">
        <v>186</v>
      </c>
      <c r="B180" s="63"/>
      <c r="C180" s="48">
        <f>L181</f>
        <v>2</v>
      </c>
      <c r="D180" s="64">
        <f>((100/I177)*C180)/100</f>
        <v>1</v>
      </c>
      <c r="E180" s="64"/>
      <c r="F180" s="64">
        <f>(((C181/I177*10)+(40/(D177+G177+I177)*C182)+(7.5/(I177)*C183)+(7.5/(I177)*C184)+(10/I177*C185)+(10/I177*C186)+(5/I177*C187)+(5/I177*C188)+(5/I177*C189))/100)</f>
        <v>1</v>
      </c>
      <c r="G180" s="64"/>
      <c r="H180" s="64">
        <f>((((C180/I177)*20)+((C181/I177)*25)+(30/(I177+G177+D177)*C182)+(5/I177*C183)+(5/I177*C184)+(5/I177*C185)+(5/I177*C186)+(0/I177*C187)+(0/I177*C188)+(5/I177*C189))/100)</f>
        <v>1</v>
      </c>
      <c r="I180" s="64"/>
      <c r="J180" s="102"/>
      <c r="K180" s="46" t="s">
        <v>187</v>
      </c>
      <c r="L180" s="49">
        <f>I177*50%</f>
        <v>1</v>
      </c>
    </row>
    <row r="181" spans="1:12" ht="15" hidden="1" customHeight="1" x14ac:dyDescent="0.35">
      <c r="A181" s="62" t="s">
        <v>27</v>
      </c>
      <c r="B181" s="63"/>
      <c r="C181" s="50">
        <f>L189</f>
        <v>2</v>
      </c>
      <c r="D181" s="64">
        <f>((100/I177)*C181)/100</f>
        <v>1</v>
      </c>
      <c r="E181" s="64"/>
      <c r="F181" s="64"/>
      <c r="G181" s="64"/>
      <c r="H181" s="64"/>
      <c r="I181" s="64"/>
      <c r="J181" s="102"/>
      <c r="K181" s="46" t="s">
        <v>188</v>
      </c>
      <c r="L181" s="49">
        <f>I177</f>
        <v>2</v>
      </c>
    </row>
    <row r="182" spans="1:12" ht="15" hidden="1" customHeight="1" x14ac:dyDescent="0.35">
      <c r="A182" s="104" t="s">
        <v>189</v>
      </c>
      <c r="B182" s="105"/>
      <c r="C182" s="50">
        <v>3</v>
      </c>
      <c r="D182" s="64">
        <f>((100/(D177+G177+I177))*C182)/100</f>
        <v>1</v>
      </c>
      <c r="E182" s="64"/>
      <c r="F182" s="64"/>
      <c r="G182" s="64"/>
      <c r="H182" s="64"/>
      <c r="I182" s="64"/>
      <c r="J182" s="102"/>
      <c r="K182" s="46" t="s">
        <v>190</v>
      </c>
      <c r="L182" s="51">
        <f>(IF(B177&gt;1,(I177/(B177+2)),I177/4))</f>
        <v>0.5</v>
      </c>
    </row>
    <row r="183" spans="1:12" ht="15" hidden="1" customHeight="1" x14ac:dyDescent="0.35">
      <c r="A183" s="62" t="s">
        <v>191</v>
      </c>
      <c r="B183" s="63" t="s">
        <v>192</v>
      </c>
      <c r="C183" s="48">
        <v>2</v>
      </c>
      <c r="D183" s="64">
        <f>((100/I177)*C183)/100</f>
        <v>1</v>
      </c>
      <c r="E183" s="64"/>
      <c r="F183" s="64"/>
      <c r="G183" s="64"/>
      <c r="H183" s="64"/>
      <c r="I183" s="64"/>
      <c r="J183" s="102"/>
      <c r="K183" s="46" t="s">
        <v>193</v>
      </c>
      <c r="L183" s="51">
        <f>(IF(B177&gt;1,(I177/(B177+2)+L182),I177/4+L182))</f>
        <v>1</v>
      </c>
    </row>
    <row r="184" spans="1:12" ht="15" hidden="1" customHeight="1" x14ac:dyDescent="0.35">
      <c r="A184" s="62" t="s">
        <v>194</v>
      </c>
      <c r="B184" s="63" t="s">
        <v>192</v>
      </c>
      <c r="C184" s="48">
        <v>2</v>
      </c>
      <c r="D184" s="64">
        <f>((100/I177)*C184)/100</f>
        <v>1</v>
      </c>
      <c r="E184" s="64"/>
      <c r="F184" s="64"/>
      <c r="G184" s="64"/>
      <c r="H184" s="64"/>
      <c r="I184" s="64"/>
      <c r="J184" s="102"/>
      <c r="K184" s="46" t="s">
        <v>195</v>
      </c>
      <c r="L184" s="51">
        <f>(IF(B177&gt;1,(I177/(B177+2)+L183),0))</f>
        <v>0</v>
      </c>
    </row>
    <row r="185" spans="1:12" ht="15" hidden="1" customHeight="1" x14ac:dyDescent="0.35">
      <c r="A185" s="62" t="s">
        <v>196</v>
      </c>
      <c r="B185" s="63" t="s">
        <v>197</v>
      </c>
      <c r="C185" s="48">
        <v>2</v>
      </c>
      <c r="D185" s="64">
        <f>((100/(I177))*C185)/100</f>
        <v>1</v>
      </c>
      <c r="E185" s="64"/>
      <c r="F185" s="64"/>
      <c r="G185" s="64"/>
      <c r="H185" s="64"/>
      <c r="I185" s="64"/>
      <c r="J185" s="102"/>
      <c r="K185" s="46" t="s">
        <v>198</v>
      </c>
      <c r="L185" s="51">
        <f>(IF(B177&gt;2,(I177/(B177+2)+L184),0))</f>
        <v>0</v>
      </c>
    </row>
    <row r="186" spans="1:12" ht="15" hidden="1" customHeight="1" x14ac:dyDescent="0.35">
      <c r="A186" s="62" t="s">
        <v>199</v>
      </c>
      <c r="B186" s="63" t="s">
        <v>199</v>
      </c>
      <c r="C186" s="48">
        <v>2</v>
      </c>
      <c r="D186" s="64">
        <f>((100/I177)*C186)/100</f>
        <v>1</v>
      </c>
      <c r="E186" s="64"/>
      <c r="F186" s="64"/>
      <c r="G186" s="64"/>
      <c r="H186" s="64"/>
      <c r="I186" s="64"/>
      <c r="J186" s="102"/>
      <c r="K186" s="46" t="s">
        <v>200</v>
      </c>
      <c r="L186" s="52">
        <f>(IF(B177&gt;3,(I177/(B177+2)+L185),0))</f>
        <v>0</v>
      </c>
    </row>
    <row r="187" spans="1:12" ht="15" hidden="1" customHeight="1" x14ac:dyDescent="0.35">
      <c r="A187" s="62" t="s">
        <v>201</v>
      </c>
      <c r="B187" s="63"/>
      <c r="C187" s="48">
        <v>2</v>
      </c>
      <c r="D187" s="64">
        <f>((100/I177)*C187)/100</f>
        <v>1</v>
      </c>
      <c r="E187" s="64"/>
      <c r="F187" s="64"/>
      <c r="G187" s="64"/>
      <c r="H187" s="64"/>
      <c r="I187" s="64"/>
      <c r="J187" s="102"/>
      <c r="K187" s="46" t="s">
        <v>202</v>
      </c>
      <c r="L187" s="51">
        <f>(IF(B177&gt;4,(I177/(B177+2)+L186),0))</f>
        <v>0</v>
      </c>
    </row>
    <row r="188" spans="1:12" ht="15" hidden="1" customHeight="1" x14ac:dyDescent="0.35">
      <c r="A188" s="62" t="s">
        <v>203</v>
      </c>
      <c r="B188" s="63" t="s">
        <v>203</v>
      </c>
      <c r="C188" s="48">
        <v>2</v>
      </c>
      <c r="D188" s="64">
        <f>((100/(I177))*C188)/100</f>
        <v>1</v>
      </c>
      <c r="E188" s="64"/>
      <c r="F188" s="64"/>
      <c r="G188" s="64"/>
      <c r="H188" s="64"/>
      <c r="I188" s="64"/>
      <c r="J188" s="102"/>
      <c r="K188" s="46" t="s">
        <v>204</v>
      </c>
      <c r="L188" s="51">
        <f>(IF(B177=1,(I177/(B177+3)+L183),IF(B177=0,(I177/4+L183),IF(B177&gt;1,0))))</f>
        <v>1.5</v>
      </c>
    </row>
    <row r="189" spans="1:12" ht="15" hidden="1" customHeight="1" thickBot="1" x14ac:dyDescent="0.4">
      <c r="A189" s="68" t="s">
        <v>205</v>
      </c>
      <c r="B189" s="69"/>
      <c r="C189" s="53">
        <v>2</v>
      </c>
      <c r="D189" s="70">
        <f>((100/(I177))*C189)/100</f>
        <v>1</v>
      </c>
      <c r="E189" s="70"/>
      <c r="F189" s="70"/>
      <c r="G189" s="70"/>
      <c r="H189" s="70"/>
      <c r="I189" s="70"/>
      <c r="J189" s="103"/>
      <c r="K189" s="54" t="s">
        <v>206</v>
      </c>
      <c r="L189" s="55">
        <f>(IF(B177&gt;1.5,(I177/(B177+2)+L183+MAX(0,L184-L183)+MAX(0,L185-L184)+MAX(0,L186-L185)+MAX(0,L187-L186)+MAX(0,L188-L187)),IF(B177=1,(I177/(B177+3)+L188),IF(B177=0,I177/4+L188))))</f>
        <v>2</v>
      </c>
    </row>
    <row r="190" spans="1:12" x14ac:dyDescent="0.35">
      <c r="A190" s="110" t="s">
        <v>174</v>
      </c>
      <c r="B190" s="111"/>
      <c r="C190" s="112" t="s">
        <v>282</v>
      </c>
      <c r="D190" s="112"/>
      <c r="E190" s="112"/>
      <c r="F190" s="112"/>
      <c r="G190" s="112"/>
      <c r="H190" s="112"/>
      <c r="I190" s="112"/>
      <c r="J190" s="113"/>
      <c r="K190" s="24" t="str">
        <f>(IF(F196&gt;99%,"All work completed. Please provide OC.",IF(F196&gt;89.8%,"Plinth, RCC, Brick, Plaster, Flooring, Painting work Completed. Finishing work is in process.",IF(F196&lt;94%,(IF(C196=0,"Work not yet Started.",IF(D196=25%,"Piling work in process",IF(D196=50%,"Excavation work in process",IF(D196=100%,"Excavation work Completed. ","0")))&amp;(IF(C197=0%,"",IF(C197=L198,"Footing work is process",IF(C197=L199,"Footing work Completed",IF(C197=L200,"1st Basement Completed",IF(C197=L201,"1st &amp; 2nd Basement Completed",IF(C197=L202,"1st to 3rd Basement Completed",IF(C197=L203,"1st to 4th Basement Completed",IF(C197=L204,"Plinth work is process",IF(C197=L205,"Plinth work completed","0")))))))))))&amp;(IF(C198=(D191+G191+I191),", RCC Slab",IF(C198&gt;0,", RCC upto "&amp;C198&amp;" Slab",""))&amp;(IF(C199=I191,", Brickwork",IF(C199&gt;0,", Brickwork upto "&amp;C199&amp;" Floor",""))&amp;(IF(C200=I191,", Internal Plaster",IF(C200&gt;0,", Internal Plaster upto "&amp;C200&amp;" Floor",""))&amp;(IF(C201=I191,", External Plaster",IF(C201&gt;0,", External Plaster upto "&amp;C201&amp;" Floor",""))&amp;(IF(C202=I191,", Flooring",IF(C202&gt;0,", Flooring upto "&amp;C202&amp;" Floor",""))&amp;(IF(C203=I191,", Painting",IF(C203&gt;0,", Painting upto "&amp;C203&amp;" Floor",""))&amp;(IF(C204&gt;0,", Finishing upto "&amp;C204&amp;" Floor","")&amp;(IF(C198&gt;0.5," Completed",""))))))))))))))</f>
        <v>All work completed. Please provide OC.</v>
      </c>
      <c r="L190" s="25"/>
    </row>
    <row r="191" spans="1:12" ht="15" customHeight="1" x14ac:dyDescent="0.35">
      <c r="A191" s="34" t="s">
        <v>175</v>
      </c>
      <c r="B191" s="26">
        <v>0</v>
      </c>
      <c r="C191" s="26" t="s">
        <v>176</v>
      </c>
      <c r="D191" s="26">
        <v>0</v>
      </c>
      <c r="E191" s="105" t="s">
        <v>177</v>
      </c>
      <c r="F191" s="105"/>
      <c r="G191" s="26">
        <v>0</v>
      </c>
      <c r="H191" s="26" t="s">
        <v>283</v>
      </c>
      <c r="I191" s="105">
        <v>1</v>
      </c>
      <c r="J191" s="114"/>
      <c r="K191" s="27"/>
      <c r="L191" s="28"/>
    </row>
    <row r="192" spans="1:12" ht="19.5" customHeight="1" x14ac:dyDescent="0.35">
      <c r="A192" s="304" t="s">
        <v>179</v>
      </c>
      <c r="B192" s="305"/>
      <c r="C192" s="306" t="str">
        <f>K190</f>
        <v>All work completed. Please provide OC.</v>
      </c>
      <c r="D192" s="306"/>
      <c r="E192" s="306"/>
      <c r="F192" s="306"/>
      <c r="G192" s="306"/>
      <c r="H192" s="306"/>
      <c r="I192" s="306"/>
      <c r="J192" s="307"/>
      <c r="K192" s="27" t="s">
        <v>180</v>
      </c>
      <c r="L192" s="28"/>
    </row>
    <row r="193" spans="1:12" s="33" customFormat="1" x14ac:dyDescent="0.35">
      <c r="A193" s="291" t="s">
        <v>183</v>
      </c>
      <c r="B193" s="292"/>
      <c r="C193" s="158">
        <v>1</v>
      </c>
      <c r="D193" s="159"/>
      <c r="E193" s="295"/>
      <c r="F193" s="164" t="s">
        <v>184</v>
      </c>
      <c r="G193" s="165"/>
      <c r="H193" s="158">
        <v>1</v>
      </c>
      <c r="I193" s="159"/>
      <c r="J193" s="160"/>
      <c r="K193" s="31"/>
      <c r="L193" s="32"/>
    </row>
    <row r="194" spans="1:12" s="33" customFormat="1" ht="15" thickBot="1" x14ac:dyDescent="0.4">
      <c r="A194" s="293"/>
      <c r="B194" s="294"/>
      <c r="C194" s="161"/>
      <c r="D194" s="162"/>
      <c r="E194" s="296"/>
      <c r="F194" s="166"/>
      <c r="G194" s="167"/>
      <c r="H194" s="161"/>
      <c r="I194" s="162"/>
      <c r="J194" s="163"/>
      <c r="K194" s="31"/>
      <c r="L194" s="32"/>
    </row>
    <row r="195" spans="1:12" ht="15" hidden="1" customHeight="1" x14ac:dyDescent="0.35">
      <c r="A195" s="62" t="s">
        <v>26</v>
      </c>
      <c r="B195" s="63"/>
      <c r="C195" s="45" t="s">
        <v>181</v>
      </c>
      <c r="D195" s="63" t="s">
        <v>182</v>
      </c>
      <c r="E195" s="63"/>
      <c r="F195" s="63" t="s">
        <v>183</v>
      </c>
      <c r="G195" s="63"/>
      <c r="H195" s="63" t="s">
        <v>184</v>
      </c>
      <c r="I195" s="63"/>
      <c r="J195" s="119"/>
      <c r="K195" s="46" t="s">
        <v>185</v>
      </c>
      <c r="L195" s="47">
        <f>I191*25%</f>
        <v>0.25</v>
      </c>
    </row>
    <row r="196" spans="1:12" ht="15" hidden="1" customHeight="1" x14ac:dyDescent="0.35">
      <c r="A196" s="62" t="s">
        <v>186</v>
      </c>
      <c r="B196" s="63"/>
      <c r="C196" s="48">
        <f>L197</f>
        <v>1</v>
      </c>
      <c r="D196" s="64">
        <f>((100/I191)*C196)/100</f>
        <v>1</v>
      </c>
      <c r="E196" s="64"/>
      <c r="F196" s="64">
        <f>(((C197/I191*10)+(40/(D191+G191+I191)*C198)+(7.5/(I191)*C199)+(7.5/(I191)*C200)+(10/I191*C201)+(10/I191*C202)+(5/I191*C203)+(5/I191*C204)+(5/I191*C205))/100)</f>
        <v>1</v>
      </c>
      <c r="G196" s="64"/>
      <c r="H196" s="64">
        <f>((((C196/I191)*20)+((C197/I191)*25)+(30/(I191+G191+D191)*C198)+(5/I191*C199)+(5/I191*C200)+(5/I191*C201)+(5/I191*C202)+(0/I191*C203)+(0/I191*C204)+(5/I191*C205))/100)</f>
        <v>1</v>
      </c>
      <c r="I196" s="64"/>
      <c r="J196" s="102"/>
      <c r="K196" s="46" t="s">
        <v>187</v>
      </c>
      <c r="L196" s="49">
        <f>I191*50%</f>
        <v>0.5</v>
      </c>
    </row>
    <row r="197" spans="1:12" ht="15" hidden="1" customHeight="1" x14ac:dyDescent="0.35">
      <c r="A197" s="62" t="s">
        <v>27</v>
      </c>
      <c r="B197" s="63"/>
      <c r="C197" s="50">
        <f>L205</f>
        <v>1</v>
      </c>
      <c r="D197" s="64">
        <f>((100/I191)*C197)/100</f>
        <v>1</v>
      </c>
      <c r="E197" s="64"/>
      <c r="F197" s="64"/>
      <c r="G197" s="64"/>
      <c r="H197" s="64"/>
      <c r="I197" s="64"/>
      <c r="J197" s="102"/>
      <c r="K197" s="46" t="s">
        <v>188</v>
      </c>
      <c r="L197" s="49">
        <f>I191</f>
        <v>1</v>
      </c>
    </row>
    <row r="198" spans="1:12" ht="15" hidden="1" customHeight="1" x14ac:dyDescent="0.35">
      <c r="A198" s="104" t="s">
        <v>189</v>
      </c>
      <c r="B198" s="105"/>
      <c r="C198" s="50">
        <v>1</v>
      </c>
      <c r="D198" s="64">
        <f>((100/(D191+G191+I191))*C198)/100</f>
        <v>1</v>
      </c>
      <c r="E198" s="64"/>
      <c r="F198" s="64"/>
      <c r="G198" s="64"/>
      <c r="H198" s="64"/>
      <c r="I198" s="64"/>
      <c r="J198" s="102"/>
      <c r="K198" s="46" t="s">
        <v>190</v>
      </c>
      <c r="L198" s="51">
        <f>(IF(B191&gt;1,(I191/(B191+2)),I191/4))</f>
        <v>0.25</v>
      </c>
    </row>
    <row r="199" spans="1:12" ht="15" hidden="1" customHeight="1" x14ac:dyDescent="0.35">
      <c r="A199" s="62" t="s">
        <v>191</v>
      </c>
      <c r="B199" s="63" t="s">
        <v>192</v>
      </c>
      <c r="C199" s="48">
        <v>1</v>
      </c>
      <c r="D199" s="64">
        <f>((100/I191)*C199)/100</f>
        <v>1</v>
      </c>
      <c r="E199" s="64"/>
      <c r="F199" s="64"/>
      <c r="G199" s="64"/>
      <c r="H199" s="64"/>
      <c r="I199" s="64"/>
      <c r="J199" s="102"/>
      <c r="K199" s="46" t="s">
        <v>193</v>
      </c>
      <c r="L199" s="51">
        <f>(IF(B191&gt;1,(I191/(B191+2)+L198),I191/4+L198))</f>
        <v>0.5</v>
      </c>
    </row>
    <row r="200" spans="1:12" ht="15" hidden="1" customHeight="1" x14ac:dyDescent="0.35">
      <c r="A200" s="62" t="s">
        <v>194</v>
      </c>
      <c r="B200" s="63" t="s">
        <v>192</v>
      </c>
      <c r="C200" s="48">
        <v>1</v>
      </c>
      <c r="D200" s="64">
        <f>((100/I191)*C200)/100</f>
        <v>1</v>
      </c>
      <c r="E200" s="64"/>
      <c r="F200" s="64"/>
      <c r="G200" s="64"/>
      <c r="H200" s="64"/>
      <c r="I200" s="64"/>
      <c r="J200" s="102"/>
      <c r="K200" s="46" t="s">
        <v>195</v>
      </c>
      <c r="L200" s="51">
        <f>(IF(B191&gt;1,(I191/(B191+2)+L199),0))</f>
        <v>0</v>
      </c>
    </row>
    <row r="201" spans="1:12" ht="15" hidden="1" customHeight="1" x14ac:dyDescent="0.35">
      <c r="A201" s="62" t="s">
        <v>196</v>
      </c>
      <c r="B201" s="63" t="s">
        <v>197</v>
      </c>
      <c r="C201" s="48">
        <v>1</v>
      </c>
      <c r="D201" s="64">
        <f>((100/(I191))*C201)/100</f>
        <v>1</v>
      </c>
      <c r="E201" s="64"/>
      <c r="F201" s="64"/>
      <c r="G201" s="64"/>
      <c r="H201" s="64"/>
      <c r="I201" s="64"/>
      <c r="J201" s="102"/>
      <c r="K201" s="46" t="s">
        <v>198</v>
      </c>
      <c r="L201" s="51">
        <f>(IF(B191&gt;2,(I191/(B191+2)+L200),0))</f>
        <v>0</v>
      </c>
    </row>
    <row r="202" spans="1:12" ht="15" hidden="1" customHeight="1" x14ac:dyDescent="0.35">
      <c r="A202" s="62" t="s">
        <v>199</v>
      </c>
      <c r="B202" s="63" t="s">
        <v>199</v>
      </c>
      <c r="C202" s="48">
        <v>1</v>
      </c>
      <c r="D202" s="64">
        <f>((100/I191)*C202)/100</f>
        <v>1</v>
      </c>
      <c r="E202" s="64"/>
      <c r="F202" s="64"/>
      <c r="G202" s="64"/>
      <c r="H202" s="64"/>
      <c r="I202" s="64"/>
      <c r="J202" s="102"/>
      <c r="K202" s="46" t="s">
        <v>200</v>
      </c>
      <c r="L202" s="52">
        <f>(IF(B191&gt;3,(I191/(B191+2)+L201),0))</f>
        <v>0</v>
      </c>
    </row>
    <row r="203" spans="1:12" ht="15" hidden="1" customHeight="1" x14ac:dyDescent="0.35">
      <c r="A203" s="62" t="s">
        <v>201</v>
      </c>
      <c r="B203" s="63"/>
      <c r="C203" s="48">
        <v>1</v>
      </c>
      <c r="D203" s="64">
        <f>((100/I191)*C203)/100</f>
        <v>1</v>
      </c>
      <c r="E203" s="64"/>
      <c r="F203" s="64"/>
      <c r="G203" s="64"/>
      <c r="H203" s="64"/>
      <c r="I203" s="64"/>
      <c r="J203" s="102"/>
      <c r="K203" s="46" t="s">
        <v>202</v>
      </c>
      <c r="L203" s="51">
        <f>(IF(B191&gt;4,(I191/(B191+2)+L202),0))</f>
        <v>0</v>
      </c>
    </row>
    <row r="204" spans="1:12" ht="15" hidden="1" customHeight="1" x14ac:dyDescent="0.35">
      <c r="A204" s="62" t="s">
        <v>203</v>
      </c>
      <c r="B204" s="63" t="s">
        <v>203</v>
      </c>
      <c r="C204" s="48">
        <v>1</v>
      </c>
      <c r="D204" s="64">
        <f>((100/(I191))*C204)/100</f>
        <v>1</v>
      </c>
      <c r="E204" s="64"/>
      <c r="F204" s="64"/>
      <c r="G204" s="64"/>
      <c r="H204" s="64"/>
      <c r="I204" s="64"/>
      <c r="J204" s="102"/>
      <c r="K204" s="46" t="s">
        <v>204</v>
      </c>
      <c r="L204" s="51">
        <f>(IF(B191=1,(I191/(B191+3)+L199),IF(B191=0,(I191/4+L199),IF(B191&gt;1,0))))</f>
        <v>0.75</v>
      </c>
    </row>
    <row r="205" spans="1:12" ht="15" hidden="1" customHeight="1" thickBot="1" x14ac:dyDescent="0.4">
      <c r="A205" s="68" t="s">
        <v>205</v>
      </c>
      <c r="B205" s="69"/>
      <c r="C205" s="53">
        <v>1</v>
      </c>
      <c r="D205" s="70">
        <f>((100/(I191))*C205)/100</f>
        <v>1</v>
      </c>
      <c r="E205" s="70"/>
      <c r="F205" s="70"/>
      <c r="G205" s="70"/>
      <c r="H205" s="70"/>
      <c r="I205" s="70"/>
      <c r="J205" s="103"/>
      <c r="K205" s="54" t="s">
        <v>206</v>
      </c>
      <c r="L205" s="55">
        <f>(IF(B191&gt;1.5,(I191/(B191+2)+L199+MAX(0,L200-L199)+MAX(0,L201-L200)+MAX(0,L202-L201)+MAX(0,L203-L202)+MAX(0,L204-L203)),IF(B191=1,(I191/(B191+3)+L204),IF(B191=0,I191/4+L204))))</f>
        <v>1</v>
      </c>
    </row>
    <row r="206" spans="1:12" ht="15" hidden="1" customHeight="1" x14ac:dyDescent="0.35">
      <c r="A206" s="178" t="s">
        <v>26</v>
      </c>
      <c r="B206" s="178"/>
      <c r="C206" s="56" t="s">
        <v>181</v>
      </c>
      <c r="D206" s="178" t="s">
        <v>182</v>
      </c>
      <c r="E206" s="178"/>
      <c r="F206" s="178" t="s">
        <v>183</v>
      </c>
      <c r="G206" s="178"/>
      <c r="H206" s="178" t="s">
        <v>184</v>
      </c>
      <c r="I206" s="178"/>
      <c r="J206" s="178"/>
      <c r="K206" s="46" t="s">
        <v>185</v>
      </c>
      <c r="L206" s="47">
        <f>I88*25%</f>
        <v>0.25</v>
      </c>
    </row>
    <row r="207" spans="1:12" ht="15" hidden="1" customHeight="1" x14ac:dyDescent="0.35">
      <c r="A207" s="63" t="s">
        <v>186</v>
      </c>
      <c r="B207" s="63"/>
      <c r="C207" s="48">
        <f>L208</f>
        <v>1</v>
      </c>
      <c r="D207" s="64">
        <f>((100/I88)*C207)/100</f>
        <v>1</v>
      </c>
      <c r="E207" s="64"/>
      <c r="F207" s="64">
        <f>(((C208/I88*10)+(40/(D88+G88+I88)*C209)+(7.5/(I88)*C210)+(7.5/(I88)*C211)+(10/I88*C212)+(10/I88*C213)+(5/I88*C214)+(5/I88*C215)+(5/I88*C216))/100)</f>
        <v>1</v>
      </c>
      <c r="G207" s="64"/>
      <c r="H207" s="64">
        <f>((((C207/I88)*20)+((C208/I88)*25)+(30/(I88+G88+D88)*C209)+(5/I88*C210)+(5/I88*C211)+(5/I88*C212)+(5/I88*C213)+(0/I88*C214)+(0/I88*C215)+(5/I88*C216))/100)</f>
        <v>1</v>
      </c>
      <c r="I207" s="64"/>
      <c r="J207" s="64"/>
      <c r="K207" s="46" t="s">
        <v>187</v>
      </c>
      <c r="L207" s="49">
        <f>I88*50%</f>
        <v>0.5</v>
      </c>
    </row>
    <row r="208" spans="1:12" ht="15" hidden="1" customHeight="1" x14ac:dyDescent="0.35">
      <c r="A208" s="63" t="s">
        <v>27</v>
      </c>
      <c r="B208" s="63"/>
      <c r="C208" s="50">
        <f>L216</f>
        <v>1</v>
      </c>
      <c r="D208" s="64">
        <f>((100/I88)*C208)/100</f>
        <v>1</v>
      </c>
      <c r="E208" s="64"/>
      <c r="F208" s="64"/>
      <c r="G208" s="64"/>
      <c r="H208" s="64"/>
      <c r="I208" s="64"/>
      <c r="J208" s="64"/>
      <c r="K208" s="46" t="s">
        <v>188</v>
      </c>
      <c r="L208" s="49">
        <f>I88</f>
        <v>1</v>
      </c>
    </row>
    <row r="209" spans="1:12" ht="15" hidden="1" customHeight="1" x14ac:dyDescent="0.35">
      <c r="A209" s="63" t="s">
        <v>189</v>
      </c>
      <c r="B209" s="63"/>
      <c r="C209" s="50">
        <f>D88+I88</f>
        <v>2</v>
      </c>
      <c r="D209" s="64">
        <f>((100/(D88+G88+I88))*C209)/100</f>
        <v>1</v>
      </c>
      <c r="E209" s="64"/>
      <c r="F209" s="64"/>
      <c r="G209" s="64"/>
      <c r="H209" s="64"/>
      <c r="I209" s="64"/>
      <c r="J209" s="64"/>
      <c r="K209" s="46" t="s">
        <v>190</v>
      </c>
      <c r="L209" s="51">
        <f>(IF(B88&gt;1,(I88/(B88+2)),I88/4))</f>
        <v>0.25</v>
      </c>
    </row>
    <row r="210" spans="1:12" ht="15" hidden="1" customHeight="1" x14ac:dyDescent="0.35">
      <c r="A210" s="63" t="s">
        <v>191</v>
      </c>
      <c r="B210" s="63" t="s">
        <v>192</v>
      </c>
      <c r="C210" s="48">
        <v>1</v>
      </c>
      <c r="D210" s="64">
        <f>((100/I88)*C210)/100</f>
        <v>1</v>
      </c>
      <c r="E210" s="64"/>
      <c r="F210" s="64"/>
      <c r="G210" s="64"/>
      <c r="H210" s="64"/>
      <c r="I210" s="64"/>
      <c r="J210" s="64"/>
      <c r="K210" s="46" t="s">
        <v>193</v>
      </c>
      <c r="L210" s="51">
        <f>(IF(B88&gt;1,(I88/(B88+2)+L209),I88/4+L209))</f>
        <v>0.5</v>
      </c>
    </row>
    <row r="211" spans="1:12" ht="15" hidden="1" customHeight="1" x14ac:dyDescent="0.35">
      <c r="A211" s="63" t="s">
        <v>194</v>
      </c>
      <c r="B211" s="63" t="s">
        <v>192</v>
      </c>
      <c r="C211" s="48">
        <v>1</v>
      </c>
      <c r="D211" s="64">
        <f>((100/I88)*C211)/100</f>
        <v>1</v>
      </c>
      <c r="E211" s="64"/>
      <c r="F211" s="64"/>
      <c r="G211" s="64"/>
      <c r="H211" s="64"/>
      <c r="I211" s="64"/>
      <c r="J211" s="64"/>
      <c r="K211" s="46" t="s">
        <v>195</v>
      </c>
      <c r="L211" s="51">
        <f>(IF(B88&gt;1,(I88/(B88+2)+L210),0))</f>
        <v>0</v>
      </c>
    </row>
    <row r="212" spans="1:12" ht="15" hidden="1" customHeight="1" x14ac:dyDescent="0.35">
      <c r="A212" s="63" t="s">
        <v>196</v>
      </c>
      <c r="B212" s="63" t="s">
        <v>197</v>
      </c>
      <c r="C212" s="48">
        <v>1</v>
      </c>
      <c r="D212" s="64">
        <f>((100/(I88))*C212)/100</f>
        <v>1</v>
      </c>
      <c r="E212" s="64"/>
      <c r="F212" s="64"/>
      <c r="G212" s="64"/>
      <c r="H212" s="64"/>
      <c r="I212" s="64"/>
      <c r="J212" s="64"/>
      <c r="K212" s="46" t="s">
        <v>198</v>
      </c>
      <c r="L212" s="51">
        <f>(IF(B88&gt;2,(I88/(B88+2)+L211),0))</f>
        <v>0</v>
      </c>
    </row>
    <row r="213" spans="1:12" ht="15" hidden="1" customHeight="1" x14ac:dyDescent="0.35">
      <c r="A213" s="63" t="s">
        <v>199</v>
      </c>
      <c r="B213" s="63" t="s">
        <v>199</v>
      </c>
      <c r="C213" s="48">
        <v>1</v>
      </c>
      <c r="D213" s="64">
        <f>((100/I88)*C213)/100</f>
        <v>1</v>
      </c>
      <c r="E213" s="64"/>
      <c r="F213" s="64"/>
      <c r="G213" s="64"/>
      <c r="H213" s="64"/>
      <c r="I213" s="64"/>
      <c r="J213" s="64"/>
      <c r="K213" s="46" t="s">
        <v>200</v>
      </c>
      <c r="L213" s="52">
        <f>(IF(B88&gt;3,(I88/(B88+2)+L212),0))</f>
        <v>0</v>
      </c>
    </row>
    <row r="214" spans="1:12" ht="15" hidden="1" customHeight="1" x14ac:dyDescent="0.35">
      <c r="A214" s="63" t="s">
        <v>201</v>
      </c>
      <c r="B214" s="63"/>
      <c r="C214" s="48">
        <v>1</v>
      </c>
      <c r="D214" s="64">
        <f>((100/I88)*C214)/100</f>
        <v>1</v>
      </c>
      <c r="E214" s="64"/>
      <c r="F214" s="64"/>
      <c r="G214" s="64"/>
      <c r="H214" s="64"/>
      <c r="I214" s="64"/>
      <c r="J214" s="64"/>
      <c r="K214" s="46" t="s">
        <v>202</v>
      </c>
      <c r="L214" s="51">
        <f>(IF(B88&gt;4,(I88/(B88+2)+L213),0))</f>
        <v>0</v>
      </c>
    </row>
    <row r="215" spans="1:12" ht="15" hidden="1" customHeight="1" x14ac:dyDescent="0.35">
      <c r="A215" s="63" t="s">
        <v>203</v>
      </c>
      <c r="B215" s="63" t="s">
        <v>203</v>
      </c>
      <c r="C215" s="48">
        <v>1</v>
      </c>
      <c r="D215" s="64">
        <f>((100/(I88))*C215)/100</f>
        <v>1</v>
      </c>
      <c r="E215" s="64"/>
      <c r="F215" s="64"/>
      <c r="G215" s="64"/>
      <c r="H215" s="64"/>
      <c r="I215" s="64"/>
      <c r="J215" s="64"/>
      <c r="K215" s="46" t="s">
        <v>204</v>
      </c>
      <c r="L215" s="51">
        <f>(IF(B88=1,(I88/(B88+3)+L210),IF(B88=0,(I88/4+L210),IF(B88&gt;1,0))))</f>
        <v>0.75</v>
      </c>
    </row>
    <row r="216" spans="1:12" ht="15" hidden="1" customHeight="1" thickBot="1" x14ac:dyDescent="0.4">
      <c r="A216" s="63" t="s">
        <v>205</v>
      </c>
      <c r="B216" s="63"/>
      <c r="C216" s="48">
        <v>1</v>
      </c>
      <c r="D216" s="64">
        <f>((100/(I88))*C216)/100</f>
        <v>1</v>
      </c>
      <c r="E216" s="64"/>
      <c r="F216" s="64"/>
      <c r="G216" s="64"/>
      <c r="H216" s="64"/>
      <c r="I216" s="64"/>
      <c r="J216" s="64"/>
      <c r="K216" s="54" t="s">
        <v>206</v>
      </c>
      <c r="L216" s="55">
        <f>(IF(B88&gt;1.5,(I88/(B88+2)+L210+MAX(0,L211-L210)+MAX(0,L212-L211)+MAX(0,L213-L212)+MAX(0,L214-L213)+MAX(0,L215-L214)),IF(B88=1,(I88/(B88+3)+L215),IF(B88=0,I88/4+L215))))</f>
        <v>1</v>
      </c>
    </row>
    <row r="217" spans="1:12" ht="15" hidden="1" customHeight="1" x14ac:dyDescent="0.35">
      <c r="A217" s="152" t="s">
        <v>174</v>
      </c>
      <c r="B217" s="152"/>
      <c r="C217" s="117" t="s">
        <v>298</v>
      </c>
      <c r="D217" s="117"/>
      <c r="E217" s="117"/>
      <c r="F217" s="117"/>
      <c r="G217" s="117"/>
      <c r="H217" s="117"/>
      <c r="I217" s="117"/>
      <c r="J217" s="117"/>
      <c r="K217" s="24" t="str">
        <f>(IF(F221&gt;99%,"All work completed. Please provide OC.",IF(F221&gt;89.8%,"Plinth, RCC, Brick, Plaster, Flooring, Painting work Completed. Finishing work is in process.",IF(F221&lt;94%,(IF(C221=0,"Work not yet Started.",IF(D221=25%,"Piling work in process",IF(D221=50%,"Excavation work in process",IF(D221=100%,"Excavation work Completed. ","0")))&amp;(IF(C222=0%,"",IF(C222=L223,"Footing work is process",IF(C222=L224,"Footing work Completed",IF(C222=L225,"1st Basement Completed",IF(C222=L226,"1st &amp; 2nd Basement Completed",IF(C222=L227,"1st to 3rd Basement Completed",IF(C222=L228,"1st to 4th Basement Completed",IF(C222=L229,"Plinth work is process",IF(C222=L230,"Plinth work completed","0")))))))))))&amp;(IF(C223=(D218+G218+I218),", RCC Slab",IF(C223&gt;0,", RCC upto "&amp;C223&amp;" Slab",""))&amp;(IF(C224=I218,", Brickwork",IF(C224&gt;0,", Brickwork upto "&amp;C224&amp;" Floor",""))&amp;(IF(C225=I218,", Internal Plaster",IF(C225&gt;0,", Internal Plaster upto "&amp;C225&amp;" Floor",""))&amp;(IF(C226=I218,", External Plaster",IF(C226&gt;0,", External Plaster upto "&amp;C226&amp;" Floor",""))&amp;(IF(C227=I218,", Flooring",IF(C227&gt;0,", Flooring upto "&amp;C227&amp;" Floor",""))&amp;(IF(C228=I218,", Painting",IF(C228&gt;0,", Painting upto "&amp;C228&amp;" Floor",""))&amp;(IF(C229&gt;0,", Finishing upto "&amp;C229&amp;" Floor","")&amp;(IF(C223&gt;0.5," Completed",""))))))))))))))</f>
        <v>All work completed. Please provide OC.</v>
      </c>
      <c r="L217" s="25"/>
    </row>
    <row r="218" spans="1:12" ht="15" hidden="1" customHeight="1" x14ac:dyDescent="0.35">
      <c r="A218" s="26" t="s">
        <v>175</v>
      </c>
      <c r="B218" s="26">
        <v>0</v>
      </c>
      <c r="C218" s="26" t="s">
        <v>176</v>
      </c>
      <c r="D218" s="26">
        <v>1</v>
      </c>
      <c r="E218" s="105" t="s">
        <v>177</v>
      </c>
      <c r="F218" s="105"/>
      <c r="G218" s="26">
        <v>0</v>
      </c>
      <c r="H218" s="26" t="s">
        <v>178</v>
      </c>
      <c r="I218" s="105">
        <v>1</v>
      </c>
      <c r="J218" s="105"/>
      <c r="K218" s="27"/>
      <c r="L218" s="28"/>
    </row>
    <row r="219" spans="1:12" hidden="1" x14ac:dyDescent="0.35">
      <c r="A219" s="116" t="s">
        <v>179</v>
      </c>
      <c r="B219" s="116"/>
      <c r="C219" s="117" t="str">
        <f>K217</f>
        <v>All work completed. Please provide OC.</v>
      </c>
      <c r="D219" s="117"/>
      <c r="E219" s="117"/>
      <c r="F219" s="117"/>
      <c r="G219" s="117"/>
      <c r="H219" s="117"/>
      <c r="I219" s="117"/>
      <c r="J219" s="117"/>
      <c r="K219" s="27" t="s">
        <v>180</v>
      </c>
      <c r="L219" s="28"/>
    </row>
    <row r="220" spans="1:12" ht="15" hidden="1" customHeight="1" x14ac:dyDescent="0.35">
      <c r="A220" s="63" t="s">
        <v>26</v>
      </c>
      <c r="B220" s="63"/>
      <c r="C220" s="45" t="s">
        <v>181</v>
      </c>
      <c r="D220" s="63" t="s">
        <v>182</v>
      </c>
      <c r="E220" s="63"/>
      <c r="F220" s="63" t="s">
        <v>183</v>
      </c>
      <c r="G220" s="63"/>
      <c r="H220" s="63" t="s">
        <v>184</v>
      </c>
      <c r="I220" s="63"/>
      <c r="J220" s="63"/>
      <c r="K220" s="46" t="s">
        <v>185</v>
      </c>
      <c r="L220" s="47">
        <f>I218*25%</f>
        <v>0.25</v>
      </c>
    </row>
    <row r="221" spans="1:12" ht="15" hidden="1" customHeight="1" x14ac:dyDescent="0.35">
      <c r="A221" s="63" t="s">
        <v>186</v>
      </c>
      <c r="B221" s="63"/>
      <c r="C221" s="48">
        <f>L222</f>
        <v>1</v>
      </c>
      <c r="D221" s="64">
        <f>((100/I218)*C221)/100</f>
        <v>1</v>
      </c>
      <c r="E221" s="64"/>
      <c r="F221" s="64">
        <f>(((C222/I218*10)+(40/(D218+G218+I218)*C223)+(7.5/(I218)*C224)+(7.5/(I218)*C225)+(10/I218*C226)+(10/I218*C227)+(5/I218*C228)+(5/I218*C229)+(5/I218*C230))/100)</f>
        <v>1</v>
      </c>
      <c r="G221" s="64"/>
      <c r="H221" s="64">
        <f>((((C221/I218)*20)+((C222/I218)*25)+(30/(I218+G218+D218)*C223)+(5/I218*C224)+(5/I218*C225)+(5/I218*C226)+(5/I218*C227)+(0/I218*C228)+(0/I218*C229)+(5/I218*C230))/100)</f>
        <v>1</v>
      </c>
      <c r="I221" s="64"/>
      <c r="J221" s="64"/>
      <c r="K221" s="46" t="s">
        <v>187</v>
      </c>
      <c r="L221" s="49">
        <f>I218*50%</f>
        <v>0.5</v>
      </c>
    </row>
    <row r="222" spans="1:12" ht="15" hidden="1" customHeight="1" x14ac:dyDescent="0.35">
      <c r="A222" s="63" t="s">
        <v>27</v>
      </c>
      <c r="B222" s="63"/>
      <c r="C222" s="50">
        <f>L230</f>
        <v>1</v>
      </c>
      <c r="D222" s="64">
        <f>((100/I218)*C222)/100</f>
        <v>1</v>
      </c>
      <c r="E222" s="64"/>
      <c r="F222" s="64"/>
      <c r="G222" s="64"/>
      <c r="H222" s="64"/>
      <c r="I222" s="64"/>
      <c r="J222" s="64"/>
      <c r="K222" s="46" t="s">
        <v>188</v>
      </c>
      <c r="L222" s="49">
        <f>I218</f>
        <v>1</v>
      </c>
    </row>
    <row r="223" spans="1:12" ht="15" hidden="1" customHeight="1" x14ac:dyDescent="0.35">
      <c r="A223" s="105" t="s">
        <v>189</v>
      </c>
      <c r="B223" s="105"/>
      <c r="C223" s="50">
        <v>2</v>
      </c>
      <c r="D223" s="64">
        <f>((100/(D218+G218+I218))*C223)/100</f>
        <v>1</v>
      </c>
      <c r="E223" s="64"/>
      <c r="F223" s="64"/>
      <c r="G223" s="64"/>
      <c r="H223" s="64"/>
      <c r="I223" s="64"/>
      <c r="J223" s="64"/>
      <c r="K223" s="46" t="s">
        <v>190</v>
      </c>
      <c r="L223" s="51">
        <f>(IF(B218&gt;1,(I218/(B218+2)),I218/4))</f>
        <v>0.25</v>
      </c>
    </row>
    <row r="224" spans="1:12" ht="15" hidden="1" customHeight="1" x14ac:dyDescent="0.35">
      <c r="A224" s="63" t="s">
        <v>191</v>
      </c>
      <c r="B224" s="63" t="s">
        <v>192</v>
      </c>
      <c r="C224" s="48">
        <v>1</v>
      </c>
      <c r="D224" s="64">
        <f>((100/I218)*C224)/100</f>
        <v>1</v>
      </c>
      <c r="E224" s="64"/>
      <c r="F224" s="64"/>
      <c r="G224" s="64"/>
      <c r="H224" s="64"/>
      <c r="I224" s="64"/>
      <c r="J224" s="64"/>
      <c r="K224" s="46" t="s">
        <v>193</v>
      </c>
      <c r="L224" s="51">
        <f>(IF(B218&gt;1,(I218/(B218+2)+L223),I218/4+L223))</f>
        <v>0.5</v>
      </c>
    </row>
    <row r="225" spans="1:12" ht="15" hidden="1" customHeight="1" x14ac:dyDescent="0.35">
      <c r="A225" s="63" t="s">
        <v>194</v>
      </c>
      <c r="B225" s="63" t="s">
        <v>192</v>
      </c>
      <c r="C225" s="48">
        <v>1</v>
      </c>
      <c r="D225" s="64">
        <f>((100/I218)*C225)/100</f>
        <v>1</v>
      </c>
      <c r="E225" s="64"/>
      <c r="F225" s="64"/>
      <c r="G225" s="64"/>
      <c r="H225" s="64"/>
      <c r="I225" s="64"/>
      <c r="J225" s="64"/>
      <c r="K225" s="46" t="s">
        <v>195</v>
      </c>
      <c r="L225" s="51">
        <f>(IF(B218&gt;1,(I218/(B218+2)+L224),0))</f>
        <v>0</v>
      </c>
    </row>
    <row r="226" spans="1:12" ht="15" hidden="1" customHeight="1" x14ac:dyDescent="0.35">
      <c r="A226" s="63" t="s">
        <v>196</v>
      </c>
      <c r="B226" s="63" t="s">
        <v>197</v>
      </c>
      <c r="C226" s="48">
        <v>1</v>
      </c>
      <c r="D226" s="64">
        <f>((100/(I218))*C226)/100</f>
        <v>1</v>
      </c>
      <c r="E226" s="64"/>
      <c r="F226" s="64"/>
      <c r="G226" s="64"/>
      <c r="H226" s="64"/>
      <c r="I226" s="64"/>
      <c r="J226" s="64"/>
      <c r="K226" s="46" t="s">
        <v>198</v>
      </c>
      <c r="L226" s="51">
        <f>(IF(B218&gt;2,(I218/(B218+2)+L225),0))</f>
        <v>0</v>
      </c>
    </row>
    <row r="227" spans="1:12" ht="15" hidden="1" customHeight="1" x14ac:dyDescent="0.35">
      <c r="A227" s="63" t="s">
        <v>199</v>
      </c>
      <c r="B227" s="63" t="s">
        <v>199</v>
      </c>
      <c r="C227" s="48">
        <v>1</v>
      </c>
      <c r="D227" s="64">
        <f>((100/I218)*C227)/100</f>
        <v>1</v>
      </c>
      <c r="E227" s="64"/>
      <c r="F227" s="64"/>
      <c r="G227" s="64"/>
      <c r="H227" s="64"/>
      <c r="I227" s="64"/>
      <c r="J227" s="64"/>
      <c r="K227" s="46" t="s">
        <v>200</v>
      </c>
      <c r="L227" s="52">
        <f>(IF(B218&gt;3,(I218/(B218+2)+L226),0))</f>
        <v>0</v>
      </c>
    </row>
    <row r="228" spans="1:12" ht="15" hidden="1" customHeight="1" x14ac:dyDescent="0.35">
      <c r="A228" s="63" t="s">
        <v>201</v>
      </c>
      <c r="B228" s="63"/>
      <c r="C228" s="48">
        <v>1</v>
      </c>
      <c r="D228" s="64">
        <f>((100/I218)*C228)/100</f>
        <v>1</v>
      </c>
      <c r="E228" s="64"/>
      <c r="F228" s="64"/>
      <c r="G228" s="64"/>
      <c r="H228" s="64"/>
      <c r="I228" s="64"/>
      <c r="J228" s="64"/>
      <c r="K228" s="46" t="s">
        <v>202</v>
      </c>
      <c r="L228" s="51">
        <f>(IF(B218&gt;4,(I218/(B218+2)+L227),0))</f>
        <v>0</v>
      </c>
    </row>
    <row r="229" spans="1:12" ht="15" hidden="1" customHeight="1" x14ac:dyDescent="0.35">
      <c r="A229" s="63" t="s">
        <v>203</v>
      </c>
      <c r="B229" s="63" t="s">
        <v>203</v>
      </c>
      <c r="C229" s="48">
        <v>1</v>
      </c>
      <c r="D229" s="64">
        <f>((100/(I218))*C229)/100</f>
        <v>1</v>
      </c>
      <c r="E229" s="64"/>
      <c r="F229" s="64"/>
      <c r="G229" s="64"/>
      <c r="H229" s="64"/>
      <c r="I229" s="64"/>
      <c r="J229" s="64"/>
      <c r="K229" s="46" t="s">
        <v>204</v>
      </c>
      <c r="L229" s="51">
        <f>(IF(B218=1,(I218/(B218+3)+L224),IF(B218=0,(I218/4+L224),IF(B218&gt;1,0))))</f>
        <v>0.75</v>
      </c>
    </row>
    <row r="230" spans="1:12" ht="15" hidden="1" customHeight="1" thickBot="1" x14ac:dyDescent="0.4">
      <c r="A230" s="63" t="s">
        <v>205</v>
      </c>
      <c r="B230" s="63"/>
      <c r="C230" s="48">
        <v>1</v>
      </c>
      <c r="D230" s="64">
        <f>((100/(I218))*C230)/100</f>
        <v>1</v>
      </c>
      <c r="E230" s="64"/>
      <c r="F230" s="64"/>
      <c r="G230" s="64"/>
      <c r="H230" s="64"/>
      <c r="I230" s="64"/>
      <c r="J230" s="64"/>
      <c r="K230" s="54" t="s">
        <v>206</v>
      </c>
      <c r="L230" s="55">
        <f>(IF(B218&gt;1.5,(I218/(B218+2)+L224+MAX(0,L225-L224)+MAX(0,L226-L225)+MAX(0,L227-L226)+MAX(0,L228-L227)+MAX(0,L229-L228)),IF(B218=1,(I218/(B218+3)+L229),IF(B218=0,I218/4+L229))))</f>
        <v>1</v>
      </c>
    </row>
    <row r="231" spans="1:12" ht="15" hidden="1" customHeight="1" x14ac:dyDescent="0.35">
      <c r="A231" s="152" t="s">
        <v>174</v>
      </c>
      <c r="B231" s="152"/>
      <c r="C231" s="117" t="s">
        <v>299</v>
      </c>
      <c r="D231" s="117"/>
      <c r="E231" s="117"/>
      <c r="F231" s="117"/>
      <c r="G231" s="117"/>
      <c r="H231" s="117"/>
      <c r="I231" s="117"/>
      <c r="J231" s="117"/>
      <c r="K231" s="24" t="str">
        <f>(IF(F235&gt;99%,"All work completed. Please provide OC.",IF(F235&gt;89.8%,"Plinth, RCC, Brick, Plaster, Flooring, Painting work Completed. Finishing work is in process.",IF(F235&lt;94%,(IF(C235=0,"Work not yet Started.",IF(D235=25%,"Piling work in process",IF(D235=50%,"Excavation work in process",IF(D235=100%,"Excavation work Completed. ","0")))&amp;(IF(C236=0%,"",IF(C236=L237,"Footing work is process",IF(C236=L238,"Footing work Completed",IF(C236=L239,"1st Basement Completed",IF(C236=L240,"1st &amp; 2nd Basement Completed",IF(C236=L241,"1st to 3rd Basement Completed",IF(C236=L242,"1st to 4th Basement Completed",IF(C236=L243,"Plinth work is process",IF(C236=L244,"Plinth work completed","0")))))))))))&amp;(IF(C237=(D232+G232+I232),", RCC Slab",IF(C237&gt;0,", RCC upto "&amp;C237&amp;" Slab",""))&amp;(IF(C238=I232,", Brickwork",IF(C238&gt;0,", Brickwork upto "&amp;C238&amp;" Floor",""))&amp;(IF(C239=I232,", Internal Plaster",IF(C239&gt;0,", Internal Plaster upto "&amp;C239&amp;" Floor",""))&amp;(IF(C240=I232,", External Plaster",IF(C240&gt;0,", External Plaster upto "&amp;C240&amp;" Floor",""))&amp;(IF(C241=I232,", Flooring",IF(C241&gt;0,", Flooring upto "&amp;C241&amp;" Floor",""))&amp;(IF(C242=I232,", Painting",IF(C242&gt;0,", Painting upto "&amp;C242&amp;" Floor",""))&amp;(IF(C243&gt;0,", Finishing upto "&amp;C243&amp;" Floor","")&amp;(IF(C237&gt;0.5," Completed",""))))))))))))))</f>
        <v>All work completed. Please provide OC.</v>
      </c>
      <c r="L231" s="25"/>
    </row>
    <row r="232" spans="1:12" ht="15" hidden="1" customHeight="1" x14ac:dyDescent="0.35">
      <c r="A232" s="26" t="s">
        <v>175</v>
      </c>
      <c r="B232" s="26">
        <v>0</v>
      </c>
      <c r="C232" s="26" t="s">
        <v>176</v>
      </c>
      <c r="D232" s="26">
        <v>1</v>
      </c>
      <c r="E232" s="105" t="s">
        <v>177</v>
      </c>
      <c r="F232" s="105"/>
      <c r="G232" s="26">
        <v>0</v>
      </c>
      <c r="H232" s="26" t="s">
        <v>178</v>
      </c>
      <c r="I232" s="105">
        <v>1</v>
      </c>
      <c r="J232" s="105"/>
      <c r="K232" s="27"/>
      <c r="L232" s="28"/>
    </row>
    <row r="233" spans="1:12" hidden="1" x14ac:dyDescent="0.35">
      <c r="A233" s="116" t="s">
        <v>179</v>
      </c>
      <c r="B233" s="116"/>
      <c r="C233" s="117" t="str">
        <f>K231</f>
        <v>All work completed. Please provide OC.</v>
      </c>
      <c r="D233" s="117"/>
      <c r="E233" s="117"/>
      <c r="F233" s="117"/>
      <c r="G233" s="117"/>
      <c r="H233" s="117"/>
      <c r="I233" s="117"/>
      <c r="J233" s="117"/>
      <c r="K233" s="27" t="s">
        <v>180</v>
      </c>
      <c r="L233" s="28"/>
    </row>
    <row r="234" spans="1:12" ht="15" hidden="1" customHeight="1" x14ac:dyDescent="0.35">
      <c r="A234" s="63" t="s">
        <v>26</v>
      </c>
      <c r="B234" s="63"/>
      <c r="C234" s="45" t="s">
        <v>181</v>
      </c>
      <c r="D234" s="63" t="s">
        <v>182</v>
      </c>
      <c r="E234" s="63"/>
      <c r="F234" s="63" t="s">
        <v>183</v>
      </c>
      <c r="G234" s="63"/>
      <c r="H234" s="63" t="s">
        <v>184</v>
      </c>
      <c r="I234" s="63"/>
      <c r="J234" s="63"/>
      <c r="K234" s="46" t="s">
        <v>185</v>
      </c>
      <c r="L234" s="47">
        <f>I232*25%</f>
        <v>0.25</v>
      </c>
    </row>
    <row r="235" spans="1:12" ht="15" hidden="1" customHeight="1" x14ac:dyDescent="0.35">
      <c r="A235" s="63" t="s">
        <v>186</v>
      </c>
      <c r="B235" s="63"/>
      <c r="C235" s="48">
        <f>L236</f>
        <v>1</v>
      </c>
      <c r="D235" s="64">
        <f>((100/I232)*C235)/100</f>
        <v>1</v>
      </c>
      <c r="E235" s="64"/>
      <c r="F235" s="64">
        <f>(((C236/I232*10)+(40/(D232+G232+I232)*C237)+(7.5/(I232)*C238)+(7.5/(I232)*C239)+(10/I232*C240)+(10/I232*C241)+(5/I232*C242)+(5/I232*C243)+(5/I232*C244))/100)</f>
        <v>1</v>
      </c>
      <c r="G235" s="64"/>
      <c r="H235" s="64">
        <f>((((C235/I232)*20)+((C236/I232)*25)+(30/(I232+G232+D232)*C237)+(5/I232*C238)+(5/I232*C239)+(5/I232*C240)+(5/I232*C241)+(0/I232*C242)+(0/I232*C243)+(5/I232*C244))/100)</f>
        <v>1</v>
      </c>
      <c r="I235" s="64"/>
      <c r="J235" s="64"/>
      <c r="K235" s="46" t="s">
        <v>187</v>
      </c>
      <c r="L235" s="49">
        <f>I232*50%</f>
        <v>0.5</v>
      </c>
    </row>
    <row r="236" spans="1:12" ht="15" hidden="1" customHeight="1" x14ac:dyDescent="0.35">
      <c r="A236" s="63" t="s">
        <v>27</v>
      </c>
      <c r="B236" s="63"/>
      <c r="C236" s="50">
        <f>L244</f>
        <v>1</v>
      </c>
      <c r="D236" s="64">
        <f>((100/I232)*C236)/100</f>
        <v>1</v>
      </c>
      <c r="E236" s="64"/>
      <c r="F236" s="64"/>
      <c r="G236" s="64"/>
      <c r="H236" s="64"/>
      <c r="I236" s="64"/>
      <c r="J236" s="64"/>
      <c r="K236" s="46" t="s">
        <v>188</v>
      </c>
      <c r="L236" s="49">
        <f>I232</f>
        <v>1</v>
      </c>
    </row>
    <row r="237" spans="1:12" ht="15" hidden="1" customHeight="1" x14ac:dyDescent="0.35">
      <c r="A237" s="105" t="s">
        <v>189</v>
      </c>
      <c r="B237" s="105"/>
      <c r="C237" s="50">
        <v>2</v>
      </c>
      <c r="D237" s="64">
        <f>((100/(D232+G232+I232))*C237)/100</f>
        <v>1</v>
      </c>
      <c r="E237" s="64"/>
      <c r="F237" s="64"/>
      <c r="G237" s="64"/>
      <c r="H237" s="64"/>
      <c r="I237" s="64"/>
      <c r="J237" s="64"/>
      <c r="K237" s="46" t="s">
        <v>190</v>
      </c>
      <c r="L237" s="51">
        <f>(IF(B232&gt;1,(I232/(B232+2)),I232/4))</f>
        <v>0.25</v>
      </c>
    </row>
    <row r="238" spans="1:12" ht="15" hidden="1" customHeight="1" x14ac:dyDescent="0.35">
      <c r="A238" s="63" t="s">
        <v>191</v>
      </c>
      <c r="B238" s="63" t="s">
        <v>192</v>
      </c>
      <c r="C238" s="48">
        <v>1</v>
      </c>
      <c r="D238" s="64">
        <f>((100/I232)*C238)/100</f>
        <v>1</v>
      </c>
      <c r="E238" s="64"/>
      <c r="F238" s="64"/>
      <c r="G238" s="64"/>
      <c r="H238" s="64"/>
      <c r="I238" s="64"/>
      <c r="J238" s="64"/>
      <c r="K238" s="46" t="s">
        <v>193</v>
      </c>
      <c r="L238" s="51">
        <f>(IF(B232&gt;1,(I232/(B232+2)+L237),I232/4+L237))</f>
        <v>0.5</v>
      </c>
    </row>
    <row r="239" spans="1:12" ht="15" hidden="1" customHeight="1" x14ac:dyDescent="0.35">
      <c r="A239" s="63" t="s">
        <v>194</v>
      </c>
      <c r="B239" s="63" t="s">
        <v>192</v>
      </c>
      <c r="C239" s="48">
        <v>1</v>
      </c>
      <c r="D239" s="64">
        <f>((100/I232)*C239)/100</f>
        <v>1</v>
      </c>
      <c r="E239" s="64"/>
      <c r="F239" s="64"/>
      <c r="G239" s="64"/>
      <c r="H239" s="64"/>
      <c r="I239" s="64"/>
      <c r="J239" s="64"/>
      <c r="K239" s="46" t="s">
        <v>195</v>
      </c>
      <c r="L239" s="51">
        <f>(IF(B232&gt;1,(I232/(B232+2)+L238),0))</f>
        <v>0</v>
      </c>
    </row>
    <row r="240" spans="1:12" ht="15" hidden="1" customHeight="1" x14ac:dyDescent="0.35">
      <c r="A240" s="63" t="s">
        <v>196</v>
      </c>
      <c r="B240" s="63" t="s">
        <v>197</v>
      </c>
      <c r="C240" s="48">
        <v>1</v>
      </c>
      <c r="D240" s="64">
        <f>((100/(I232))*C240)/100</f>
        <v>1</v>
      </c>
      <c r="E240" s="64"/>
      <c r="F240" s="64"/>
      <c r="G240" s="64"/>
      <c r="H240" s="64"/>
      <c r="I240" s="64"/>
      <c r="J240" s="64"/>
      <c r="K240" s="46" t="s">
        <v>198</v>
      </c>
      <c r="L240" s="51">
        <f>(IF(B232&gt;2,(I232/(B232+2)+L239),0))</f>
        <v>0</v>
      </c>
    </row>
    <row r="241" spans="1:12" ht="15" hidden="1" customHeight="1" x14ac:dyDescent="0.35">
      <c r="A241" s="63" t="s">
        <v>199</v>
      </c>
      <c r="B241" s="63" t="s">
        <v>199</v>
      </c>
      <c r="C241" s="48">
        <v>1</v>
      </c>
      <c r="D241" s="64">
        <f>((100/I232)*C241)/100</f>
        <v>1</v>
      </c>
      <c r="E241" s="64"/>
      <c r="F241" s="64"/>
      <c r="G241" s="64"/>
      <c r="H241" s="64"/>
      <c r="I241" s="64"/>
      <c r="J241" s="64"/>
      <c r="K241" s="46" t="s">
        <v>200</v>
      </c>
      <c r="L241" s="52">
        <f>(IF(B232&gt;3,(I232/(B232+2)+L240),0))</f>
        <v>0</v>
      </c>
    </row>
    <row r="242" spans="1:12" ht="15" hidden="1" customHeight="1" x14ac:dyDescent="0.35">
      <c r="A242" s="63" t="s">
        <v>201</v>
      </c>
      <c r="B242" s="63"/>
      <c r="C242" s="48">
        <v>1</v>
      </c>
      <c r="D242" s="64">
        <f>((100/I232)*C242)/100</f>
        <v>1</v>
      </c>
      <c r="E242" s="64"/>
      <c r="F242" s="64"/>
      <c r="G242" s="64"/>
      <c r="H242" s="64"/>
      <c r="I242" s="64"/>
      <c r="J242" s="64"/>
      <c r="K242" s="46" t="s">
        <v>202</v>
      </c>
      <c r="L242" s="51">
        <f>(IF(B232&gt;4,(I232/(B232+2)+L241),0))</f>
        <v>0</v>
      </c>
    </row>
    <row r="243" spans="1:12" ht="15" hidden="1" customHeight="1" x14ac:dyDescent="0.35">
      <c r="A243" s="63" t="s">
        <v>203</v>
      </c>
      <c r="B243" s="63" t="s">
        <v>203</v>
      </c>
      <c r="C243" s="48">
        <v>1</v>
      </c>
      <c r="D243" s="64">
        <f>((100/(I232))*C243)/100</f>
        <v>1</v>
      </c>
      <c r="E243" s="64"/>
      <c r="F243" s="64"/>
      <c r="G243" s="64"/>
      <c r="H243" s="64"/>
      <c r="I243" s="64"/>
      <c r="J243" s="64"/>
      <c r="K243" s="46" t="s">
        <v>204</v>
      </c>
      <c r="L243" s="51">
        <f>(IF(B232=1,(I232/(B232+3)+L238),IF(B232=0,(I232/4+L238),IF(B232&gt;1,0))))</f>
        <v>0.75</v>
      </c>
    </row>
    <row r="244" spans="1:12" ht="15" hidden="1" customHeight="1" thickBot="1" x14ac:dyDescent="0.4">
      <c r="A244" s="63" t="s">
        <v>205</v>
      </c>
      <c r="B244" s="63"/>
      <c r="C244" s="48">
        <v>1</v>
      </c>
      <c r="D244" s="64">
        <f>((100/(I232))*C244)/100</f>
        <v>1</v>
      </c>
      <c r="E244" s="64"/>
      <c r="F244" s="64"/>
      <c r="G244" s="64"/>
      <c r="H244" s="64"/>
      <c r="I244" s="64"/>
      <c r="J244" s="64"/>
      <c r="K244" s="54" t="s">
        <v>206</v>
      </c>
      <c r="L244" s="55">
        <f>(IF(B232&gt;1.5,(I232/(B232+2)+L238+MAX(0,L239-L238)+MAX(0,L240-L239)+MAX(0,L241-L240)+MAX(0,L242-L241)+MAX(0,L243-L242)),IF(B232=1,(I232/(B232+3)+L243),IF(B232=0,I232/4+L243))))</f>
        <v>1</v>
      </c>
    </row>
    <row r="245" spans="1:12" ht="15" customHeight="1" x14ac:dyDescent="0.35">
      <c r="A245" s="152" t="s">
        <v>174</v>
      </c>
      <c r="B245" s="152"/>
      <c r="C245" s="117" t="s">
        <v>300</v>
      </c>
      <c r="D245" s="117"/>
      <c r="E245" s="117"/>
      <c r="F245" s="117"/>
      <c r="G245" s="117"/>
      <c r="H245" s="117"/>
      <c r="I245" s="117"/>
      <c r="J245" s="117"/>
      <c r="K245" s="24" t="str">
        <f>(IF(F249&gt;99%,"All work completed. Please provide OC.",IF(F249&gt;89.8%,"Plinth, RCC, Brick, Plaster, Flooring, Painting work Completed. Finishing work is in process.",IF(F249&lt;94%,(IF(C249=0,"Work not yet Started.",IF(D249=25%,"Piling work in process",IF(D249=50%,"Excavation work in process",IF(D249=100%,"Excavation work Completed. ","0")))&amp;(IF(C250=0%,"",IF(C250=L251,"Footing work is process",IF(C250=L252,"Footing work Completed",IF(C250=L253,"1st Basement Completed",IF(C250=L254,"1st &amp; 2nd Basement Completed",IF(C250=L255,"1st to 3rd Basement Completed",IF(C250=L256,"1st to 4th Basement Completed",IF(C250=L257,"Plinth work is process",IF(C250=L258,"Plinth work completed","0")))))))))))&amp;(IF(C251=(D246+G246+I246),", RCC Slab",IF(C251&gt;0,", RCC upto "&amp;C251&amp;" Slab",""))&amp;(IF(C252=I246,", Brickwork",IF(C252&gt;0,", Brickwork upto "&amp;C252&amp;" Floor",""))&amp;(IF(C253=I246,", Internal Plaster",IF(C253&gt;0,", Internal Plaster upto "&amp;C253&amp;" Floor",""))&amp;(IF(C254=I246,", External Plaster",IF(C254&gt;0,", External Plaster upto "&amp;C254&amp;" Floor",""))&amp;(IF(C255=I246,", Flooring",IF(C255&gt;0,", Flooring upto "&amp;C255&amp;" Floor",""))&amp;(IF(C256=I246,", Painting",IF(C256&gt;0,", Painting upto "&amp;C256&amp;" Floor",""))&amp;(IF(C257&gt;0,", Finishing upto "&amp;C257&amp;" Floor","")&amp;(IF(C251&gt;0.5," Completed",""))))))))))))))</f>
        <v>Plinth, RCC, Brick, Plaster, Flooring, Painting work Completed. Finishing work is in process.</v>
      </c>
      <c r="L245" s="25"/>
    </row>
    <row r="246" spans="1:12" ht="15" customHeight="1" x14ac:dyDescent="0.35">
      <c r="A246" s="26" t="s">
        <v>175</v>
      </c>
      <c r="B246" s="26">
        <v>0</v>
      </c>
      <c r="C246" s="26" t="s">
        <v>176</v>
      </c>
      <c r="D246" s="26">
        <v>1</v>
      </c>
      <c r="E246" s="105" t="s">
        <v>177</v>
      </c>
      <c r="F246" s="105"/>
      <c r="G246" s="26">
        <v>0</v>
      </c>
      <c r="H246" s="26" t="s">
        <v>178</v>
      </c>
      <c r="I246" s="105">
        <v>1</v>
      </c>
      <c r="J246" s="105"/>
      <c r="K246" s="27"/>
      <c r="L246" s="28"/>
    </row>
    <row r="247" spans="1:12" x14ac:dyDescent="0.35">
      <c r="A247" s="116" t="s">
        <v>179</v>
      </c>
      <c r="B247" s="116"/>
      <c r="C247" s="117" t="str">
        <f>K245</f>
        <v>Plinth, RCC, Brick, Plaster, Flooring, Painting work Completed. Finishing work is in process.</v>
      </c>
      <c r="D247" s="117"/>
      <c r="E247" s="117"/>
      <c r="F247" s="117"/>
      <c r="G247" s="117"/>
      <c r="H247" s="117"/>
      <c r="I247" s="117"/>
      <c r="J247" s="117"/>
      <c r="K247" s="27" t="s">
        <v>180</v>
      </c>
      <c r="L247" s="28"/>
    </row>
    <row r="248" spans="1:12" ht="15" customHeight="1" x14ac:dyDescent="0.35">
      <c r="A248" s="63" t="s">
        <v>26</v>
      </c>
      <c r="B248" s="63"/>
      <c r="C248" s="45" t="s">
        <v>181</v>
      </c>
      <c r="D248" s="63" t="s">
        <v>182</v>
      </c>
      <c r="E248" s="63"/>
      <c r="F248" s="63" t="s">
        <v>183</v>
      </c>
      <c r="G248" s="63"/>
      <c r="H248" s="63" t="s">
        <v>184</v>
      </c>
      <c r="I248" s="63"/>
      <c r="J248" s="63"/>
      <c r="K248" s="46" t="s">
        <v>185</v>
      </c>
      <c r="L248" s="47">
        <f>I246*25%</f>
        <v>0.25</v>
      </c>
    </row>
    <row r="249" spans="1:12" ht="15" customHeight="1" x14ac:dyDescent="0.35">
      <c r="A249" s="63" t="s">
        <v>186</v>
      </c>
      <c r="B249" s="63"/>
      <c r="C249" s="48">
        <f>L250</f>
        <v>1</v>
      </c>
      <c r="D249" s="64">
        <f>((100/I246)*C249)/100</f>
        <v>1</v>
      </c>
      <c r="E249" s="64"/>
      <c r="F249" s="64">
        <f>(((C250/I246*10)+(40/(D246+G246+I246)*C251)+(7.5/(I246)*C252)+(7.5/(I246)*C253)+(10/I246*C254)+(10/I246*C255)+(5/I246*C256)+(5/I246*C257)+(5/I246*C258))/100)</f>
        <v>0.91500000000000004</v>
      </c>
      <c r="G249" s="64"/>
      <c r="H249" s="64">
        <f>((((C249/I246)*20)+((C250/I246)*25)+(30/(I246+G246+D246)*C251)+(5/I246*C252)+(5/I246*C253)+(5/I246*C254)+(5/I246*C255)+(0/I246*C256)+(0/I246*C257)+(5/I246*C258))/100)</f>
        <v>0.95</v>
      </c>
      <c r="I249" s="64"/>
      <c r="J249" s="64"/>
      <c r="K249" s="46" t="s">
        <v>187</v>
      </c>
      <c r="L249" s="49">
        <f>I246*50%</f>
        <v>0.5</v>
      </c>
    </row>
    <row r="250" spans="1:12" ht="15" customHeight="1" x14ac:dyDescent="0.35">
      <c r="A250" s="63" t="s">
        <v>27</v>
      </c>
      <c r="B250" s="63"/>
      <c r="C250" s="50">
        <f>L258</f>
        <v>1</v>
      </c>
      <c r="D250" s="64">
        <f>((100/I246)*C250)/100</f>
        <v>1</v>
      </c>
      <c r="E250" s="64"/>
      <c r="F250" s="64"/>
      <c r="G250" s="64"/>
      <c r="H250" s="64"/>
      <c r="I250" s="64"/>
      <c r="J250" s="64"/>
      <c r="K250" s="46" t="s">
        <v>188</v>
      </c>
      <c r="L250" s="49">
        <f>I246</f>
        <v>1</v>
      </c>
    </row>
    <row r="251" spans="1:12" ht="15" customHeight="1" x14ac:dyDescent="0.35">
      <c r="A251" s="105" t="s">
        <v>189</v>
      </c>
      <c r="B251" s="105"/>
      <c r="C251" s="50">
        <v>2</v>
      </c>
      <c r="D251" s="64">
        <f>((100/(D246+G246+I246))*C251)/100</f>
        <v>1</v>
      </c>
      <c r="E251" s="64"/>
      <c r="F251" s="64"/>
      <c r="G251" s="64"/>
      <c r="H251" s="64"/>
      <c r="I251" s="64"/>
      <c r="J251" s="64"/>
      <c r="K251" s="46" t="s">
        <v>190</v>
      </c>
      <c r="L251" s="51">
        <f>(IF(B246&gt;1,(I246/(B246+2)),I246/4))</f>
        <v>0.25</v>
      </c>
    </row>
    <row r="252" spans="1:12" ht="15" customHeight="1" x14ac:dyDescent="0.35">
      <c r="A252" s="63" t="s">
        <v>191</v>
      </c>
      <c r="B252" s="63" t="s">
        <v>192</v>
      </c>
      <c r="C252" s="48">
        <v>1</v>
      </c>
      <c r="D252" s="64">
        <f>((100/I246)*C252)/100</f>
        <v>1</v>
      </c>
      <c r="E252" s="64"/>
      <c r="F252" s="64"/>
      <c r="G252" s="64"/>
      <c r="H252" s="64"/>
      <c r="I252" s="64"/>
      <c r="J252" s="64"/>
      <c r="K252" s="46" t="s">
        <v>193</v>
      </c>
      <c r="L252" s="51">
        <f>(IF(B246&gt;1,(I246/(B246+2)+L251),I246/4+L251))</f>
        <v>0.5</v>
      </c>
    </row>
    <row r="253" spans="1:12" ht="15" customHeight="1" x14ac:dyDescent="0.35">
      <c r="A253" s="63" t="s">
        <v>194</v>
      </c>
      <c r="B253" s="63" t="s">
        <v>192</v>
      </c>
      <c r="C253" s="48">
        <v>1</v>
      </c>
      <c r="D253" s="64">
        <f>((100/I246)*C253)/100</f>
        <v>1</v>
      </c>
      <c r="E253" s="64"/>
      <c r="F253" s="64"/>
      <c r="G253" s="64"/>
      <c r="H253" s="64"/>
      <c r="I253" s="64"/>
      <c r="J253" s="64"/>
      <c r="K253" s="46" t="s">
        <v>195</v>
      </c>
      <c r="L253" s="51">
        <f>(IF(B246&gt;1,(I246/(B246+2)+L252),0))</f>
        <v>0</v>
      </c>
    </row>
    <row r="254" spans="1:12" ht="15" customHeight="1" x14ac:dyDescent="0.35">
      <c r="A254" s="63" t="s">
        <v>196</v>
      </c>
      <c r="B254" s="63" t="s">
        <v>197</v>
      </c>
      <c r="C254" s="48">
        <v>1</v>
      </c>
      <c r="D254" s="64">
        <f>((100/(I246))*C254)/100</f>
        <v>1</v>
      </c>
      <c r="E254" s="64"/>
      <c r="F254" s="64"/>
      <c r="G254" s="64"/>
      <c r="H254" s="64"/>
      <c r="I254" s="64"/>
      <c r="J254" s="64"/>
      <c r="K254" s="46" t="s">
        <v>198</v>
      </c>
      <c r="L254" s="51">
        <f>(IF(B246&gt;2,(I246/(B246+2)+L253),0))</f>
        <v>0</v>
      </c>
    </row>
    <row r="255" spans="1:12" ht="15" customHeight="1" x14ac:dyDescent="0.35">
      <c r="A255" s="63" t="s">
        <v>199</v>
      </c>
      <c r="B255" s="63" t="s">
        <v>199</v>
      </c>
      <c r="C255" s="48">
        <v>1</v>
      </c>
      <c r="D255" s="64">
        <f>((100/I246)*C255)/100</f>
        <v>1</v>
      </c>
      <c r="E255" s="64"/>
      <c r="F255" s="64"/>
      <c r="G255" s="64"/>
      <c r="H255" s="64"/>
      <c r="I255" s="64"/>
      <c r="J255" s="64"/>
      <c r="K255" s="46" t="s">
        <v>200</v>
      </c>
      <c r="L255" s="52">
        <f>(IF(B246&gt;3,(I246/(B246+2)+L254),0))</f>
        <v>0</v>
      </c>
    </row>
    <row r="256" spans="1:12" ht="15" customHeight="1" x14ac:dyDescent="0.35">
      <c r="A256" s="63" t="s">
        <v>201</v>
      </c>
      <c r="B256" s="63"/>
      <c r="C256" s="48">
        <v>1</v>
      </c>
      <c r="D256" s="64">
        <f>((100/I246)*C256)/100</f>
        <v>1</v>
      </c>
      <c r="E256" s="64"/>
      <c r="F256" s="64"/>
      <c r="G256" s="64"/>
      <c r="H256" s="64"/>
      <c r="I256" s="64"/>
      <c r="J256" s="64"/>
      <c r="K256" s="46" t="s">
        <v>202</v>
      </c>
      <c r="L256" s="51">
        <f>(IF(B246&gt;4,(I246/(B246+2)+L255),0))</f>
        <v>0</v>
      </c>
    </row>
    <row r="257" spans="1:12" ht="15" customHeight="1" x14ac:dyDescent="0.35">
      <c r="A257" s="63" t="s">
        <v>203</v>
      </c>
      <c r="B257" s="63" t="s">
        <v>203</v>
      </c>
      <c r="C257" s="48">
        <v>0.3</v>
      </c>
      <c r="D257" s="64">
        <f>((100/(I246))*C257)/100</f>
        <v>0.3</v>
      </c>
      <c r="E257" s="64"/>
      <c r="F257" s="64"/>
      <c r="G257" s="64"/>
      <c r="H257" s="64"/>
      <c r="I257" s="64"/>
      <c r="J257" s="64"/>
      <c r="K257" s="46" t="s">
        <v>204</v>
      </c>
      <c r="L257" s="51">
        <f>(IF(B246=1,(I246/(B246+3)+L252),IF(B246=0,(I246/4+L252),IF(B246&gt;1,0))))</f>
        <v>0.75</v>
      </c>
    </row>
    <row r="258" spans="1:12" ht="15" customHeight="1" thickBot="1" x14ac:dyDescent="0.4">
      <c r="A258" s="63" t="s">
        <v>205</v>
      </c>
      <c r="B258" s="63"/>
      <c r="C258" s="48">
        <v>0</v>
      </c>
      <c r="D258" s="64">
        <f>((100/(I246))*C258)/100</f>
        <v>0</v>
      </c>
      <c r="E258" s="64"/>
      <c r="F258" s="64"/>
      <c r="G258" s="64"/>
      <c r="H258" s="64"/>
      <c r="I258" s="64"/>
      <c r="J258" s="64"/>
      <c r="K258" s="54" t="s">
        <v>206</v>
      </c>
      <c r="L258" s="55">
        <f>(IF(B246&gt;1.5,(I246/(B246+2)+L252+MAX(0,L253-L252)+MAX(0,L254-L253)+MAX(0,L255-L254)+MAX(0,L256-L255)+MAX(0,L257-L256)),IF(B246=1,(I246/(B246+3)+L257),IF(B246=0,I246/4+L257))))</f>
        <v>1</v>
      </c>
    </row>
    <row r="259" spans="1:12" ht="15" customHeight="1" x14ac:dyDescent="0.35">
      <c r="A259" s="152" t="s">
        <v>174</v>
      </c>
      <c r="B259" s="152"/>
      <c r="C259" s="297" t="s">
        <v>303</v>
      </c>
      <c r="D259" s="297"/>
      <c r="E259" s="297"/>
      <c r="F259" s="297"/>
      <c r="G259" s="297"/>
      <c r="H259" s="297"/>
      <c r="I259" s="297"/>
      <c r="J259" s="297"/>
      <c r="K259" s="24" t="str">
        <f>(IF(F263&gt;99%,"All work completed. Please provide OC.",IF(F263&gt;89.8%,"Plinth, RCC, Brick, Plaster, Flooring, Painting work Completed. Finishing work is in process.",IF(F263&lt;94%,(IF(C263=0,"Work not yet Started.",IF(D263=25%,"Piling work in process",IF(D263=50%,"Excavation work in process",IF(D263=100%,"Excavation work Completed. ","0")))&amp;(IF(C264=0%,"",IF(C264=L265,"Footing work is process",IF(C264=L266,"Footing work Completed",IF(C264=L267,"1st Basement Completed",IF(C264=L268,"1st &amp; 2nd Basement Completed",IF(C264=L269,"1st to 3rd Basement Completed",IF(C264=L270,"1st to 4th Basement Completed",IF(C264=L271,"Plinth work is process",IF(C264=L272,"Plinth work completed","0")))))))))))&amp;(IF(C265=(D260+G260+I260),", RCC Slab",IF(C265&gt;0,", RCC upto "&amp;C265&amp;" Slab",""))&amp;(IF(C266=I260,", Brickwork",IF(C266&gt;0,", Brickwork upto "&amp;C266&amp;" Floor",""))&amp;(IF(C267=I260,", Internal Plaster",IF(C267&gt;0,", Internal Plaster upto "&amp;C267&amp;" Floor",""))&amp;(IF(C268=I260,", External Plaster",IF(C268&gt;0,", External Plaster upto "&amp;C268&amp;" Floor",""))&amp;(IF(C269=I260,", Flooring",IF(C269&gt;0,", Flooring upto "&amp;C269&amp;" Floor",""))&amp;(IF(C270=I260,", Painting",IF(C270&gt;0,", Painting upto "&amp;C270&amp;" Floor",""))&amp;(IF(C271&gt;0,", Finishing upto "&amp;C271&amp;" Floor","")&amp;(IF(C265&gt;0.5," Completed",""))))))))))))))</f>
        <v>Excavation work Completed. Plinth work completed, RCC Slab, Brickwork, Internal Plaster, External Plaster upto 0.5 Floor, Painting upto 0.3 Floor Completed</v>
      </c>
      <c r="L259" s="25"/>
    </row>
    <row r="260" spans="1:12" ht="15" customHeight="1" x14ac:dyDescent="0.35">
      <c r="A260" s="61" t="s">
        <v>175</v>
      </c>
      <c r="B260" s="61">
        <v>0</v>
      </c>
      <c r="C260" s="61" t="s">
        <v>176</v>
      </c>
      <c r="D260" s="58">
        <v>1</v>
      </c>
      <c r="E260" s="105" t="s">
        <v>177</v>
      </c>
      <c r="F260" s="105"/>
      <c r="G260" s="61">
        <v>0</v>
      </c>
      <c r="H260" s="61" t="s">
        <v>178</v>
      </c>
      <c r="I260" s="105">
        <v>1</v>
      </c>
      <c r="J260" s="105"/>
      <c r="K260" s="27"/>
      <c r="L260" s="28"/>
    </row>
    <row r="261" spans="1:12" ht="29.25" customHeight="1" x14ac:dyDescent="0.35">
      <c r="A261" s="116" t="s">
        <v>179</v>
      </c>
      <c r="B261" s="116"/>
      <c r="C261" s="117" t="str">
        <f>K259</f>
        <v>Excavation work Completed. Plinth work completed, RCC Slab, Brickwork, Internal Plaster, External Plaster upto 0.5 Floor, Painting upto 0.3 Floor Completed</v>
      </c>
      <c r="D261" s="117"/>
      <c r="E261" s="117"/>
      <c r="F261" s="117"/>
      <c r="G261" s="117"/>
      <c r="H261" s="117"/>
      <c r="I261" s="117"/>
      <c r="J261" s="117"/>
      <c r="K261" s="27" t="s">
        <v>180</v>
      </c>
      <c r="L261" s="28"/>
    </row>
    <row r="262" spans="1:12" ht="15" customHeight="1" x14ac:dyDescent="0.35">
      <c r="A262" s="63" t="s">
        <v>26</v>
      </c>
      <c r="B262" s="63"/>
      <c r="C262" s="60" t="s">
        <v>181</v>
      </c>
      <c r="D262" s="63" t="s">
        <v>182</v>
      </c>
      <c r="E262" s="63"/>
      <c r="F262" s="63" t="s">
        <v>183</v>
      </c>
      <c r="G262" s="63"/>
      <c r="H262" s="63" t="s">
        <v>184</v>
      </c>
      <c r="I262" s="63"/>
      <c r="J262" s="63"/>
      <c r="K262" s="46" t="s">
        <v>185</v>
      </c>
      <c r="L262" s="47">
        <f>I260*25%</f>
        <v>0.25</v>
      </c>
    </row>
    <row r="263" spans="1:12" ht="15" customHeight="1" x14ac:dyDescent="0.35">
      <c r="A263" s="63" t="s">
        <v>186</v>
      </c>
      <c r="B263" s="63"/>
      <c r="C263" s="48">
        <f>L264</f>
        <v>1</v>
      </c>
      <c r="D263" s="64">
        <f>((100/I260)*C263)/100</f>
        <v>1</v>
      </c>
      <c r="E263" s="64"/>
      <c r="F263" s="64">
        <f>(((C264/I260*10)+(40/(D260+G260+I260)*C265)+(7.5/(I260)*C266)+(7.5/(I260)*C267)+(10/I260*C268)+(10/I260*C269)+(5/I260*C270)+(5/I260*C271)+(5/I260*C272))/100)</f>
        <v>0.71499999999999997</v>
      </c>
      <c r="G263" s="64"/>
      <c r="H263" s="64">
        <f>((((C263/I260)*20)+((C264/I260)*25)+(30/(I260+G260+D260)*C265)+(5/I260*C266)+(5/I260*C267)+(5/I260*C268)+(5/I260*C269)+(0/I260*C270)+(0/I260*C271)+(5/I260*C272))/100)</f>
        <v>0.875</v>
      </c>
      <c r="I263" s="64"/>
      <c r="J263" s="64"/>
      <c r="K263" s="46" t="s">
        <v>187</v>
      </c>
      <c r="L263" s="49">
        <f>I260*50%</f>
        <v>0.5</v>
      </c>
    </row>
    <row r="264" spans="1:12" ht="15" customHeight="1" x14ac:dyDescent="0.35">
      <c r="A264" s="63" t="s">
        <v>27</v>
      </c>
      <c r="B264" s="63"/>
      <c r="C264" s="50">
        <f>L272</f>
        <v>1</v>
      </c>
      <c r="D264" s="64">
        <f>((100/I260)*C264)/100</f>
        <v>1</v>
      </c>
      <c r="E264" s="64"/>
      <c r="F264" s="64"/>
      <c r="G264" s="64"/>
      <c r="H264" s="64"/>
      <c r="I264" s="64"/>
      <c r="J264" s="64"/>
      <c r="K264" s="46" t="s">
        <v>188</v>
      </c>
      <c r="L264" s="49">
        <f>I260</f>
        <v>1</v>
      </c>
    </row>
    <row r="265" spans="1:12" ht="15" customHeight="1" x14ac:dyDescent="0.35">
      <c r="A265" s="105" t="s">
        <v>189</v>
      </c>
      <c r="B265" s="105"/>
      <c r="C265" s="50">
        <v>2</v>
      </c>
      <c r="D265" s="64">
        <f>((100/(D260+G260+I260))*C265)/100</f>
        <v>1</v>
      </c>
      <c r="E265" s="64"/>
      <c r="F265" s="64"/>
      <c r="G265" s="64"/>
      <c r="H265" s="64"/>
      <c r="I265" s="64"/>
      <c r="J265" s="64"/>
      <c r="K265" s="46" t="s">
        <v>190</v>
      </c>
      <c r="L265" s="51">
        <f>(IF(B260&gt;1,(I260/(B260+2)),I260/4))</f>
        <v>0.25</v>
      </c>
    </row>
    <row r="266" spans="1:12" ht="15" customHeight="1" x14ac:dyDescent="0.35">
      <c r="A266" s="63" t="s">
        <v>191</v>
      </c>
      <c r="B266" s="63" t="s">
        <v>192</v>
      </c>
      <c r="C266" s="48">
        <v>1</v>
      </c>
      <c r="D266" s="64">
        <f>((100/I260)*C266)/100</f>
        <v>1</v>
      </c>
      <c r="E266" s="64"/>
      <c r="F266" s="64"/>
      <c r="G266" s="64"/>
      <c r="H266" s="64"/>
      <c r="I266" s="64"/>
      <c r="J266" s="64"/>
      <c r="K266" s="46" t="s">
        <v>193</v>
      </c>
      <c r="L266" s="51">
        <f>(IF(B260&gt;1,(I260/(B260+2)+L265),I260/4+L265))</f>
        <v>0.5</v>
      </c>
    </row>
    <row r="267" spans="1:12" ht="15" customHeight="1" x14ac:dyDescent="0.35">
      <c r="A267" s="63" t="s">
        <v>194</v>
      </c>
      <c r="B267" s="63" t="s">
        <v>192</v>
      </c>
      <c r="C267" s="48">
        <v>1</v>
      </c>
      <c r="D267" s="64">
        <f>((100/I260)*C267)/100</f>
        <v>1</v>
      </c>
      <c r="E267" s="64"/>
      <c r="F267" s="64"/>
      <c r="G267" s="64"/>
      <c r="H267" s="64"/>
      <c r="I267" s="64"/>
      <c r="J267" s="64"/>
      <c r="K267" s="46" t="s">
        <v>195</v>
      </c>
      <c r="L267" s="51">
        <f>(IF(B260&gt;1,(I260/(B260+2)+L266),0))</f>
        <v>0</v>
      </c>
    </row>
    <row r="268" spans="1:12" ht="15" customHeight="1" x14ac:dyDescent="0.35">
      <c r="A268" s="63" t="s">
        <v>196</v>
      </c>
      <c r="B268" s="63" t="s">
        <v>197</v>
      </c>
      <c r="C268" s="48">
        <v>0.5</v>
      </c>
      <c r="D268" s="64">
        <f>((100/(I260))*C268)/100</f>
        <v>0.5</v>
      </c>
      <c r="E268" s="64"/>
      <c r="F268" s="64"/>
      <c r="G268" s="64"/>
      <c r="H268" s="64"/>
      <c r="I268" s="64"/>
      <c r="J268" s="64"/>
      <c r="K268" s="46" t="s">
        <v>198</v>
      </c>
      <c r="L268" s="51">
        <f>(IF(B260&gt;2,(I260/(B260+2)+L267),0))</f>
        <v>0</v>
      </c>
    </row>
    <row r="269" spans="1:12" ht="15" customHeight="1" x14ac:dyDescent="0.35">
      <c r="A269" s="63" t="s">
        <v>199</v>
      </c>
      <c r="B269" s="63" t="s">
        <v>199</v>
      </c>
      <c r="C269" s="48">
        <v>0</v>
      </c>
      <c r="D269" s="64">
        <f>((100/I260)*C269)/100</f>
        <v>0</v>
      </c>
      <c r="E269" s="64"/>
      <c r="F269" s="64"/>
      <c r="G269" s="64"/>
      <c r="H269" s="64"/>
      <c r="I269" s="64"/>
      <c r="J269" s="64"/>
      <c r="K269" s="46" t="s">
        <v>200</v>
      </c>
      <c r="L269" s="52">
        <f>(IF(B260&gt;3,(I260/(B260+2)+L268),0))</f>
        <v>0</v>
      </c>
    </row>
    <row r="270" spans="1:12" ht="15" customHeight="1" x14ac:dyDescent="0.35">
      <c r="A270" s="63" t="s">
        <v>201</v>
      </c>
      <c r="B270" s="63"/>
      <c r="C270" s="48">
        <v>0.3</v>
      </c>
      <c r="D270" s="64">
        <f>((100/I260)*C270)/100</f>
        <v>0.3</v>
      </c>
      <c r="E270" s="64"/>
      <c r="F270" s="64"/>
      <c r="G270" s="64"/>
      <c r="H270" s="64"/>
      <c r="I270" s="64"/>
      <c r="J270" s="64"/>
      <c r="K270" s="46" t="s">
        <v>202</v>
      </c>
      <c r="L270" s="51">
        <f>(IF(B260&gt;4,(I260/(B260+2)+L269),0))</f>
        <v>0</v>
      </c>
    </row>
    <row r="271" spans="1:12" ht="15" customHeight="1" x14ac:dyDescent="0.35">
      <c r="A271" s="63" t="s">
        <v>203</v>
      </c>
      <c r="B271" s="63" t="s">
        <v>203</v>
      </c>
      <c r="C271" s="48">
        <v>0</v>
      </c>
      <c r="D271" s="64">
        <f>((100/(I260))*C271)/100</f>
        <v>0</v>
      </c>
      <c r="E271" s="64"/>
      <c r="F271" s="64"/>
      <c r="G271" s="64"/>
      <c r="H271" s="64"/>
      <c r="I271" s="64"/>
      <c r="J271" s="64"/>
      <c r="K271" s="46" t="s">
        <v>204</v>
      </c>
      <c r="L271" s="51">
        <f>(IF(B260=1,(I260/(B260+3)+L266),IF(B260=0,(I260/4+L266),IF(B260&gt;1,0))))</f>
        <v>0.75</v>
      </c>
    </row>
    <row r="272" spans="1:12" ht="15" customHeight="1" thickBot="1" x14ac:dyDescent="0.4">
      <c r="A272" s="63" t="s">
        <v>205</v>
      </c>
      <c r="B272" s="63"/>
      <c r="C272" s="48">
        <v>0</v>
      </c>
      <c r="D272" s="64">
        <f>((100/(I260))*C272)/100</f>
        <v>0</v>
      </c>
      <c r="E272" s="64"/>
      <c r="F272" s="64"/>
      <c r="G272" s="64"/>
      <c r="H272" s="64"/>
      <c r="I272" s="64"/>
      <c r="J272" s="64"/>
      <c r="K272" s="54" t="s">
        <v>206</v>
      </c>
      <c r="L272" s="55">
        <f>(IF(B260&gt;1.5,(I260/(B260+2)+L266+MAX(0,L267-L266)+MAX(0,L268-L267)+MAX(0,L269-L268)+MAX(0,L270-L269)+MAX(0,L271-L270)),IF(B260=1,(I260/(B260+3)+L271),IF(B260=0,I260/4+L271))))</f>
        <v>1</v>
      </c>
    </row>
    <row r="273" spans="1:12" ht="15" customHeight="1" x14ac:dyDescent="0.35">
      <c r="A273" s="152" t="s">
        <v>174</v>
      </c>
      <c r="B273" s="152"/>
      <c r="C273" s="117" t="s">
        <v>312</v>
      </c>
      <c r="D273" s="117"/>
      <c r="E273" s="117"/>
      <c r="F273" s="117"/>
      <c r="G273" s="117"/>
      <c r="H273" s="117"/>
      <c r="I273" s="117"/>
      <c r="J273" s="117"/>
      <c r="K273" s="24" t="str">
        <f>(IF(F277&gt;99%,"All work completed. Please provide OC.",IF(F277&gt;89.8%,"Plinth, RCC, Brick, Plaster, Flooring, Painting work Completed. Finishing work is in process.",IF(F277&lt;94%,(IF(C277=0,"Work not yet Started.",IF(D277=25%,"Piling work in process",IF(D277=50%,"Excavation work in process",IF(D277=100%,"Excavation work Completed. ","0")))&amp;(IF(C278=0%,"",IF(C278=L279,"Footing work is process",IF(C278=L280,"Footing work Completed",IF(C278=L281,"1st Basement Completed",IF(C278=L282,"1st &amp; 2nd Basement Completed",IF(C278=L283,"1st to 3rd Basement Completed",IF(C278=L284,"1st to 4th Basement Completed",IF(C278=L285,"Plinth work is process",IF(C278=L286,"Plinth work completed","0")))))))))))&amp;(IF(C279=(D274+G274+I274),", RCC Slab",IF(C279&gt;0,", RCC upto "&amp;C279&amp;" Slab",""))&amp;(IF(C280=I274,", Brickwork",IF(C280&gt;0,", Brickwork upto "&amp;C280&amp;" Floor",""))&amp;(IF(C281=I274,", Internal Plaster",IF(C281&gt;0,", Internal Plaster upto "&amp;C281&amp;" Floor",""))&amp;(IF(C282=I274,", External Plaster",IF(C282&gt;0,", External Plaster upto "&amp;C282&amp;" Floor",""))&amp;(IF(C283=I274,", Flooring",IF(C283&gt;0,", Flooring upto "&amp;C283&amp;" Floor",""))&amp;(IF(C284=I274,", Painting",IF(C284&gt;0,", Painting upto "&amp;C284&amp;" Floor",""))&amp;(IF(C285&gt;0,", Finishing upto "&amp;C285&amp;" Floor","")&amp;(IF(C279&gt;0.5," Completed",""))))))))))))))</f>
        <v>Excavation work Completed. Plinth work completed, RCC Slab, Brickwork, Internal Plaster, External Plaster upto 0.5 Floor, Flooring upto 0.5 Floor, Painting upto 0.5 Floor Completed</v>
      </c>
      <c r="L273" s="25"/>
    </row>
    <row r="274" spans="1:12" ht="15" customHeight="1" x14ac:dyDescent="0.35">
      <c r="A274" s="26" t="s">
        <v>175</v>
      </c>
      <c r="B274" s="26">
        <v>0</v>
      </c>
      <c r="C274" s="26" t="s">
        <v>176</v>
      </c>
      <c r="D274" s="26">
        <v>1</v>
      </c>
      <c r="E274" s="105" t="s">
        <v>177</v>
      </c>
      <c r="F274" s="105"/>
      <c r="G274" s="26">
        <v>0</v>
      </c>
      <c r="H274" s="26" t="s">
        <v>178</v>
      </c>
      <c r="I274" s="105">
        <v>1</v>
      </c>
      <c r="J274" s="105"/>
      <c r="K274" s="27"/>
      <c r="L274" s="28"/>
    </row>
    <row r="275" spans="1:12" ht="30" customHeight="1" x14ac:dyDescent="0.35">
      <c r="A275" s="116" t="s">
        <v>179</v>
      </c>
      <c r="B275" s="116"/>
      <c r="C275" s="117" t="str">
        <f>K273</f>
        <v>Excavation work Completed. Plinth work completed, RCC Slab, Brickwork, Internal Plaster, External Plaster upto 0.5 Floor, Flooring upto 0.5 Floor, Painting upto 0.5 Floor Completed</v>
      </c>
      <c r="D275" s="117"/>
      <c r="E275" s="117"/>
      <c r="F275" s="117"/>
      <c r="G275" s="117"/>
      <c r="H275" s="117"/>
      <c r="I275" s="117"/>
      <c r="J275" s="117"/>
      <c r="K275" s="27" t="s">
        <v>180</v>
      </c>
      <c r="L275" s="28"/>
    </row>
    <row r="276" spans="1:12" ht="15" customHeight="1" x14ac:dyDescent="0.35">
      <c r="A276" s="63" t="s">
        <v>26</v>
      </c>
      <c r="B276" s="63"/>
      <c r="C276" s="60" t="s">
        <v>181</v>
      </c>
      <c r="D276" s="63" t="s">
        <v>182</v>
      </c>
      <c r="E276" s="63"/>
      <c r="F276" s="63" t="s">
        <v>183</v>
      </c>
      <c r="G276" s="63"/>
      <c r="H276" s="63" t="s">
        <v>184</v>
      </c>
      <c r="I276" s="63"/>
      <c r="J276" s="63"/>
      <c r="K276" s="46" t="s">
        <v>185</v>
      </c>
      <c r="L276" s="47">
        <f>I274*25%</f>
        <v>0.25</v>
      </c>
    </row>
    <row r="277" spans="1:12" ht="15" customHeight="1" x14ac:dyDescent="0.35">
      <c r="A277" s="63" t="s">
        <v>186</v>
      </c>
      <c r="B277" s="63"/>
      <c r="C277" s="48">
        <f>L278</f>
        <v>1</v>
      </c>
      <c r="D277" s="64">
        <f>((100/I274)*C277)/100</f>
        <v>1</v>
      </c>
      <c r="E277" s="64"/>
      <c r="F277" s="64">
        <f>(((C278/I274*10)+(40/(D274+G274+I274)*C279)+(7.5/(I274)*C280)+(7.5/(I274)*C281)+(10/I274*C282)+(10/I274*C283)+(5/I274*C284)+(5/I274*C285)+(5/I274*C286))/100)</f>
        <v>0.77500000000000002</v>
      </c>
      <c r="G277" s="64"/>
      <c r="H277" s="64">
        <f>((((C277/I274)*20)+((C278/I274)*25)+(30/(I274+G274+D274)*C279)+(5/I274*C280)+(5/I274*C281)+(5/I274*C282)+(5/I274*C283)+(0/I274*C284)+(0/I274*C285)+(5/I274*C286))/100)</f>
        <v>0.9</v>
      </c>
      <c r="I277" s="64"/>
      <c r="J277" s="64"/>
      <c r="K277" s="46" t="s">
        <v>187</v>
      </c>
      <c r="L277" s="49">
        <f>I274*50%</f>
        <v>0.5</v>
      </c>
    </row>
    <row r="278" spans="1:12" ht="15" customHeight="1" x14ac:dyDescent="0.35">
      <c r="A278" s="63" t="s">
        <v>27</v>
      </c>
      <c r="B278" s="63"/>
      <c r="C278" s="50">
        <f>L286</f>
        <v>1</v>
      </c>
      <c r="D278" s="64">
        <f>((100/I274)*C278)/100</f>
        <v>1</v>
      </c>
      <c r="E278" s="64"/>
      <c r="F278" s="64"/>
      <c r="G278" s="64"/>
      <c r="H278" s="64"/>
      <c r="I278" s="64"/>
      <c r="J278" s="64"/>
      <c r="K278" s="46" t="s">
        <v>188</v>
      </c>
      <c r="L278" s="49">
        <f>I274</f>
        <v>1</v>
      </c>
    </row>
    <row r="279" spans="1:12" ht="15" customHeight="1" x14ac:dyDescent="0.35">
      <c r="A279" s="105" t="s">
        <v>189</v>
      </c>
      <c r="B279" s="105"/>
      <c r="C279" s="50">
        <v>2</v>
      </c>
      <c r="D279" s="64">
        <f>((100/(D274+G274+I274))*C279)/100</f>
        <v>1</v>
      </c>
      <c r="E279" s="64"/>
      <c r="F279" s="64"/>
      <c r="G279" s="64"/>
      <c r="H279" s="64"/>
      <c r="I279" s="64"/>
      <c r="J279" s="64"/>
      <c r="K279" s="46" t="s">
        <v>190</v>
      </c>
      <c r="L279" s="51">
        <f>(IF(B274&gt;1,(I274/(B274+2)),I274/4))</f>
        <v>0.25</v>
      </c>
    </row>
    <row r="280" spans="1:12" ht="15" customHeight="1" x14ac:dyDescent="0.35">
      <c r="A280" s="63" t="s">
        <v>191</v>
      </c>
      <c r="B280" s="63" t="s">
        <v>192</v>
      </c>
      <c r="C280" s="50">
        <v>1</v>
      </c>
      <c r="D280" s="64">
        <f>((100/I274)*C280)/100</f>
        <v>1</v>
      </c>
      <c r="E280" s="64"/>
      <c r="F280" s="64"/>
      <c r="G280" s="64"/>
      <c r="H280" s="64"/>
      <c r="I280" s="64"/>
      <c r="J280" s="64"/>
      <c r="K280" s="46" t="s">
        <v>193</v>
      </c>
      <c r="L280" s="51">
        <f>(IF(B274&gt;1,(I274/(B274+2)+L279),I274/4+L279))</f>
        <v>0.5</v>
      </c>
    </row>
    <row r="281" spans="1:12" ht="15" customHeight="1" x14ac:dyDescent="0.35">
      <c r="A281" s="63" t="s">
        <v>194</v>
      </c>
      <c r="B281" s="63" t="s">
        <v>192</v>
      </c>
      <c r="C281" s="50">
        <v>1</v>
      </c>
      <c r="D281" s="64">
        <f>((100/I274)*C281)/100</f>
        <v>1</v>
      </c>
      <c r="E281" s="64"/>
      <c r="F281" s="64"/>
      <c r="G281" s="64"/>
      <c r="H281" s="64"/>
      <c r="I281" s="64"/>
      <c r="J281" s="64"/>
      <c r="K281" s="46" t="s">
        <v>195</v>
      </c>
      <c r="L281" s="51">
        <f>(IF(B274&gt;1,(I274/(B274+2)+L280),0))</f>
        <v>0</v>
      </c>
    </row>
    <row r="282" spans="1:12" ht="15" customHeight="1" x14ac:dyDescent="0.35">
      <c r="A282" s="63" t="s">
        <v>196</v>
      </c>
      <c r="B282" s="63" t="s">
        <v>197</v>
      </c>
      <c r="C282" s="57">
        <v>0.5</v>
      </c>
      <c r="D282" s="64">
        <f>((100/(I274))*C282)/100</f>
        <v>0.5</v>
      </c>
      <c r="E282" s="64"/>
      <c r="F282" s="64"/>
      <c r="G282" s="64"/>
      <c r="H282" s="64"/>
      <c r="I282" s="64"/>
      <c r="J282" s="64"/>
      <c r="K282" s="46" t="s">
        <v>198</v>
      </c>
      <c r="L282" s="51">
        <f>(IF(B274&gt;2,(I274/(B274+2)+L281),0))</f>
        <v>0</v>
      </c>
    </row>
    <row r="283" spans="1:12" ht="15" customHeight="1" x14ac:dyDescent="0.35">
      <c r="A283" s="63" t="s">
        <v>199</v>
      </c>
      <c r="B283" s="63" t="s">
        <v>199</v>
      </c>
      <c r="C283" s="48">
        <v>0.5</v>
      </c>
      <c r="D283" s="64">
        <f>((100/I274)*C283)/100</f>
        <v>0.5</v>
      </c>
      <c r="E283" s="64"/>
      <c r="F283" s="64"/>
      <c r="G283" s="64"/>
      <c r="H283" s="64"/>
      <c r="I283" s="64"/>
      <c r="J283" s="64"/>
      <c r="K283" s="46" t="s">
        <v>200</v>
      </c>
      <c r="L283" s="52">
        <f>(IF(B274&gt;3,(I274/(B274+2)+L282),0))</f>
        <v>0</v>
      </c>
    </row>
    <row r="284" spans="1:12" ht="15" customHeight="1" x14ac:dyDescent="0.35">
      <c r="A284" s="63" t="s">
        <v>201</v>
      </c>
      <c r="B284" s="63"/>
      <c r="C284" s="48">
        <v>0.5</v>
      </c>
      <c r="D284" s="64">
        <f>((100/I274)*C284)/100</f>
        <v>0.5</v>
      </c>
      <c r="E284" s="64"/>
      <c r="F284" s="64"/>
      <c r="G284" s="64"/>
      <c r="H284" s="64"/>
      <c r="I284" s="64"/>
      <c r="J284" s="64"/>
      <c r="K284" s="46" t="s">
        <v>202</v>
      </c>
      <c r="L284" s="51">
        <f>(IF(B274&gt;4,(I274/(B274+2)+L283),0))</f>
        <v>0</v>
      </c>
    </row>
    <row r="285" spans="1:12" ht="15" customHeight="1" x14ac:dyDescent="0.35">
      <c r="A285" s="63" t="s">
        <v>203</v>
      </c>
      <c r="B285" s="63" t="s">
        <v>203</v>
      </c>
      <c r="C285" s="48">
        <v>0</v>
      </c>
      <c r="D285" s="64">
        <f>((100/(I274))*C285)/100</f>
        <v>0</v>
      </c>
      <c r="E285" s="64"/>
      <c r="F285" s="64"/>
      <c r="G285" s="64"/>
      <c r="H285" s="64"/>
      <c r="I285" s="64"/>
      <c r="J285" s="64"/>
      <c r="K285" s="46" t="s">
        <v>204</v>
      </c>
      <c r="L285" s="51">
        <f>(IF(B274=1,(I274/(B274+3)+L280),IF(B274=0,(I274/4+L280),IF(B274&gt;1,0))))</f>
        <v>0.75</v>
      </c>
    </row>
    <row r="286" spans="1:12" ht="15" customHeight="1" thickBot="1" x14ac:dyDescent="0.4">
      <c r="A286" s="63" t="s">
        <v>205</v>
      </c>
      <c r="B286" s="63"/>
      <c r="C286" s="48">
        <v>0</v>
      </c>
      <c r="D286" s="64">
        <f>((100/(I274))*C286)/100</f>
        <v>0</v>
      </c>
      <c r="E286" s="64"/>
      <c r="F286" s="64"/>
      <c r="G286" s="64"/>
      <c r="H286" s="64"/>
      <c r="I286" s="64"/>
      <c r="J286" s="64"/>
      <c r="K286" s="54" t="s">
        <v>206</v>
      </c>
      <c r="L286" s="55">
        <f>(IF(B274&gt;1.5,(I274/(B274+2)+L280+MAX(0,L281-L280)+MAX(0,L282-L281)+MAX(0,L283-L282)+MAX(0,L284-L283)+MAX(0,L285-L284)),IF(B274=1,(I274/(B274+3)+L285),IF(B274=0,I274/4+L285))))</f>
        <v>1</v>
      </c>
    </row>
    <row r="287" spans="1:12" ht="15" customHeight="1" x14ac:dyDescent="0.35">
      <c r="A287" s="152" t="s">
        <v>174</v>
      </c>
      <c r="B287" s="152"/>
      <c r="C287" s="117" t="s">
        <v>308</v>
      </c>
      <c r="D287" s="117"/>
      <c r="E287" s="117"/>
      <c r="F287" s="117"/>
      <c r="G287" s="117"/>
      <c r="H287" s="117"/>
      <c r="I287" s="117"/>
      <c r="J287" s="117"/>
      <c r="K287" s="24" t="str">
        <f>(IF(F291&gt;99%,"All work completed. Please provide OC.",IF(F291&gt;89.8%,"Plinth, RCC, Brick, Plaster, Flooring, Painting work Completed. Finishing work is in process.",IF(F291&lt;94%,(IF(C291=0,"Work not yet Started.",IF(D291=25%,"Piling work in process",IF(D291=50%,"Excavation work in process",IF(D291=100%,"Excavation work Completed. ","0")))&amp;(IF(C292=0%,"",IF(C292=L293,"Footing work is process",IF(C292=L294,"Footing work Completed",IF(C292=L295,"1st Basement Completed",IF(C292=L296,"1st &amp; 2nd Basement Completed",IF(C292=L297,"1st to 3rd Basement Completed",IF(C292=L298,"1st to 4th Basement Completed",IF(C292=L299,"Plinth work is process",IF(C292=L300,"Plinth work completed","0")))))))))))&amp;(IF(C293=(D288+G288+I288),", RCC Slab",IF(C293&gt;0,", RCC upto "&amp;C293&amp;" Slab",""))&amp;(IF(C294=I288,", Brickwork",IF(C294&gt;0,", Brickwork upto "&amp;C294&amp;" Floor",""))&amp;(IF(C295=I288,", Internal Plaster",IF(C295&gt;0,", Internal Plaster upto "&amp;C295&amp;" Floor",""))&amp;(IF(C296=I288,", External Plaster",IF(C296&gt;0,", External Plaster upto "&amp;C296&amp;" Floor",""))&amp;(IF(C297=I288,", Flooring",IF(C297&gt;0,", Flooring upto "&amp;C297&amp;" Floor",""))&amp;(IF(C298=I288,", Painting",IF(C298&gt;0,", Painting upto "&amp;C298&amp;" Floor",""))&amp;(IF(C299&gt;0,", Finishing upto "&amp;C299&amp;" Floor","")&amp;(IF(C293&gt;0.5," Completed",""))))))))))))))</f>
        <v>Excavation work Completed. Plinth work is process, RCC Slab, Brickwork, Internal Plaster, External Plaster upto 0.9 Floor, Flooring upto 0.1 Floor Completed</v>
      </c>
      <c r="L287" s="25"/>
    </row>
    <row r="288" spans="1:12" ht="15" customHeight="1" x14ac:dyDescent="0.35">
      <c r="A288" s="61" t="s">
        <v>175</v>
      </c>
      <c r="B288" s="61">
        <v>0</v>
      </c>
      <c r="C288" s="61" t="s">
        <v>176</v>
      </c>
      <c r="D288" s="61">
        <v>1</v>
      </c>
      <c r="E288" s="105" t="s">
        <v>177</v>
      </c>
      <c r="F288" s="105"/>
      <c r="G288" s="61">
        <v>0</v>
      </c>
      <c r="H288" s="61" t="s">
        <v>178</v>
      </c>
      <c r="I288" s="105">
        <v>1</v>
      </c>
      <c r="J288" s="105"/>
      <c r="K288" s="27"/>
      <c r="L288" s="28"/>
    </row>
    <row r="289" spans="1:12" ht="30.75" customHeight="1" x14ac:dyDescent="0.35">
      <c r="A289" s="116" t="s">
        <v>179</v>
      </c>
      <c r="B289" s="116"/>
      <c r="C289" s="117" t="str">
        <f>K287</f>
        <v>Excavation work Completed. Plinth work is process, RCC Slab, Brickwork, Internal Plaster, External Plaster upto 0.9 Floor, Flooring upto 0.1 Floor Completed</v>
      </c>
      <c r="D289" s="117"/>
      <c r="E289" s="117"/>
      <c r="F289" s="117"/>
      <c r="G289" s="117"/>
      <c r="H289" s="117"/>
      <c r="I289" s="117"/>
      <c r="J289" s="117"/>
      <c r="K289" s="27" t="s">
        <v>180</v>
      </c>
      <c r="L289" s="28"/>
    </row>
    <row r="290" spans="1:12" ht="15" customHeight="1" x14ac:dyDescent="0.35">
      <c r="A290" s="63" t="s">
        <v>26</v>
      </c>
      <c r="B290" s="63"/>
      <c r="C290" s="45" t="s">
        <v>181</v>
      </c>
      <c r="D290" s="63" t="s">
        <v>182</v>
      </c>
      <c r="E290" s="63"/>
      <c r="F290" s="63" t="s">
        <v>183</v>
      </c>
      <c r="G290" s="63"/>
      <c r="H290" s="63" t="s">
        <v>184</v>
      </c>
      <c r="I290" s="63"/>
      <c r="J290" s="63"/>
      <c r="K290" s="46" t="s">
        <v>185</v>
      </c>
      <c r="L290" s="47">
        <f>I288*25%</f>
        <v>0.25</v>
      </c>
    </row>
    <row r="291" spans="1:12" ht="15" customHeight="1" x14ac:dyDescent="0.35">
      <c r="A291" s="63" t="s">
        <v>186</v>
      </c>
      <c r="B291" s="63"/>
      <c r="C291" s="48">
        <f>L292</f>
        <v>1</v>
      </c>
      <c r="D291" s="64">
        <f>((100/I288)*C291)/100</f>
        <v>1</v>
      </c>
      <c r="E291" s="64"/>
      <c r="F291" s="64">
        <f>(((C292/I288*10)+(40/(D288+G288+I288)*C293)+(7.5/(I288)*C294)+(7.5/(I288)*C295)+(10/I288*C296)+(10/I288*C297)+(5/I288*C298)+(5/I288*C299)+(5/I288*C300))/100)</f>
        <v>0.72499999999999998</v>
      </c>
      <c r="G291" s="64"/>
      <c r="H291" s="64">
        <f>((((C291/I288)*20)+((C292/I288)*25)+(30/(I288+G288+D288)*C293)+(5/I288*C294)+(5/I288*C295)+(5/I288*C296)+(5/I288*C297)+(0/I288*C298)+(0/I288*C299)+(5/I288*C300))/100)</f>
        <v>0.83750000000000002</v>
      </c>
      <c r="I291" s="64"/>
      <c r="J291" s="64"/>
      <c r="K291" s="46" t="s">
        <v>187</v>
      </c>
      <c r="L291" s="49">
        <f>I288*50%</f>
        <v>0.5</v>
      </c>
    </row>
    <row r="292" spans="1:12" ht="15" customHeight="1" x14ac:dyDescent="0.35">
      <c r="A292" s="63" t="s">
        <v>27</v>
      </c>
      <c r="B292" s="63"/>
      <c r="C292" s="50">
        <f>L299</f>
        <v>0.75</v>
      </c>
      <c r="D292" s="64">
        <f>((100/I288)*C292)/100</f>
        <v>0.75</v>
      </c>
      <c r="E292" s="64"/>
      <c r="F292" s="64"/>
      <c r="G292" s="64"/>
      <c r="H292" s="64"/>
      <c r="I292" s="64"/>
      <c r="J292" s="64"/>
      <c r="K292" s="46" t="s">
        <v>188</v>
      </c>
      <c r="L292" s="49">
        <f>I288</f>
        <v>1</v>
      </c>
    </row>
    <row r="293" spans="1:12" ht="15" customHeight="1" x14ac:dyDescent="0.35">
      <c r="A293" s="105" t="s">
        <v>189</v>
      </c>
      <c r="B293" s="105"/>
      <c r="C293" s="50">
        <v>2</v>
      </c>
      <c r="D293" s="64">
        <f>((100/(D288+G288+I288))*C293)/100</f>
        <v>1</v>
      </c>
      <c r="E293" s="64"/>
      <c r="F293" s="64"/>
      <c r="G293" s="64"/>
      <c r="H293" s="64"/>
      <c r="I293" s="64"/>
      <c r="J293" s="64"/>
      <c r="K293" s="46" t="s">
        <v>190</v>
      </c>
      <c r="L293" s="51">
        <f>(IF(B288&gt;1,(I288/(B288+2)),I288/4))</f>
        <v>0.25</v>
      </c>
    </row>
    <row r="294" spans="1:12" ht="15" customHeight="1" x14ac:dyDescent="0.35">
      <c r="A294" s="63" t="s">
        <v>191</v>
      </c>
      <c r="B294" s="63" t="s">
        <v>192</v>
      </c>
      <c r="C294" s="48">
        <v>1</v>
      </c>
      <c r="D294" s="64">
        <f>((100/I288)*C294)/100</f>
        <v>1</v>
      </c>
      <c r="E294" s="64"/>
      <c r="F294" s="64"/>
      <c r="G294" s="64"/>
      <c r="H294" s="64"/>
      <c r="I294" s="64"/>
      <c r="J294" s="64"/>
      <c r="K294" s="46" t="s">
        <v>193</v>
      </c>
      <c r="L294" s="51">
        <f>(IF(B288&gt;1,(I288/(B288+2)+L293),I288/4+L293))</f>
        <v>0.5</v>
      </c>
    </row>
    <row r="295" spans="1:12" ht="15" customHeight="1" x14ac:dyDescent="0.35">
      <c r="A295" s="63" t="s">
        <v>194</v>
      </c>
      <c r="B295" s="63" t="s">
        <v>192</v>
      </c>
      <c r="C295" s="48">
        <v>1</v>
      </c>
      <c r="D295" s="64">
        <f>((100/I288)*C295)/100</f>
        <v>1</v>
      </c>
      <c r="E295" s="64"/>
      <c r="F295" s="64"/>
      <c r="G295" s="64"/>
      <c r="H295" s="64"/>
      <c r="I295" s="64"/>
      <c r="J295" s="64"/>
      <c r="K295" s="46" t="s">
        <v>195</v>
      </c>
      <c r="L295" s="51">
        <f>(IF(B288&gt;1,(I288/(B288+2)+L294),0))</f>
        <v>0</v>
      </c>
    </row>
    <row r="296" spans="1:12" ht="15" customHeight="1" x14ac:dyDescent="0.35">
      <c r="A296" s="63" t="s">
        <v>196</v>
      </c>
      <c r="B296" s="63" t="s">
        <v>197</v>
      </c>
      <c r="C296" s="48">
        <v>0.9</v>
      </c>
      <c r="D296" s="64">
        <f>((100/(I288))*C296)/100</f>
        <v>0.9</v>
      </c>
      <c r="E296" s="64"/>
      <c r="F296" s="64"/>
      <c r="G296" s="64"/>
      <c r="H296" s="64"/>
      <c r="I296" s="64"/>
      <c r="J296" s="64"/>
      <c r="K296" s="46" t="s">
        <v>198</v>
      </c>
      <c r="L296" s="51">
        <f>(IF(B288&gt;2,(I288/(B288+2)+L295),0))</f>
        <v>0</v>
      </c>
    </row>
    <row r="297" spans="1:12" ht="15" customHeight="1" x14ac:dyDescent="0.35">
      <c r="A297" s="63" t="s">
        <v>199</v>
      </c>
      <c r="B297" s="63" t="s">
        <v>199</v>
      </c>
      <c r="C297" s="48">
        <v>0.1</v>
      </c>
      <c r="D297" s="64">
        <f>((100/I288)*C297)/100</f>
        <v>0.1</v>
      </c>
      <c r="E297" s="64"/>
      <c r="F297" s="64"/>
      <c r="G297" s="64"/>
      <c r="H297" s="64"/>
      <c r="I297" s="64"/>
      <c r="J297" s="64"/>
      <c r="K297" s="46" t="s">
        <v>200</v>
      </c>
      <c r="L297" s="52">
        <f>(IF(B288&gt;3,(I288/(B288+2)+L296),0))</f>
        <v>0</v>
      </c>
    </row>
    <row r="298" spans="1:12" ht="15" customHeight="1" x14ac:dyDescent="0.35">
      <c r="A298" s="63" t="s">
        <v>201</v>
      </c>
      <c r="B298" s="63"/>
      <c r="C298" s="48">
        <v>0</v>
      </c>
      <c r="D298" s="64">
        <f>((100/I288)*C298)/100</f>
        <v>0</v>
      </c>
      <c r="E298" s="64"/>
      <c r="F298" s="64"/>
      <c r="G298" s="64"/>
      <c r="H298" s="64"/>
      <c r="I298" s="64"/>
      <c r="J298" s="64"/>
      <c r="K298" s="46" t="s">
        <v>202</v>
      </c>
      <c r="L298" s="51">
        <f>(IF(B288&gt;4,(I288/(B288+2)+L297),0))</f>
        <v>0</v>
      </c>
    </row>
    <row r="299" spans="1:12" ht="15" customHeight="1" x14ac:dyDescent="0.35">
      <c r="A299" s="63" t="s">
        <v>203</v>
      </c>
      <c r="B299" s="63" t="s">
        <v>203</v>
      </c>
      <c r="C299" s="48">
        <v>0</v>
      </c>
      <c r="D299" s="64">
        <f>((100/(I288))*C299)/100</f>
        <v>0</v>
      </c>
      <c r="E299" s="64"/>
      <c r="F299" s="64"/>
      <c r="G299" s="64"/>
      <c r="H299" s="64"/>
      <c r="I299" s="64"/>
      <c r="J299" s="64"/>
      <c r="K299" s="46" t="s">
        <v>204</v>
      </c>
      <c r="L299" s="51">
        <f>(IF(B288=1,(I288/(B288+3)+L294),IF(B288=0,(I288/4+L294),IF(B288&gt;1,0))))</f>
        <v>0.75</v>
      </c>
    </row>
    <row r="300" spans="1:12" ht="15" customHeight="1" thickBot="1" x14ac:dyDescent="0.4">
      <c r="A300" s="63" t="s">
        <v>205</v>
      </c>
      <c r="B300" s="63"/>
      <c r="C300" s="48">
        <v>0</v>
      </c>
      <c r="D300" s="64">
        <f>((100/(I288))*C300)/100</f>
        <v>0</v>
      </c>
      <c r="E300" s="64"/>
      <c r="F300" s="64"/>
      <c r="G300" s="64"/>
      <c r="H300" s="64"/>
      <c r="I300" s="64"/>
      <c r="J300" s="64"/>
      <c r="K300" s="54" t="s">
        <v>206</v>
      </c>
      <c r="L300" s="55">
        <f>(IF(B288&gt;1.5,(I288/(B288+2)+L294+MAX(0,L295-L294)+MAX(0,L296-L295)+MAX(0,L297-L296)+MAX(0,L298-L297)+MAX(0,L299-L298)),IF(B288=1,(I288/(B288+3)+L299),IF(B288=0,I288/4+L299))))</f>
        <v>1</v>
      </c>
    </row>
    <row r="301" spans="1:12" x14ac:dyDescent="0.35">
      <c r="A301" s="110" t="s">
        <v>174</v>
      </c>
      <c r="B301" s="111"/>
      <c r="C301" s="112" t="s">
        <v>318</v>
      </c>
      <c r="D301" s="112"/>
      <c r="E301" s="112"/>
      <c r="F301" s="112"/>
      <c r="G301" s="112"/>
      <c r="H301" s="112"/>
      <c r="I301" s="112"/>
      <c r="J301" s="113"/>
      <c r="K301" s="24" t="str">
        <f>(IF(F305&gt;99%,"All work completed. Please provide OC.",IF(F305&gt;89.8%,"Plinth, RCC, Brick, Plaster, Flooring, Painting work Completed. Finishing work is in process.",IF(F305&lt;94%,(IF(C305=0,"Work not yet Started.",IF(D305=25%,"Piling work in process",IF(D305=50%,"Excavation work in process",IF(D305=100%,"Excavation work Completed. ","0")))&amp;(IF(C306=0%,"",IF(C306=L307,"Footing work is process",IF(C306=L308,"Footing work Completed",IF(C306=L309,"1st Basement Completed",IF(C306=L310,"1st &amp; 2nd Basement Completed",IF(C306=L311,"1st to 3rd Basement Completed",IF(C306=L312,"1st to 4th Basement Completed",IF(C306=L313,"Plinth work is process",IF(C306=L314,"Plinth work completed","0")))))))))))&amp;(IF(C307=(D302+G302+I302),", RCC Slab",IF(C307&gt;0,", RCC upto "&amp;C307&amp;" Slab",""))&amp;(IF(C308=I302,", Brickwork",IF(C308&gt;0,", Brickwork upto "&amp;C308&amp;" Floor",""))&amp;(IF(C309=I302,", Internal Plaster",IF(C309&gt;0,", Internal Plaster upto "&amp;C309&amp;" Floor",""))&amp;(IF(C310=I302,", External Plaster",IF(C310&gt;0,", External Plaster upto "&amp;C310&amp;" Floor",""))&amp;(IF(C311=I302,", Flooring",IF(C311&gt;0,", Flooring upto "&amp;C311&amp;" Floor",""))&amp;(IF(C312=I302,", Painting",IF(C312&gt;0,", Painting upto "&amp;C312&amp;" Floor",""))&amp;(IF(C313&gt;0,", Finishing upto "&amp;C313&amp;" Floor","")&amp;(IF(C307&gt;0.5," Completed",""))))))))))))))</f>
        <v>Excavation work Completed. Plinth work completed, RCC Slab, Brickwork, Internal Plaster, External Plaster upto 0.2 Floor Completed</v>
      </c>
      <c r="L301" s="25"/>
    </row>
    <row r="302" spans="1:12" ht="15" customHeight="1" x14ac:dyDescent="0.35">
      <c r="A302" s="34" t="s">
        <v>175</v>
      </c>
      <c r="B302" s="26">
        <v>0</v>
      </c>
      <c r="C302" s="26" t="s">
        <v>176</v>
      </c>
      <c r="D302" s="26">
        <v>1</v>
      </c>
      <c r="E302" s="105" t="s">
        <v>177</v>
      </c>
      <c r="F302" s="105"/>
      <c r="G302" s="26">
        <v>0</v>
      </c>
      <c r="H302" s="26" t="s">
        <v>178</v>
      </c>
      <c r="I302" s="105">
        <v>1</v>
      </c>
      <c r="J302" s="114"/>
      <c r="K302" s="27"/>
      <c r="L302" s="28"/>
    </row>
    <row r="303" spans="1:12" ht="30.75" customHeight="1" x14ac:dyDescent="0.35">
      <c r="A303" s="115" t="s">
        <v>179</v>
      </c>
      <c r="B303" s="116"/>
      <c r="C303" s="117" t="str">
        <f>K301</f>
        <v>Excavation work Completed. Plinth work completed, RCC Slab, Brickwork, Internal Plaster, External Plaster upto 0.2 Floor Completed</v>
      </c>
      <c r="D303" s="117"/>
      <c r="E303" s="117"/>
      <c r="F303" s="117"/>
      <c r="G303" s="117"/>
      <c r="H303" s="117"/>
      <c r="I303" s="117"/>
      <c r="J303" s="118"/>
      <c r="K303" s="27" t="s">
        <v>180</v>
      </c>
      <c r="L303" s="28"/>
    </row>
    <row r="304" spans="1:12" ht="15" customHeight="1" x14ac:dyDescent="0.35">
      <c r="A304" s="62" t="s">
        <v>26</v>
      </c>
      <c r="B304" s="63"/>
      <c r="C304" s="45" t="s">
        <v>181</v>
      </c>
      <c r="D304" s="63" t="s">
        <v>182</v>
      </c>
      <c r="E304" s="63"/>
      <c r="F304" s="63" t="s">
        <v>183</v>
      </c>
      <c r="G304" s="63"/>
      <c r="H304" s="63" t="s">
        <v>184</v>
      </c>
      <c r="I304" s="63"/>
      <c r="J304" s="119"/>
      <c r="K304" s="46" t="s">
        <v>185</v>
      </c>
      <c r="L304" s="47">
        <f>I302*25%</f>
        <v>0.25</v>
      </c>
    </row>
    <row r="305" spans="1:12" ht="15" customHeight="1" x14ac:dyDescent="0.35">
      <c r="A305" s="62" t="s">
        <v>186</v>
      </c>
      <c r="B305" s="63"/>
      <c r="C305" s="48">
        <f>L306</f>
        <v>1</v>
      </c>
      <c r="D305" s="64">
        <f>((100/I302)*C305)/100</f>
        <v>1</v>
      </c>
      <c r="E305" s="64"/>
      <c r="F305" s="64">
        <f>(((C306/I302*10)+(40/(D302+G302+I302)*C307)+(7.5/(I302)*C308)+(7.5/(I302)*C309)+(10/I302*C310)+(10/I302*C311)+(5/I302*C312)+(5/I302*C313)+(5/I302*C314))/100)</f>
        <v>0.67</v>
      </c>
      <c r="G305" s="64"/>
      <c r="H305" s="64">
        <f>((((C305/I302)*20)+((C306/I302)*25)+(30/(I302+G302+D302)*C307)+(5/I302*C308)+(5/I302*C309)+(5/I302*C310)+(5/I302*C311)+(0/I302*C312)+(0/I302*C313)+(5/I302*C314))/100)</f>
        <v>0.86</v>
      </c>
      <c r="I305" s="64"/>
      <c r="J305" s="102"/>
      <c r="K305" s="46" t="s">
        <v>187</v>
      </c>
      <c r="L305" s="49">
        <f>I302*50%</f>
        <v>0.5</v>
      </c>
    </row>
    <row r="306" spans="1:12" ht="15" customHeight="1" x14ac:dyDescent="0.35">
      <c r="A306" s="62" t="s">
        <v>27</v>
      </c>
      <c r="B306" s="63"/>
      <c r="C306" s="50">
        <f>L314</f>
        <v>1</v>
      </c>
      <c r="D306" s="64">
        <f>((100/I302)*C306)/100</f>
        <v>1</v>
      </c>
      <c r="E306" s="64"/>
      <c r="F306" s="64"/>
      <c r="G306" s="64"/>
      <c r="H306" s="64"/>
      <c r="I306" s="64"/>
      <c r="J306" s="102"/>
      <c r="K306" s="46" t="s">
        <v>188</v>
      </c>
      <c r="L306" s="49">
        <f>I302</f>
        <v>1</v>
      </c>
    </row>
    <row r="307" spans="1:12" ht="15" customHeight="1" x14ac:dyDescent="0.35">
      <c r="A307" s="104" t="s">
        <v>189</v>
      </c>
      <c r="B307" s="105"/>
      <c r="C307" s="50">
        <v>2</v>
      </c>
      <c r="D307" s="64">
        <f>((100/(D302+G302+I302))*C307)/100</f>
        <v>1</v>
      </c>
      <c r="E307" s="64"/>
      <c r="F307" s="64"/>
      <c r="G307" s="64"/>
      <c r="H307" s="64"/>
      <c r="I307" s="64"/>
      <c r="J307" s="102"/>
      <c r="K307" s="46" t="s">
        <v>190</v>
      </c>
      <c r="L307" s="51">
        <f>(IF(B302&gt;1,(I302/(B302+2)),I302/4))</f>
        <v>0.25</v>
      </c>
    </row>
    <row r="308" spans="1:12" ht="15" customHeight="1" x14ac:dyDescent="0.35">
      <c r="A308" s="62" t="s">
        <v>191</v>
      </c>
      <c r="B308" s="63" t="s">
        <v>192</v>
      </c>
      <c r="C308" s="48">
        <v>1</v>
      </c>
      <c r="D308" s="64">
        <f>((100/I302)*C308)/100</f>
        <v>1</v>
      </c>
      <c r="E308" s="64"/>
      <c r="F308" s="64"/>
      <c r="G308" s="64"/>
      <c r="H308" s="64"/>
      <c r="I308" s="64"/>
      <c r="J308" s="102"/>
      <c r="K308" s="46" t="s">
        <v>193</v>
      </c>
      <c r="L308" s="51">
        <f>(IF(B302&gt;1,(I302/(B302+2)+L307),I302/4+L307))</f>
        <v>0.5</v>
      </c>
    </row>
    <row r="309" spans="1:12" ht="15" customHeight="1" x14ac:dyDescent="0.35">
      <c r="A309" s="62" t="s">
        <v>194</v>
      </c>
      <c r="B309" s="63" t="s">
        <v>192</v>
      </c>
      <c r="C309" s="48">
        <v>1</v>
      </c>
      <c r="D309" s="64">
        <f>((100/I302)*C309)/100</f>
        <v>1</v>
      </c>
      <c r="E309" s="64"/>
      <c r="F309" s="64"/>
      <c r="G309" s="64"/>
      <c r="H309" s="64"/>
      <c r="I309" s="64"/>
      <c r="J309" s="102"/>
      <c r="K309" s="46" t="s">
        <v>195</v>
      </c>
      <c r="L309" s="51">
        <f>(IF(B302&gt;1,(I302/(B302+2)+L308),0))</f>
        <v>0</v>
      </c>
    </row>
    <row r="310" spans="1:12" ht="15" customHeight="1" x14ac:dyDescent="0.35">
      <c r="A310" s="62" t="s">
        <v>196</v>
      </c>
      <c r="B310" s="63" t="s">
        <v>197</v>
      </c>
      <c r="C310" s="48">
        <v>0.2</v>
      </c>
      <c r="D310" s="64">
        <f>((100/(I302))*C310)/100</f>
        <v>0.2</v>
      </c>
      <c r="E310" s="64"/>
      <c r="F310" s="64"/>
      <c r="G310" s="64"/>
      <c r="H310" s="64"/>
      <c r="I310" s="64"/>
      <c r="J310" s="102"/>
      <c r="K310" s="46" t="s">
        <v>198</v>
      </c>
      <c r="L310" s="51">
        <f>(IF(B302&gt;2,(I302/(B302+2)+L309),0))</f>
        <v>0</v>
      </c>
    </row>
    <row r="311" spans="1:12" ht="15" customHeight="1" x14ac:dyDescent="0.35">
      <c r="A311" s="62" t="s">
        <v>199</v>
      </c>
      <c r="B311" s="63" t="s">
        <v>199</v>
      </c>
      <c r="C311" s="48">
        <v>0</v>
      </c>
      <c r="D311" s="64">
        <f>((100/I302)*C311)/100</f>
        <v>0</v>
      </c>
      <c r="E311" s="64"/>
      <c r="F311" s="64"/>
      <c r="G311" s="64"/>
      <c r="H311" s="64"/>
      <c r="I311" s="64"/>
      <c r="J311" s="102"/>
      <c r="K311" s="46" t="s">
        <v>200</v>
      </c>
      <c r="L311" s="52">
        <f>(IF(B302&gt;3,(I302/(B302+2)+L310),0))</f>
        <v>0</v>
      </c>
    </row>
    <row r="312" spans="1:12" ht="15" customHeight="1" x14ac:dyDescent="0.35">
      <c r="A312" s="62" t="s">
        <v>201</v>
      </c>
      <c r="B312" s="63"/>
      <c r="C312" s="48">
        <v>0</v>
      </c>
      <c r="D312" s="64">
        <f>((100/I302)*C312)/100</f>
        <v>0</v>
      </c>
      <c r="E312" s="64"/>
      <c r="F312" s="64"/>
      <c r="G312" s="64"/>
      <c r="H312" s="64"/>
      <c r="I312" s="64"/>
      <c r="J312" s="102"/>
      <c r="K312" s="46" t="s">
        <v>202</v>
      </c>
      <c r="L312" s="51">
        <f>(IF(B302&gt;4,(I302/(B302+2)+L311),0))</f>
        <v>0</v>
      </c>
    </row>
    <row r="313" spans="1:12" ht="15" customHeight="1" x14ac:dyDescent="0.35">
      <c r="A313" s="62" t="s">
        <v>203</v>
      </c>
      <c r="B313" s="63" t="s">
        <v>203</v>
      </c>
      <c r="C313" s="48">
        <v>0</v>
      </c>
      <c r="D313" s="64">
        <f>((100/(I302))*C313)/100</f>
        <v>0</v>
      </c>
      <c r="E313" s="64"/>
      <c r="F313" s="64"/>
      <c r="G313" s="64"/>
      <c r="H313" s="64"/>
      <c r="I313" s="64"/>
      <c r="J313" s="102"/>
      <c r="K313" s="46" t="s">
        <v>204</v>
      </c>
      <c r="L313" s="51">
        <f>(IF(B302=1,(I302/(B302+3)+L308),IF(B302=0,(I302/4+L308),IF(B302&gt;1,0))))</f>
        <v>0.75</v>
      </c>
    </row>
    <row r="314" spans="1:12" ht="15" customHeight="1" thickBot="1" x14ac:dyDescent="0.4">
      <c r="A314" s="68" t="s">
        <v>205</v>
      </c>
      <c r="B314" s="69"/>
      <c r="C314" s="53">
        <v>0</v>
      </c>
      <c r="D314" s="70">
        <f>((100/(I302))*C314)/100</f>
        <v>0</v>
      </c>
      <c r="E314" s="70"/>
      <c r="F314" s="70"/>
      <c r="G314" s="70"/>
      <c r="H314" s="70"/>
      <c r="I314" s="70"/>
      <c r="J314" s="103"/>
      <c r="K314" s="54" t="s">
        <v>206</v>
      </c>
      <c r="L314" s="55">
        <f>(IF(B302&gt;1.5,(I302/(B302+2)+L308+MAX(0,L309-L308)+MAX(0,L310-L309)+MAX(0,L311-L310)+MAX(0,L312-L311)+MAX(0,L313-L312)),IF(B302=1,(I302/(B302+3)+L313),IF(B302=0,I302/4+L313))))</f>
        <v>1</v>
      </c>
    </row>
    <row r="315" spans="1:12" x14ac:dyDescent="0.35">
      <c r="A315" s="260" t="s">
        <v>40</v>
      </c>
      <c r="B315" s="261"/>
      <c r="C315" s="261"/>
      <c r="D315" s="261"/>
      <c r="E315" s="261"/>
      <c r="F315" s="261"/>
      <c r="G315" s="261"/>
      <c r="H315" s="261"/>
      <c r="I315" s="261"/>
      <c r="J315" s="262"/>
    </row>
    <row r="316" spans="1:12" x14ac:dyDescent="0.35">
      <c r="A316" s="79" t="s">
        <v>34</v>
      </c>
      <c r="B316" s="173"/>
      <c r="C316" s="173"/>
      <c r="D316" s="173"/>
      <c r="E316" s="173"/>
      <c r="F316" s="173"/>
      <c r="G316" s="173"/>
      <c r="H316" s="173"/>
      <c r="I316" s="173"/>
      <c r="J316" s="174"/>
    </row>
    <row r="317" spans="1:12" ht="15" customHeight="1" x14ac:dyDescent="0.35">
      <c r="A317" s="272" t="s">
        <v>53</v>
      </c>
      <c r="B317" s="273"/>
      <c r="C317" s="273"/>
      <c r="D317" s="273"/>
      <c r="E317" s="273"/>
      <c r="F317" s="273"/>
      <c r="G317" s="273"/>
      <c r="H317" s="273"/>
      <c r="I317" s="273"/>
      <c r="J317" s="274"/>
    </row>
    <row r="318" spans="1:12" x14ac:dyDescent="0.35">
      <c r="A318" s="275"/>
      <c r="B318" s="276"/>
      <c r="C318" s="276"/>
      <c r="D318" s="276"/>
      <c r="E318" s="276"/>
      <c r="F318" s="276"/>
      <c r="G318" s="276"/>
      <c r="H318" s="276"/>
      <c r="I318" s="276"/>
      <c r="J318" s="277"/>
    </row>
    <row r="319" spans="1:12" ht="2.25" customHeight="1" x14ac:dyDescent="0.35">
      <c r="A319" s="275"/>
      <c r="B319" s="276"/>
      <c r="C319" s="276"/>
      <c r="D319" s="276"/>
      <c r="E319" s="276"/>
      <c r="F319" s="276"/>
      <c r="G319" s="276"/>
      <c r="H319" s="276"/>
      <c r="I319" s="276"/>
      <c r="J319" s="277"/>
    </row>
    <row r="320" spans="1:12" ht="15" hidden="1" customHeight="1" x14ac:dyDescent="0.35">
      <c r="A320" s="275"/>
      <c r="B320" s="276"/>
      <c r="C320" s="276"/>
      <c r="D320" s="276"/>
      <c r="E320" s="276"/>
      <c r="F320" s="276"/>
      <c r="G320" s="276"/>
      <c r="H320" s="276"/>
      <c r="I320" s="276"/>
      <c r="J320" s="277"/>
    </row>
    <row r="321" spans="1:16" ht="15" hidden="1" customHeight="1" x14ac:dyDescent="0.35">
      <c r="A321" s="275"/>
      <c r="B321" s="276"/>
      <c r="C321" s="276"/>
      <c r="D321" s="276"/>
      <c r="E321" s="276"/>
      <c r="F321" s="276"/>
      <c r="G321" s="276"/>
      <c r="H321" s="276"/>
      <c r="I321" s="276"/>
      <c r="J321" s="277"/>
    </row>
    <row r="322" spans="1:16" ht="15" hidden="1" customHeight="1" x14ac:dyDescent="0.35">
      <c r="A322" s="275"/>
      <c r="B322" s="276"/>
      <c r="C322" s="276"/>
      <c r="D322" s="276"/>
      <c r="E322" s="276"/>
      <c r="F322" s="276"/>
      <c r="G322" s="276"/>
      <c r="H322" s="276"/>
      <c r="I322" s="276"/>
      <c r="J322" s="277"/>
    </row>
    <row r="323" spans="1:16" ht="15" hidden="1" customHeight="1" x14ac:dyDescent="0.35">
      <c r="A323" s="278"/>
      <c r="B323" s="279"/>
      <c r="C323" s="279"/>
      <c r="D323" s="279"/>
      <c r="E323" s="279"/>
      <c r="F323" s="279"/>
      <c r="G323" s="279"/>
      <c r="H323" s="279"/>
      <c r="I323" s="279"/>
      <c r="J323" s="280"/>
    </row>
    <row r="324" spans="1:16" x14ac:dyDescent="0.35">
      <c r="A324" s="183" t="s">
        <v>140</v>
      </c>
      <c r="B324" s="281"/>
      <c r="C324" s="281"/>
      <c r="D324" s="281"/>
      <c r="E324" s="281"/>
      <c r="F324" s="281"/>
      <c r="G324" s="281"/>
      <c r="H324" s="281"/>
      <c r="I324" s="281"/>
      <c r="J324" s="282"/>
    </row>
    <row r="325" spans="1:16" x14ac:dyDescent="0.35">
      <c r="A325" s="79" t="s">
        <v>244</v>
      </c>
      <c r="B325" s="80"/>
      <c r="C325" s="80"/>
      <c r="D325" s="80"/>
      <c r="E325" s="80"/>
      <c r="F325" s="81"/>
      <c r="G325" s="145">
        <v>5600</v>
      </c>
      <c r="H325" s="146"/>
      <c r="I325" s="146"/>
      <c r="J325" s="147"/>
      <c r="K325" s="283" t="s">
        <v>246</v>
      </c>
      <c r="L325" s="284"/>
      <c r="M325" s="284"/>
      <c r="N325" s="284"/>
      <c r="O325" s="284"/>
      <c r="P325" s="284"/>
    </row>
    <row r="326" spans="1:16" x14ac:dyDescent="0.35">
      <c r="A326" s="79" t="s">
        <v>249</v>
      </c>
      <c r="B326" s="80"/>
      <c r="C326" s="80"/>
      <c r="D326" s="80"/>
      <c r="E326" s="80"/>
      <c r="F326" s="81"/>
      <c r="G326" s="145" t="s">
        <v>252</v>
      </c>
      <c r="H326" s="146"/>
      <c r="I326" s="146"/>
      <c r="J326" s="147"/>
      <c r="K326" s="283"/>
      <c r="L326" s="284"/>
      <c r="M326" s="284"/>
      <c r="N326" s="284"/>
      <c r="O326" s="284"/>
      <c r="P326" s="284"/>
    </row>
    <row r="327" spans="1:16" x14ac:dyDescent="0.35">
      <c r="A327" s="79" t="s">
        <v>250</v>
      </c>
      <c r="B327" s="80"/>
      <c r="C327" s="80"/>
      <c r="D327" s="80"/>
      <c r="E327" s="80"/>
      <c r="F327" s="81"/>
      <c r="G327" s="145" t="s">
        <v>253</v>
      </c>
      <c r="H327" s="146"/>
      <c r="I327" s="146"/>
      <c r="J327" s="147"/>
      <c r="K327" s="283"/>
      <c r="L327" s="284"/>
      <c r="M327" s="284"/>
      <c r="N327" s="284"/>
      <c r="O327" s="284"/>
      <c r="P327" s="284"/>
    </row>
    <row r="328" spans="1:16" x14ac:dyDescent="0.35">
      <c r="A328" s="79" t="s">
        <v>251</v>
      </c>
      <c r="B328" s="80"/>
      <c r="C328" s="80"/>
      <c r="D328" s="80"/>
      <c r="E328" s="80"/>
      <c r="F328" s="81"/>
      <c r="G328" s="145" t="s">
        <v>253</v>
      </c>
      <c r="H328" s="146"/>
      <c r="I328" s="146"/>
      <c r="J328" s="147"/>
      <c r="K328" s="283"/>
      <c r="L328" s="284"/>
      <c r="M328" s="284"/>
      <c r="N328" s="284"/>
      <c r="O328" s="284"/>
      <c r="P328" s="284"/>
    </row>
    <row r="329" spans="1:16" x14ac:dyDescent="0.35">
      <c r="A329" s="183" t="s">
        <v>245</v>
      </c>
      <c r="B329" s="184"/>
      <c r="C329" s="184"/>
      <c r="D329" s="184"/>
      <c r="E329" s="184"/>
      <c r="F329" s="185"/>
      <c r="G329" s="285">
        <f>G325*0.8</f>
        <v>4480</v>
      </c>
      <c r="H329" s="286"/>
      <c r="I329" s="286"/>
      <c r="J329" s="287"/>
      <c r="K329" s="284"/>
      <c r="L329" s="284"/>
      <c r="M329" s="284"/>
      <c r="N329" s="284"/>
      <c r="O329" s="284"/>
      <c r="P329" s="284"/>
    </row>
    <row r="330" spans="1:16" ht="15" customHeight="1" x14ac:dyDescent="0.35">
      <c r="A330" s="186"/>
      <c r="B330" s="288"/>
      <c r="C330" s="288"/>
      <c r="D330" s="288"/>
      <c r="E330" s="288"/>
      <c r="F330" s="288"/>
      <c r="G330" s="288"/>
      <c r="H330" s="288"/>
      <c r="I330" s="288"/>
      <c r="J330" s="187"/>
      <c r="K330" s="284"/>
      <c r="L330" s="284"/>
      <c r="M330" s="284"/>
      <c r="N330" s="284"/>
      <c r="O330" s="284"/>
      <c r="P330" s="284"/>
    </row>
    <row r="331" spans="1:16" hidden="1" x14ac:dyDescent="0.35">
      <c r="A331" s="79" t="s">
        <v>153</v>
      </c>
      <c r="B331" s="80"/>
      <c r="C331" s="80"/>
      <c r="D331" s="80"/>
      <c r="E331" s="80"/>
      <c r="F331" s="81"/>
      <c r="G331" s="82" t="s">
        <v>168</v>
      </c>
      <c r="H331" s="83"/>
      <c r="I331" s="83"/>
      <c r="J331" s="84"/>
    </row>
    <row r="332" spans="1:16" hidden="1" x14ac:dyDescent="0.35">
      <c r="A332" s="79" t="s">
        <v>238</v>
      </c>
      <c r="B332" s="80"/>
      <c r="C332" s="80"/>
      <c r="D332" s="80"/>
      <c r="E332" s="80"/>
      <c r="F332" s="81"/>
      <c r="G332" s="82" t="s">
        <v>239</v>
      </c>
      <c r="H332" s="83"/>
      <c r="I332" s="83"/>
      <c r="J332" s="84"/>
    </row>
    <row r="333" spans="1:16" hidden="1" x14ac:dyDescent="0.35">
      <c r="A333" s="79" t="s">
        <v>169</v>
      </c>
      <c r="B333" s="80"/>
      <c r="C333" s="80"/>
      <c r="D333" s="80"/>
      <c r="E333" s="80"/>
      <c r="F333" s="81"/>
      <c r="G333" s="82" t="s">
        <v>172</v>
      </c>
      <c r="H333" s="83"/>
      <c r="I333" s="83"/>
      <c r="J333" s="84"/>
    </row>
    <row r="334" spans="1:16" hidden="1" x14ac:dyDescent="0.35">
      <c r="A334" s="79" t="s">
        <v>137</v>
      </c>
      <c r="B334" s="80"/>
      <c r="C334" s="80"/>
      <c r="D334" s="80"/>
      <c r="E334" s="80"/>
      <c r="F334" s="81"/>
      <c r="G334" s="82" t="s">
        <v>135</v>
      </c>
      <c r="H334" s="83"/>
      <c r="I334" s="83"/>
      <c r="J334" s="84"/>
    </row>
    <row r="335" spans="1:16" hidden="1" x14ac:dyDescent="0.35">
      <c r="A335" s="79" t="s">
        <v>154</v>
      </c>
      <c r="B335" s="173"/>
      <c r="C335" s="173"/>
      <c r="D335" s="173"/>
      <c r="E335" s="173"/>
      <c r="F335" s="174"/>
      <c r="G335" s="82" t="s">
        <v>166</v>
      </c>
      <c r="H335" s="83"/>
      <c r="I335" s="83"/>
      <c r="J335" s="84"/>
    </row>
    <row r="336" spans="1:16" hidden="1" x14ac:dyDescent="0.35">
      <c r="A336" s="79" t="s">
        <v>138</v>
      </c>
      <c r="B336" s="173"/>
      <c r="C336" s="173"/>
      <c r="D336" s="173"/>
      <c r="E336" s="173"/>
      <c r="F336" s="174"/>
      <c r="G336" s="82" t="s">
        <v>136</v>
      </c>
      <c r="H336" s="83"/>
      <c r="I336" s="83"/>
      <c r="J336" s="84"/>
    </row>
    <row r="337" spans="1:12" hidden="1" x14ac:dyDescent="0.35">
      <c r="A337" s="79" t="s">
        <v>208</v>
      </c>
      <c r="B337" s="173"/>
      <c r="C337" s="173"/>
      <c r="D337" s="173"/>
      <c r="E337" s="173"/>
      <c r="F337" s="174"/>
      <c r="G337" s="82" t="s">
        <v>209</v>
      </c>
      <c r="H337" s="83"/>
      <c r="I337" s="83"/>
      <c r="J337" s="84"/>
    </row>
    <row r="338" spans="1:12" hidden="1" x14ac:dyDescent="0.35">
      <c r="A338" s="180" t="s">
        <v>224</v>
      </c>
      <c r="B338" s="181"/>
      <c r="C338" s="181"/>
      <c r="D338" s="181"/>
      <c r="E338" s="181"/>
      <c r="F338" s="182"/>
      <c r="G338" s="254" t="s">
        <v>225</v>
      </c>
      <c r="H338" s="255"/>
      <c r="I338" s="255"/>
      <c r="J338" s="256"/>
    </row>
    <row r="339" spans="1:12" hidden="1" x14ac:dyDescent="0.35">
      <c r="A339" s="79" t="s">
        <v>139</v>
      </c>
      <c r="B339" s="173"/>
      <c r="C339" s="173"/>
      <c r="D339" s="173"/>
      <c r="E339" s="173"/>
      <c r="F339" s="174"/>
      <c r="G339" s="82" t="s">
        <v>164</v>
      </c>
      <c r="H339" s="83"/>
      <c r="I339" s="83"/>
      <c r="J339" s="84"/>
    </row>
    <row r="340" spans="1:12" hidden="1" x14ac:dyDescent="0.35">
      <c r="A340" s="180" t="s">
        <v>226</v>
      </c>
      <c r="B340" s="181"/>
      <c r="C340" s="181"/>
      <c r="D340" s="181"/>
      <c r="E340" s="181"/>
      <c r="F340" s="182"/>
      <c r="G340" s="254" t="s">
        <v>227</v>
      </c>
      <c r="H340" s="255"/>
      <c r="I340" s="255"/>
      <c r="J340" s="256"/>
    </row>
    <row r="341" spans="1:12" hidden="1" x14ac:dyDescent="0.35">
      <c r="A341" s="79" t="s">
        <v>240</v>
      </c>
      <c r="B341" s="173"/>
      <c r="C341" s="173"/>
      <c r="D341" s="173"/>
      <c r="E341" s="173"/>
      <c r="F341" s="174"/>
      <c r="G341" s="82" t="s">
        <v>241</v>
      </c>
      <c r="H341" s="83"/>
      <c r="I341" s="83"/>
      <c r="J341" s="84"/>
    </row>
    <row r="342" spans="1:12" hidden="1" x14ac:dyDescent="0.35">
      <c r="A342" s="79" t="s">
        <v>155</v>
      </c>
      <c r="B342" s="173"/>
      <c r="C342" s="173"/>
      <c r="D342" s="173"/>
      <c r="E342" s="173"/>
      <c r="F342" s="174"/>
      <c r="G342" s="82" t="s">
        <v>167</v>
      </c>
      <c r="H342" s="83"/>
      <c r="I342" s="83"/>
      <c r="J342" s="84"/>
    </row>
    <row r="343" spans="1:12" hidden="1" x14ac:dyDescent="0.35">
      <c r="A343" s="79" t="s">
        <v>217</v>
      </c>
      <c r="B343" s="80"/>
      <c r="C343" s="80"/>
      <c r="D343" s="80"/>
      <c r="E343" s="80"/>
      <c r="F343" s="81"/>
      <c r="G343" s="254" t="s">
        <v>218</v>
      </c>
      <c r="H343" s="255"/>
      <c r="I343" s="255"/>
      <c r="J343" s="256"/>
    </row>
    <row r="344" spans="1:12" hidden="1" x14ac:dyDescent="0.35">
      <c r="A344" s="79" t="s">
        <v>156</v>
      </c>
      <c r="B344" s="80"/>
      <c r="C344" s="80"/>
      <c r="D344" s="80"/>
      <c r="E344" s="80"/>
      <c r="F344" s="81"/>
      <c r="G344" s="82" t="s">
        <v>165</v>
      </c>
      <c r="H344" s="83"/>
      <c r="I344" s="83"/>
      <c r="J344" s="84"/>
    </row>
    <row r="345" spans="1:12" hidden="1" x14ac:dyDescent="0.35">
      <c r="A345" s="79" t="s">
        <v>242</v>
      </c>
      <c r="B345" s="80"/>
      <c r="C345" s="80"/>
      <c r="D345" s="80"/>
      <c r="E345" s="80"/>
      <c r="F345" s="81"/>
      <c r="G345" s="82" t="s">
        <v>243</v>
      </c>
      <c r="H345" s="83"/>
      <c r="I345" s="83"/>
      <c r="J345" s="84"/>
    </row>
    <row r="346" spans="1:12" s="1" customFormat="1" ht="17.5" x14ac:dyDescent="0.35">
      <c r="A346" s="266" t="s">
        <v>84</v>
      </c>
      <c r="B346" s="267"/>
      <c r="C346" s="267"/>
      <c r="D346" s="267"/>
      <c r="E346" s="267"/>
      <c r="F346" s="267"/>
      <c r="G346" s="267"/>
      <c r="H346" s="267"/>
      <c r="I346" s="267"/>
      <c r="J346" s="268"/>
    </row>
    <row r="347" spans="1:12" x14ac:dyDescent="0.35">
      <c r="A347" s="209" t="s">
        <v>31</v>
      </c>
      <c r="B347" s="210"/>
      <c r="C347" s="210"/>
      <c r="D347" s="210"/>
      <c r="E347" s="210"/>
      <c r="F347" s="210"/>
      <c r="G347" s="210"/>
      <c r="H347" s="210"/>
      <c r="I347" s="210"/>
      <c r="J347" s="211"/>
    </row>
    <row r="348" spans="1:12" ht="47.25" customHeight="1" x14ac:dyDescent="0.35">
      <c r="A348" s="20" t="s">
        <v>24</v>
      </c>
      <c r="B348" s="19" t="s">
        <v>134</v>
      </c>
      <c r="C348" s="19" t="s">
        <v>163</v>
      </c>
      <c r="D348" s="77" t="s">
        <v>122</v>
      </c>
      <c r="E348" s="78"/>
      <c r="F348" s="19" t="s">
        <v>123</v>
      </c>
      <c r="G348" s="19" t="s">
        <v>124</v>
      </c>
      <c r="H348" s="19" t="s">
        <v>25</v>
      </c>
      <c r="I348" s="77" t="s">
        <v>85</v>
      </c>
      <c r="J348" s="78"/>
    </row>
    <row r="349" spans="1:12" ht="15" x14ac:dyDescent="0.35">
      <c r="A349" s="120" t="s">
        <v>157</v>
      </c>
      <c r="B349" s="120"/>
      <c r="C349" s="120"/>
      <c r="D349" s="120"/>
      <c r="E349" s="120"/>
      <c r="F349" s="120"/>
      <c r="G349" s="120"/>
      <c r="H349" s="120"/>
      <c r="I349" s="120"/>
      <c r="J349" s="120"/>
    </row>
    <row r="350" spans="1:12" ht="30.75" customHeight="1" x14ac:dyDescent="0.35">
      <c r="A350" s="21" t="s">
        <v>158</v>
      </c>
      <c r="B350" s="10">
        <f>220.5*10.764</f>
        <v>2373.462</v>
      </c>
      <c r="C350" s="10">
        <f>71.37*10.764</f>
        <v>768.22667999999999</v>
      </c>
      <c r="D350" s="151">
        <f>2.64*4.15*10.764</f>
        <v>117.930384</v>
      </c>
      <c r="E350" s="151"/>
      <c r="F350" s="10">
        <f>133.77*10.764</f>
        <v>1439.9002800000001</v>
      </c>
      <c r="G350" s="10">
        <f>C350*1.45+D350/2</f>
        <v>1172.8938779999999</v>
      </c>
      <c r="H350" s="10" t="s">
        <v>100</v>
      </c>
      <c r="I350" s="120" t="s">
        <v>120</v>
      </c>
      <c r="J350" s="120"/>
      <c r="K350">
        <f>4049735/F350</f>
        <v>2812.5107385908696</v>
      </c>
      <c r="L350">
        <f>(K350*F350)/G350</f>
        <v>3452.7718798443593</v>
      </c>
    </row>
    <row r="351" spans="1:12" ht="15" x14ac:dyDescent="0.35">
      <c r="A351" s="71"/>
      <c r="B351" s="72"/>
      <c r="C351" s="72"/>
      <c r="D351" s="72"/>
      <c r="E351" s="72"/>
      <c r="F351" s="72"/>
      <c r="G351" s="72"/>
      <c r="H351" s="72"/>
      <c r="I351" s="72"/>
      <c r="J351" s="73"/>
    </row>
    <row r="352" spans="1:12" ht="19.5" customHeight="1" x14ac:dyDescent="0.35">
      <c r="A352" s="85" t="s">
        <v>255</v>
      </c>
      <c r="B352" s="85"/>
      <c r="C352" s="85"/>
      <c r="D352" s="85"/>
      <c r="E352" s="85"/>
      <c r="F352" s="85"/>
      <c r="G352" s="85"/>
      <c r="H352" s="85"/>
      <c r="I352" s="85"/>
      <c r="J352" s="85"/>
    </row>
    <row r="353" spans="1:22" ht="30.75" customHeight="1" x14ac:dyDescent="0.35">
      <c r="A353" s="29" t="s">
        <v>231</v>
      </c>
      <c r="B353" s="30">
        <f>258.75*10.764</f>
        <v>2785.1849999999999</v>
      </c>
      <c r="C353" s="30">
        <f>60.22*10.764</f>
        <v>648.20808</v>
      </c>
      <c r="D353" s="93">
        <f>(4.5*3.33)*10.764</f>
        <v>161.29853999999997</v>
      </c>
      <c r="E353" s="93"/>
      <c r="F353" s="30">
        <f>68.76*10.764</f>
        <v>740.13264000000004</v>
      </c>
      <c r="G353" s="30">
        <f>C353*1.45+D353/2</f>
        <v>1020.550986</v>
      </c>
      <c r="H353" s="30" t="s">
        <v>100</v>
      </c>
      <c r="I353" s="85" t="s">
        <v>120</v>
      </c>
      <c r="J353" s="85"/>
      <c r="K353">
        <f>4049735/F353</f>
        <v>5471.6341114208935</v>
      </c>
      <c r="L353">
        <f>(K353*F353)/G353</f>
        <v>3968.184887922886</v>
      </c>
      <c r="N353">
        <f>5600*G353</f>
        <v>5715085.5215999996</v>
      </c>
      <c r="O353">
        <f>350000/G353</f>
        <v>342.95199828458158</v>
      </c>
    </row>
    <row r="354" spans="1:22" ht="15" x14ac:dyDescent="0.35">
      <c r="A354" s="71"/>
      <c r="B354" s="72"/>
      <c r="C354" s="72"/>
      <c r="D354" s="72"/>
      <c r="E354" s="72"/>
      <c r="F354" s="72"/>
      <c r="G354" s="72"/>
      <c r="H354" s="72"/>
      <c r="I354" s="72"/>
      <c r="J354" s="73"/>
    </row>
    <row r="355" spans="1:22" ht="19.5" customHeight="1" x14ac:dyDescent="0.35">
      <c r="A355" s="85" t="s">
        <v>233</v>
      </c>
      <c r="B355" s="85"/>
      <c r="C355" s="85"/>
      <c r="D355" s="85"/>
      <c r="E355" s="85"/>
      <c r="F355" s="85"/>
      <c r="G355" s="85"/>
      <c r="H355" s="85"/>
      <c r="I355" s="85"/>
      <c r="J355" s="85"/>
    </row>
    <row r="356" spans="1:22" ht="30.75" customHeight="1" x14ac:dyDescent="0.35">
      <c r="A356" s="29" t="s">
        <v>119</v>
      </c>
      <c r="B356" s="30">
        <f>324*10.764</f>
        <v>3487.5359999999996</v>
      </c>
      <c r="C356" s="30">
        <f>60.01*10.764</f>
        <v>645.94763999999998</v>
      </c>
      <c r="D356" s="93">
        <f>4.75*3.06*10.764</f>
        <v>156.45473999999999</v>
      </c>
      <c r="E356" s="93"/>
      <c r="F356" s="30">
        <f>67.76*10.764</f>
        <v>729.36864000000003</v>
      </c>
      <c r="G356" s="30">
        <f>C356*1.45+D356/2</f>
        <v>1014.8514479999999</v>
      </c>
      <c r="H356" s="30" t="s">
        <v>100</v>
      </c>
      <c r="I356" s="85" t="s">
        <v>120</v>
      </c>
      <c r="J356" s="85"/>
      <c r="K356">
        <f>4049735/F356</f>
        <v>5552.3843196768094</v>
      </c>
      <c r="L356">
        <f>(K356*F356)/G356</f>
        <v>3990.4707314365487</v>
      </c>
      <c r="N356">
        <f>5600*G356</f>
        <v>5683168.1087999996</v>
      </c>
    </row>
    <row r="357" spans="1:22" ht="15" x14ac:dyDescent="0.35">
      <c r="A357" s="71"/>
      <c r="B357" s="72"/>
      <c r="C357" s="72"/>
      <c r="D357" s="72"/>
      <c r="E357" s="72"/>
      <c r="F357" s="72"/>
      <c r="G357" s="72"/>
      <c r="H357" s="72"/>
      <c r="I357" s="72"/>
      <c r="J357" s="73"/>
    </row>
    <row r="358" spans="1:22" ht="19.5" customHeight="1" x14ac:dyDescent="0.35">
      <c r="A358" s="85" t="s">
        <v>170</v>
      </c>
      <c r="B358" s="85"/>
      <c r="C358" s="85"/>
      <c r="D358" s="85"/>
      <c r="E358" s="85"/>
      <c r="F358" s="85"/>
      <c r="G358" s="85"/>
      <c r="H358" s="85"/>
      <c r="I358" s="85"/>
      <c r="J358" s="85"/>
    </row>
    <row r="359" spans="1:22" ht="32.25" customHeight="1" x14ac:dyDescent="0.35">
      <c r="A359" s="10" t="s">
        <v>119</v>
      </c>
      <c r="B359" s="10">
        <f>(220/2)*10.764</f>
        <v>1184.04</v>
      </c>
      <c r="C359" s="10">
        <f>(133.2/2)*10.764</f>
        <v>716.88239999999985</v>
      </c>
      <c r="D359" s="151">
        <f>(2.95*3.3+2.5*2.7)*10.764</f>
        <v>177.44453999999999</v>
      </c>
      <c r="E359" s="151"/>
      <c r="F359" s="10">
        <f>(150.21/2)*10.764</f>
        <v>808.43021999999996</v>
      </c>
      <c r="G359" s="10">
        <f>C359*1.45+D359/2</f>
        <v>1128.2017499999997</v>
      </c>
      <c r="H359" s="10" t="s">
        <v>100</v>
      </c>
      <c r="I359" s="120" t="s">
        <v>120</v>
      </c>
      <c r="J359" s="120"/>
      <c r="K359">
        <f>3770000/G359</f>
        <v>3341.6009149072856</v>
      </c>
      <c r="L359">
        <f>(K359*F359)/G359</f>
        <v>2394.4752459307024</v>
      </c>
      <c r="V359" t="s">
        <v>334</v>
      </c>
    </row>
    <row r="360" spans="1:22" ht="15" x14ac:dyDescent="0.35">
      <c r="A360" s="74"/>
      <c r="B360" s="75"/>
      <c r="C360" s="75"/>
      <c r="D360" s="75"/>
      <c r="E360" s="75"/>
      <c r="F360" s="75"/>
      <c r="G360" s="75"/>
      <c r="H360" s="75"/>
      <c r="I360" s="75"/>
      <c r="J360" s="76"/>
    </row>
    <row r="361" spans="1:22" ht="19.5" customHeight="1" x14ac:dyDescent="0.35">
      <c r="A361" s="120" t="s">
        <v>125</v>
      </c>
      <c r="B361" s="120"/>
      <c r="C361" s="120"/>
      <c r="D361" s="120"/>
      <c r="E361" s="120"/>
      <c r="F361" s="120"/>
      <c r="G361" s="120"/>
      <c r="H361" s="120"/>
      <c r="I361" s="120"/>
      <c r="J361" s="120"/>
    </row>
    <row r="362" spans="1:22" ht="32.25" customHeight="1" x14ac:dyDescent="0.35">
      <c r="A362" s="10" t="s">
        <v>121</v>
      </c>
      <c r="B362" s="10">
        <f>220*10.764</f>
        <v>2368.08</v>
      </c>
      <c r="C362" s="10">
        <f>81.04*10.764</f>
        <v>872.31456000000003</v>
      </c>
      <c r="D362" s="151">
        <f>(4.27*3.2+4.27*3.2+4.42*1.65+4.42*1.65)*10.764</f>
        <v>451.16229599999991</v>
      </c>
      <c r="E362" s="151"/>
      <c r="F362" s="10">
        <f>(104.65+62.01+19.87)*10.764</f>
        <v>2007.8089199999999</v>
      </c>
      <c r="G362" s="10">
        <f>C362*1.45+D362/3</f>
        <v>1415.2435439999999</v>
      </c>
      <c r="H362" s="10" t="s">
        <v>100</v>
      </c>
      <c r="I362" s="120" t="s">
        <v>159</v>
      </c>
      <c r="J362" s="120"/>
      <c r="K362">
        <f>3637382/F362</f>
        <v>1811.6176115006003</v>
      </c>
      <c r="L362">
        <f>(K362*F362)/G362</f>
        <v>2570.1456229359774</v>
      </c>
    </row>
    <row r="363" spans="1:22" ht="19.5" customHeight="1" x14ac:dyDescent="0.35">
      <c r="A363" s="74"/>
      <c r="B363" s="75"/>
      <c r="C363" s="75"/>
      <c r="D363" s="75"/>
      <c r="E363" s="75"/>
      <c r="F363" s="75"/>
      <c r="G363" s="75"/>
      <c r="H363" s="75"/>
      <c r="I363" s="75"/>
      <c r="J363" s="76"/>
    </row>
    <row r="364" spans="1:22" ht="19.5" customHeight="1" x14ac:dyDescent="0.35">
      <c r="A364" s="120" t="s">
        <v>160</v>
      </c>
      <c r="B364" s="120"/>
      <c r="C364" s="120"/>
      <c r="D364" s="120"/>
      <c r="E364" s="120"/>
      <c r="F364" s="120"/>
      <c r="G364" s="120"/>
      <c r="H364" s="120"/>
      <c r="I364" s="120"/>
      <c r="J364" s="120"/>
    </row>
    <row r="365" spans="1:22" ht="32.25" customHeight="1" x14ac:dyDescent="0.35">
      <c r="A365" s="10" t="s">
        <v>158</v>
      </c>
      <c r="B365" s="10">
        <f>220.96*10.764</f>
        <v>2378.4134399999998</v>
      </c>
      <c r="C365" s="10">
        <f>124.26*10.764</f>
        <v>1337.5346400000001</v>
      </c>
      <c r="D365" s="151">
        <f>(3.56*2.59+7.52*4.79)*10.764</f>
        <v>486.97627679999994</v>
      </c>
      <c r="E365" s="151"/>
      <c r="F365" s="10">
        <f>(138.36)*10.764</f>
        <v>1489.3070400000001</v>
      </c>
      <c r="G365" s="10">
        <f>C365*1.45+D365/3</f>
        <v>2101.7506536000001</v>
      </c>
      <c r="H365" s="10" t="s">
        <v>100</v>
      </c>
      <c r="I365" s="120" t="s">
        <v>159</v>
      </c>
      <c r="J365" s="120"/>
      <c r="K365">
        <f>6496575/F365</f>
        <v>4362.146169670963</v>
      </c>
      <c r="L365">
        <f>(K365*F365)/G365</f>
        <v>3091.0303222089124</v>
      </c>
    </row>
    <row r="366" spans="1:22" ht="19.5" customHeight="1" x14ac:dyDescent="0.35">
      <c r="A366" s="74"/>
      <c r="B366" s="75"/>
      <c r="C366" s="75"/>
      <c r="D366" s="75"/>
      <c r="E366" s="75"/>
      <c r="F366" s="75"/>
      <c r="G366" s="75"/>
      <c r="H366" s="75"/>
      <c r="I366" s="75"/>
      <c r="J366" s="76"/>
    </row>
    <row r="367" spans="1:22" ht="19.5" customHeight="1" x14ac:dyDescent="0.35">
      <c r="A367" s="120" t="s">
        <v>126</v>
      </c>
      <c r="B367" s="120"/>
      <c r="C367" s="120"/>
      <c r="D367" s="120"/>
      <c r="E367" s="120"/>
      <c r="F367" s="120"/>
      <c r="G367" s="120"/>
      <c r="H367" s="120"/>
      <c r="I367" s="120"/>
      <c r="J367" s="120"/>
    </row>
    <row r="368" spans="1:22" ht="30.75" customHeight="1" x14ac:dyDescent="0.35">
      <c r="A368" s="21" t="s">
        <v>119</v>
      </c>
      <c r="B368" s="10">
        <f>153*10.764</f>
        <v>1646.8919999999998</v>
      </c>
      <c r="C368" s="10">
        <f>71.37*10.764</f>
        <v>768.22667999999999</v>
      </c>
      <c r="D368" s="151">
        <f>3.41*3.05*10.764</f>
        <v>111.95098199999998</v>
      </c>
      <c r="E368" s="151"/>
      <c r="F368" s="10">
        <f>80.05*10.764</f>
        <v>861.65819999999997</v>
      </c>
      <c r="G368" s="10">
        <f>C368*1.45+D368/2</f>
        <v>1169.9041769999999</v>
      </c>
      <c r="H368" s="10" t="s">
        <v>100</v>
      </c>
      <c r="I368" s="120" t="s">
        <v>120</v>
      </c>
      <c r="J368" s="120"/>
      <c r="K368">
        <f>3765964/F368</f>
        <v>4370.6007788239003</v>
      </c>
      <c r="L368">
        <f>(K368*F368)/G368</f>
        <v>3219.0362886446896</v>
      </c>
    </row>
    <row r="369" spans="1:13" ht="19.5" customHeight="1" x14ac:dyDescent="0.35">
      <c r="A369" s="74"/>
      <c r="B369" s="75"/>
      <c r="C369" s="75"/>
      <c r="D369" s="75"/>
      <c r="E369" s="75"/>
      <c r="F369" s="75"/>
      <c r="G369" s="75"/>
      <c r="H369" s="75"/>
      <c r="I369" s="75"/>
      <c r="J369" s="76"/>
    </row>
    <row r="370" spans="1:13" ht="19.5" customHeight="1" x14ac:dyDescent="0.35">
      <c r="A370" s="120" t="s">
        <v>207</v>
      </c>
      <c r="B370" s="120"/>
      <c r="C370" s="120"/>
      <c r="D370" s="120"/>
      <c r="E370" s="120"/>
      <c r="F370" s="120"/>
      <c r="G370" s="120"/>
      <c r="H370" s="120"/>
      <c r="I370" s="120"/>
      <c r="J370" s="120"/>
    </row>
    <row r="371" spans="1:13" ht="30.75" customHeight="1" x14ac:dyDescent="0.35">
      <c r="A371" s="10" t="s">
        <v>158</v>
      </c>
      <c r="B371" s="10">
        <f>162*10.764</f>
        <v>1743.7679999999998</v>
      </c>
      <c r="C371" s="10">
        <f>((3.95*2.95+1.2*2.15+1.45*1.74+2.74*3.19+1.2*2.17+2.51*4.41+3.2*1.3+1.4*0.4+2.51*1.07)+(3.99*2.95+2.7*1.2+2.74*1.2+3.75*2.87+2.7*1+2.47*0.91))*10.764</f>
        <v>867.40187040000001</v>
      </c>
      <c r="D371" s="151">
        <f>3.34*2.9*10.764</f>
        <v>104.260104</v>
      </c>
      <c r="E371" s="151"/>
      <c r="F371" s="10">
        <f>94.45*10.764</f>
        <v>1016.6598</v>
      </c>
      <c r="G371" s="10">
        <f>C371*1.45+D371/2</f>
        <v>1309.86276408</v>
      </c>
      <c r="H371" s="10" t="s">
        <v>100</v>
      </c>
      <c r="I371" s="120" t="s">
        <v>120</v>
      </c>
      <c r="J371" s="120"/>
      <c r="K371">
        <f>4858698/F371</f>
        <v>4779.0794914877133</v>
      </c>
      <c r="L371">
        <f>(K371*F371)/G371</f>
        <v>3709.3183600898624</v>
      </c>
    </row>
    <row r="372" spans="1:13" ht="19.5" customHeight="1" x14ac:dyDescent="0.35">
      <c r="A372" s="85" t="s">
        <v>228</v>
      </c>
      <c r="B372" s="85"/>
      <c r="C372" s="85"/>
      <c r="D372" s="85"/>
      <c r="E372" s="85"/>
      <c r="F372" s="85"/>
      <c r="G372" s="85"/>
      <c r="H372" s="85"/>
      <c r="I372" s="85"/>
      <c r="J372" s="85"/>
    </row>
    <row r="373" spans="1:13" ht="30.75" customHeight="1" x14ac:dyDescent="0.35">
      <c r="A373" s="30" t="s">
        <v>229</v>
      </c>
      <c r="B373" s="30">
        <f>165*10.764</f>
        <v>1776.06</v>
      </c>
      <c r="C373" s="30">
        <f>(64.68)*10.764</f>
        <v>696.21552000000008</v>
      </c>
      <c r="D373" s="93">
        <v>0</v>
      </c>
      <c r="E373" s="93"/>
      <c r="F373" s="30">
        <f>74.06*10.764</f>
        <v>797.18183999999997</v>
      </c>
      <c r="G373" s="30">
        <f>C373*1.45+D373/2</f>
        <v>1009.512504</v>
      </c>
      <c r="H373" s="30" t="s">
        <v>100</v>
      </c>
      <c r="I373" s="85" t="s">
        <v>120</v>
      </c>
      <c r="J373" s="85"/>
      <c r="K373">
        <f>4858698/F373</f>
        <v>6094.8428027412165</v>
      </c>
      <c r="L373">
        <f>(K373*F373)/G373</f>
        <v>4812.9151256159175</v>
      </c>
    </row>
    <row r="374" spans="1:13" ht="15" x14ac:dyDescent="0.35">
      <c r="A374" s="74"/>
      <c r="B374" s="75"/>
      <c r="C374" s="75"/>
      <c r="D374" s="75"/>
      <c r="E374" s="75"/>
      <c r="F374" s="75"/>
      <c r="G374" s="75"/>
      <c r="H374" s="75"/>
      <c r="I374" s="75"/>
      <c r="J374" s="76"/>
    </row>
    <row r="375" spans="1:13" ht="19.5" customHeight="1" x14ac:dyDescent="0.35">
      <c r="A375" s="120" t="s">
        <v>127</v>
      </c>
      <c r="B375" s="120"/>
      <c r="C375" s="120"/>
      <c r="D375" s="120"/>
      <c r="E375" s="120"/>
      <c r="F375" s="120"/>
      <c r="G375" s="120"/>
      <c r="H375" s="120"/>
      <c r="I375" s="120"/>
      <c r="J375" s="120"/>
    </row>
    <row r="376" spans="1:13" ht="33" customHeight="1" x14ac:dyDescent="0.35">
      <c r="A376" s="21" t="s">
        <v>119</v>
      </c>
      <c r="B376" s="10">
        <f>153.75*10.764</f>
        <v>1654.9649999999999</v>
      </c>
      <c r="C376" s="10">
        <f>66.7*10.764</f>
        <v>717.9588</v>
      </c>
      <c r="D376" s="151">
        <f>2.8*5.8+1.2*2.15+3.2*1.98+2.87*7.63+2.13*3.2+0.84*2.13</f>
        <v>55.659300000000002</v>
      </c>
      <c r="E376" s="151"/>
      <c r="F376" s="10">
        <f>74.93*10.764</f>
        <v>806.54651999999999</v>
      </c>
      <c r="G376" s="10">
        <f>C376*1.45+D376</f>
        <v>1096.69956</v>
      </c>
      <c r="H376" s="10" t="s">
        <v>100</v>
      </c>
      <c r="I376" s="120" t="s">
        <v>120</v>
      </c>
      <c r="J376" s="120"/>
      <c r="K376">
        <f>2477100/F376</f>
        <v>3071.2425614334061</v>
      </c>
      <c r="L376">
        <f>(K376*F376)/G376</f>
        <v>2258.6860525411353</v>
      </c>
    </row>
    <row r="377" spans="1:13" ht="19.5" customHeight="1" x14ac:dyDescent="0.35">
      <c r="A377" s="85" t="s">
        <v>230</v>
      </c>
      <c r="B377" s="85"/>
      <c r="C377" s="85"/>
      <c r="D377" s="85"/>
      <c r="E377" s="85"/>
      <c r="F377" s="85"/>
      <c r="G377" s="85"/>
      <c r="H377" s="85"/>
      <c r="I377" s="85"/>
      <c r="J377" s="85"/>
    </row>
    <row r="378" spans="1:13" ht="30.75" customHeight="1" x14ac:dyDescent="0.35">
      <c r="A378" s="30" t="s">
        <v>231</v>
      </c>
      <c r="B378" s="30">
        <f>(180.5/2)*10.764</f>
        <v>971.45099999999991</v>
      </c>
      <c r="C378" s="30">
        <f>(52.36)*10.764</f>
        <v>563.60303999999996</v>
      </c>
      <c r="D378" s="93">
        <f>(3.74*3)*10.764</f>
        <v>120.77208</v>
      </c>
      <c r="E378" s="93"/>
      <c r="F378" s="30">
        <f>64.11*10.764</f>
        <v>690.08003999999994</v>
      </c>
      <c r="G378" s="30">
        <f>C378*1.45+D378/2</f>
        <v>877.61044799999991</v>
      </c>
      <c r="H378" s="30" t="s">
        <v>100</v>
      </c>
      <c r="I378" s="85" t="s">
        <v>120</v>
      </c>
      <c r="J378" s="85"/>
      <c r="K378">
        <f>4858698/F378</f>
        <v>7040.7745744971853</v>
      </c>
      <c r="L378">
        <f>(K378*F378)/G378</f>
        <v>5536.2809445495577</v>
      </c>
    </row>
    <row r="379" spans="1:13" ht="19.5" customHeight="1" x14ac:dyDescent="0.35">
      <c r="A379" s="85" t="s">
        <v>301</v>
      </c>
      <c r="B379" s="85"/>
      <c r="C379" s="85"/>
      <c r="D379" s="85"/>
      <c r="E379" s="85"/>
      <c r="F379" s="85"/>
      <c r="G379" s="85"/>
      <c r="H379" s="85"/>
      <c r="I379" s="85"/>
      <c r="J379" s="85"/>
    </row>
    <row r="380" spans="1:13" ht="42.75" customHeight="1" x14ac:dyDescent="0.35">
      <c r="A380" s="30" t="s">
        <v>302</v>
      </c>
      <c r="B380" s="30">
        <f>(190)*10.764</f>
        <v>2045.1599999999999</v>
      </c>
      <c r="C380" s="30">
        <f>(72.06)*10.764</f>
        <v>775.65383999999995</v>
      </c>
      <c r="D380" s="93">
        <f>(2.76*2.4)*10.764</f>
        <v>71.300735999999986</v>
      </c>
      <c r="E380" s="93"/>
      <c r="F380" s="30">
        <f>81.74*10.764</f>
        <v>879.84935999999993</v>
      </c>
      <c r="G380" s="30">
        <f>C380*1.45+D380</f>
        <v>1195.9988039999998</v>
      </c>
      <c r="H380" s="30" t="s">
        <v>100</v>
      </c>
      <c r="I380" s="85" t="s">
        <v>120</v>
      </c>
      <c r="J380" s="85"/>
      <c r="K380">
        <f>3.05*3.05+2*1.2+1.2*2.34+2.8*3.05+2.07*1+1.2*1+1.2*1.2+3*2.1</f>
        <v>34.060500000000005</v>
      </c>
      <c r="L380">
        <f>2.57*1+4.1*3.05+3.05*3.05+2.3*1.2+2.1*1+3*1+2.5*3.3</f>
        <v>40.487499999999997</v>
      </c>
      <c r="M380">
        <f>L380+K380</f>
        <v>74.548000000000002</v>
      </c>
    </row>
    <row r="381" spans="1:13" ht="19.5" customHeight="1" x14ac:dyDescent="0.35">
      <c r="A381" s="85" t="s">
        <v>314</v>
      </c>
      <c r="B381" s="85"/>
      <c r="C381" s="85"/>
      <c r="D381" s="85"/>
      <c r="E381" s="85"/>
      <c r="F381" s="85"/>
      <c r="G381" s="85"/>
      <c r="H381" s="85"/>
      <c r="I381" s="85"/>
      <c r="J381" s="85"/>
    </row>
    <row r="382" spans="1:13" ht="42.75" customHeight="1" x14ac:dyDescent="0.35">
      <c r="A382" s="30" t="s">
        <v>231</v>
      </c>
      <c r="B382" s="30">
        <f>(177)*10.764</f>
        <v>1905.2279999999998</v>
      </c>
      <c r="C382" s="30">
        <f>(4.03*3.2+3.29*3+3.2*3.3+6.6*3.2+2.87*3+2.87*1.2+1.95*3.2)*10.764</f>
        <v>782.97335999999984</v>
      </c>
      <c r="D382" s="93">
        <f>(4.07*2)*10.764</f>
        <v>87.618960000000001</v>
      </c>
      <c r="E382" s="93"/>
      <c r="F382" s="30">
        <f>81.19*10.764</f>
        <v>873.92915999999991</v>
      </c>
      <c r="G382" s="30">
        <f>C382*1.45+D382</f>
        <v>1222.9303319999997</v>
      </c>
      <c r="H382" s="30" t="s">
        <v>100</v>
      </c>
      <c r="I382" s="85" t="s">
        <v>120</v>
      </c>
      <c r="J382" s="85"/>
      <c r="K382">
        <f>4.03*3.2+3.29*3+3.2*3.3</f>
        <v>33.326000000000001</v>
      </c>
      <c r="L382">
        <f>6.6*3.2+2.87*3+2.87*1.2+1.95*3.2</f>
        <v>39.414000000000001</v>
      </c>
      <c r="M382">
        <f>L382+K382</f>
        <v>72.740000000000009</v>
      </c>
    </row>
    <row r="383" spans="1:13" ht="19.5" customHeight="1" x14ac:dyDescent="0.35">
      <c r="A383" s="85" t="s">
        <v>310</v>
      </c>
      <c r="B383" s="85"/>
      <c r="C383" s="85"/>
      <c r="D383" s="85"/>
      <c r="E383" s="85"/>
      <c r="F383" s="85"/>
      <c r="G383" s="85"/>
      <c r="H383" s="85"/>
      <c r="I383" s="85"/>
      <c r="J383" s="85"/>
    </row>
    <row r="384" spans="1:13" ht="46.5" customHeight="1" x14ac:dyDescent="0.35">
      <c r="A384" s="30" t="s">
        <v>309</v>
      </c>
      <c r="B384" s="30">
        <f>(180)*10.764</f>
        <v>1937.52</v>
      </c>
      <c r="C384" s="30">
        <f>(4.9*5.2+2.92*5.2+3.05*3.05+4*1.06+2.05*1.35+3.05*3.05+1.35*1+0.2*1.9)*10.764</f>
        <v>732.02196599999979</v>
      </c>
      <c r="D384" s="93">
        <f>(1.9*7.35+3.99*3.5)*10.764</f>
        <v>300.63851999999997</v>
      </c>
      <c r="E384" s="93"/>
      <c r="F384" s="30">
        <f>75.11*10.764</f>
        <v>808.48403999999994</v>
      </c>
      <c r="G384" s="30">
        <f>C384*1.45+D384/3</f>
        <v>1161.6446906999995</v>
      </c>
      <c r="H384" s="30" t="s">
        <v>100</v>
      </c>
      <c r="I384" s="85" t="s">
        <v>120</v>
      </c>
      <c r="J384" s="85"/>
      <c r="K384">
        <f>3.05*3.05+2*1.2+1.2*2.34+2.8*3.05+2.07*1+1.2*1+1.2*1.2+3*2.1</f>
        <v>34.060500000000005</v>
      </c>
      <c r="L384">
        <f>2.57*1+4.1*3.05+3.05*3.05+2.3*1.2+2.1*1+3*1+2.5*3.3</f>
        <v>40.487499999999997</v>
      </c>
      <c r="M384">
        <f>L384+K384</f>
        <v>74.548000000000002</v>
      </c>
    </row>
    <row r="385" spans="1:14" ht="15" x14ac:dyDescent="0.35">
      <c r="A385" s="71"/>
      <c r="B385" s="72"/>
      <c r="C385" s="72"/>
      <c r="D385" s="72"/>
      <c r="E385" s="72"/>
      <c r="F385" s="72"/>
      <c r="G385" s="72"/>
      <c r="H385" s="72"/>
      <c r="I385" s="72"/>
      <c r="J385" s="73"/>
    </row>
    <row r="386" spans="1:14" ht="19.5" customHeight="1" x14ac:dyDescent="0.35">
      <c r="A386" s="85" t="s">
        <v>247</v>
      </c>
      <c r="B386" s="85"/>
      <c r="C386" s="85"/>
      <c r="D386" s="85"/>
      <c r="E386" s="85"/>
      <c r="F386" s="85"/>
      <c r="G386" s="85"/>
      <c r="H386" s="85"/>
      <c r="I386" s="85"/>
      <c r="J386" s="85"/>
    </row>
    <row r="387" spans="1:14" ht="30.75" customHeight="1" x14ac:dyDescent="0.35">
      <c r="A387" s="30" t="s">
        <v>214</v>
      </c>
      <c r="B387" s="30">
        <f>(242)*10.764</f>
        <v>2604.8879999999999</v>
      </c>
      <c r="C387" s="30">
        <f>(39.57+28.85)*10.764</f>
        <v>736.47287999999992</v>
      </c>
      <c r="D387" s="93">
        <v>0</v>
      </c>
      <c r="E387" s="93"/>
      <c r="F387" s="30">
        <f>(72.29)*10.764</f>
        <v>778.12955999999997</v>
      </c>
      <c r="G387" s="30">
        <f>C387*1.45+D387</f>
        <v>1067.8856759999999</v>
      </c>
      <c r="H387" s="30" t="s">
        <v>100</v>
      </c>
      <c r="I387" s="85" t="s">
        <v>120</v>
      </c>
      <c r="J387" s="85"/>
      <c r="K387">
        <f>4858698/F387</f>
        <v>6244.0732877440105</v>
      </c>
      <c r="L387">
        <f>(K387*F387)/G387</f>
        <v>4549.829732897364</v>
      </c>
    </row>
    <row r="388" spans="1:14" ht="15" x14ac:dyDescent="0.35">
      <c r="A388" s="71"/>
      <c r="B388" s="72"/>
      <c r="C388" s="72"/>
      <c r="D388" s="72"/>
      <c r="E388" s="72"/>
      <c r="F388" s="72"/>
      <c r="G388" s="72"/>
      <c r="H388" s="72"/>
      <c r="I388" s="72"/>
      <c r="J388" s="73"/>
    </row>
    <row r="389" spans="1:14" ht="19.5" customHeight="1" x14ac:dyDescent="0.35">
      <c r="A389" s="85" t="s">
        <v>280</v>
      </c>
      <c r="B389" s="85"/>
      <c r="C389" s="85"/>
      <c r="D389" s="85"/>
      <c r="E389" s="85"/>
      <c r="F389" s="85"/>
      <c r="G389" s="85"/>
      <c r="H389" s="85"/>
      <c r="I389" s="85"/>
      <c r="J389" s="85"/>
    </row>
    <row r="390" spans="1:14" ht="30.75" customHeight="1" x14ac:dyDescent="0.35">
      <c r="A390" s="30" t="s">
        <v>229</v>
      </c>
      <c r="B390" s="30">
        <f>(200)*10.764</f>
        <v>2152.7999999999997</v>
      </c>
      <c r="C390" s="30">
        <f>(37.86+21.49)*10.764</f>
        <v>638.84339999999986</v>
      </c>
      <c r="D390" s="93">
        <f>(2.22*1.97)*10.764</f>
        <v>47.0752776</v>
      </c>
      <c r="E390" s="93"/>
      <c r="F390" s="30">
        <f>(68.31)*10.764</f>
        <v>735.28883999999994</v>
      </c>
      <c r="G390" s="30">
        <f>C390*1.45+D390</f>
        <v>973.39820759999986</v>
      </c>
      <c r="H390" s="30" t="s">
        <v>100</v>
      </c>
      <c r="I390" s="85" t="s">
        <v>120</v>
      </c>
      <c r="J390" s="85"/>
      <c r="K390">
        <f>4858698/F390</f>
        <v>6607.8767086958651</v>
      </c>
      <c r="L390">
        <f>(K390*F390)/G390</f>
        <v>4991.4803233299081</v>
      </c>
      <c r="N390" s="43">
        <f>C390+D390</f>
        <v>685.91867759999991</v>
      </c>
    </row>
    <row r="391" spans="1:14" ht="15" x14ac:dyDescent="0.35">
      <c r="A391" s="71"/>
      <c r="B391" s="72"/>
      <c r="C391" s="72"/>
      <c r="D391" s="72"/>
      <c r="E391" s="72"/>
      <c r="F391" s="72"/>
      <c r="G391" s="72"/>
      <c r="H391" s="72"/>
      <c r="I391" s="72"/>
      <c r="J391" s="73"/>
    </row>
    <row r="392" spans="1:14" ht="19.5" customHeight="1" x14ac:dyDescent="0.35">
      <c r="A392" s="85" t="s">
        <v>279</v>
      </c>
      <c r="B392" s="85"/>
      <c r="C392" s="85"/>
      <c r="D392" s="85"/>
      <c r="E392" s="85"/>
      <c r="F392" s="85"/>
      <c r="G392" s="85"/>
      <c r="H392" s="85"/>
      <c r="I392" s="85"/>
      <c r="J392" s="85"/>
    </row>
    <row r="393" spans="1:14" ht="30.75" customHeight="1" x14ac:dyDescent="0.35">
      <c r="A393" s="30" t="s">
        <v>119</v>
      </c>
      <c r="B393" s="30">
        <f>(162)*10.764</f>
        <v>1743.7679999999998</v>
      </c>
      <c r="C393" s="30">
        <f>(29.64+19.82)*10.764</f>
        <v>532.38743999999997</v>
      </c>
      <c r="D393" s="93">
        <f>(2.76*3.38)*10.764</f>
        <v>100.41520319999999</v>
      </c>
      <c r="E393" s="93"/>
      <c r="F393" s="30">
        <f>(54.46)*10.764</f>
        <v>586.20744000000002</v>
      </c>
      <c r="G393" s="30">
        <f>C393*1.45+D393/2</f>
        <v>822.16938959999993</v>
      </c>
      <c r="H393" s="30" t="s">
        <v>100</v>
      </c>
      <c r="I393" s="85" t="s">
        <v>120</v>
      </c>
      <c r="J393" s="85"/>
      <c r="K393">
        <f>4858698/F393</f>
        <v>8288.3594926737878</v>
      </c>
      <c r="L393">
        <f>(K393*F393)/G393</f>
        <v>5909.6070243673794</v>
      </c>
    </row>
    <row r="394" spans="1:14" ht="19.5" customHeight="1" x14ac:dyDescent="0.35">
      <c r="A394" s="85" t="s">
        <v>286</v>
      </c>
      <c r="B394" s="85"/>
      <c r="C394" s="85"/>
      <c r="D394" s="85"/>
      <c r="E394" s="85"/>
      <c r="F394" s="85"/>
      <c r="G394" s="85"/>
      <c r="H394" s="85"/>
      <c r="I394" s="85"/>
      <c r="J394" s="85"/>
    </row>
    <row r="395" spans="1:14" ht="30.75" customHeight="1" x14ac:dyDescent="0.35">
      <c r="A395" s="30" t="s">
        <v>119</v>
      </c>
      <c r="B395" s="30">
        <f>(157.5)*10.764</f>
        <v>1695.33</v>
      </c>
      <c r="C395" s="30">
        <f>((3.9*3.32+2.85*3.45+3.5*3.35+2.49*1.35)+(3.5*3.35+2.49*1.35+0.9*1.35)+(3.65*2.2))*10.764</f>
        <v>669.50465399999996</v>
      </c>
      <c r="D395" s="93">
        <f>(7.07*3)*10.764</f>
        <v>228.30444</v>
      </c>
      <c r="E395" s="93"/>
      <c r="F395" s="30">
        <f>(102.67)*10.764</f>
        <v>1105.1398799999999</v>
      </c>
      <c r="G395" s="30">
        <f>C395*1.45+D395/2</f>
        <v>1084.9339682999998</v>
      </c>
      <c r="H395" s="30" t="s">
        <v>100</v>
      </c>
      <c r="I395" s="85" t="s">
        <v>120</v>
      </c>
      <c r="J395" s="85"/>
      <c r="K395">
        <f>4858698/F395</f>
        <v>4396.4552251973755</v>
      </c>
      <c r="L395">
        <f>(K395*F395)/G395</f>
        <v>4478.335218513962</v>
      </c>
    </row>
    <row r="396" spans="1:14" ht="15" x14ac:dyDescent="0.35">
      <c r="A396" s="71"/>
      <c r="B396" s="72"/>
      <c r="C396" s="72"/>
      <c r="D396" s="72"/>
      <c r="E396" s="72"/>
      <c r="F396" s="72"/>
      <c r="G396" s="72"/>
      <c r="H396" s="72"/>
      <c r="I396" s="72"/>
      <c r="J396" s="73"/>
    </row>
    <row r="397" spans="1:14" ht="19.5" customHeight="1" x14ac:dyDescent="0.35">
      <c r="A397" s="85" t="s">
        <v>234</v>
      </c>
      <c r="B397" s="85"/>
      <c r="C397" s="85"/>
      <c r="D397" s="85"/>
      <c r="E397" s="85"/>
      <c r="F397" s="85"/>
      <c r="G397" s="85"/>
      <c r="H397" s="85"/>
      <c r="I397" s="85"/>
      <c r="J397" s="85"/>
    </row>
    <row r="398" spans="1:14" ht="30.75" customHeight="1" x14ac:dyDescent="0.35">
      <c r="A398" s="30" t="s">
        <v>235</v>
      </c>
      <c r="B398" s="30">
        <f>(153.16/2)*10.764</f>
        <v>824.30711999999994</v>
      </c>
      <c r="C398" s="30">
        <f>(82.16)*10.764</f>
        <v>884.37023999999985</v>
      </c>
      <c r="D398" s="93">
        <v>0</v>
      </c>
      <c r="E398" s="93"/>
      <c r="F398" s="30">
        <f>92.37*10.764</f>
        <v>994.27067999999997</v>
      </c>
      <c r="G398" s="30">
        <f>C398*1.45+D398/2</f>
        <v>1282.3368479999997</v>
      </c>
      <c r="H398" s="30" t="s">
        <v>100</v>
      </c>
      <c r="I398" s="85" t="s">
        <v>120</v>
      </c>
      <c r="J398" s="85"/>
      <c r="K398">
        <f>4858698/F398</f>
        <v>4886.6954419293552</v>
      </c>
      <c r="L398">
        <f>(K398*F398)/G398</f>
        <v>3788.9404859400884</v>
      </c>
    </row>
    <row r="399" spans="1:14" ht="19.5" customHeight="1" x14ac:dyDescent="0.35">
      <c r="A399" s="92" t="s">
        <v>320</v>
      </c>
      <c r="B399" s="92"/>
      <c r="C399" s="92"/>
      <c r="D399" s="92"/>
      <c r="E399" s="92"/>
      <c r="F399" s="92"/>
      <c r="G399" s="92"/>
      <c r="H399" s="92"/>
      <c r="I399" s="92"/>
      <c r="J399" s="92"/>
      <c r="K399">
        <f>6675760/G400</f>
        <v>6464.9700162113431</v>
      </c>
      <c r="L399">
        <f>F400*1.45+D400/5</f>
        <v>1088.8647119999998</v>
      </c>
      <c r="M399">
        <f>6675760/L399</f>
        <v>6130.936126801399</v>
      </c>
    </row>
    <row r="400" spans="1:14" ht="30.75" customHeight="1" x14ac:dyDescent="0.35">
      <c r="A400" s="29" t="s">
        <v>119</v>
      </c>
      <c r="B400" s="30">
        <f>(185.03)*10.764</f>
        <v>1991.66292</v>
      </c>
      <c r="C400" s="30">
        <f>(3.45*3.05+3.45*3.2+3.15*3.05+2.15*1.22+1.22*1+1*2.85+3.45*3.2+1.52*2.13+2.13*2.4+3.76*0.91)*10.764</f>
        <v>653.09708879999994</v>
      </c>
      <c r="D400" s="93">
        <f>(3.15*5.05)*10.764</f>
        <v>171.22832999999997</v>
      </c>
      <c r="E400" s="93"/>
      <c r="F400" s="30">
        <f>67.57*10.764</f>
        <v>727.3234799999999</v>
      </c>
      <c r="G400" s="30">
        <f>C400*1.45+D400/2</f>
        <v>1032.60494376</v>
      </c>
      <c r="H400" s="30" t="s">
        <v>100</v>
      </c>
      <c r="I400" s="85" t="s">
        <v>120</v>
      </c>
      <c r="J400" s="85"/>
      <c r="K400">
        <f>4858698/F400</f>
        <v>6680.2435692025238</v>
      </c>
      <c r="L400">
        <f>(K400*F400)/G400</f>
        <v>4705.2825278059754</v>
      </c>
    </row>
    <row r="401" spans="1:16" ht="19.5" customHeight="1" x14ac:dyDescent="0.35">
      <c r="A401" s="85" t="s">
        <v>288</v>
      </c>
      <c r="B401" s="85"/>
      <c r="C401" s="85"/>
      <c r="D401" s="85"/>
      <c r="E401" s="85"/>
      <c r="F401" s="85"/>
      <c r="G401" s="85"/>
      <c r="H401" s="85"/>
      <c r="I401" s="85"/>
      <c r="J401" s="85"/>
      <c r="K401">
        <f>6675760/G402</f>
        <v>3934.1466447584526</v>
      </c>
      <c r="L401">
        <f>F402*1.45+D402/5</f>
        <v>1785.4668748799998</v>
      </c>
      <c r="M401">
        <f>6675760/L401</f>
        <v>3738.9436308913178</v>
      </c>
    </row>
    <row r="402" spans="1:16" ht="30.75" customHeight="1" x14ac:dyDescent="0.35">
      <c r="A402" s="29" t="s">
        <v>119</v>
      </c>
      <c r="B402" s="30">
        <f>(180)*10.764</f>
        <v>1937.52</v>
      </c>
      <c r="C402" s="30">
        <f>(79.4)*10.764</f>
        <v>854.66160000000002</v>
      </c>
      <c r="D402" s="93">
        <f>(2.67*2.86+6.71*2.92+0.9*1.62+3.21*5.12+2.86*1.2+1.62*75)*10.764</f>
        <v>1830.4677144000002</v>
      </c>
      <c r="E402" s="93"/>
      <c r="F402" s="30">
        <f>90.94*10.764</f>
        <v>978.87815999999987</v>
      </c>
      <c r="G402" s="30">
        <f>C402*1.45+D402/4</f>
        <v>1696.8762486000001</v>
      </c>
      <c r="H402" s="30" t="s">
        <v>100</v>
      </c>
      <c r="I402" s="85" t="s">
        <v>289</v>
      </c>
      <c r="J402" s="85"/>
      <c r="K402">
        <f>4858698/F402</f>
        <v>4963.5370350892299</v>
      </c>
      <c r="L402">
        <f>(K402*F402)/G402</f>
        <v>2863.3189980758152</v>
      </c>
    </row>
    <row r="403" spans="1:16" ht="15" x14ac:dyDescent="0.35">
      <c r="A403" s="71"/>
      <c r="B403" s="72"/>
      <c r="C403" s="72"/>
      <c r="D403" s="72"/>
      <c r="E403" s="72"/>
      <c r="F403" s="72"/>
      <c r="G403" s="72"/>
      <c r="H403" s="72"/>
      <c r="I403" s="72"/>
      <c r="J403" s="73"/>
    </row>
    <row r="404" spans="1:16" ht="19.5" customHeight="1" x14ac:dyDescent="0.35">
      <c r="A404" s="85" t="s">
        <v>161</v>
      </c>
      <c r="B404" s="85"/>
      <c r="C404" s="85"/>
      <c r="D404" s="85"/>
      <c r="E404" s="85"/>
      <c r="F404" s="85"/>
      <c r="G404" s="85"/>
      <c r="H404" s="85"/>
      <c r="I404" s="85"/>
      <c r="J404" s="85"/>
    </row>
    <row r="405" spans="1:16" ht="30.75" customHeight="1" x14ac:dyDescent="0.35">
      <c r="A405" s="29" t="s">
        <v>119</v>
      </c>
      <c r="B405" s="30">
        <f>241.5*10.764</f>
        <v>2599.5059999999999</v>
      </c>
      <c r="C405" s="30">
        <f>90.71*10.764</f>
        <v>976.40243999999984</v>
      </c>
      <c r="D405" s="93">
        <f>8.12*2.29*10.764</f>
        <v>200.15442719999999</v>
      </c>
      <c r="E405" s="93"/>
      <c r="F405" s="30">
        <f>63.92*10.764</f>
        <v>688.03487999999993</v>
      </c>
      <c r="G405" s="30">
        <f>C405*1.45+D405/2</f>
        <v>1515.8607515999997</v>
      </c>
      <c r="H405" s="30" t="s">
        <v>100</v>
      </c>
      <c r="I405" s="85" t="s">
        <v>120</v>
      </c>
      <c r="J405" s="85"/>
      <c r="K405">
        <f>5068800/F405</f>
        <v>7367.0683672316154</v>
      </c>
      <c r="L405">
        <f>(K405*F405)/G405</f>
        <v>3343.8427603919768</v>
      </c>
    </row>
    <row r="406" spans="1:16" ht="19.5" customHeight="1" x14ac:dyDescent="0.35">
      <c r="A406" s="120" t="s">
        <v>213</v>
      </c>
      <c r="B406" s="120"/>
      <c r="C406" s="120"/>
      <c r="D406" s="120"/>
      <c r="E406" s="120"/>
      <c r="F406" s="120"/>
      <c r="G406" s="120"/>
      <c r="H406" s="120"/>
      <c r="I406" s="120"/>
      <c r="J406" s="120"/>
      <c r="K406">
        <f>2.9*5.58</f>
        <v>16.181999999999999</v>
      </c>
      <c r="P406" s="30">
        <f>((3.68*2.55+3.68*4.58+2.27*1.3+1*1.2)+(3.68*2.55+1.2*2.55+2.27*1.3+0.9*1.2+1.3*1.3))*10.764</f>
        <v>522.63956159999998</v>
      </c>
    </row>
    <row r="407" spans="1:16" ht="30.75" customHeight="1" x14ac:dyDescent="0.35">
      <c r="A407" s="29" t="s">
        <v>214</v>
      </c>
      <c r="B407" s="30">
        <f>(242/2)*10.764</f>
        <v>1302.444</v>
      </c>
      <c r="C407" s="30">
        <f>56.93*10.764</f>
        <v>612.79451999999992</v>
      </c>
      <c r="D407" s="93">
        <v>0</v>
      </c>
      <c r="E407" s="93"/>
      <c r="F407" s="30">
        <f>(39.47+24.54)*10.764</f>
        <v>689.0036399999999</v>
      </c>
      <c r="G407" s="30">
        <f>C407*1.45+D407</f>
        <v>888.55205399999988</v>
      </c>
      <c r="H407" s="30" t="s">
        <v>100</v>
      </c>
      <c r="I407" s="85" t="s">
        <v>120</v>
      </c>
      <c r="J407" s="85"/>
      <c r="K407">
        <f>3068800/F407</f>
        <v>4453.9677613314216</v>
      </c>
      <c r="L407">
        <f>(K407*F407)/G407</f>
        <v>3453.7087458018536</v>
      </c>
      <c r="N407">
        <f>3400*G407</f>
        <v>3021076.9835999995</v>
      </c>
    </row>
    <row r="408" spans="1:16" ht="19.5" customHeight="1" x14ac:dyDescent="0.35">
      <c r="A408" s="71"/>
      <c r="B408" s="72"/>
      <c r="C408" s="72"/>
      <c r="D408" s="72"/>
      <c r="E408" s="72"/>
      <c r="F408" s="72"/>
      <c r="G408" s="72"/>
      <c r="H408" s="72"/>
      <c r="I408" s="72"/>
      <c r="J408" s="73"/>
      <c r="K408">
        <f>56.93*10.764</f>
        <v>612.79451999999992</v>
      </c>
    </row>
    <row r="409" spans="1:16" ht="19.5" customHeight="1" x14ac:dyDescent="0.35">
      <c r="A409" s="85" t="s">
        <v>276</v>
      </c>
      <c r="B409" s="85"/>
      <c r="C409" s="85"/>
      <c r="D409" s="85"/>
      <c r="E409" s="85"/>
      <c r="F409" s="85"/>
      <c r="G409" s="85"/>
      <c r="H409" s="85"/>
      <c r="I409" s="85"/>
      <c r="J409" s="85"/>
    </row>
    <row r="410" spans="1:16" ht="33" customHeight="1" x14ac:dyDescent="0.35">
      <c r="A410" s="29" t="s">
        <v>277</v>
      </c>
      <c r="B410" s="30">
        <f>199.87*10.764</f>
        <v>2151.4006799999997</v>
      </c>
      <c r="C410" s="30">
        <f>54.44*10.764</f>
        <v>585.9921599999999</v>
      </c>
      <c r="D410" s="93">
        <f>(4.45*3.3+4.45*7.15)*10.764</f>
        <v>500.55291</v>
      </c>
      <c r="E410" s="93"/>
      <c r="F410" s="30">
        <f>63.94*10.764</f>
        <v>688.25015999999994</v>
      </c>
      <c r="G410" s="30">
        <f>C410*1.45+D410/4</f>
        <v>974.82685949999984</v>
      </c>
      <c r="H410" s="30" t="s">
        <v>100</v>
      </c>
      <c r="I410" s="85" t="s">
        <v>278</v>
      </c>
      <c r="J410" s="85"/>
      <c r="K410">
        <f>2724800/F410</f>
        <v>3959.0255961582343</v>
      </c>
      <c r="L410">
        <f>(K410*F410)/G410</f>
        <v>2795.1630317178397</v>
      </c>
    </row>
    <row r="411" spans="1:16" ht="19.5" customHeight="1" x14ac:dyDescent="0.35">
      <c r="A411" s="71"/>
      <c r="B411" s="72"/>
      <c r="C411" s="72"/>
      <c r="D411" s="72"/>
      <c r="E411" s="72"/>
      <c r="F411" s="72"/>
      <c r="G411" s="72"/>
      <c r="H411" s="72"/>
      <c r="I411" s="72"/>
      <c r="J411" s="73"/>
      <c r="K411">
        <f>56.93*10.764</f>
        <v>612.79451999999992</v>
      </c>
    </row>
    <row r="412" spans="1:16" ht="19.5" customHeight="1" x14ac:dyDescent="0.35">
      <c r="A412" s="120" t="s">
        <v>162</v>
      </c>
      <c r="B412" s="120"/>
      <c r="C412" s="120"/>
      <c r="D412" s="120"/>
      <c r="E412" s="120"/>
      <c r="F412" s="120"/>
      <c r="G412" s="120"/>
      <c r="H412" s="120"/>
      <c r="I412" s="120"/>
      <c r="J412" s="120"/>
    </row>
    <row r="413" spans="1:16" ht="33" customHeight="1" x14ac:dyDescent="0.35">
      <c r="A413" s="29" t="s">
        <v>158</v>
      </c>
      <c r="B413" s="30">
        <f>195.5*10.764</f>
        <v>2104.3620000000001</v>
      </c>
      <c r="C413" s="30">
        <f>77.57*10.764</f>
        <v>834.96347999999989</v>
      </c>
      <c r="D413" s="93">
        <f>2*3.4*10.764</f>
        <v>73.1952</v>
      </c>
      <c r="E413" s="93"/>
      <c r="F413" s="30">
        <f>89.8*10.764</f>
        <v>966.60719999999992</v>
      </c>
      <c r="G413" s="30">
        <f>C413*1.45+D413</f>
        <v>1283.8922459999999</v>
      </c>
      <c r="H413" s="30" t="s">
        <v>100</v>
      </c>
      <c r="I413" s="85" t="s">
        <v>120</v>
      </c>
      <c r="J413" s="85"/>
      <c r="K413">
        <f>2724800/F413</f>
        <v>2818.932033611999</v>
      </c>
      <c r="L413">
        <f>(K413*F413)/G413</f>
        <v>2122.2964843733471</v>
      </c>
    </row>
    <row r="414" spans="1:16" ht="19.5" customHeight="1" x14ac:dyDescent="0.35">
      <c r="A414" s="71"/>
      <c r="B414" s="72"/>
      <c r="C414" s="72"/>
      <c r="D414" s="72"/>
      <c r="E414" s="72"/>
      <c r="F414" s="72"/>
      <c r="G414" s="72"/>
      <c r="H414" s="72"/>
      <c r="I414" s="72"/>
      <c r="J414" s="73"/>
      <c r="K414">
        <f>56.93*10.764</f>
        <v>612.79451999999992</v>
      </c>
    </row>
    <row r="415" spans="1:16" ht="19.5" customHeight="1" x14ac:dyDescent="0.35">
      <c r="A415" s="85" t="s">
        <v>236</v>
      </c>
      <c r="B415" s="85"/>
      <c r="C415" s="85"/>
      <c r="D415" s="85"/>
      <c r="E415" s="85"/>
      <c r="F415" s="85"/>
      <c r="G415" s="85"/>
      <c r="H415" s="85"/>
      <c r="I415" s="85"/>
      <c r="J415" s="85"/>
    </row>
    <row r="416" spans="1:16" ht="33" customHeight="1" x14ac:dyDescent="0.35">
      <c r="A416" s="29" t="s">
        <v>235</v>
      </c>
      <c r="B416" s="30">
        <f>210*10.764</f>
        <v>2260.44</v>
      </c>
      <c r="C416" s="30">
        <f>((3.41*7.69+2.79*3.05+2.84*1.2+3.3*2)+(3.41*3.19+2.44*1.24+3.41*3.35+0.9*1.2+2.4*1.2+2.79*3.35+2.89*1.2+1.2*0.9+0.9*2)+(1.2*2.1+1.2*2.4))*10.764</f>
        <v>1023.8921316000001</v>
      </c>
      <c r="D416" s="93">
        <v>0</v>
      </c>
      <c r="E416" s="93"/>
      <c r="F416" s="30">
        <f>111.29*10.764</f>
        <v>1197.9255599999999</v>
      </c>
      <c r="G416" s="30">
        <f>C416*1.45+D416</f>
        <v>1484.6435908200001</v>
      </c>
      <c r="H416" s="30" t="s">
        <v>100</v>
      </c>
      <c r="I416" s="85" t="s">
        <v>120</v>
      </c>
      <c r="J416" s="85"/>
      <c r="K416">
        <f>2724800/F416</f>
        <v>2274.5987655526778</v>
      </c>
      <c r="L416">
        <f>(K416*F416)/G416</f>
        <v>1835.3226436622647</v>
      </c>
    </row>
    <row r="417" spans="1:11" ht="19.5" customHeight="1" x14ac:dyDescent="0.35">
      <c r="A417" s="71"/>
      <c r="B417" s="72"/>
      <c r="C417" s="72"/>
      <c r="D417" s="72"/>
      <c r="E417" s="72"/>
      <c r="F417" s="72"/>
      <c r="G417" s="72"/>
      <c r="H417" s="72"/>
      <c r="I417" s="72"/>
      <c r="J417" s="73"/>
      <c r="K417">
        <f>56.93*10.764</f>
        <v>612.79451999999992</v>
      </c>
    </row>
    <row r="418" spans="1:11" x14ac:dyDescent="0.35">
      <c r="A418" s="148" t="s">
        <v>269</v>
      </c>
      <c r="B418" s="149"/>
      <c r="C418" s="149"/>
      <c r="D418" s="149"/>
      <c r="E418" s="149"/>
      <c r="F418" s="149"/>
      <c r="G418" s="149"/>
      <c r="H418" s="149"/>
      <c r="I418" s="149"/>
      <c r="J418" s="150"/>
    </row>
    <row r="419" spans="1:11" ht="15" customHeight="1" x14ac:dyDescent="0.35">
      <c r="A419" s="65" t="s">
        <v>341</v>
      </c>
      <c r="B419" s="66"/>
      <c r="C419" s="66"/>
      <c r="D419" s="66"/>
      <c r="E419" s="67"/>
      <c r="F419" s="65" t="s">
        <v>270</v>
      </c>
      <c r="G419" s="66"/>
      <c r="H419" s="66"/>
      <c r="I419" s="66"/>
      <c r="J419" s="67"/>
    </row>
    <row r="420" spans="1:11" ht="15" customHeight="1" x14ac:dyDescent="0.35">
      <c r="A420" s="65" t="s">
        <v>340</v>
      </c>
      <c r="B420" s="66"/>
      <c r="C420" s="66"/>
      <c r="D420" s="66"/>
      <c r="E420" s="67"/>
      <c r="F420" s="65" t="s">
        <v>342</v>
      </c>
      <c r="G420" s="66"/>
      <c r="H420" s="66"/>
      <c r="I420" s="66"/>
      <c r="J420" s="67"/>
    </row>
    <row r="421" spans="1:11" ht="45.5" customHeight="1" x14ac:dyDescent="0.35">
      <c r="A421" s="65" t="s">
        <v>338</v>
      </c>
      <c r="B421" s="66"/>
      <c r="C421" s="66"/>
      <c r="D421" s="66"/>
      <c r="E421" s="67"/>
      <c r="F421" s="65" t="s">
        <v>271</v>
      </c>
      <c r="G421" s="66"/>
      <c r="H421" s="66"/>
      <c r="I421" s="66"/>
      <c r="J421" s="67"/>
    </row>
    <row r="422" spans="1:11" hidden="1" x14ac:dyDescent="0.35">
      <c r="A422" s="65" t="s">
        <v>273</v>
      </c>
      <c r="B422" s="66"/>
      <c r="C422" s="66"/>
      <c r="D422" s="66"/>
      <c r="E422" s="67"/>
      <c r="F422" s="65" t="s">
        <v>272</v>
      </c>
      <c r="G422" s="66"/>
      <c r="H422" s="66"/>
      <c r="I422" s="66"/>
      <c r="J422" s="67"/>
    </row>
    <row r="423" spans="1:11" ht="102" customHeight="1" x14ac:dyDescent="0.35">
      <c r="A423" s="251" t="s">
        <v>344</v>
      </c>
      <c r="B423" s="252"/>
      <c r="C423" s="252"/>
      <c r="D423" s="252"/>
      <c r="E423" s="252"/>
      <c r="F423" s="252"/>
      <c r="G423" s="252"/>
      <c r="H423" s="252"/>
      <c r="I423" s="252"/>
      <c r="J423" s="253"/>
    </row>
    <row r="424" spans="1:11" ht="15" customHeight="1" x14ac:dyDescent="0.35">
      <c r="A424" s="106" t="s">
        <v>256</v>
      </c>
      <c r="B424" s="106"/>
      <c r="C424" s="106"/>
      <c r="D424" s="106"/>
      <c r="E424" s="106"/>
      <c r="F424" s="106"/>
      <c r="G424" s="106" t="s">
        <v>337</v>
      </c>
      <c r="H424" s="106"/>
      <c r="I424" s="106"/>
      <c r="J424" s="106"/>
    </row>
    <row r="425" spans="1:11" x14ac:dyDescent="0.35">
      <c r="A425" s="107" t="s">
        <v>257</v>
      </c>
      <c r="B425" s="107"/>
      <c r="C425" s="107"/>
      <c r="D425" s="107"/>
      <c r="E425" s="107"/>
      <c r="F425" s="107"/>
      <c r="G425" s="109" t="s">
        <v>258</v>
      </c>
      <c r="H425" s="109"/>
      <c r="I425" s="109"/>
      <c r="J425" s="109"/>
    </row>
    <row r="426" spans="1:11" x14ac:dyDescent="0.35">
      <c r="A426" s="107" t="s">
        <v>259</v>
      </c>
      <c r="B426" s="107"/>
      <c r="C426" s="107"/>
      <c r="D426" s="107"/>
      <c r="E426" s="107"/>
      <c r="F426" s="107"/>
      <c r="G426" s="109" t="s">
        <v>261</v>
      </c>
      <c r="H426" s="109"/>
      <c r="I426" s="109"/>
      <c r="J426" s="109"/>
    </row>
    <row r="427" spans="1:11" x14ac:dyDescent="0.35">
      <c r="A427" s="107" t="s">
        <v>260</v>
      </c>
      <c r="B427" s="107"/>
      <c r="C427" s="107"/>
      <c r="D427" s="107"/>
      <c r="E427" s="107"/>
      <c r="F427" s="107"/>
      <c r="G427" s="109" t="s">
        <v>262</v>
      </c>
      <c r="H427" s="109"/>
      <c r="I427" s="109"/>
      <c r="J427" s="109"/>
    </row>
    <row r="428" spans="1:11" x14ac:dyDescent="0.35">
      <c r="A428" s="107" t="s">
        <v>263</v>
      </c>
      <c r="B428" s="107"/>
      <c r="C428" s="107"/>
      <c r="D428" s="107"/>
      <c r="E428" s="107"/>
      <c r="F428" s="107"/>
      <c r="G428" s="109" t="s">
        <v>268</v>
      </c>
      <c r="H428" s="109"/>
      <c r="I428" s="109"/>
      <c r="J428" s="109"/>
    </row>
    <row r="429" spans="1:11" x14ac:dyDescent="0.35">
      <c r="A429" s="107" t="s">
        <v>293</v>
      </c>
      <c r="B429" s="107"/>
      <c r="C429" s="107"/>
      <c r="D429" s="107"/>
      <c r="E429" s="107"/>
      <c r="F429" s="107"/>
      <c r="G429" s="109" t="s">
        <v>268</v>
      </c>
      <c r="H429" s="109"/>
      <c r="I429" s="109"/>
      <c r="J429" s="109"/>
    </row>
    <row r="430" spans="1:11" x14ac:dyDescent="0.35">
      <c r="A430" s="107" t="s">
        <v>264</v>
      </c>
      <c r="B430" s="107"/>
      <c r="C430" s="107"/>
      <c r="D430" s="107"/>
      <c r="E430" s="107"/>
      <c r="F430" s="107"/>
      <c r="G430" s="109" t="s">
        <v>265</v>
      </c>
      <c r="H430" s="109"/>
      <c r="I430" s="109"/>
      <c r="J430" s="109"/>
    </row>
    <row r="431" spans="1:11" x14ac:dyDescent="0.35">
      <c r="A431" s="107" t="s">
        <v>266</v>
      </c>
      <c r="B431" s="107"/>
      <c r="C431" s="107"/>
      <c r="D431" s="107"/>
      <c r="E431" s="107"/>
      <c r="F431" s="107"/>
      <c r="G431" s="109" t="s">
        <v>267</v>
      </c>
      <c r="H431" s="109"/>
      <c r="I431" s="109"/>
      <c r="J431" s="109"/>
    </row>
    <row r="432" spans="1:11" x14ac:dyDescent="0.35">
      <c r="A432" s="107" t="s">
        <v>294</v>
      </c>
      <c r="B432" s="107"/>
      <c r="C432" s="107"/>
      <c r="D432" s="107"/>
      <c r="E432" s="107"/>
      <c r="F432" s="107"/>
      <c r="G432" s="108" t="s">
        <v>281</v>
      </c>
      <c r="H432" s="109"/>
      <c r="I432" s="109"/>
      <c r="J432" s="109"/>
    </row>
    <row r="433" spans="1:10" x14ac:dyDescent="0.35">
      <c r="A433" s="107" t="s">
        <v>287</v>
      </c>
      <c r="B433" s="107"/>
      <c r="C433" s="107"/>
      <c r="D433" s="107"/>
      <c r="E433" s="107"/>
      <c r="F433" s="107"/>
      <c r="G433" s="108" t="s">
        <v>281</v>
      </c>
      <c r="H433" s="109"/>
      <c r="I433" s="109"/>
      <c r="J433" s="109"/>
    </row>
    <row r="434" spans="1:10" x14ac:dyDescent="0.35">
      <c r="A434" s="90" t="s">
        <v>290</v>
      </c>
      <c r="B434" s="90"/>
      <c r="C434" s="90"/>
      <c r="D434" s="90"/>
      <c r="E434" s="90"/>
      <c r="F434" s="90"/>
      <c r="G434" s="121" t="s">
        <v>291</v>
      </c>
      <c r="H434" s="122"/>
      <c r="I434" s="122"/>
      <c r="J434" s="122"/>
    </row>
    <row r="435" spans="1:10" x14ac:dyDescent="0.35">
      <c r="A435" s="90" t="s">
        <v>305</v>
      </c>
      <c r="B435" s="90"/>
      <c r="C435" s="90"/>
      <c r="D435" s="90"/>
      <c r="E435" s="90"/>
      <c r="F435" s="90"/>
      <c r="G435" s="121" t="s">
        <v>304</v>
      </c>
      <c r="H435" s="122"/>
      <c r="I435" s="122"/>
      <c r="J435" s="122"/>
    </row>
    <row r="436" spans="1:10" x14ac:dyDescent="0.35">
      <c r="A436" s="90" t="s">
        <v>311</v>
      </c>
      <c r="B436" s="90"/>
      <c r="C436" s="90"/>
      <c r="D436" s="90"/>
      <c r="E436" s="90"/>
      <c r="F436" s="90"/>
      <c r="G436" s="91">
        <v>44998</v>
      </c>
      <c r="H436" s="91"/>
      <c r="I436" s="91"/>
      <c r="J436" s="91"/>
    </row>
    <row r="437" spans="1:10" x14ac:dyDescent="0.35">
      <c r="A437" s="90" t="s">
        <v>315</v>
      </c>
      <c r="B437" s="90"/>
      <c r="C437" s="90"/>
      <c r="D437" s="90"/>
      <c r="E437" s="90"/>
      <c r="F437" s="90"/>
      <c r="G437" s="91">
        <v>45063</v>
      </c>
      <c r="H437" s="91"/>
      <c r="I437" s="91"/>
      <c r="J437" s="91"/>
    </row>
    <row r="438" spans="1:10" x14ac:dyDescent="0.35">
      <c r="A438" s="90" t="s">
        <v>319</v>
      </c>
      <c r="B438" s="90"/>
      <c r="C438" s="90"/>
      <c r="D438" s="90"/>
      <c r="E438" s="90"/>
      <c r="F438" s="90"/>
      <c r="G438" s="91">
        <v>45111</v>
      </c>
      <c r="H438" s="91"/>
      <c r="I438" s="91"/>
      <c r="J438" s="91"/>
    </row>
    <row r="439" spans="1:10" ht="15" customHeight="1" x14ac:dyDescent="0.35">
      <c r="A439" s="245" t="s">
        <v>21</v>
      </c>
      <c r="B439" s="246"/>
      <c r="C439" s="246"/>
      <c r="D439" s="246"/>
      <c r="E439" s="246"/>
      <c r="F439" s="246"/>
      <c r="G439" s="246"/>
      <c r="H439" s="246"/>
      <c r="I439" s="246"/>
      <c r="J439" s="247"/>
    </row>
    <row r="440" spans="1:10" x14ac:dyDescent="0.35">
      <c r="A440" s="248" t="s">
        <v>147</v>
      </c>
      <c r="B440" s="249"/>
      <c r="C440" s="249"/>
      <c r="D440" s="249"/>
      <c r="E440" s="249"/>
      <c r="F440" s="249"/>
      <c r="G440" s="249"/>
      <c r="H440" s="249"/>
      <c r="I440" s="249"/>
      <c r="J440" s="250"/>
    </row>
    <row r="441" spans="1:10" x14ac:dyDescent="0.35">
      <c r="A441" s="245" t="s">
        <v>151</v>
      </c>
      <c r="B441" s="246"/>
      <c r="C441" s="246"/>
      <c r="D441" s="246"/>
      <c r="E441" s="246"/>
      <c r="F441" s="246"/>
      <c r="G441" s="246"/>
      <c r="H441" s="246"/>
      <c r="I441" s="246"/>
      <c r="J441" s="247"/>
    </row>
    <row r="442" spans="1:10" x14ac:dyDescent="0.35">
      <c r="A442" s="248" t="s">
        <v>28</v>
      </c>
      <c r="B442" s="249"/>
      <c r="C442" s="249"/>
      <c r="D442" s="249"/>
      <c r="E442" s="249"/>
      <c r="F442" s="249"/>
      <c r="G442" s="249"/>
      <c r="H442" s="249"/>
      <c r="I442" s="249"/>
      <c r="J442" s="250"/>
    </row>
    <row r="443" spans="1:10" x14ac:dyDescent="0.35">
      <c r="A443" s="248" t="s">
        <v>148</v>
      </c>
      <c r="B443" s="249"/>
      <c r="C443" s="249"/>
      <c r="D443" s="249"/>
      <c r="E443" s="249"/>
      <c r="F443" s="249"/>
      <c r="G443" s="249"/>
      <c r="H443" s="249"/>
      <c r="I443" s="249"/>
      <c r="J443" s="250"/>
    </row>
    <row r="444" spans="1:10" x14ac:dyDescent="0.35">
      <c r="A444" s="248" t="s">
        <v>149</v>
      </c>
      <c r="B444" s="249"/>
      <c r="C444" s="249"/>
      <c r="D444" s="249"/>
      <c r="E444" s="249"/>
      <c r="F444" s="249"/>
      <c r="G444" s="249"/>
      <c r="H444" s="249"/>
      <c r="I444" s="249"/>
      <c r="J444" s="250"/>
    </row>
    <row r="445" spans="1:10" ht="15" customHeight="1" x14ac:dyDescent="0.35">
      <c r="A445" s="263" t="s">
        <v>150</v>
      </c>
      <c r="B445" s="264"/>
      <c r="C445" s="264"/>
      <c r="D445" s="264"/>
      <c r="E445" s="264"/>
      <c r="F445" s="264"/>
      <c r="G445" s="264"/>
      <c r="H445" s="264"/>
      <c r="I445" s="264"/>
      <c r="J445" s="265"/>
    </row>
    <row r="446" spans="1:10" x14ac:dyDescent="0.35">
      <c r="A446" s="236" t="s">
        <v>22</v>
      </c>
      <c r="B446" s="237"/>
      <c r="C446" s="237"/>
      <c r="D446" s="237"/>
      <c r="E446" s="237"/>
      <c r="F446" s="237"/>
      <c r="G446" s="237"/>
      <c r="H446" s="237"/>
      <c r="I446" s="237"/>
      <c r="J446" s="238"/>
    </row>
    <row r="447" spans="1:10" x14ac:dyDescent="0.35">
      <c r="A447" s="239"/>
      <c r="B447" s="240"/>
      <c r="C447" s="240"/>
      <c r="D447" s="240"/>
      <c r="E447" s="240"/>
      <c r="F447" s="240"/>
      <c r="G447" s="240"/>
      <c r="H447" s="240"/>
      <c r="I447" s="240"/>
      <c r="J447" s="241"/>
    </row>
    <row r="448" spans="1:10" x14ac:dyDescent="0.35">
      <c r="A448" s="239"/>
      <c r="B448" s="240"/>
      <c r="C448" s="240"/>
      <c r="D448" s="240"/>
      <c r="E448" s="240"/>
      <c r="F448" s="240"/>
      <c r="G448" s="240"/>
      <c r="H448" s="240"/>
      <c r="I448" s="240"/>
      <c r="J448" s="241"/>
    </row>
    <row r="449" spans="1:10" x14ac:dyDescent="0.35">
      <c r="A449" s="242"/>
      <c r="B449" s="243"/>
      <c r="C449" s="243"/>
      <c r="D449" s="243"/>
      <c r="E449" s="243"/>
      <c r="F449" s="243"/>
      <c r="G449" s="243"/>
      <c r="H449" s="243"/>
      <c r="I449" s="243"/>
      <c r="J449" s="244"/>
    </row>
    <row r="450" spans="1:10" x14ac:dyDescent="0.35">
      <c r="A450" s="12" t="s">
        <v>128</v>
      </c>
      <c r="B450" s="11"/>
      <c r="C450" s="11"/>
      <c r="D450" s="11"/>
      <c r="E450" s="86" t="str">
        <f>F8</f>
        <v>Wollywood Phase II, IV &amp; VI</v>
      </c>
      <c r="F450" s="86"/>
      <c r="G450" s="86"/>
      <c r="H450" s="86"/>
    </row>
    <row r="477" spans="12:12" x14ac:dyDescent="0.35">
      <c r="L477" t="s">
        <v>332</v>
      </c>
    </row>
    <row r="501" spans="1:8" x14ac:dyDescent="0.35">
      <c r="A501" s="12" t="s">
        <v>128</v>
      </c>
      <c r="B501" s="11"/>
      <c r="C501" s="11"/>
      <c r="D501" s="11"/>
      <c r="E501" s="86" t="str">
        <f>F8</f>
        <v>Wollywood Phase II, IV &amp; VI</v>
      </c>
      <c r="F501" s="86"/>
      <c r="G501" s="86"/>
      <c r="H501" s="86"/>
    </row>
    <row r="560" spans="1:8" x14ac:dyDescent="0.35">
      <c r="A560" s="12" t="s">
        <v>128</v>
      </c>
      <c r="B560" s="11"/>
      <c r="C560" s="11"/>
      <c r="D560" s="11"/>
      <c r="E560" s="86" t="str">
        <f>F8</f>
        <v>Wollywood Phase II, IV &amp; VI</v>
      </c>
      <c r="F560" s="86"/>
      <c r="G560" s="86"/>
      <c r="H560" s="86"/>
    </row>
    <row r="610" spans="1:11" x14ac:dyDescent="0.35">
      <c r="A610" s="12" t="s">
        <v>323</v>
      </c>
      <c r="B610" s="11"/>
      <c r="C610" s="11"/>
      <c r="D610" s="11"/>
      <c r="E610" s="15"/>
      <c r="F610" s="11"/>
      <c r="G610" s="11"/>
      <c r="H610" s="11"/>
      <c r="I610" s="11"/>
      <c r="J610" s="11"/>
    </row>
    <row r="611" spans="1:11" x14ac:dyDescent="0.35">
      <c r="A611" s="11"/>
      <c r="B611" s="11"/>
      <c r="C611" s="11"/>
      <c r="D611" s="11"/>
      <c r="E611" s="11"/>
      <c r="F611" s="11"/>
      <c r="G611" s="11"/>
      <c r="H611" s="11"/>
      <c r="I611" s="11"/>
      <c r="J611" s="11"/>
    </row>
    <row r="612" spans="1:11" x14ac:dyDescent="0.35">
      <c r="A612" s="11"/>
      <c r="B612" s="11"/>
      <c r="C612" s="11"/>
      <c r="D612" s="11"/>
      <c r="E612" s="11"/>
      <c r="F612" s="11"/>
      <c r="G612" s="11"/>
      <c r="H612" s="11"/>
      <c r="I612" s="11"/>
      <c r="J612" s="11"/>
    </row>
    <row r="621" spans="1:11" x14ac:dyDescent="0.35">
      <c r="K621" t="s">
        <v>220</v>
      </c>
    </row>
    <row r="655" spans="1:1" x14ac:dyDescent="0.35">
      <c r="A655" s="14" t="s">
        <v>88</v>
      </c>
    </row>
  </sheetData>
  <mergeCells count="925">
    <mergeCell ref="A193:B194"/>
    <mergeCell ref="C193:E194"/>
    <mergeCell ref="F193:G194"/>
    <mergeCell ref="H193:J194"/>
    <mergeCell ref="A420:E420"/>
    <mergeCell ref="F420:J420"/>
    <mergeCell ref="D283:E283"/>
    <mergeCell ref="A144:B144"/>
    <mergeCell ref="D144:E144"/>
    <mergeCell ref="A145:B145"/>
    <mergeCell ref="D145:E145"/>
    <mergeCell ref="A146:B146"/>
    <mergeCell ref="D146:E146"/>
    <mergeCell ref="E135:F135"/>
    <mergeCell ref="I135:J135"/>
    <mergeCell ref="A136:B136"/>
    <mergeCell ref="C136:J136"/>
    <mergeCell ref="A137:B137"/>
    <mergeCell ref="D137:E137"/>
    <mergeCell ref="F137:G137"/>
    <mergeCell ref="H137:J137"/>
    <mergeCell ref="A138:B138"/>
    <mergeCell ref="D138:E138"/>
    <mergeCell ref="F138:G147"/>
    <mergeCell ref="H138:J147"/>
    <mergeCell ref="A139:B139"/>
    <mergeCell ref="D139:E139"/>
    <mergeCell ref="A140:B140"/>
    <mergeCell ref="D140:E140"/>
    <mergeCell ref="A141:B141"/>
    <mergeCell ref="H262:J262"/>
    <mergeCell ref="A147:B147"/>
    <mergeCell ref="D147:E147"/>
    <mergeCell ref="A142:B142"/>
    <mergeCell ref="D142:E142"/>
    <mergeCell ref="A143:B143"/>
    <mergeCell ref="D143:E143"/>
    <mergeCell ref="A437:F437"/>
    <mergeCell ref="G437:J437"/>
    <mergeCell ref="A277:B277"/>
    <mergeCell ref="D277:E277"/>
    <mergeCell ref="F277:G286"/>
    <mergeCell ref="H277:J286"/>
    <mergeCell ref="A278:B278"/>
    <mergeCell ref="D278:E278"/>
    <mergeCell ref="A279:B279"/>
    <mergeCell ref="D279:E279"/>
    <mergeCell ref="A280:B280"/>
    <mergeCell ref="D280:E280"/>
    <mergeCell ref="A281:B281"/>
    <mergeCell ref="D281:E281"/>
    <mergeCell ref="A282:B282"/>
    <mergeCell ref="D282:E282"/>
    <mergeCell ref="A283:B283"/>
    <mergeCell ref="A412:J412"/>
    <mergeCell ref="D413:E413"/>
    <mergeCell ref="D257:E257"/>
    <mergeCell ref="A258:B258"/>
    <mergeCell ref="A286:B286"/>
    <mergeCell ref="D286:E286"/>
    <mergeCell ref="A273:B273"/>
    <mergeCell ref="C273:J273"/>
    <mergeCell ref="E274:F274"/>
    <mergeCell ref="I274:J274"/>
    <mergeCell ref="A275:B275"/>
    <mergeCell ref="C275:J275"/>
    <mergeCell ref="A276:B276"/>
    <mergeCell ref="D276:E276"/>
    <mergeCell ref="F276:G276"/>
    <mergeCell ref="H276:J276"/>
    <mergeCell ref="A267:B267"/>
    <mergeCell ref="D267:E267"/>
    <mergeCell ref="D268:E268"/>
    <mergeCell ref="A259:B259"/>
    <mergeCell ref="C259:J259"/>
    <mergeCell ref="E260:F260"/>
    <mergeCell ref="D258:E258"/>
    <mergeCell ref="D262:E262"/>
    <mergeCell ref="A433:F433"/>
    <mergeCell ref="G433:J433"/>
    <mergeCell ref="A435:F435"/>
    <mergeCell ref="G435:J435"/>
    <mergeCell ref="A415:J415"/>
    <mergeCell ref="A290:B290"/>
    <mergeCell ref="D290:E290"/>
    <mergeCell ref="F290:G290"/>
    <mergeCell ref="H290:J290"/>
    <mergeCell ref="D395:E395"/>
    <mergeCell ref="I395:J395"/>
    <mergeCell ref="A386:J386"/>
    <mergeCell ref="D371:E371"/>
    <mergeCell ref="A401:J401"/>
    <mergeCell ref="D382:E382"/>
    <mergeCell ref="I382:J382"/>
    <mergeCell ref="A372:J372"/>
    <mergeCell ref="D373:E373"/>
    <mergeCell ref="I373:J373"/>
    <mergeCell ref="D416:E416"/>
    <mergeCell ref="I416:J416"/>
    <mergeCell ref="A408:J408"/>
    <mergeCell ref="A409:J409"/>
    <mergeCell ref="A414:J414"/>
    <mergeCell ref="A220:B220"/>
    <mergeCell ref="H220:J220"/>
    <mergeCell ref="A217:B217"/>
    <mergeCell ref="E501:H501"/>
    <mergeCell ref="A249:B249"/>
    <mergeCell ref="D249:E249"/>
    <mergeCell ref="F249:G258"/>
    <mergeCell ref="H249:J258"/>
    <mergeCell ref="A250:B250"/>
    <mergeCell ref="D250:E250"/>
    <mergeCell ref="A251:B251"/>
    <mergeCell ref="D251:E251"/>
    <mergeCell ref="A252:B252"/>
    <mergeCell ref="D252:E252"/>
    <mergeCell ref="A253:B253"/>
    <mergeCell ref="D253:E253"/>
    <mergeCell ref="A254:B254"/>
    <mergeCell ref="D254:E254"/>
    <mergeCell ref="A255:B255"/>
    <mergeCell ref="D255:E255"/>
    <mergeCell ref="A256:B256"/>
    <mergeCell ref="A336:F336"/>
    <mergeCell ref="A332:F332"/>
    <mergeCell ref="A268:B268"/>
    <mergeCell ref="H195:J195"/>
    <mergeCell ref="A195:B195"/>
    <mergeCell ref="D201:E201"/>
    <mergeCell ref="A202:B202"/>
    <mergeCell ref="A223:B223"/>
    <mergeCell ref="D223:E223"/>
    <mergeCell ref="A224:B224"/>
    <mergeCell ref="D224:E224"/>
    <mergeCell ref="D205:E205"/>
    <mergeCell ref="D196:E196"/>
    <mergeCell ref="A206:B206"/>
    <mergeCell ref="D203:E203"/>
    <mergeCell ref="A204:B204"/>
    <mergeCell ref="D204:E204"/>
    <mergeCell ref="A205:B205"/>
    <mergeCell ref="D222:E222"/>
    <mergeCell ref="A221:B221"/>
    <mergeCell ref="D221:E221"/>
    <mergeCell ref="D220:E220"/>
    <mergeCell ref="D202:E202"/>
    <mergeCell ref="A203:B203"/>
    <mergeCell ref="A219:B219"/>
    <mergeCell ref="C219:J219"/>
    <mergeCell ref="D211:E211"/>
    <mergeCell ref="A106:B106"/>
    <mergeCell ref="C106:J106"/>
    <mergeCell ref="E107:F107"/>
    <mergeCell ref="I107:J107"/>
    <mergeCell ref="A108:B108"/>
    <mergeCell ref="C108:J108"/>
    <mergeCell ref="A109:B109"/>
    <mergeCell ref="D109:E109"/>
    <mergeCell ref="F109:G109"/>
    <mergeCell ref="H109:J109"/>
    <mergeCell ref="A166:B166"/>
    <mergeCell ref="D166:E166"/>
    <mergeCell ref="F166:G175"/>
    <mergeCell ref="H166:J175"/>
    <mergeCell ref="A167:B167"/>
    <mergeCell ref="D167:E167"/>
    <mergeCell ref="A168:B168"/>
    <mergeCell ref="A170:B170"/>
    <mergeCell ref="D170:E170"/>
    <mergeCell ref="A171:B171"/>
    <mergeCell ref="D171:E171"/>
    <mergeCell ref="A172:B172"/>
    <mergeCell ref="D172:E172"/>
    <mergeCell ref="A173:B173"/>
    <mergeCell ref="D173:E173"/>
    <mergeCell ref="A174:B174"/>
    <mergeCell ref="D174:E174"/>
    <mergeCell ref="A175:B175"/>
    <mergeCell ref="D175:E175"/>
    <mergeCell ref="D168:E168"/>
    <mergeCell ref="A169:B169"/>
    <mergeCell ref="D169:E169"/>
    <mergeCell ref="D116:E116"/>
    <mergeCell ref="D165:E165"/>
    <mergeCell ref="F165:G165"/>
    <mergeCell ref="A156:B156"/>
    <mergeCell ref="D156:E156"/>
    <mergeCell ref="A157:B157"/>
    <mergeCell ref="D157:E157"/>
    <mergeCell ref="A158:B158"/>
    <mergeCell ref="D158:E158"/>
    <mergeCell ref="A159:B159"/>
    <mergeCell ref="D159:E159"/>
    <mergeCell ref="A160:B160"/>
    <mergeCell ref="D160:E160"/>
    <mergeCell ref="A161:B161"/>
    <mergeCell ref="D161:E161"/>
    <mergeCell ref="A134:B134"/>
    <mergeCell ref="C134:J134"/>
    <mergeCell ref="H165:J165"/>
    <mergeCell ref="A165:B165"/>
    <mergeCell ref="D141:E141"/>
    <mergeCell ref="A127:B127"/>
    <mergeCell ref="D127:E127"/>
    <mergeCell ref="A124:B124"/>
    <mergeCell ref="D124:E124"/>
    <mergeCell ref="F124:G133"/>
    <mergeCell ref="H124:J133"/>
    <mergeCell ref="D126:E126"/>
    <mergeCell ref="D129:E129"/>
    <mergeCell ref="A129:B129"/>
    <mergeCell ref="A125:B125"/>
    <mergeCell ref="D125:E125"/>
    <mergeCell ref="A126:B126"/>
    <mergeCell ref="F248:G248"/>
    <mergeCell ref="F291:G300"/>
    <mergeCell ref="A271:B271"/>
    <mergeCell ref="D271:E271"/>
    <mergeCell ref="C231:J231"/>
    <mergeCell ref="E232:F232"/>
    <mergeCell ref="I232:J232"/>
    <mergeCell ref="A233:B233"/>
    <mergeCell ref="C233:J233"/>
    <mergeCell ref="A234:B234"/>
    <mergeCell ref="D234:E234"/>
    <mergeCell ref="F234:G234"/>
    <mergeCell ref="H234:J234"/>
    <mergeCell ref="I260:J260"/>
    <mergeCell ref="A261:B261"/>
    <mergeCell ref="C261:J261"/>
    <mergeCell ref="D266:E266"/>
    <mergeCell ref="D284:E284"/>
    <mergeCell ref="A285:B285"/>
    <mergeCell ref="D285:E285"/>
    <mergeCell ref="D256:E256"/>
    <mergeCell ref="A257:B257"/>
    <mergeCell ref="A269:B269"/>
    <mergeCell ref="F262:G262"/>
    <mergeCell ref="I413:J413"/>
    <mergeCell ref="I402:J402"/>
    <mergeCell ref="A396:J396"/>
    <mergeCell ref="D410:E410"/>
    <mergeCell ref="I410:J410"/>
    <mergeCell ref="H179:J179"/>
    <mergeCell ref="C192:J192"/>
    <mergeCell ref="D180:E180"/>
    <mergeCell ref="F180:G189"/>
    <mergeCell ref="H180:J189"/>
    <mergeCell ref="A180:B180"/>
    <mergeCell ref="A240:B240"/>
    <mergeCell ref="D240:E240"/>
    <mergeCell ref="A241:B241"/>
    <mergeCell ref="D241:E241"/>
    <mergeCell ref="A186:B186"/>
    <mergeCell ref="D186:E186"/>
    <mergeCell ref="A181:B181"/>
    <mergeCell ref="D181:E181"/>
    <mergeCell ref="A182:B182"/>
    <mergeCell ref="D182:E182"/>
    <mergeCell ref="A183:B183"/>
    <mergeCell ref="D183:E183"/>
    <mergeCell ref="A184:B184"/>
    <mergeCell ref="A179:B179"/>
    <mergeCell ref="D179:E179"/>
    <mergeCell ref="F179:G179"/>
    <mergeCell ref="A105:B105"/>
    <mergeCell ref="D105:E105"/>
    <mergeCell ref="C90:E91"/>
    <mergeCell ref="A87:B87"/>
    <mergeCell ref="A78:B78"/>
    <mergeCell ref="A128:B128"/>
    <mergeCell ref="D83:E83"/>
    <mergeCell ref="A148:B148"/>
    <mergeCell ref="C148:J148"/>
    <mergeCell ref="E149:F149"/>
    <mergeCell ref="I149:J149"/>
    <mergeCell ref="A150:B150"/>
    <mergeCell ref="C150:J150"/>
    <mergeCell ref="A151:B151"/>
    <mergeCell ref="D151:E151"/>
    <mergeCell ref="F151:G151"/>
    <mergeCell ref="H151:J151"/>
    <mergeCell ref="A152:B152"/>
    <mergeCell ref="D152:E152"/>
    <mergeCell ref="F152:G161"/>
    <mergeCell ref="H152:J161"/>
    <mergeCell ref="C70:F70"/>
    <mergeCell ref="I88:J88"/>
    <mergeCell ref="A89:B89"/>
    <mergeCell ref="C89:J89"/>
    <mergeCell ref="A90:B91"/>
    <mergeCell ref="E177:F177"/>
    <mergeCell ref="I177:J177"/>
    <mergeCell ref="A178:B178"/>
    <mergeCell ref="C178:J178"/>
    <mergeCell ref="I163:J163"/>
    <mergeCell ref="A153:B153"/>
    <mergeCell ref="D153:E153"/>
    <mergeCell ref="A154:B154"/>
    <mergeCell ref="D154:E154"/>
    <mergeCell ref="A155:B155"/>
    <mergeCell ref="D155:E155"/>
    <mergeCell ref="A162:B162"/>
    <mergeCell ref="C162:J162"/>
    <mergeCell ref="E163:F163"/>
    <mergeCell ref="H110:J119"/>
    <mergeCell ref="A111:B111"/>
    <mergeCell ref="D111:E111"/>
    <mergeCell ref="A112:B112"/>
    <mergeCell ref="D112:E112"/>
    <mergeCell ref="A225:B225"/>
    <mergeCell ref="D225:E225"/>
    <mergeCell ref="A226:B226"/>
    <mergeCell ref="D226:E226"/>
    <mergeCell ref="A227:B227"/>
    <mergeCell ref="D227:E227"/>
    <mergeCell ref="D184:E184"/>
    <mergeCell ref="A185:B185"/>
    <mergeCell ref="D185:E185"/>
    <mergeCell ref="A190:B190"/>
    <mergeCell ref="C190:J190"/>
    <mergeCell ref="A196:B196"/>
    <mergeCell ref="E191:F191"/>
    <mergeCell ref="I191:J191"/>
    <mergeCell ref="A192:B192"/>
    <mergeCell ref="A188:B188"/>
    <mergeCell ref="F196:G205"/>
    <mergeCell ref="A187:B187"/>
    <mergeCell ref="D187:E187"/>
    <mergeCell ref="D188:E188"/>
    <mergeCell ref="A189:B189"/>
    <mergeCell ref="D189:E189"/>
    <mergeCell ref="D195:E195"/>
    <mergeCell ref="F195:G195"/>
    <mergeCell ref="A339:F339"/>
    <mergeCell ref="G339:J339"/>
    <mergeCell ref="H69:J69"/>
    <mergeCell ref="H79:J79"/>
    <mergeCell ref="A79:B79"/>
    <mergeCell ref="A76:B76"/>
    <mergeCell ref="C76:F76"/>
    <mergeCell ref="H76:J76"/>
    <mergeCell ref="A94:B94"/>
    <mergeCell ref="C94:J94"/>
    <mergeCell ref="A95:B95"/>
    <mergeCell ref="H81:J81"/>
    <mergeCell ref="A84:B84"/>
    <mergeCell ref="A70:B70"/>
    <mergeCell ref="D81:E81"/>
    <mergeCell ref="A81:C81"/>
    <mergeCell ref="A72:B72"/>
    <mergeCell ref="C72:F72"/>
    <mergeCell ref="H72:J72"/>
    <mergeCell ref="A75:B75"/>
    <mergeCell ref="A69:B69"/>
    <mergeCell ref="A74:B74"/>
    <mergeCell ref="C74:F74"/>
    <mergeCell ref="H74:J74"/>
    <mergeCell ref="K325:P330"/>
    <mergeCell ref="G325:J325"/>
    <mergeCell ref="A329:F329"/>
    <mergeCell ref="G329:J329"/>
    <mergeCell ref="A330:J330"/>
    <mergeCell ref="A199:B199"/>
    <mergeCell ref="D199:E199"/>
    <mergeCell ref="A200:B200"/>
    <mergeCell ref="D200:E200"/>
    <mergeCell ref="A201:B201"/>
    <mergeCell ref="H196:J205"/>
    <mergeCell ref="A197:B197"/>
    <mergeCell ref="D197:E197"/>
    <mergeCell ref="A198:B198"/>
    <mergeCell ref="D198:E198"/>
    <mergeCell ref="A289:B289"/>
    <mergeCell ref="C289:J289"/>
    <mergeCell ref="A265:B265"/>
    <mergeCell ref="D265:E265"/>
    <mergeCell ref="A266:B266"/>
    <mergeCell ref="A270:B270"/>
    <mergeCell ref="D270:E270"/>
    <mergeCell ref="F263:G272"/>
    <mergeCell ref="H263:J272"/>
    <mergeCell ref="D65:E65"/>
    <mergeCell ref="H65:J65"/>
    <mergeCell ref="A316:J316"/>
    <mergeCell ref="A317:J323"/>
    <mergeCell ref="A338:F338"/>
    <mergeCell ref="G338:J338"/>
    <mergeCell ref="A333:F333"/>
    <mergeCell ref="G333:J333"/>
    <mergeCell ref="A325:F325"/>
    <mergeCell ref="A328:F328"/>
    <mergeCell ref="G328:J328"/>
    <mergeCell ref="A335:F335"/>
    <mergeCell ref="G335:J335"/>
    <mergeCell ref="A324:J324"/>
    <mergeCell ref="F220:G220"/>
    <mergeCell ref="F235:G244"/>
    <mergeCell ref="H235:J244"/>
    <mergeCell ref="A236:B236"/>
    <mergeCell ref="D236:E236"/>
    <mergeCell ref="A239:B239"/>
    <mergeCell ref="D239:E239"/>
    <mergeCell ref="H221:J230"/>
    <mergeCell ref="A222:B222"/>
    <mergeCell ref="A242:B242"/>
    <mergeCell ref="D402:E402"/>
    <mergeCell ref="D405:E405"/>
    <mergeCell ref="A347:J347"/>
    <mergeCell ref="A315:J315"/>
    <mergeCell ref="D238:E238"/>
    <mergeCell ref="H66:J66"/>
    <mergeCell ref="B45:C45"/>
    <mergeCell ref="B51:C51"/>
    <mergeCell ref="D51:E51"/>
    <mergeCell ref="H51:J51"/>
    <mergeCell ref="B55:C55"/>
    <mergeCell ref="D55:E55"/>
    <mergeCell ref="H55:J55"/>
    <mergeCell ref="H56:J56"/>
    <mergeCell ref="B60:C60"/>
    <mergeCell ref="D60:E60"/>
    <mergeCell ref="H60:J60"/>
    <mergeCell ref="B52:C52"/>
    <mergeCell ref="D52:E52"/>
    <mergeCell ref="H52:J52"/>
    <mergeCell ref="B46:C46"/>
    <mergeCell ref="D46:E46"/>
    <mergeCell ref="H46:J46"/>
    <mergeCell ref="B53:C53"/>
    <mergeCell ref="D387:E387"/>
    <mergeCell ref="I387:J387"/>
    <mergeCell ref="A385:J385"/>
    <mergeCell ref="D56:E56"/>
    <mergeCell ref="B66:C66"/>
    <mergeCell ref="A445:J445"/>
    <mergeCell ref="I348:J348"/>
    <mergeCell ref="G334:J334"/>
    <mergeCell ref="A334:F334"/>
    <mergeCell ref="A411:J411"/>
    <mergeCell ref="I371:J371"/>
    <mergeCell ref="A337:F337"/>
    <mergeCell ref="G337:J337"/>
    <mergeCell ref="A351:J351"/>
    <mergeCell ref="A358:J358"/>
    <mergeCell ref="D359:E359"/>
    <mergeCell ref="A366:J366"/>
    <mergeCell ref="A360:J360"/>
    <mergeCell ref="A364:J364"/>
    <mergeCell ref="I359:J359"/>
    <mergeCell ref="A346:J346"/>
    <mergeCell ref="A342:F342"/>
    <mergeCell ref="A361:J361"/>
    <mergeCell ref="A417:J417"/>
    <mergeCell ref="D393:E393"/>
    <mergeCell ref="I393:J393"/>
    <mergeCell ref="A388:J388"/>
    <mergeCell ref="A389:J389"/>
    <mergeCell ref="A397:J397"/>
    <mergeCell ref="D398:E398"/>
    <mergeCell ref="I398:J398"/>
    <mergeCell ref="A394:J394"/>
    <mergeCell ref="D390:E390"/>
    <mergeCell ref="I390:J390"/>
    <mergeCell ref="A343:F343"/>
    <mergeCell ref="G343:J343"/>
    <mergeCell ref="I350:J350"/>
    <mergeCell ref="A344:F344"/>
    <mergeCell ref="A352:J352"/>
    <mergeCell ref="A383:J383"/>
    <mergeCell ref="D384:E384"/>
    <mergeCell ref="I384:J384"/>
    <mergeCell ref="D378:E378"/>
    <mergeCell ref="I378:J378"/>
    <mergeCell ref="A355:J355"/>
    <mergeCell ref="D356:E356"/>
    <mergeCell ref="I356:J356"/>
    <mergeCell ref="A357:J357"/>
    <mergeCell ref="D376:E376"/>
    <mergeCell ref="I376:J376"/>
    <mergeCell ref="D362:E362"/>
    <mergeCell ref="A381:J381"/>
    <mergeCell ref="A247:B247"/>
    <mergeCell ref="C247:J247"/>
    <mergeCell ref="A272:B272"/>
    <mergeCell ref="D272:E272"/>
    <mergeCell ref="H291:J300"/>
    <mergeCell ref="A292:B292"/>
    <mergeCell ref="D292:E292"/>
    <mergeCell ref="A293:B293"/>
    <mergeCell ref="D293:E293"/>
    <mergeCell ref="A294:B294"/>
    <mergeCell ref="D294:E294"/>
    <mergeCell ref="A295:B295"/>
    <mergeCell ref="A264:B264"/>
    <mergeCell ref="D264:E264"/>
    <mergeCell ref="A287:B287"/>
    <mergeCell ref="C287:J287"/>
    <mergeCell ref="E288:F288"/>
    <mergeCell ref="I288:J288"/>
    <mergeCell ref="H248:J248"/>
    <mergeCell ref="D269:E269"/>
    <mergeCell ref="A263:B263"/>
    <mergeCell ref="A262:B262"/>
    <mergeCell ref="A248:B248"/>
    <mergeCell ref="D248:E248"/>
    <mergeCell ref="G336:J336"/>
    <mergeCell ref="A341:F341"/>
    <mergeCell ref="G341:J341"/>
    <mergeCell ref="G342:J342"/>
    <mergeCell ref="G332:J332"/>
    <mergeCell ref="D263:E263"/>
    <mergeCell ref="F18:J19"/>
    <mergeCell ref="E27:F27"/>
    <mergeCell ref="G27:H27"/>
    <mergeCell ref="A27:B27"/>
    <mergeCell ref="D66:E66"/>
    <mergeCell ref="A28:B28"/>
    <mergeCell ref="H70:J70"/>
    <mergeCell ref="D50:E50"/>
    <mergeCell ref="G28:H28"/>
    <mergeCell ref="C69:F69"/>
    <mergeCell ref="H62:J62"/>
    <mergeCell ref="D62:E62"/>
    <mergeCell ref="B65:C65"/>
    <mergeCell ref="A36:J36"/>
    <mergeCell ref="A37:J37"/>
    <mergeCell ref="H45:J45"/>
    <mergeCell ref="E246:F246"/>
    <mergeCell ref="I246:J246"/>
    <mergeCell ref="B14:F14"/>
    <mergeCell ref="G14:H14"/>
    <mergeCell ref="A17:B17"/>
    <mergeCell ref="A22:E22"/>
    <mergeCell ref="A446:J449"/>
    <mergeCell ref="A439:J439"/>
    <mergeCell ref="A440:J440"/>
    <mergeCell ref="A441:J441"/>
    <mergeCell ref="A442:J442"/>
    <mergeCell ref="A444:J444"/>
    <mergeCell ref="A367:J367"/>
    <mergeCell ref="A375:J375"/>
    <mergeCell ref="I362:J362"/>
    <mergeCell ref="I368:J368"/>
    <mergeCell ref="D368:E368"/>
    <mergeCell ref="D365:E365"/>
    <mergeCell ref="I365:J365"/>
    <mergeCell ref="A363:J363"/>
    <mergeCell ref="A374:J374"/>
    <mergeCell ref="A423:J423"/>
    <mergeCell ref="A443:J443"/>
    <mergeCell ref="B16:E16"/>
    <mergeCell ref="A340:F340"/>
    <mergeCell ref="G340:J340"/>
    <mergeCell ref="A1:J1"/>
    <mergeCell ref="A85:E85"/>
    <mergeCell ref="F85:J85"/>
    <mergeCell ref="I83:J83"/>
    <mergeCell ref="C75:F75"/>
    <mergeCell ref="I28:J28"/>
    <mergeCell ref="A38:J38"/>
    <mergeCell ref="A34:J35"/>
    <mergeCell ref="C13:J13"/>
    <mergeCell ref="C27:D27"/>
    <mergeCell ref="A29:J29"/>
    <mergeCell ref="I27:J27"/>
    <mergeCell ref="A24:E24"/>
    <mergeCell ref="A25:E25"/>
    <mergeCell ref="F24:J24"/>
    <mergeCell ref="A26:B26"/>
    <mergeCell ref="C26:D26"/>
    <mergeCell ref="E28:F28"/>
    <mergeCell ref="F25:J25"/>
    <mergeCell ref="I26:J26"/>
    <mergeCell ref="E26:F26"/>
    <mergeCell ref="G26:H26"/>
    <mergeCell ref="C17:E17"/>
    <mergeCell ref="F8:J8"/>
    <mergeCell ref="A2:J2"/>
    <mergeCell ref="A3:E3"/>
    <mergeCell ref="F3:J3"/>
    <mergeCell ref="A4:E4"/>
    <mergeCell ref="F4:J4"/>
    <mergeCell ref="A6:E6"/>
    <mergeCell ref="A5:E5"/>
    <mergeCell ref="F5:J5"/>
    <mergeCell ref="F6:J6"/>
    <mergeCell ref="H17:J17"/>
    <mergeCell ref="A23:E23"/>
    <mergeCell ref="F23:J23"/>
    <mergeCell ref="F22:J22"/>
    <mergeCell ref="A20:E21"/>
    <mergeCell ref="F20:J21"/>
    <mergeCell ref="A13:B13"/>
    <mergeCell ref="A7:E7"/>
    <mergeCell ref="F7:J7"/>
    <mergeCell ref="G16:J16"/>
    <mergeCell ref="A11:E11"/>
    <mergeCell ref="A9:E9"/>
    <mergeCell ref="F11:J11"/>
    <mergeCell ref="F9:J9"/>
    <mergeCell ref="F12:J12"/>
    <mergeCell ref="F10:J10"/>
    <mergeCell ref="I14:J14"/>
    <mergeCell ref="G15:J15"/>
    <mergeCell ref="B15:E15"/>
    <mergeCell ref="A8:E8"/>
    <mergeCell ref="A12:E12"/>
    <mergeCell ref="A10:E10"/>
    <mergeCell ref="F17:G17"/>
    <mergeCell ref="A18:E19"/>
    <mergeCell ref="A30:J30"/>
    <mergeCell ref="C28:D28"/>
    <mergeCell ref="A31:B31"/>
    <mergeCell ref="B44:C44"/>
    <mergeCell ref="D44:E44"/>
    <mergeCell ref="H44:J44"/>
    <mergeCell ref="A39:J39"/>
    <mergeCell ref="B47:C47"/>
    <mergeCell ref="H47:J47"/>
    <mergeCell ref="C32:J32"/>
    <mergeCell ref="A33:J33"/>
    <mergeCell ref="C31:J31"/>
    <mergeCell ref="A32:B32"/>
    <mergeCell ref="D216:E216"/>
    <mergeCell ref="A176:B176"/>
    <mergeCell ref="C176:J176"/>
    <mergeCell ref="A211:B211"/>
    <mergeCell ref="D64:E64"/>
    <mergeCell ref="B58:C58"/>
    <mergeCell ref="D58:E58"/>
    <mergeCell ref="H58:J58"/>
    <mergeCell ref="B43:C43"/>
    <mergeCell ref="D43:E43"/>
    <mergeCell ref="H43:J43"/>
    <mergeCell ref="B59:C59"/>
    <mergeCell ref="D59:E59"/>
    <mergeCell ref="H59:J59"/>
    <mergeCell ref="H53:J53"/>
    <mergeCell ref="H64:J64"/>
    <mergeCell ref="B48:C48"/>
    <mergeCell ref="D48:E48"/>
    <mergeCell ref="H48:J48"/>
    <mergeCell ref="B62:C62"/>
    <mergeCell ref="B63:C63"/>
    <mergeCell ref="D53:E53"/>
    <mergeCell ref="D63:E63"/>
    <mergeCell ref="H63:J63"/>
    <mergeCell ref="B49:C49"/>
    <mergeCell ref="F206:G206"/>
    <mergeCell ref="H206:J206"/>
    <mergeCell ref="A207:B207"/>
    <mergeCell ref="D131:E131"/>
    <mergeCell ref="A67:E67"/>
    <mergeCell ref="F67:J67"/>
    <mergeCell ref="A68:J68"/>
    <mergeCell ref="B57:C57"/>
    <mergeCell ref="D57:E57"/>
    <mergeCell ref="H57:J57"/>
    <mergeCell ref="B64:C64"/>
    <mergeCell ref="D207:E207"/>
    <mergeCell ref="F207:G216"/>
    <mergeCell ref="H207:J216"/>
    <mergeCell ref="A208:B208"/>
    <mergeCell ref="D208:E208"/>
    <mergeCell ref="A209:B209"/>
    <mergeCell ref="D128:E128"/>
    <mergeCell ref="A164:B164"/>
    <mergeCell ref="C164:J164"/>
    <mergeCell ref="D212:E212"/>
    <mergeCell ref="A213:B213"/>
    <mergeCell ref="D213:E213"/>
    <mergeCell ref="A216:B216"/>
    <mergeCell ref="D206:E206"/>
    <mergeCell ref="A214:B214"/>
    <mergeCell ref="D214:E214"/>
    <mergeCell ref="A215:B215"/>
    <mergeCell ref="D215:E215"/>
    <mergeCell ref="D209:E209"/>
    <mergeCell ref="A210:B210"/>
    <mergeCell ref="D210:E210"/>
    <mergeCell ref="A212:B212"/>
    <mergeCell ref="D117:E117"/>
    <mergeCell ref="A118:B118"/>
    <mergeCell ref="D123:E123"/>
    <mergeCell ref="D98:E98"/>
    <mergeCell ref="A99:B99"/>
    <mergeCell ref="D95:E95"/>
    <mergeCell ref="C92:J92"/>
    <mergeCell ref="E93:F93"/>
    <mergeCell ref="I93:J93"/>
    <mergeCell ref="D104:E104"/>
    <mergeCell ref="A113:B113"/>
    <mergeCell ref="I121:J121"/>
    <mergeCell ref="A122:B122"/>
    <mergeCell ref="C122:J122"/>
    <mergeCell ref="A123:B123"/>
    <mergeCell ref="A110:B110"/>
    <mergeCell ref="D110:E110"/>
    <mergeCell ref="F110:G119"/>
    <mergeCell ref="D113:E113"/>
    <mergeCell ref="A114:B114"/>
    <mergeCell ref="D114:E114"/>
    <mergeCell ref="A115:B115"/>
    <mergeCell ref="D115:E115"/>
    <mergeCell ref="A116:B116"/>
    <mergeCell ref="A102:B102"/>
    <mergeCell ref="D102:E102"/>
    <mergeCell ref="F83:H83"/>
    <mergeCell ref="F81:G81"/>
    <mergeCell ref="A86:J86"/>
    <mergeCell ref="A98:B98"/>
    <mergeCell ref="F123:G123"/>
    <mergeCell ref="H123:J123"/>
    <mergeCell ref="A83:C83"/>
    <mergeCell ref="A82:J82"/>
    <mergeCell ref="F95:G95"/>
    <mergeCell ref="A92:B92"/>
    <mergeCell ref="H96:J105"/>
    <mergeCell ref="A97:B97"/>
    <mergeCell ref="D97:E97"/>
    <mergeCell ref="D96:E96"/>
    <mergeCell ref="F96:G105"/>
    <mergeCell ref="D118:E118"/>
    <mergeCell ref="A119:B119"/>
    <mergeCell ref="D119:E119"/>
    <mergeCell ref="A103:B103"/>
    <mergeCell ref="D103:E103"/>
    <mergeCell ref="A104:B104"/>
    <mergeCell ref="A117:B117"/>
    <mergeCell ref="H75:J75"/>
    <mergeCell ref="C80:F80"/>
    <mergeCell ref="H80:J80"/>
    <mergeCell ref="A80:B80"/>
    <mergeCell ref="D99:E99"/>
    <mergeCell ref="A100:B100"/>
    <mergeCell ref="D100:E100"/>
    <mergeCell ref="A101:B101"/>
    <mergeCell ref="D101:E101"/>
    <mergeCell ref="C78:F78"/>
    <mergeCell ref="H78:J78"/>
    <mergeCell ref="H90:J91"/>
    <mergeCell ref="C87:J87"/>
    <mergeCell ref="E88:F88"/>
    <mergeCell ref="F90:G91"/>
    <mergeCell ref="C79:F79"/>
    <mergeCell ref="C84:J84"/>
    <mergeCell ref="A245:B245"/>
    <mergeCell ref="C245:J245"/>
    <mergeCell ref="A231:B231"/>
    <mergeCell ref="A237:B237"/>
    <mergeCell ref="A235:B235"/>
    <mergeCell ref="D235:E235"/>
    <mergeCell ref="D237:E237"/>
    <mergeCell ref="A238:B238"/>
    <mergeCell ref="A229:B229"/>
    <mergeCell ref="D229:E229"/>
    <mergeCell ref="A230:B230"/>
    <mergeCell ref="D230:E230"/>
    <mergeCell ref="A243:B243"/>
    <mergeCell ref="D243:E243"/>
    <mergeCell ref="A244:B244"/>
    <mergeCell ref="D244:E244"/>
    <mergeCell ref="D242:E242"/>
    <mergeCell ref="A431:F431"/>
    <mergeCell ref="G431:J431"/>
    <mergeCell ref="A326:F326"/>
    <mergeCell ref="G326:J326"/>
    <mergeCell ref="A327:F327"/>
    <mergeCell ref="G327:J327"/>
    <mergeCell ref="A419:E419"/>
    <mergeCell ref="F419:J419"/>
    <mergeCell ref="D353:E353"/>
    <mergeCell ref="I353:J353"/>
    <mergeCell ref="A370:J370"/>
    <mergeCell ref="A354:J354"/>
    <mergeCell ref="A345:F345"/>
    <mergeCell ref="G345:J345"/>
    <mergeCell ref="G426:J426"/>
    <mergeCell ref="A427:F427"/>
    <mergeCell ref="G427:J427"/>
    <mergeCell ref="A418:J418"/>
    <mergeCell ref="A422:E422"/>
    <mergeCell ref="F422:J422"/>
    <mergeCell ref="I405:J405"/>
    <mergeCell ref="G344:J344"/>
    <mergeCell ref="A349:J349"/>
    <mergeCell ref="D350:E350"/>
    <mergeCell ref="B54:C54"/>
    <mergeCell ref="D54:E54"/>
    <mergeCell ref="H54:J54"/>
    <mergeCell ref="B61:C61"/>
    <mergeCell ref="D61:E61"/>
    <mergeCell ref="H61:J61"/>
    <mergeCell ref="H40:J40"/>
    <mergeCell ref="D47:E47"/>
    <mergeCell ref="B40:C40"/>
    <mergeCell ref="B50:C50"/>
    <mergeCell ref="H50:J50"/>
    <mergeCell ref="D40:E40"/>
    <mergeCell ref="D45:E45"/>
    <mergeCell ref="B42:C42"/>
    <mergeCell ref="D42:E42"/>
    <mergeCell ref="H42:J42"/>
    <mergeCell ref="D41:E41"/>
    <mergeCell ref="H41:J41"/>
    <mergeCell ref="D49:E49"/>
    <mergeCell ref="H49:J49"/>
    <mergeCell ref="B41:C41"/>
    <mergeCell ref="B56:C56"/>
    <mergeCell ref="C217:J217"/>
    <mergeCell ref="E218:F218"/>
    <mergeCell ref="I218:J218"/>
    <mergeCell ref="H73:J73"/>
    <mergeCell ref="A77:B77"/>
    <mergeCell ref="C77:F77"/>
    <mergeCell ref="H77:J77"/>
    <mergeCell ref="A228:B228"/>
    <mergeCell ref="D228:E228"/>
    <mergeCell ref="F221:G230"/>
    <mergeCell ref="A120:B120"/>
    <mergeCell ref="C120:J120"/>
    <mergeCell ref="E121:F121"/>
    <mergeCell ref="A133:B133"/>
    <mergeCell ref="D133:E133"/>
    <mergeCell ref="A131:B131"/>
    <mergeCell ref="A132:B132"/>
    <mergeCell ref="D132:E132"/>
    <mergeCell ref="A130:B130"/>
    <mergeCell ref="D130:E130"/>
    <mergeCell ref="A73:B73"/>
    <mergeCell ref="C73:F73"/>
    <mergeCell ref="H95:J95"/>
    <mergeCell ref="A96:B96"/>
    <mergeCell ref="D295:E295"/>
    <mergeCell ref="A296:B296"/>
    <mergeCell ref="D296:E296"/>
    <mergeCell ref="A297:B297"/>
    <mergeCell ref="D297:E297"/>
    <mergeCell ref="A298:B298"/>
    <mergeCell ref="D298:E298"/>
    <mergeCell ref="A299:B299"/>
    <mergeCell ref="D299:E299"/>
    <mergeCell ref="A300:B300"/>
    <mergeCell ref="D300:E300"/>
    <mergeCell ref="A291:B291"/>
    <mergeCell ref="D291:E291"/>
    <mergeCell ref="A284:B284"/>
    <mergeCell ref="A436:F436"/>
    <mergeCell ref="G436:J436"/>
    <mergeCell ref="A379:J379"/>
    <mergeCell ref="D380:E380"/>
    <mergeCell ref="I380:J380"/>
    <mergeCell ref="G428:J428"/>
    <mergeCell ref="A429:F429"/>
    <mergeCell ref="G429:J429"/>
    <mergeCell ref="A430:F430"/>
    <mergeCell ref="A406:J406"/>
    <mergeCell ref="D407:E407"/>
    <mergeCell ref="I407:J407"/>
    <mergeCell ref="A404:J404"/>
    <mergeCell ref="A434:F434"/>
    <mergeCell ref="G434:J434"/>
    <mergeCell ref="A425:F425"/>
    <mergeCell ref="G425:J425"/>
    <mergeCell ref="A426:F426"/>
    <mergeCell ref="G424:J424"/>
    <mergeCell ref="A301:B301"/>
    <mergeCell ref="C301:J301"/>
    <mergeCell ref="E302:F302"/>
    <mergeCell ref="I302:J302"/>
    <mergeCell ref="A303:B303"/>
    <mergeCell ref="C303:J303"/>
    <mergeCell ref="A304:B304"/>
    <mergeCell ref="D304:E304"/>
    <mergeCell ref="F304:G304"/>
    <mergeCell ref="H304:J304"/>
    <mergeCell ref="E560:H560"/>
    <mergeCell ref="K12:O12"/>
    <mergeCell ref="A438:F438"/>
    <mergeCell ref="G438:J438"/>
    <mergeCell ref="A399:J399"/>
    <mergeCell ref="D400:E400"/>
    <mergeCell ref="I400:J400"/>
    <mergeCell ref="E450:H450"/>
    <mergeCell ref="A71:B71"/>
    <mergeCell ref="C71:F71"/>
    <mergeCell ref="H71:J71"/>
    <mergeCell ref="A305:B305"/>
    <mergeCell ref="D305:E305"/>
    <mergeCell ref="F305:G314"/>
    <mergeCell ref="H305:J314"/>
    <mergeCell ref="A306:B306"/>
    <mergeCell ref="D306:E306"/>
    <mergeCell ref="A307:B307"/>
    <mergeCell ref="D307:E307"/>
    <mergeCell ref="A424:F424"/>
    <mergeCell ref="A432:F432"/>
    <mergeCell ref="G432:J432"/>
    <mergeCell ref="A428:F428"/>
    <mergeCell ref="G430:J430"/>
    <mergeCell ref="A308:B308"/>
    <mergeCell ref="D308:E308"/>
    <mergeCell ref="A309:B309"/>
    <mergeCell ref="D309:E309"/>
    <mergeCell ref="A421:E421"/>
    <mergeCell ref="A314:B314"/>
    <mergeCell ref="D314:E314"/>
    <mergeCell ref="A403:J403"/>
    <mergeCell ref="A369:J369"/>
    <mergeCell ref="D348:E348"/>
    <mergeCell ref="F421:J421"/>
    <mergeCell ref="A310:B310"/>
    <mergeCell ref="D310:E310"/>
    <mergeCell ref="A311:B311"/>
    <mergeCell ref="D311:E311"/>
    <mergeCell ref="A312:B312"/>
    <mergeCell ref="D312:E312"/>
    <mergeCell ref="A313:B313"/>
    <mergeCell ref="D313:E313"/>
    <mergeCell ref="A331:F331"/>
    <mergeCell ref="G331:J331"/>
    <mergeCell ref="A377:J377"/>
    <mergeCell ref="A392:J392"/>
    <mergeCell ref="A391:J391"/>
  </mergeCells>
  <phoneticPr fontId="0" type="noConversion"/>
  <hyperlinks>
    <hyperlink ref="C32" r:id="rId1"/>
  </hyperlinks>
  <pageMargins left="0.70866141732283472" right="0.70866141732283472" top="0.94488188976377963" bottom="0.74803149606299213" header="0.31496062992125984" footer="0.31496062992125984"/>
  <pageSetup scale="77" fitToHeight="0" orientation="portrait" r:id="rId2"/>
  <headerFooter>
    <oddHeader>&amp;C&amp;G</oddHeader>
    <oddFooter>&amp;L&amp;"Times New Roman,Bold"Ref No: &amp;F&amp;C&amp;G&amp;R&amp;P</oddFooter>
  </headerFooter>
  <rowBreaks count="6" manualBreakCount="6">
    <brk id="258" max="16383" man="1"/>
    <brk id="449" max="16383" man="1"/>
    <brk id="500" max="16383" man="1"/>
    <brk id="559" max="16383" man="1"/>
    <brk id="609" max="16383" man="1"/>
    <brk id="65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opLeftCell="A2" workbookViewId="0">
      <selection activeCell="G20" sqref="G20"/>
    </sheetView>
  </sheetViews>
  <sheetFormatPr defaultRowHeight="14.5" x14ac:dyDescent="0.35"/>
  <cols>
    <col min="7" max="7" width="22.54296875" customWidth="1"/>
    <col min="8" max="8" width="11" bestFit="1" customWidth="1"/>
  </cols>
  <sheetData>
    <row r="1" spans="1:13" hidden="1" x14ac:dyDescent="0.35">
      <c r="A1" s="208" t="s">
        <v>153</v>
      </c>
      <c r="B1" s="298"/>
      <c r="C1" s="298"/>
      <c r="D1" s="298"/>
      <c r="E1" s="300" t="s">
        <v>168</v>
      </c>
      <c r="F1" s="300"/>
      <c r="H1">
        <f>4049735/1173</f>
        <v>3452.459505541347</v>
      </c>
      <c r="J1">
        <v>200.5</v>
      </c>
      <c r="L1" s="41">
        <f>4049735/J1</f>
        <v>20198.179551122194</v>
      </c>
      <c r="M1">
        <f>L1/10.764</f>
        <v>1876.4566658418985</v>
      </c>
    </row>
    <row r="2" spans="1:13" x14ac:dyDescent="0.35">
      <c r="A2" s="188" t="s">
        <v>238</v>
      </c>
      <c r="B2" s="188"/>
      <c r="C2" s="188"/>
      <c r="D2" s="188"/>
      <c r="E2" s="300" t="s">
        <v>239</v>
      </c>
      <c r="F2" s="300"/>
      <c r="G2" s="41">
        <f>5525244-350000</f>
        <v>5175244</v>
      </c>
      <c r="H2" s="38">
        <f>5525244/1015</f>
        <v>5443.5901477832513</v>
      </c>
      <c r="I2">
        <f>G2/1015</f>
        <v>5098.7625615763545</v>
      </c>
      <c r="J2">
        <v>324</v>
      </c>
      <c r="L2" s="41">
        <f>5525244/J2</f>
        <v>17053.222222222223</v>
      </c>
      <c r="M2">
        <f t="shared" ref="M2:M15" si="0">L2/10.764</f>
        <v>1584.2830009496677</v>
      </c>
    </row>
    <row r="3" spans="1:13" hidden="1" x14ac:dyDescent="0.35">
      <c r="A3" s="208" t="s">
        <v>169</v>
      </c>
      <c r="B3" s="298"/>
      <c r="C3" s="298"/>
      <c r="D3" s="298"/>
      <c r="E3" s="300" t="s">
        <v>172</v>
      </c>
      <c r="F3" s="300"/>
      <c r="G3" s="41" t="e">
        <f>3770000/E3</f>
        <v>#VALUE!</v>
      </c>
      <c r="H3">
        <f>3770000/1099</f>
        <v>3430.3912647861694</v>
      </c>
      <c r="J3">
        <v>220</v>
      </c>
      <c r="L3" s="41">
        <f>3770000/J3</f>
        <v>17136.363636363636</v>
      </c>
      <c r="M3">
        <f t="shared" si="0"/>
        <v>1592.0070267896356</v>
      </c>
    </row>
    <row r="4" spans="1:13" hidden="1" x14ac:dyDescent="0.35">
      <c r="A4" s="208" t="s">
        <v>137</v>
      </c>
      <c r="B4" s="298"/>
      <c r="C4" s="298"/>
      <c r="D4" s="298"/>
      <c r="E4" s="300" t="s">
        <v>135</v>
      </c>
      <c r="F4" s="300"/>
      <c r="G4" s="41" t="e">
        <f>3637382/E4</f>
        <v>#VALUE!</v>
      </c>
      <c r="H4" s="40">
        <f>3637382/1415</f>
        <v>2570.5879858657245</v>
      </c>
      <c r="J4">
        <v>220</v>
      </c>
      <c r="L4" s="41">
        <f>3637382/J4</f>
        <v>16533.554545454546</v>
      </c>
      <c r="M4">
        <f t="shared" si="0"/>
        <v>1536.0046957873046</v>
      </c>
    </row>
    <row r="5" spans="1:13" hidden="1" x14ac:dyDescent="0.35">
      <c r="A5" s="208" t="s">
        <v>154</v>
      </c>
      <c r="B5" s="208"/>
      <c r="C5" s="208"/>
      <c r="D5" s="208"/>
      <c r="E5" s="300" t="s">
        <v>166</v>
      </c>
      <c r="F5" s="300"/>
      <c r="G5" s="41" t="e">
        <f>6496575/E5</f>
        <v>#VALUE!</v>
      </c>
      <c r="H5">
        <f>6496575/2102</f>
        <v>3090.6636536631781</v>
      </c>
      <c r="J5">
        <v>220.96</v>
      </c>
      <c r="L5" s="41">
        <f>6496575/J5</f>
        <v>29401.588522809558</v>
      </c>
      <c r="M5">
        <f t="shared" si="0"/>
        <v>2731.4742217400185</v>
      </c>
    </row>
    <row r="6" spans="1:13" hidden="1" x14ac:dyDescent="0.35">
      <c r="A6" s="208" t="s">
        <v>138</v>
      </c>
      <c r="B6" s="208"/>
      <c r="C6" s="208"/>
      <c r="D6" s="208"/>
      <c r="E6" s="300" t="s">
        <v>136</v>
      </c>
      <c r="F6" s="300"/>
      <c r="G6" s="41" t="e">
        <f>3765964/E6</f>
        <v>#VALUE!</v>
      </c>
      <c r="H6">
        <f>3765964/1170</f>
        <v>3218.7726495726497</v>
      </c>
      <c r="J6">
        <v>153</v>
      </c>
      <c r="L6" s="41">
        <f>3765964/J6</f>
        <v>24614.143790849674</v>
      </c>
      <c r="M6">
        <f t="shared" si="0"/>
        <v>2286.7097538879298</v>
      </c>
    </row>
    <row r="7" spans="1:13" hidden="1" x14ac:dyDescent="0.35">
      <c r="A7" s="208" t="s">
        <v>208</v>
      </c>
      <c r="B7" s="208"/>
      <c r="C7" s="208"/>
      <c r="D7" s="208"/>
      <c r="E7" s="300" t="s">
        <v>209</v>
      </c>
      <c r="F7" s="300"/>
      <c r="G7" s="41" t="e">
        <f>4858698/E7</f>
        <v>#VALUE!</v>
      </c>
      <c r="H7">
        <f>4858698/1310</f>
        <v>3708.9297709923662</v>
      </c>
      <c r="J7">
        <v>162</v>
      </c>
      <c r="L7" s="41">
        <f>4858698/J7</f>
        <v>29991.962962962964</v>
      </c>
      <c r="M7">
        <f t="shared" si="0"/>
        <v>2786.3213455000896</v>
      </c>
    </row>
    <row r="8" spans="1:13" x14ac:dyDescent="0.35">
      <c r="A8" s="301" t="s">
        <v>224</v>
      </c>
      <c r="B8" s="301"/>
      <c r="C8" s="301"/>
      <c r="D8" s="301"/>
      <c r="E8" s="299" t="s">
        <v>225</v>
      </c>
      <c r="F8" s="299"/>
      <c r="G8" s="41">
        <f>5663498-350000</f>
        <v>5313498</v>
      </c>
      <c r="H8" s="38">
        <f>5663498/1010</f>
        <v>5607.4237623762374</v>
      </c>
      <c r="I8">
        <f>G8/1010</f>
        <v>5260.8891089108911</v>
      </c>
      <c r="J8">
        <v>165</v>
      </c>
      <c r="L8" s="41">
        <f>5663498/J8</f>
        <v>34324.230303030301</v>
      </c>
      <c r="M8">
        <f t="shared" si="0"/>
        <v>3188.7988018422802</v>
      </c>
    </row>
    <row r="9" spans="1:13" hidden="1" x14ac:dyDescent="0.35">
      <c r="A9" s="208" t="s">
        <v>139</v>
      </c>
      <c r="B9" s="208"/>
      <c r="C9" s="208"/>
      <c r="D9" s="208"/>
      <c r="E9" s="300" t="s">
        <v>164</v>
      </c>
      <c r="F9" s="300"/>
      <c r="G9" s="41" t="e">
        <f>2477100/E9</f>
        <v>#VALUE!</v>
      </c>
      <c r="H9" s="40">
        <f>2477100/1097</f>
        <v>2258.067456700091</v>
      </c>
      <c r="J9">
        <v>153.75</v>
      </c>
      <c r="L9" s="41">
        <f>2477100/J9</f>
        <v>16111.219512195123</v>
      </c>
      <c r="M9">
        <f t="shared" si="0"/>
        <v>1496.7688138419846</v>
      </c>
    </row>
    <row r="10" spans="1:13" x14ac:dyDescent="0.35">
      <c r="A10" s="301" t="s">
        <v>226</v>
      </c>
      <c r="B10" s="301"/>
      <c r="C10" s="301"/>
      <c r="D10" s="301"/>
      <c r="E10" s="299" t="s">
        <v>227</v>
      </c>
      <c r="F10" s="299"/>
      <c r="G10" s="41">
        <f>4331900-350000</f>
        <v>3981900</v>
      </c>
      <c r="H10" s="39">
        <f>4331900/878</f>
        <v>4933.8268792710705</v>
      </c>
      <c r="I10">
        <f>G10/878</f>
        <v>4535.1936218678811</v>
      </c>
      <c r="J10">
        <v>180.5</v>
      </c>
      <c r="L10" s="41">
        <f>4331900/J10</f>
        <v>23999.445983379501</v>
      </c>
      <c r="M10">
        <f t="shared" si="0"/>
        <v>2229.6029341675494</v>
      </c>
    </row>
    <row r="11" spans="1:13" x14ac:dyDescent="0.35">
      <c r="A11" s="188" t="s">
        <v>240</v>
      </c>
      <c r="B11" s="188"/>
      <c r="C11" s="188"/>
      <c r="D11" s="188"/>
      <c r="E11" s="300" t="s">
        <v>241</v>
      </c>
      <c r="F11" s="300"/>
      <c r="G11" s="41">
        <f>6096622-350000</f>
        <v>5746622</v>
      </c>
      <c r="H11" s="39">
        <f>6096622/1282</f>
        <v>4755.5553822152888</v>
      </c>
      <c r="I11">
        <f>G11/1282</f>
        <v>4482.5444617784715</v>
      </c>
      <c r="J11">
        <v>153.16</v>
      </c>
      <c r="L11" s="41">
        <f>6096622/J11</f>
        <v>39805.575868372944</v>
      </c>
      <c r="M11">
        <f t="shared" si="0"/>
        <v>3698.02823006066</v>
      </c>
    </row>
    <row r="12" spans="1:13" hidden="1" x14ac:dyDescent="0.35">
      <c r="A12" s="208" t="s">
        <v>155</v>
      </c>
      <c r="B12" s="208"/>
      <c r="C12" s="208"/>
      <c r="D12" s="208"/>
      <c r="E12" s="300" t="s">
        <v>167</v>
      </c>
      <c r="F12" s="300"/>
      <c r="G12" s="41" t="e">
        <f>5068800/E12</f>
        <v>#VALUE!</v>
      </c>
      <c r="H12">
        <f>5068800/1516</f>
        <v>3343.5356200527704</v>
      </c>
      <c r="J12">
        <v>241.5</v>
      </c>
      <c r="L12" s="41">
        <f>5068800/J12</f>
        <v>20988.819875776397</v>
      </c>
      <c r="M12">
        <f t="shared" si="0"/>
        <v>1949.9089442378668</v>
      </c>
    </row>
    <row r="13" spans="1:13" hidden="1" x14ac:dyDescent="0.35">
      <c r="A13" s="208" t="s">
        <v>217</v>
      </c>
      <c r="B13" s="298"/>
      <c r="C13" s="298"/>
      <c r="D13" s="298"/>
      <c r="E13" s="299" t="s">
        <v>218</v>
      </c>
      <c r="F13" s="299"/>
      <c r="G13" s="41" t="e">
        <f>5098168/E13</f>
        <v>#VALUE!</v>
      </c>
      <c r="H13" s="38">
        <f>5098168/889</f>
        <v>5734.722159730034</v>
      </c>
      <c r="J13">
        <v>242</v>
      </c>
      <c r="L13" s="41">
        <f>5098168/J13</f>
        <v>21066.809917355371</v>
      </c>
      <c r="M13">
        <f t="shared" si="0"/>
        <v>1957.1543958895738</v>
      </c>
    </row>
    <row r="14" spans="1:13" hidden="1" x14ac:dyDescent="0.35">
      <c r="A14" s="208" t="s">
        <v>156</v>
      </c>
      <c r="B14" s="298"/>
      <c r="C14" s="298"/>
      <c r="D14" s="298"/>
      <c r="E14" s="300" t="s">
        <v>165</v>
      </c>
      <c r="F14" s="300"/>
      <c r="G14" s="41" t="e">
        <f>2724800/E14</f>
        <v>#VALUE!</v>
      </c>
      <c r="H14" s="40">
        <f>2724800/1284</f>
        <v>2122.1183800623053</v>
      </c>
      <c r="J14">
        <v>195.5</v>
      </c>
      <c r="L14" s="41">
        <f>2724800/J14</f>
        <v>13937.595907928389</v>
      </c>
      <c r="M14">
        <f t="shared" si="0"/>
        <v>1294.8342538023403</v>
      </c>
    </row>
    <row r="15" spans="1:13" x14ac:dyDescent="0.35">
      <c r="A15" s="188" t="s">
        <v>242</v>
      </c>
      <c r="B15" s="188"/>
      <c r="C15" s="188"/>
      <c r="D15" s="188"/>
      <c r="E15" s="300" t="s">
        <v>243</v>
      </c>
      <c r="F15" s="300"/>
      <c r="G15" s="41">
        <f>8323321-350000</f>
        <v>7973321</v>
      </c>
      <c r="H15" s="38">
        <f>8323321/1485</f>
        <v>5604.9299663299662</v>
      </c>
      <c r="I15">
        <f>G15/1485</f>
        <v>5369.2397306397306</v>
      </c>
      <c r="J15">
        <v>210</v>
      </c>
      <c r="L15" s="41">
        <f>8323321/J15</f>
        <v>39634.861904761907</v>
      </c>
      <c r="M15">
        <f t="shared" si="0"/>
        <v>3682.1685158641685</v>
      </c>
    </row>
  </sheetData>
  <mergeCells count="30">
    <mergeCell ref="A1:D1"/>
    <mergeCell ref="E1:F1"/>
    <mergeCell ref="A2:D2"/>
    <mergeCell ref="E2:F2"/>
    <mergeCell ref="A3:D3"/>
    <mergeCell ref="E3:F3"/>
    <mergeCell ref="A4:D4"/>
    <mergeCell ref="E4:F4"/>
    <mergeCell ref="A5:D5"/>
    <mergeCell ref="E5:F5"/>
    <mergeCell ref="A6:D6"/>
    <mergeCell ref="E6:F6"/>
    <mergeCell ref="A7:D7"/>
    <mergeCell ref="E7:F7"/>
    <mergeCell ref="A8:D8"/>
    <mergeCell ref="E8:F8"/>
    <mergeCell ref="A9:D9"/>
    <mergeCell ref="E9:F9"/>
    <mergeCell ref="A10:D10"/>
    <mergeCell ref="E10:F10"/>
    <mergeCell ref="A11:D11"/>
    <mergeCell ref="E11:F11"/>
    <mergeCell ref="A12:D12"/>
    <mergeCell ref="E12:F12"/>
    <mergeCell ref="A13:D13"/>
    <mergeCell ref="E13:F13"/>
    <mergeCell ref="A14:D14"/>
    <mergeCell ref="E14:F14"/>
    <mergeCell ref="A15:D15"/>
    <mergeCell ref="E15: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34"/>
  <sheetViews>
    <sheetView topLeftCell="A22" workbookViewId="0">
      <selection activeCell="C41" sqref="C41"/>
    </sheetView>
  </sheetViews>
  <sheetFormatPr defaultRowHeight="14.5" x14ac:dyDescent="0.35"/>
  <sheetData>
    <row r="2" spans="2:13" x14ac:dyDescent="0.35">
      <c r="C2" s="8" t="s">
        <v>74</v>
      </c>
      <c r="D2" s="302"/>
      <c r="E2" s="302"/>
    </row>
    <row r="3" spans="2:13" x14ac:dyDescent="0.35">
      <c r="E3" s="7"/>
      <c r="F3" s="7"/>
      <c r="G3" s="7"/>
      <c r="H3" s="7"/>
      <c r="I3" s="7"/>
      <c r="J3" s="7"/>
    </row>
    <row r="4" spans="2:13" x14ac:dyDescent="0.35">
      <c r="B4" s="8" t="s">
        <v>75</v>
      </c>
      <c r="C4" s="6" t="s">
        <v>55</v>
      </c>
      <c r="D4" s="303" t="s">
        <v>56</v>
      </c>
      <c r="E4" s="303"/>
      <c r="F4" s="303"/>
      <c r="G4" s="9"/>
      <c r="H4" s="303" t="s">
        <v>57</v>
      </c>
      <c r="I4" s="303"/>
      <c r="J4" s="303"/>
      <c r="K4" s="303" t="s">
        <v>58</v>
      </c>
      <c r="L4" s="303"/>
      <c r="M4" s="303"/>
    </row>
    <row r="5" spans="2:13" x14ac:dyDescent="0.35">
      <c r="B5" s="8">
        <v>1</v>
      </c>
      <c r="C5" s="6"/>
      <c r="D5" s="6" t="s">
        <v>59</v>
      </c>
      <c r="E5" s="6" t="s">
        <v>60</v>
      </c>
      <c r="F5" s="6" t="s">
        <v>61</v>
      </c>
      <c r="G5" s="6"/>
      <c r="H5" s="6" t="s">
        <v>59</v>
      </c>
      <c r="I5" s="6" t="s">
        <v>60</v>
      </c>
      <c r="J5" s="6" t="s">
        <v>61</v>
      </c>
      <c r="K5" s="6" t="s">
        <v>59</v>
      </c>
      <c r="L5" s="6" t="s">
        <v>60</v>
      </c>
      <c r="M5" s="6" t="s">
        <v>61</v>
      </c>
    </row>
    <row r="6" spans="2:13" x14ac:dyDescent="0.35">
      <c r="C6" s="5" t="s">
        <v>62</v>
      </c>
      <c r="D6" s="5">
        <v>5.88</v>
      </c>
      <c r="E6" s="5">
        <v>2.98</v>
      </c>
      <c r="F6" s="5">
        <f>D6*E6</f>
        <v>17.522400000000001</v>
      </c>
      <c r="G6" s="5" t="s">
        <v>76</v>
      </c>
      <c r="H6" s="5">
        <v>1</v>
      </c>
      <c r="I6" s="5">
        <v>2.75</v>
      </c>
      <c r="J6" s="5">
        <f>H6*I6</f>
        <v>2.75</v>
      </c>
      <c r="K6" s="5"/>
      <c r="L6" s="5"/>
      <c r="M6" s="5">
        <f>K6*L6</f>
        <v>0</v>
      </c>
    </row>
    <row r="7" spans="2:13" x14ac:dyDescent="0.35">
      <c r="C7" s="5"/>
      <c r="D7" s="5"/>
      <c r="E7" s="5"/>
      <c r="F7" s="5">
        <f t="shared" ref="F7:F33" si="0">D7*E7</f>
        <v>0</v>
      </c>
      <c r="G7" s="5" t="s">
        <v>77</v>
      </c>
      <c r="H7" s="5">
        <v>1</v>
      </c>
      <c r="I7" s="5">
        <v>3.24</v>
      </c>
      <c r="J7" s="5">
        <f t="shared" ref="J7:J29" si="1">H7*I7</f>
        <v>3.24</v>
      </c>
      <c r="K7" s="5"/>
      <c r="L7" s="5"/>
      <c r="M7" s="5">
        <f t="shared" ref="M7:M29" si="2">K7*L7</f>
        <v>0</v>
      </c>
    </row>
    <row r="8" spans="2:13" x14ac:dyDescent="0.35">
      <c r="C8" s="5"/>
      <c r="D8" s="5"/>
      <c r="E8" s="5"/>
      <c r="F8" s="5">
        <f t="shared" si="0"/>
        <v>0</v>
      </c>
      <c r="G8" s="5"/>
      <c r="H8" s="5"/>
      <c r="I8" s="5"/>
      <c r="J8" s="5">
        <f t="shared" si="1"/>
        <v>0</v>
      </c>
      <c r="K8" s="5"/>
      <c r="L8" s="5"/>
      <c r="M8" s="5">
        <f t="shared" si="2"/>
        <v>0</v>
      </c>
    </row>
    <row r="9" spans="2:13" x14ac:dyDescent="0.35">
      <c r="C9" s="5" t="s">
        <v>65</v>
      </c>
      <c r="D9" s="5">
        <v>2.0299999999999998</v>
      </c>
      <c r="E9" s="5">
        <v>2.4</v>
      </c>
      <c r="F9" s="5">
        <f t="shared" si="0"/>
        <v>4.871999999999999</v>
      </c>
      <c r="G9" s="5" t="s">
        <v>76</v>
      </c>
      <c r="H9" s="5"/>
      <c r="I9" s="5"/>
      <c r="J9" s="5">
        <f t="shared" si="1"/>
        <v>0</v>
      </c>
      <c r="K9" s="5"/>
      <c r="L9" s="5"/>
      <c r="M9" s="5">
        <f t="shared" si="2"/>
        <v>0</v>
      </c>
    </row>
    <row r="10" spans="2:13" x14ac:dyDescent="0.35">
      <c r="C10" s="5"/>
      <c r="D10" s="5"/>
      <c r="E10" s="5"/>
      <c r="F10" s="5">
        <f t="shared" si="0"/>
        <v>0</v>
      </c>
      <c r="G10" s="5" t="s">
        <v>77</v>
      </c>
      <c r="H10" s="5"/>
      <c r="I10" s="5"/>
      <c r="J10" s="5">
        <f t="shared" si="1"/>
        <v>0</v>
      </c>
      <c r="K10" s="5"/>
      <c r="L10" s="5"/>
      <c r="M10" s="5">
        <f t="shared" si="2"/>
        <v>0</v>
      </c>
    </row>
    <row r="11" spans="2:13" x14ac:dyDescent="0.35">
      <c r="C11" s="5"/>
      <c r="D11" s="5"/>
      <c r="E11" s="5"/>
      <c r="F11" s="5">
        <f t="shared" si="0"/>
        <v>0</v>
      </c>
      <c r="G11" s="5"/>
      <c r="H11" s="5"/>
      <c r="I11" s="5"/>
      <c r="J11" s="5">
        <f t="shared" si="1"/>
        <v>0</v>
      </c>
      <c r="K11" s="5"/>
      <c r="L11" s="5"/>
      <c r="M11" s="5">
        <f t="shared" si="2"/>
        <v>0</v>
      </c>
    </row>
    <row r="12" spans="2:13" x14ac:dyDescent="0.35">
      <c r="C12" s="5"/>
      <c r="D12" s="5"/>
      <c r="E12" s="5"/>
      <c r="F12" s="5">
        <f t="shared" si="0"/>
        <v>0</v>
      </c>
      <c r="G12" s="5"/>
      <c r="H12" s="5"/>
      <c r="I12" s="5"/>
      <c r="J12" s="5">
        <f t="shared" si="1"/>
        <v>0</v>
      </c>
      <c r="K12" s="5"/>
      <c r="L12" s="5"/>
      <c r="M12" s="5">
        <f t="shared" si="2"/>
        <v>0</v>
      </c>
    </row>
    <row r="13" spans="2:13" x14ac:dyDescent="0.35">
      <c r="C13" s="5" t="s">
        <v>63</v>
      </c>
      <c r="D13" s="5">
        <v>3.65</v>
      </c>
      <c r="E13" s="5">
        <v>3.85</v>
      </c>
      <c r="F13" s="5">
        <f t="shared" si="0"/>
        <v>14.0525</v>
      </c>
      <c r="G13" s="5" t="s">
        <v>76</v>
      </c>
      <c r="H13" s="5"/>
      <c r="I13" s="5"/>
      <c r="J13" s="5">
        <f t="shared" si="1"/>
        <v>0</v>
      </c>
      <c r="K13" s="5"/>
      <c r="L13" s="5"/>
      <c r="M13" s="5">
        <f t="shared" si="2"/>
        <v>0</v>
      </c>
    </row>
    <row r="14" spans="2:13" x14ac:dyDescent="0.35">
      <c r="C14" s="5"/>
      <c r="D14" s="5"/>
      <c r="E14" s="5"/>
      <c r="F14" s="5">
        <f t="shared" si="0"/>
        <v>0</v>
      </c>
      <c r="G14" s="5" t="s">
        <v>77</v>
      </c>
      <c r="H14" s="5"/>
      <c r="I14" s="5"/>
      <c r="J14" s="5">
        <f t="shared" si="1"/>
        <v>0</v>
      </c>
      <c r="K14" s="5"/>
      <c r="L14" s="5"/>
      <c r="M14" s="5">
        <f t="shared" si="2"/>
        <v>0</v>
      </c>
    </row>
    <row r="15" spans="2:13" x14ac:dyDescent="0.35">
      <c r="C15" s="5"/>
      <c r="D15" s="5"/>
      <c r="E15" s="5"/>
      <c r="F15" s="5">
        <f t="shared" si="0"/>
        <v>0</v>
      </c>
      <c r="G15" s="5"/>
      <c r="H15" s="5"/>
      <c r="I15" s="5"/>
      <c r="J15" s="5">
        <f t="shared" si="1"/>
        <v>0</v>
      </c>
      <c r="K15" s="5"/>
      <c r="L15" s="5"/>
      <c r="M15" s="5">
        <f t="shared" si="2"/>
        <v>0</v>
      </c>
    </row>
    <row r="16" spans="2:13" x14ac:dyDescent="0.35">
      <c r="C16" s="5"/>
      <c r="D16" s="5"/>
      <c r="E16" s="5"/>
      <c r="F16" s="5">
        <f t="shared" si="0"/>
        <v>0</v>
      </c>
      <c r="G16" s="5"/>
      <c r="H16" s="5"/>
      <c r="I16" s="5"/>
      <c r="J16" s="5">
        <f t="shared" si="1"/>
        <v>0</v>
      </c>
      <c r="K16" s="5"/>
      <c r="L16" s="5"/>
      <c r="M16" s="5">
        <f t="shared" si="2"/>
        <v>0</v>
      </c>
    </row>
    <row r="17" spans="3:13" x14ac:dyDescent="0.35">
      <c r="C17" s="5" t="s">
        <v>64</v>
      </c>
      <c r="D17" s="5"/>
      <c r="E17" s="5"/>
      <c r="F17" s="5">
        <f t="shared" si="0"/>
        <v>0</v>
      </c>
      <c r="G17" s="5" t="s">
        <v>76</v>
      </c>
      <c r="H17" s="5"/>
      <c r="I17" s="5"/>
      <c r="J17" s="5">
        <f t="shared" si="1"/>
        <v>0</v>
      </c>
      <c r="K17" s="5"/>
      <c r="L17" s="5"/>
      <c r="M17" s="5">
        <f t="shared" si="2"/>
        <v>0</v>
      </c>
    </row>
    <row r="18" spans="3:13" x14ac:dyDescent="0.35">
      <c r="C18" s="5"/>
      <c r="D18" s="5"/>
      <c r="E18" s="5"/>
      <c r="F18" s="5">
        <f t="shared" si="0"/>
        <v>0</v>
      </c>
      <c r="G18" s="5" t="s">
        <v>77</v>
      </c>
      <c r="H18" s="5"/>
      <c r="I18" s="5"/>
      <c r="J18" s="5">
        <f t="shared" si="1"/>
        <v>0</v>
      </c>
      <c r="K18" s="5"/>
      <c r="L18" s="5"/>
      <c r="M18" s="5">
        <f t="shared" si="2"/>
        <v>0</v>
      </c>
    </row>
    <row r="19" spans="3:13" x14ac:dyDescent="0.35">
      <c r="C19" s="5"/>
      <c r="D19" s="5"/>
      <c r="E19" s="5"/>
      <c r="F19" s="5">
        <f t="shared" si="0"/>
        <v>0</v>
      </c>
      <c r="G19" s="5"/>
      <c r="H19" s="5"/>
      <c r="I19" s="5"/>
      <c r="J19" s="5">
        <f t="shared" si="1"/>
        <v>0</v>
      </c>
      <c r="K19" s="5"/>
      <c r="L19" s="5"/>
      <c r="M19" s="5">
        <f t="shared" si="2"/>
        <v>0</v>
      </c>
    </row>
    <row r="20" spans="3:13" x14ac:dyDescent="0.35">
      <c r="C20" s="5" t="s">
        <v>64</v>
      </c>
      <c r="D20" s="5"/>
      <c r="E20" s="5"/>
      <c r="F20" s="5">
        <f t="shared" si="0"/>
        <v>0</v>
      </c>
      <c r="G20" s="5" t="s">
        <v>76</v>
      </c>
      <c r="H20" s="5"/>
      <c r="I20" s="5"/>
      <c r="J20" s="5">
        <f t="shared" si="1"/>
        <v>0</v>
      </c>
      <c r="K20" s="5"/>
      <c r="L20" s="5"/>
      <c r="M20" s="5">
        <f t="shared" si="2"/>
        <v>0</v>
      </c>
    </row>
    <row r="21" spans="3:13" x14ac:dyDescent="0.35">
      <c r="C21" s="5"/>
      <c r="D21" s="5"/>
      <c r="E21" s="5"/>
      <c r="F21" s="5">
        <f t="shared" si="0"/>
        <v>0</v>
      </c>
      <c r="G21" s="5" t="s">
        <v>77</v>
      </c>
      <c r="H21" s="5"/>
      <c r="I21" s="5"/>
      <c r="J21" s="5">
        <f t="shared" si="1"/>
        <v>0</v>
      </c>
      <c r="K21" s="5"/>
      <c r="L21" s="5"/>
      <c r="M21" s="5">
        <f t="shared" si="2"/>
        <v>0</v>
      </c>
    </row>
    <row r="22" spans="3:13" x14ac:dyDescent="0.35">
      <c r="C22" s="5"/>
      <c r="D22" s="5"/>
      <c r="E22" s="5"/>
      <c r="F22" s="5">
        <f t="shared" si="0"/>
        <v>0</v>
      </c>
      <c r="G22" s="5"/>
      <c r="H22" s="5"/>
      <c r="I22" s="5"/>
      <c r="J22" s="5">
        <f t="shared" si="1"/>
        <v>0</v>
      </c>
      <c r="K22" s="5"/>
      <c r="L22" s="5"/>
      <c r="M22" s="5">
        <f t="shared" si="2"/>
        <v>0</v>
      </c>
    </row>
    <row r="23" spans="3:13" x14ac:dyDescent="0.35">
      <c r="C23" s="5" t="s">
        <v>70</v>
      </c>
      <c r="D23" s="5">
        <v>2.4300000000000002</v>
      </c>
      <c r="E23" s="5">
        <v>1.35</v>
      </c>
      <c r="F23" s="5">
        <f t="shared" si="0"/>
        <v>3.2805000000000004</v>
      </c>
      <c r="G23" s="5" t="s">
        <v>78</v>
      </c>
      <c r="H23" s="5"/>
      <c r="I23" s="5"/>
      <c r="J23" s="5">
        <f t="shared" si="1"/>
        <v>0</v>
      </c>
      <c r="K23" s="5"/>
      <c r="L23" s="5"/>
      <c r="M23" s="5">
        <f t="shared" si="2"/>
        <v>0</v>
      </c>
    </row>
    <row r="24" spans="3:13" x14ac:dyDescent="0.35">
      <c r="C24" s="5" t="s">
        <v>71</v>
      </c>
      <c r="D24" s="5"/>
      <c r="E24" s="5"/>
      <c r="F24" s="5">
        <f t="shared" si="0"/>
        <v>0</v>
      </c>
      <c r="G24" s="5" t="s">
        <v>78</v>
      </c>
      <c r="H24" s="5"/>
      <c r="I24" s="5"/>
      <c r="J24" s="5">
        <f t="shared" si="1"/>
        <v>0</v>
      </c>
      <c r="K24" s="5"/>
      <c r="L24" s="5"/>
      <c r="M24" s="5">
        <f t="shared" si="2"/>
        <v>0</v>
      </c>
    </row>
    <row r="25" spans="3:13" x14ac:dyDescent="0.35">
      <c r="C25" s="5" t="s">
        <v>72</v>
      </c>
      <c r="D25" s="5"/>
      <c r="E25" s="5"/>
      <c r="F25" s="5">
        <f t="shared" si="0"/>
        <v>0</v>
      </c>
      <c r="G25" s="5" t="s">
        <v>78</v>
      </c>
      <c r="H25" s="5"/>
      <c r="I25" s="5"/>
      <c r="J25" s="5">
        <f t="shared" si="1"/>
        <v>0</v>
      </c>
      <c r="K25" s="5"/>
      <c r="L25" s="5"/>
      <c r="M25" s="5">
        <f t="shared" si="2"/>
        <v>0</v>
      </c>
    </row>
    <row r="26" spans="3:13" x14ac:dyDescent="0.35">
      <c r="C26" s="5"/>
      <c r="D26" s="5"/>
      <c r="E26" s="5"/>
      <c r="F26" s="5">
        <f t="shared" si="0"/>
        <v>0</v>
      </c>
      <c r="G26" s="5"/>
      <c r="H26" s="5"/>
      <c r="I26" s="5"/>
      <c r="J26" s="5">
        <f t="shared" si="1"/>
        <v>0</v>
      </c>
      <c r="K26" s="5"/>
      <c r="L26" s="5"/>
      <c r="M26" s="5">
        <f t="shared" si="2"/>
        <v>0</v>
      </c>
    </row>
    <row r="27" spans="3:13" x14ac:dyDescent="0.35">
      <c r="C27" s="5" t="s">
        <v>66</v>
      </c>
      <c r="D27" s="5"/>
      <c r="E27" s="5"/>
      <c r="F27" s="5">
        <f t="shared" si="0"/>
        <v>0</v>
      </c>
      <c r="G27" s="5"/>
      <c r="H27" s="5"/>
      <c r="I27" s="5"/>
      <c r="J27" s="5">
        <f t="shared" si="1"/>
        <v>0</v>
      </c>
      <c r="K27" s="5"/>
      <c r="L27" s="5"/>
      <c r="M27" s="5">
        <f t="shared" si="2"/>
        <v>0</v>
      </c>
    </row>
    <row r="28" spans="3:13" x14ac:dyDescent="0.35">
      <c r="C28" s="5" t="s">
        <v>67</v>
      </c>
      <c r="D28" s="5"/>
      <c r="E28" s="5"/>
      <c r="F28" s="5">
        <f t="shared" si="0"/>
        <v>0</v>
      </c>
      <c r="G28" s="5"/>
      <c r="H28" s="5"/>
      <c r="I28" s="5"/>
      <c r="J28" s="5">
        <f t="shared" si="1"/>
        <v>0</v>
      </c>
      <c r="K28" s="5"/>
      <c r="L28" s="5"/>
      <c r="M28" s="5">
        <f t="shared" si="2"/>
        <v>0</v>
      </c>
    </row>
    <row r="29" spans="3:13" x14ac:dyDescent="0.35">
      <c r="C29" s="5" t="s">
        <v>68</v>
      </c>
      <c r="D29" s="5"/>
      <c r="E29" s="5"/>
      <c r="F29" s="5">
        <f t="shared" si="0"/>
        <v>0</v>
      </c>
      <c r="G29" s="5"/>
      <c r="H29" s="5"/>
      <c r="I29" s="5"/>
      <c r="J29" s="5">
        <f t="shared" si="1"/>
        <v>0</v>
      </c>
      <c r="K29" s="5"/>
      <c r="L29" s="5"/>
      <c r="M29" s="5">
        <f t="shared" si="2"/>
        <v>0</v>
      </c>
    </row>
    <row r="30" spans="3:13" x14ac:dyDescent="0.35">
      <c r="C30" s="5" t="s">
        <v>69</v>
      </c>
      <c r="D30" s="5"/>
      <c r="E30" s="5"/>
      <c r="F30" s="5">
        <f t="shared" si="0"/>
        <v>0</v>
      </c>
      <c r="G30" s="5"/>
      <c r="H30" s="5"/>
      <c r="I30" s="5"/>
      <c r="J30" s="5">
        <f>H30*I30</f>
        <v>0</v>
      </c>
      <c r="K30" s="5"/>
      <c r="L30" s="5"/>
      <c r="M30" s="5">
        <f>K30*L30</f>
        <v>0</v>
      </c>
    </row>
    <row r="31" spans="3:13" x14ac:dyDescent="0.35">
      <c r="C31" s="5"/>
      <c r="D31" s="5"/>
      <c r="E31" s="5"/>
      <c r="F31" s="5">
        <f t="shared" si="0"/>
        <v>0</v>
      </c>
      <c r="G31" s="5"/>
      <c r="H31" s="5"/>
      <c r="I31" s="5"/>
      <c r="J31" s="5">
        <f>H31*I31</f>
        <v>0</v>
      </c>
      <c r="K31" s="5"/>
      <c r="L31" s="5"/>
      <c r="M31" s="5">
        <f>K31*L31</f>
        <v>0</v>
      </c>
    </row>
    <row r="32" spans="3:13" x14ac:dyDescent="0.35">
      <c r="C32" s="5"/>
      <c r="D32" s="5"/>
      <c r="E32" s="5"/>
      <c r="F32" s="5">
        <f t="shared" si="0"/>
        <v>0</v>
      </c>
      <c r="G32" s="5"/>
      <c r="H32" s="5"/>
      <c r="I32" s="5"/>
      <c r="J32" s="5">
        <f>H32*I32</f>
        <v>0</v>
      </c>
      <c r="K32" s="5"/>
      <c r="L32" s="5"/>
      <c r="M32" s="5">
        <f>K32*L32</f>
        <v>0</v>
      </c>
    </row>
    <row r="33" spans="3:13" x14ac:dyDescent="0.35">
      <c r="C33" s="5"/>
      <c r="D33" s="5"/>
      <c r="E33" s="5"/>
      <c r="F33" s="5">
        <f t="shared" si="0"/>
        <v>0</v>
      </c>
      <c r="G33" s="5"/>
      <c r="H33" s="5"/>
      <c r="I33" s="5"/>
      <c r="J33" s="5">
        <f>H33*I33</f>
        <v>0</v>
      </c>
      <c r="K33" s="5"/>
      <c r="L33" s="5"/>
      <c r="M33" s="5">
        <f>K33*L33</f>
        <v>0</v>
      </c>
    </row>
    <row r="34" spans="3:13" x14ac:dyDescent="0.35">
      <c r="C34" s="5" t="s">
        <v>73</v>
      </c>
      <c r="D34" s="5"/>
      <c r="E34" s="5">
        <f>F34*10.764</f>
        <v>427.62573359999999</v>
      </c>
      <c r="F34" s="5">
        <f>SUM(F6:F33)</f>
        <v>39.727400000000003</v>
      </c>
      <c r="G34" s="5"/>
      <c r="H34" s="5"/>
      <c r="I34" s="5">
        <f>J34*10.764</f>
        <v>64.47636</v>
      </c>
      <c r="J34" s="5">
        <f>SUM(J6:J33)</f>
        <v>5.99</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3:M35"/>
  <sheetViews>
    <sheetView topLeftCell="A7" workbookViewId="0">
      <selection activeCell="G7" sqref="G7:G8"/>
    </sheetView>
  </sheetViews>
  <sheetFormatPr defaultRowHeight="14.5" x14ac:dyDescent="0.35"/>
  <sheetData>
    <row r="3" spans="2:13" x14ac:dyDescent="0.35">
      <c r="C3" s="8" t="s">
        <v>74</v>
      </c>
      <c r="D3" s="302"/>
      <c r="E3" s="302"/>
    </row>
    <row r="4" spans="2:13" x14ac:dyDescent="0.35">
      <c r="E4" s="7"/>
      <c r="F4" s="7"/>
      <c r="G4" s="7"/>
      <c r="H4" s="7"/>
      <c r="I4" s="7"/>
      <c r="J4" s="7"/>
    </row>
    <row r="5" spans="2:13" x14ac:dyDescent="0.35">
      <c r="B5" s="8" t="s">
        <v>75</v>
      </c>
      <c r="C5" s="6" t="s">
        <v>55</v>
      </c>
      <c r="D5" s="303" t="s">
        <v>56</v>
      </c>
      <c r="E5" s="303"/>
      <c r="F5" s="303"/>
      <c r="G5" s="9"/>
      <c r="H5" s="303" t="s">
        <v>57</v>
      </c>
      <c r="I5" s="303"/>
      <c r="J5" s="303"/>
      <c r="K5" s="303" t="s">
        <v>58</v>
      </c>
      <c r="L5" s="303"/>
      <c r="M5" s="303"/>
    </row>
    <row r="6" spans="2:13" x14ac:dyDescent="0.35">
      <c r="B6" s="8">
        <v>1</v>
      </c>
      <c r="C6" s="6"/>
      <c r="D6" s="6" t="s">
        <v>59</v>
      </c>
      <c r="E6" s="6" t="s">
        <v>60</v>
      </c>
      <c r="F6" s="6" t="s">
        <v>61</v>
      </c>
      <c r="G6" s="6"/>
      <c r="H6" s="6" t="s">
        <v>59</v>
      </c>
      <c r="I6" s="6" t="s">
        <v>60</v>
      </c>
      <c r="J6" s="6" t="s">
        <v>61</v>
      </c>
      <c r="K6" s="6" t="s">
        <v>59</v>
      </c>
      <c r="L6" s="6" t="s">
        <v>60</v>
      </c>
      <c r="M6" s="6" t="s">
        <v>61</v>
      </c>
    </row>
    <row r="7" spans="2:13" x14ac:dyDescent="0.35">
      <c r="C7" s="5" t="s">
        <v>62</v>
      </c>
      <c r="D7" s="5"/>
      <c r="E7" s="5"/>
      <c r="F7" s="5">
        <f>D7*E7</f>
        <v>0</v>
      </c>
      <c r="G7" s="5" t="s">
        <v>76</v>
      </c>
      <c r="H7" s="5"/>
      <c r="I7" s="5"/>
      <c r="J7" s="5">
        <f>H7*I7</f>
        <v>0</v>
      </c>
      <c r="K7" s="5"/>
      <c r="L7" s="5"/>
      <c r="M7" s="5">
        <f>K7*L7</f>
        <v>0</v>
      </c>
    </row>
    <row r="8" spans="2:13" x14ac:dyDescent="0.35">
      <c r="C8" s="5"/>
      <c r="D8" s="5"/>
      <c r="E8" s="5"/>
      <c r="F8" s="5">
        <f t="shared" ref="F8:F34" si="0">D8*E8</f>
        <v>0</v>
      </c>
      <c r="G8" s="5" t="s">
        <v>77</v>
      </c>
      <c r="H8" s="5"/>
      <c r="I8" s="5"/>
      <c r="J8" s="5">
        <f t="shared" ref="J8:J34" si="1">H8*I8</f>
        <v>0</v>
      </c>
      <c r="K8" s="5"/>
      <c r="L8" s="5"/>
      <c r="M8" s="5">
        <f t="shared" ref="M8:M34" si="2">K8*L8</f>
        <v>0</v>
      </c>
    </row>
    <row r="9" spans="2:13" x14ac:dyDescent="0.35">
      <c r="C9" s="5"/>
      <c r="D9" s="5"/>
      <c r="E9" s="5"/>
      <c r="F9" s="5">
        <f t="shared" si="0"/>
        <v>0</v>
      </c>
      <c r="G9" s="5"/>
      <c r="H9" s="5"/>
      <c r="I9" s="5"/>
      <c r="J9" s="5">
        <f t="shared" si="1"/>
        <v>0</v>
      </c>
      <c r="K9" s="5"/>
      <c r="L9" s="5"/>
      <c r="M9" s="5">
        <f t="shared" si="2"/>
        <v>0</v>
      </c>
    </row>
    <row r="10" spans="2:13" x14ac:dyDescent="0.35">
      <c r="C10" s="5" t="s">
        <v>65</v>
      </c>
      <c r="D10" s="5"/>
      <c r="E10" s="5"/>
      <c r="F10" s="5">
        <f t="shared" si="0"/>
        <v>0</v>
      </c>
      <c r="G10" s="5" t="s">
        <v>76</v>
      </c>
      <c r="H10" s="5"/>
      <c r="I10" s="5"/>
      <c r="J10" s="5">
        <f t="shared" si="1"/>
        <v>0</v>
      </c>
      <c r="K10" s="5"/>
      <c r="L10" s="5"/>
      <c r="M10" s="5">
        <f t="shared" si="2"/>
        <v>0</v>
      </c>
    </row>
    <row r="11" spans="2:13" x14ac:dyDescent="0.35">
      <c r="C11" s="5"/>
      <c r="D11" s="5"/>
      <c r="E11" s="5"/>
      <c r="F11" s="5">
        <f t="shared" si="0"/>
        <v>0</v>
      </c>
      <c r="G11" s="5" t="s">
        <v>77</v>
      </c>
      <c r="H11" s="5"/>
      <c r="I11" s="5"/>
      <c r="J11" s="5">
        <f t="shared" si="1"/>
        <v>0</v>
      </c>
      <c r="K11" s="5"/>
      <c r="L11" s="5"/>
      <c r="M11" s="5">
        <f t="shared" si="2"/>
        <v>0</v>
      </c>
    </row>
    <row r="12" spans="2:13" x14ac:dyDescent="0.35">
      <c r="C12" s="5"/>
      <c r="D12" s="5"/>
      <c r="E12" s="5"/>
      <c r="F12" s="5">
        <f t="shared" si="0"/>
        <v>0</v>
      </c>
      <c r="G12" s="5"/>
      <c r="H12" s="5"/>
      <c r="I12" s="5"/>
      <c r="J12" s="5">
        <f t="shared" si="1"/>
        <v>0</v>
      </c>
      <c r="K12" s="5"/>
      <c r="L12" s="5"/>
      <c r="M12" s="5">
        <f t="shared" si="2"/>
        <v>0</v>
      </c>
    </row>
    <row r="13" spans="2:13" x14ac:dyDescent="0.35">
      <c r="C13" s="5"/>
      <c r="D13" s="5"/>
      <c r="E13" s="5"/>
      <c r="F13" s="5">
        <f t="shared" si="0"/>
        <v>0</v>
      </c>
      <c r="G13" s="5"/>
      <c r="H13" s="5"/>
      <c r="I13" s="5"/>
      <c r="J13" s="5">
        <f t="shared" si="1"/>
        <v>0</v>
      </c>
      <c r="K13" s="5"/>
      <c r="L13" s="5"/>
      <c r="M13" s="5">
        <f t="shared" si="2"/>
        <v>0</v>
      </c>
    </row>
    <row r="14" spans="2:13" x14ac:dyDescent="0.35">
      <c r="C14" s="5" t="s">
        <v>63</v>
      </c>
      <c r="D14" s="5"/>
      <c r="E14" s="5"/>
      <c r="F14" s="5">
        <f t="shared" si="0"/>
        <v>0</v>
      </c>
      <c r="G14" s="5" t="s">
        <v>76</v>
      </c>
      <c r="H14" s="5"/>
      <c r="I14" s="5"/>
      <c r="J14" s="5">
        <f t="shared" si="1"/>
        <v>0</v>
      </c>
      <c r="K14" s="5"/>
      <c r="L14" s="5"/>
      <c r="M14" s="5">
        <f t="shared" si="2"/>
        <v>0</v>
      </c>
    </row>
    <row r="15" spans="2:13" x14ac:dyDescent="0.35">
      <c r="C15" s="5"/>
      <c r="D15" s="5"/>
      <c r="E15" s="5"/>
      <c r="F15" s="5">
        <f t="shared" si="0"/>
        <v>0</v>
      </c>
      <c r="G15" s="5" t="s">
        <v>77</v>
      </c>
      <c r="H15" s="5"/>
      <c r="I15" s="5"/>
      <c r="J15" s="5">
        <f t="shared" si="1"/>
        <v>0</v>
      </c>
      <c r="K15" s="5"/>
      <c r="L15" s="5"/>
      <c r="M15" s="5">
        <f t="shared" si="2"/>
        <v>0</v>
      </c>
    </row>
    <row r="16" spans="2:13" x14ac:dyDescent="0.35">
      <c r="C16" s="5"/>
      <c r="D16" s="5"/>
      <c r="E16" s="5"/>
      <c r="F16" s="5">
        <f t="shared" si="0"/>
        <v>0</v>
      </c>
      <c r="G16" s="5"/>
      <c r="H16" s="5"/>
      <c r="I16" s="5"/>
      <c r="J16" s="5">
        <f t="shared" si="1"/>
        <v>0</v>
      </c>
      <c r="K16" s="5"/>
      <c r="L16" s="5"/>
      <c r="M16" s="5">
        <f t="shared" si="2"/>
        <v>0</v>
      </c>
    </row>
    <row r="17" spans="3:13" x14ac:dyDescent="0.35">
      <c r="C17" s="5"/>
      <c r="D17" s="5"/>
      <c r="E17" s="5"/>
      <c r="F17" s="5">
        <f t="shared" si="0"/>
        <v>0</v>
      </c>
      <c r="G17" s="5"/>
      <c r="H17" s="5"/>
      <c r="I17" s="5"/>
      <c r="J17" s="5">
        <f t="shared" si="1"/>
        <v>0</v>
      </c>
      <c r="K17" s="5"/>
      <c r="L17" s="5"/>
      <c r="M17" s="5">
        <f t="shared" si="2"/>
        <v>0</v>
      </c>
    </row>
    <row r="18" spans="3:13" x14ac:dyDescent="0.35">
      <c r="C18" s="5" t="s">
        <v>64</v>
      </c>
      <c r="D18" s="5"/>
      <c r="E18" s="5"/>
      <c r="F18" s="5">
        <f t="shared" si="0"/>
        <v>0</v>
      </c>
      <c r="G18" s="5" t="s">
        <v>76</v>
      </c>
      <c r="H18" s="5"/>
      <c r="I18" s="5"/>
      <c r="J18" s="5">
        <f t="shared" si="1"/>
        <v>0</v>
      </c>
      <c r="K18" s="5"/>
      <c r="L18" s="5"/>
      <c r="M18" s="5">
        <f t="shared" si="2"/>
        <v>0</v>
      </c>
    </row>
    <row r="19" spans="3:13" x14ac:dyDescent="0.35">
      <c r="C19" s="5"/>
      <c r="D19" s="5"/>
      <c r="E19" s="5"/>
      <c r="F19" s="5">
        <f t="shared" si="0"/>
        <v>0</v>
      </c>
      <c r="G19" s="5" t="s">
        <v>77</v>
      </c>
      <c r="H19" s="5"/>
      <c r="I19" s="5"/>
      <c r="J19" s="5">
        <f t="shared" si="1"/>
        <v>0</v>
      </c>
      <c r="K19" s="5"/>
      <c r="L19" s="5"/>
      <c r="M19" s="5">
        <f t="shared" si="2"/>
        <v>0</v>
      </c>
    </row>
    <row r="20" spans="3:13" x14ac:dyDescent="0.35">
      <c r="C20" s="5"/>
      <c r="D20" s="5"/>
      <c r="E20" s="5"/>
      <c r="F20" s="5">
        <f t="shared" si="0"/>
        <v>0</v>
      </c>
      <c r="G20" s="5"/>
      <c r="H20" s="5"/>
      <c r="I20" s="5"/>
      <c r="J20" s="5">
        <f t="shared" si="1"/>
        <v>0</v>
      </c>
      <c r="K20" s="5"/>
      <c r="L20" s="5"/>
      <c r="M20" s="5">
        <f t="shared" si="2"/>
        <v>0</v>
      </c>
    </row>
    <row r="21" spans="3:13" x14ac:dyDescent="0.35">
      <c r="C21" s="5" t="s">
        <v>64</v>
      </c>
      <c r="D21" s="5"/>
      <c r="E21" s="5"/>
      <c r="F21" s="5">
        <f t="shared" si="0"/>
        <v>0</v>
      </c>
      <c r="G21" s="5" t="s">
        <v>76</v>
      </c>
      <c r="H21" s="5"/>
      <c r="I21" s="5"/>
      <c r="J21" s="5">
        <f t="shared" si="1"/>
        <v>0</v>
      </c>
      <c r="K21" s="5"/>
      <c r="L21" s="5"/>
      <c r="M21" s="5">
        <f t="shared" si="2"/>
        <v>0</v>
      </c>
    </row>
    <row r="22" spans="3:13" x14ac:dyDescent="0.35">
      <c r="C22" s="5"/>
      <c r="D22" s="5"/>
      <c r="E22" s="5"/>
      <c r="F22" s="5">
        <f t="shared" si="0"/>
        <v>0</v>
      </c>
      <c r="G22" s="5" t="s">
        <v>77</v>
      </c>
      <c r="H22" s="5"/>
      <c r="I22" s="5"/>
      <c r="J22" s="5">
        <f t="shared" si="1"/>
        <v>0</v>
      </c>
      <c r="K22" s="5"/>
      <c r="L22" s="5"/>
      <c r="M22" s="5">
        <f t="shared" si="2"/>
        <v>0</v>
      </c>
    </row>
    <row r="23" spans="3:13" x14ac:dyDescent="0.35">
      <c r="C23" s="5"/>
      <c r="D23" s="5"/>
      <c r="E23" s="5"/>
      <c r="F23" s="5">
        <f t="shared" si="0"/>
        <v>0</v>
      </c>
      <c r="G23" s="5"/>
      <c r="H23" s="5"/>
      <c r="I23" s="5"/>
      <c r="J23" s="5">
        <f t="shared" si="1"/>
        <v>0</v>
      </c>
      <c r="K23" s="5"/>
      <c r="L23" s="5"/>
      <c r="M23" s="5">
        <f t="shared" si="2"/>
        <v>0</v>
      </c>
    </row>
    <row r="24" spans="3:13" x14ac:dyDescent="0.35">
      <c r="C24" s="5" t="s">
        <v>70</v>
      </c>
      <c r="D24" s="5"/>
      <c r="E24" s="5"/>
      <c r="F24" s="5">
        <f t="shared" si="0"/>
        <v>0</v>
      </c>
      <c r="G24" s="5" t="s">
        <v>78</v>
      </c>
      <c r="H24" s="5"/>
      <c r="I24" s="5"/>
      <c r="J24" s="5">
        <f t="shared" si="1"/>
        <v>0</v>
      </c>
      <c r="K24" s="5"/>
      <c r="L24" s="5"/>
      <c r="M24" s="5">
        <f t="shared" si="2"/>
        <v>0</v>
      </c>
    </row>
    <row r="25" spans="3:13" x14ac:dyDescent="0.35">
      <c r="C25" s="5" t="s">
        <v>71</v>
      </c>
      <c r="D25" s="5"/>
      <c r="E25" s="5"/>
      <c r="F25" s="5">
        <f t="shared" si="0"/>
        <v>0</v>
      </c>
      <c r="G25" s="5" t="s">
        <v>78</v>
      </c>
      <c r="H25" s="5"/>
      <c r="I25" s="5"/>
      <c r="J25" s="5">
        <f t="shared" si="1"/>
        <v>0</v>
      </c>
      <c r="K25" s="5"/>
      <c r="L25" s="5"/>
      <c r="M25" s="5">
        <f t="shared" si="2"/>
        <v>0</v>
      </c>
    </row>
    <row r="26" spans="3:13" x14ac:dyDescent="0.35">
      <c r="C26" s="5" t="s">
        <v>72</v>
      </c>
      <c r="D26" s="5"/>
      <c r="E26" s="5"/>
      <c r="F26" s="5">
        <f t="shared" si="0"/>
        <v>0</v>
      </c>
      <c r="G26" s="5" t="s">
        <v>78</v>
      </c>
      <c r="H26" s="5"/>
      <c r="I26" s="5"/>
      <c r="J26" s="5">
        <f t="shared" si="1"/>
        <v>0</v>
      </c>
      <c r="K26" s="5"/>
      <c r="L26" s="5"/>
      <c r="M26" s="5">
        <f t="shared" si="2"/>
        <v>0</v>
      </c>
    </row>
    <row r="27" spans="3:13" x14ac:dyDescent="0.35">
      <c r="C27" s="5"/>
      <c r="D27" s="5"/>
      <c r="E27" s="5"/>
      <c r="F27" s="5">
        <f t="shared" si="0"/>
        <v>0</v>
      </c>
      <c r="G27" s="5"/>
      <c r="H27" s="5"/>
      <c r="I27" s="5"/>
      <c r="J27" s="5">
        <f t="shared" si="1"/>
        <v>0</v>
      </c>
      <c r="K27" s="5"/>
      <c r="L27" s="5"/>
      <c r="M27" s="5">
        <f t="shared" si="2"/>
        <v>0</v>
      </c>
    </row>
    <row r="28" spans="3:13" x14ac:dyDescent="0.35">
      <c r="C28" s="5" t="s">
        <v>66</v>
      </c>
      <c r="D28" s="5"/>
      <c r="E28" s="5"/>
      <c r="F28" s="5">
        <f t="shared" si="0"/>
        <v>0</v>
      </c>
      <c r="G28" s="5"/>
      <c r="H28" s="5"/>
      <c r="I28" s="5"/>
      <c r="J28" s="5">
        <f t="shared" si="1"/>
        <v>0</v>
      </c>
      <c r="K28" s="5"/>
      <c r="L28" s="5"/>
      <c r="M28" s="5">
        <f t="shared" si="2"/>
        <v>0</v>
      </c>
    </row>
    <row r="29" spans="3:13" x14ac:dyDescent="0.35">
      <c r="C29" s="5" t="s">
        <v>67</v>
      </c>
      <c r="D29" s="5"/>
      <c r="E29" s="5"/>
      <c r="F29" s="5">
        <f t="shared" si="0"/>
        <v>0</v>
      </c>
      <c r="G29" s="5"/>
      <c r="H29" s="5"/>
      <c r="I29" s="5"/>
      <c r="J29" s="5">
        <f t="shared" si="1"/>
        <v>0</v>
      </c>
      <c r="K29" s="5"/>
      <c r="L29" s="5"/>
      <c r="M29" s="5">
        <f t="shared" si="2"/>
        <v>0</v>
      </c>
    </row>
    <row r="30" spans="3:13" x14ac:dyDescent="0.35">
      <c r="C30" s="5" t="s">
        <v>68</v>
      </c>
      <c r="D30" s="5"/>
      <c r="E30" s="5"/>
      <c r="F30" s="5">
        <f t="shared" si="0"/>
        <v>0</v>
      </c>
      <c r="G30" s="5"/>
      <c r="H30" s="5"/>
      <c r="I30" s="5"/>
      <c r="J30" s="5">
        <f t="shared" si="1"/>
        <v>0</v>
      </c>
      <c r="K30" s="5"/>
      <c r="L30" s="5"/>
      <c r="M30" s="5">
        <f t="shared" si="2"/>
        <v>0</v>
      </c>
    </row>
    <row r="31" spans="3:13" x14ac:dyDescent="0.35">
      <c r="C31" s="5" t="s">
        <v>69</v>
      </c>
      <c r="D31" s="5"/>
      <c r="E31" s="5"/>
      <c r="F31" s="5">
        <f t="shared" si="0"/>
        <v>0</v>
      </c>
      <c r="G31" s="5"/>
      <c r="H31" s="5"/>
      <c r="I31" s="5"/>
      <c r="J31" s="5">
        <f t="shared" si="1"/>
        <v>0</v>
      </c>
      <c r="K31" s="5"/>
      <c r="L31" s="5"/>
      <c r="M31" s="5">
        <f t="shared" si="2"/>
        <v>0</v>
      </c>
    </row>
    <row r="32" spans="3:13" x14ac:dyDescent="0.35">
      <c r="C32" s="5"/>
      <c r="D32" s="5"/>
      <c r="E32" s="5"/>
      <c r="F32" s="5">
        <f t="shared" si="0"/>
        <v>0</v>
      </c>
      <c r="G32" s="5"/>
      <c r="H32" s="5"/>
      <c r="I32" s="5"/>
      <c r="J32" s="5">
        <f t="shared" si="1"/>
        <v>0</v>
      </c>
      <c r="K32" s="5"/>
      <c r="L32" s="5"/>
      <c r="M32" s="5">
        <f t="shared" si="2"/>
        <v>0</v>
      </c>
    </row>
    <row r="33" spans="3:13" x14ac:dyDescent="0.35">
      <c r="C33" s="5"/>
      <c r="D33" s="5"/>
      <c r="E33" s="5"/>
      <c r="F33" s="5">
        <f t="shared" si="0"/>
        <v>0</v>
      </c>
      <c r="G33" s="5"/>
      <c r="H33" s="5"/>
      <c r="I33" s="5"/>
      <c r="J33" s="5">
        <f t="shared" si="1"/>
        <v>0</v>
      </c>
      <c r="K33" s="5"/>
      <c r="L33" s="5"/>
      <c r="M33" s="5">
        <f t="shared" si="2"/>
        <v>0</v>
      </c>
    </row>
    <row r="34" spans="3:13" x14ac:dyDescent="0.35">
      <c r="C34" s="5"/>
      <c r="D34" s="5"/>
      <c r="E34" s="5"/>
      <c r="F34" s="5">
        <f t="shared" si="0"/>
        <v>0</v>
      </c>
      <c r="G34" s="5"/>
      <c r="H34" s="5"/>
      <c r="I34" s="5"/>
      <c r="J34" s="5">
        <f t="shared" si="1"/>
        <v>0</v>
      </c>
      <c r="K34" s="5"/>
      <c r="L34" s="5"/>
      <c r="M34" s="5">
        <f t="shared" si="2"/>
        <v>0</v>
      </c>
    </row>
    <row r="35" spans="3:13" x14ac:dyDescent="0.35">
      <c r="C35" s="5" t="s">
        <v>73</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C3:N35"/>
  <sheetViews>
    <sheetView workbookViewId="0">
      <selection activeCell="I10" sqref="I10"/>
    </sheetView>
  </sheetViews>
  <sheetFormatPr defaultRowHeight="14.5" x14ac:dyDescent="0.35"/>
  <sheetData>
    <row r="3" spans="3:14" x14ac:dyDescent="0.35">
      <c r="D3" s="8" t="s">
        <v>74</v>
      </c>
      <c r="E3" s="302"/>
      <c r="F3" s="302"/>
    </row>
    <row r="4" spans="3:14" x14ac:dyDescent="0.35">
      <c r="F4" s="7"/>
      <c r="G4" s="7"/>
      <c r="H4" s="7"/>
      <c r="I4" s="7"/>
      <c r="J4" s="7"/>
      <c r="K4" s="7"/>
    </row>
    <row r="5" spans="3:14" x14ac:dyDescent="0.35">
      <c r="C5" s="8" t="s">
        <v>75</v>
      </c>
      <c r="D5" s="6" t="s">
        <v>55</v>
      </c>
      <c r="E5" s="303" t="s">
        <v>56</v>
      </c>
      <c r="F5" s="303"/>
      <c r="G5" s="303"/>
      <c r="H5" s="9"/>
      <c r="I5" s="303" t="s">
        <v>57</v>
      </c>
      <c r="J5" s="303"/>
      <c r="K5" s="303"/>
      <c r="L5" s="303" t="s">
        <v>58</v>
      </c>
      <c r="M5" s="303"/>
      <c r="N5" s="303"/>
    </row>
    <row r="6" spans="3:14" x14ac:dyDescent="0.35">
      <c r="C6" s="8">
        <v>1</v>
      </c>
      <c r="D6" s="6"/>
      <c r="E6" s="6" t="s">
        <v>59</v>
      </c>
      <c r="F6" s="6" t="s">
        <v>60</v>
      </c>
      <c r="G6" s="6" t="s">
        <v>61</v>
      </c>
      <c r="H6" s="6"/>
      <c r="I6" s="6" t="s">
        <v>59</v>
      </c>
      <c r="J6" s="6" t="s">
        <v>60</v>
      </c>
      <c r="K6" s="6" t="s">
        <v>61</v>
      </c>
      <c r="L6" s="6" t="s">
        <v>59</v>
      </c>
      <c r="M6" s="6" t="s">
        <v>60</v>
      </c>
      <c r="N6" s="6" t="s">
        <v>61</v>
      </c>
    </row>
    <row r="7" spans="3:14" x14ac:dyDescent="0.35">
      <c r="D7" s="5" t="s">
        <v>62</v>
      </c>
      <c r="E7" s="5"/>
      <c r="F7" s="5"/>
      <c r="G7" s="5">
        <f>E7*F7</f>
        <v>0</v>
      </c>
      <c r="H7" s="5" t="s">
        <v>76</v>
      </c>
      <c r="I7" s="5"/>
      <c r="J7" s="5"/>
      <c r="K7" s="5">
        <f>I7*J7</f>
        <v>0</v>
      </c>
      <c r="L7" s="5"/>
      <c r="M7" s="5"/>
      <c r="N7" s="5">
        <f>L7*M7</f>
        <v>0</v>
      </c>
    </row>
    <row r="8" spans="3:14" x14ac:dyDescent="0.35">
      <c r="D8" s="5"/>
      <c r="E8" s="5"/>
      <c r="F8" s="5"/>
      <c r="G8" s="5">
        <f t="shared" ref="G8:G34" si="0">E8*F8</f>
        <v>0</v>
      </c>
      <c r="H8" s="5" t="s">
        <v>77</v>
      </c>
      <c r="I8" s="5"/>
      <c r="J8" s="5"/>
      <c r="K8" s="5">
        <f t="shared" ref="K8:K34" si="1">I8*J8</f>
        <v>0</v>
      </c>
      <c r="L8" s="5"/>
      <c r="M8" s="5"/>
      <c r="N8" s="5">
        <f t="shared" ref="N8:N34" si="2">L8*M8</f>
        <v>0</v>
      </c>
    </row>
    <row r="9" spans="3:14" x14ac:dyDescent="0.35">
      <c r="D9" s="5"/>
      <c r="E9" s="5"/>
      <c r="F9" s="5"/>
      <c r="G9" s="5">
        <f t="shared" si="0"/>
        <v>0</v>
      </c>
      <c r="H9" s="5"/>
      <c r="I9" s="5"/>
      <c r="J9" s="5"/>
      <c r="K9" s="5">
        <f t="shared" si="1"/>
        <v>0</v>
      </c>
      <c r="L9" s="5"/>
      <c r="M9" s="5"/>
      <c r="N9" s="5">
        <f t="shared" si="2"/>
        <v>0</v>
      </c>
    </row>
    <row r="10" spans="3:14" x14ac:dyDescent="0.35">
      <c r="D10" s="5" t="s">
        <v>65</v>
      </c>
      <c r="E10" s="5"/>
      <c r="F10" s="5"/>
      <c r="G10" s="5">
        <f t="shared" si="0"/>
        <v>0</v>
      </c>
      <c r="H10" s="5" t="s">
        <v>76</v>
      </c>
      <c r="I10" s="5"/>
      <c r="J10" s="5"/>
      <c r="K10" s="5">
        <f t="shared" si="1"/>
        <v>0</v>
      </c>
      <c r="L10" s="5"/>
      <c r="M10" s="5"/>
      <c r="N10" s="5">
        <f t="shared" si="2"/>
        <v>0</v>
      </c>
    </row>
    <row r="11" spans="3:14" x14ac:dyDescent="0.35">
      <c r="D11" s="5"/>
      <c r="E11" s="5"/>
      <c r="F11" s="5"/>
      <c r="G11" s="5">
        <f t="shared" si="0"/>
        <v>0</v>
      </c>
      <c r="H11" s="5" t="s">
        <v>77</v>
      </c>
      <c r="I11" s="5"/>
      <c r="J11" s="5"/>
      <c r="K11" s="5">
        <f t="shared" si="1"/>
        <v>0</v>
      </c>
      <c r="L11" s="5"/>
      <c r="M11" s="5"/>
      <c r="N11" s="5">
        <f t="shared" si="2"/>
        <v>0</v>
      </c>
    </row>
    <row r="12" spans="3:14" x14ac:dyDescent="0.35">
      <c r="D12" s="5"/>
      <c r="E12" s="5"/>
      <c r="F12" s="5"/>
      <c r="G12" s="5">
        <f t="shared" si="0"/>
        <v>0</v>
      </c>
      <c r="H12" s="5"/>
      <c r="I12" s="5"/>
      <c r="J12" s="5"/>
      <c r="K12" s="5">
        <f t="shared" si="1"/>
        <v>0</v>
      </c>
      <c r="L12" s="5"/>
      <c r="M12" s="5"/>
      <c r="N12" s="5">
        <f t="shared" si="2"/>
        <v>0</v>
      </c>
    </row>
    <row r="13" spans="3:14" x14ac:dyDescent="0.35">
      <c r="D13" s="5"/>
      <c r="E13" s="5"/>
      <c r="F13" s="5"/>
      <c r="G13" s="5">
        <f t="shared" si="0"/>
        <v>0</v>
      </c>
      <c r="H13" s="5"/>
      <c r="I13" s="5"/>
      <c r="J13" s="5"/>
      <c r="K13" s="5">
        <f t="shared" si="1"/>
        <v>0</v>
      </c>
      <c r="L13" s="5"/>
      <c r="M13" s="5"/>
      <c r="N13" s="5">
        <f t="shared" si="2"/>
        <v>0</v>
      </c>
    </row>
    <row r="14" spans="3:14" x14ac:dyDescent="0.35">
      <c r="D14" s="5" t="s">
        <v>63</v>
      </c>
      <c r="E14" s="5"/>
      <c r="F14" s="5"/>
      <c r="G14" s="5">
        <f t="shared" si="0"/>
        <v>0</v>
      </c>
      <c r="H14" s="5" t="s">
        <v>76</v>
      </c>
      <c r="I14" s="5"/>
      <c r="J14" s="5"/>
      <c r="K14" s="5">
        <f t="shared" si="1"/>
        <v>0</v>
      </c>
      <c r="L14" s="5"/>
      <c r="M14" s="5"/>
      <c r="N14" s="5">
        <f t="shared" si="2"/>
        <v>0</v>
      </c>
    </row>
    <row r="15" spans="3:14" x14ac:dyDescent="0.35">
      <c r="D15" s="5"/>
      <c r="E15" s="5"/>
      <c r="F15" s="5"/>
      <c r="G15" s="5">
        <f t="shared" si="0"/>
        <v>0</v>
      </c>
      <c r="H15" s="5" t="s">
        <v>77</v>
      </c>
      <c r="I15" s="5"/>
      <c r="J15" s="5"/>
      <c r="K15" s="5">
        <f t="shared" si="1"/>
        <v>0</v>
      </c>
      <c r="L15" s="5"/>
      <c r="M15" s="5"/>
      <c r="N15" s="5">
        <f t="shared" si="2"/>
        <v>0</v>
      </c>
    </row>
    <row r="16" spans="3:14" x14ac:dyDescent="0.35">
      <c r="D16" s="5"/>
      <c r="E16" s="5"/>
      <c r="F16" s="5"/>
      <c r="G16" s="5">
        <f t="shared" si="0"/>
        <v>0</v>
      </c>
      <c r="H16" s="5"/>
      <c r="I16" s="5"/>
      <c r="J16" s="5"/>
      <c r="K16" s="5">
        <f t="shared" si="1"/>
        <v>0</v>
      </c>
      <c r="L16" s="5"/>
      <c r="M16" s="5"/>
      <c r="N16" s="5">
        <f t="shared" si="2"/>
        <v>0</v>
      </c>
    </row>
    <row r="17" spans="4:14" x14ac:dyDescent="0.35">
      <c r="D17" s="5"/>
      <c r="E17" s="5"/>
      <c r="F17" s="5"/>
      <c r="G17" s="5">
        <f t="shared" si="0"/>
        <v>0</v>
      </c>
      <c r="H17" s="5"/>
      <c r="I17" s="5"/>
      <c r="J17" s="5"/>
      <c r="K17" s="5">
        <f t="shared" si="1"/>
        <v>0</v>
      </c>
      <c r="L17" s="5"/>
      <c r="M17" s="5"/>
      <c r="N17" s="5">
        <f t="shared" si="2"/>
        <v>0</v>
      </c>
    </row>
    <row r="18" spans="4:14" x14ac:dyDescent="0.35">
      <c r="D18" s="5" t="s">
        <v>64</v>
      </c>
      <c r="E18" s="5"/>
      <c r="F18" s="5"/>
      <c r="G18" s="5">
        <f t="shared" si="0"/>
        <v>0</v>
      </c>
      <c r="H18" s="5" t="s">
        <v>76</v>
      </c>
      <c r="I18" s="5"/>
      <c r="J18" s="5"/>
      <c r="K18" s="5">
        <f t="shared" si="1"/>
        <v>0</v>
      </c>
      <c r="L18" s="5"/>
      <c r="M18" s="5"/>
      <c r="N18" s="5">
        <f t="shared" si="2"/>
        <v>0</v>
      </c>
    </row>
    <row r="19" spans="4:14" x14ac:dyDescent="0.35">
      <c r="D19" s="5"/>
      <c r="E19" s="5"/>
      <c r="F19" s="5"/>
      <c r="G19" s="5">
        <f t="shared" si="0"/>
        <v>0</v>
      </c>
      <c r="H19" s="5" t="s">
        <v>77</v>
      </c>
      <c r="I19" s="5"/>
      <c r="J19" s="5"/>
      <c r="K19" s="5">
        <f t="shared" si="1"/>
        <v>0</v>
      </c>
      <c r="L19" s="5"/>
      <c r="M19" s="5"/>
      <c r="N19" s="5">
        <f t="shared" si="2"/>
        <v>0</v>
      </c>
    </row>
    <row r="20" spans="4:14" x14ac:dyDescent="0.35">
      <c r="D20" s="5"/>
      <c r="E20" s="5"/>
      <c r="F20" s="5"/>
      <c r="G20" s="5">
        <f t="shared" si="0"/>
        <v>0</v>
      </c>
      <c r="H20" s="5"/>
      <c r="I20" s="5"/>
      <c r="J20" s="5"/>
      <c r="K20" s="5">
        <f t="shared" si="1"/>
        <v>0</v>
      </c>
      <c r="L20" s="5"/>
      <c r="M20" s="5"/>
      <c r="N20" s="5">
        <f t="shared" si="2"/>
        <v>0</v>
      </c>
    </row>
    <row r="21" spans="4:14" x14ac:dyDescent="0.35">
      <c r="D21" s="5" t="s">
        <v>64</v>
      </c>
      <c r="E21" s="5"/>
      <c r="F21" s="5"/>
      <c r="G21" s="5">
        <f t="shared" si="0"/>
        <v>0</v>
      </c>
      <c r="H21" s="5" t="s">
        <v>76</v>
      </c>
      <c r="I21" s="5"/>
      <c r="J21" s="5"/>
      <c r="K21" s="5">
        <f t="shared" si="1"/>
        <v>0</v>
      </c>
      <c r="L21" s="5"/>
      <c r="M21" s="5"/>
      <c r="N21" s="5">
        <f t="shared" si="2"/>
        <v>0</v>
      </c>
    </row>
    <row r="22" spans="4:14" x14ac:dyDescent="0.35">
      <c r="D22" s="5"/>
      <c r="E22" s="5"/>
      <c r="F22" s="5"/>
      <c r="G22" s="5">
        <f t="shared" si="0"/>
        <v>0</v>
      </c>
      <c r="H22" s="5" t="s">
        <v>77</v>
      </c>
      <c r="I22" s="5"/>
      <c r="J22" s="5"/>
      <c r="K22" s="5">
        <f t="shared" si="1"/>
        <v>0</v>
      </c>
      <c r="L22" s="5"/>
      <c r="M22" s="5"/>
      <c r="N22" s="5">
        <f t="shared" si="2"/>
        <v>0</v>
      </c>
    </row>
    <row r="23" spans="4:14" x14ac:dyDescent="0.35">
      <c r="D23" s="5"/>
      <c r="E23" s="5"/>
      <c r="F23" s="5"/>
      <c r="G23" s="5">
        <f t="shared" si="0"/>
        <v>0</v>
      </c>
      <c r="H23" s="5"/>
      <c r="I23" s="5"/>
      <c r="J23" s="5"/>
      <c r="K23" s="5">
        <f t="shared" si="1"/>
        <v>0</v>
      </c>
      <c r="L23" s="5"/>
      <c r="M23" s="5"/>
      <c r="N23" s="5">
        <f t="shared" si="2"/>
        <v>0</v>
      </c>
    </row>
    <row r="24" spans="4:14" x14ac:dyDescent="0.35">
      <c r="D24" s="5" t="s">
        <v>70</v>
      </c>
      <c r="E24" s="5"/>
      <c r="F24" s="5"/>
      <c r="G24" s="5">
        <f t="shared" si="0"/>
        <v>0</v>
      </c>
      <c r="H24" s="5" t="s">
        <v>78</v>
      </c>
      <c r="I24" s="5"/>
      <c r="J24" s="5"/>
      <c r="K24" s="5">
        <f t="shared" si="1"/>
        <v>0</v>
      </c>
      <c r="L24" s="5"/>
      <c r="M24" s="5"/>
      <c r="N24" s="5">
        <f t="shared" si="2"/>
        <v>0</v>
      </c>
    </row>
    <row r="25" spans="4:14" x14ac:dyDescent="0.35">
      <c r="D25" s="5" t="s">
        <v>71</v>
      </c>
      <c r="E25" s="5"/>
      <c r="F25" s="5"/>
      <c r="G25" s="5">
        <f t="shared" si="0"/>
        <v>0</v>
      </c>
      <c r="H25" s="5" t="s">
        <v>78</v>
      </c>
      <c r="I25" s="5"/>
      <c r="J25" s="5"/>
      <c r="K25" s="5">
        <f t="shared" si="1"/>
        <v>0</v>
      </c>
      <c r="L25" s="5"/>
      <c r="M25" s="5"/>
      <c r="N25" s="5">
        <f t="shared" si="2"/>
        <v>0</v>
      </c>
    </row>
    <row r="26" spans="4:14" x14ac:dyDescent="0.35">
      <c r="D26" s="5" t="s">
        <v>72</v>
      </c>
      <c r="E26" s="5"/>
      <c r="F26" s="5"/>
      <c r="G26" s="5">
        <f t="shared" si="0"/>
        <v>0</v>
      </c>
      <c r="H26" s="5" t="s">
        <v>78</v>
      </c>
      <c r="I26" s="5"/>
      <c r="J26" s="5"/>
      <c r="K26" s="5">
        <f t="shared" si="1"/>
        <v>0</v>
      </c>
      <c r="L26" s="5"/>
      <c r="M26" s="5"/>
      <c r="N26" s="5">
        <f t="shared" si="2"/>
        <v>0</v>
      </c>
    </row>
    <row r="27" spans="4:14" x14ac:dyDescent="0.35">
      <c r="D27" s="5"/>
      <c r="E27" s="5"/>
      <c r="F27" s="5"/>
      <c r="G27" s="5">
        <f t="shared" si="0"/>
        <v>0</v>
      </c>
      <c r="H27" s="5"/>
      <c r="I27" s="5"/>
      <c r="J27" s="5"/>
      <c r="K27" s="5">
        <f t="shared" si="1"/>
        <v>0</v>
      </c>
      <c r="L27" s="5"/>
      <c r="M27" s="5"/>
      <c r="N27" s="5">
        <f t="shared" si="2"/>
        <v>0</v>
      </c>
    </row>
    <row r="28" spans="4:14" x14ac:dyDescent="0.35">
      <c r="D28" s="5" t="s">
        <v>66</v>
      </c>
      <c r="E28" s="5"/>
      <c r="F28" s="5"/>
      <c r="G28" s="5">
        <f t="shared" si="0"/>
        <v>0</v>
      </c>
      <c r="H28" s="5"/>
      <c r="I28" s="5"/>
      <c r="J28" s="5"/>
      <c r="K28" s="5">
        <f t="shared" si="1"/>
        <v>0</v>
      </c>
      <c r="L28" s="5"/>
      <c r="M28" s="5"/>
      <c r="N28" s="5">
        <f t="shared" si="2"/>
        <v>0</v>
      </c>
    </row>
    <row r="29" spans="4:14" x14ac:dyDescent="0.35">
      <c r="D29" s="5" t="s">
        <v>67</v>
      </c>
      <c r="E29" s="5"/>
      <c r="F29" s="5"/>
      <c r="G29" s="5">
        <f t="shared" si="0"/>
        <v>0</v>
      </c>
      <c r="H29" s="5"/>
      <c r="I29" s="5"/>
      <c r="J29" s="5"/>
      <c r="K29" s="5">
        <f t="shared" si="1"/>
        <v>0</v>
      </c>
      <c r="L29" s="5"/>
      <c r="M29" s="5"/>
      <c r="N29" s="5">
        <f t="shared" si="2"/>
        <v>0</v>
      </c>
    </row>
    <row r="30" spans="4:14" x14ac:dyDescent="0.35">
      <c r="D30" s="5" t="s">
        <v>68</v>
      </c>
      <c r="E30" s="5"/>
      <c r="F30" s="5"/>
      <c r="G30" s="5">
        <f t="shared" si="0"/>
        <v>0</v>
      </c>
      <c r="H30" s="5"/>
      <c r="I30" s="5"/>
      <c r="J30" s="5"/>
      <c r="K30" s="5">
        <f t="shared" si="1"/>
        <v>0</v>
      </c>
      <c r="L30" s="5"/>
      <c r="M30" s="5"/>
      <c r="N30" s="5">
        <f t="shared" si="2"/>
        <v>0</v>
      </c>
    </row>
    <row r="31" spans="4:14" x14ac:dyDescent="0.35">
      <c r="D31" s="5" t="s">
        <v>69</v>
      </c>
      <c r="E31" s="5"/>
      <c r="F31" s="5"/>
      <c r="G31" s="5">
        <f t="shared" si="0"/>
        <v>0</v>
      </c>
      <c r="H31" s="5"/>
      <c r="I31" s="5"/>
      <c r="J31" s="5"/>
      <c r="K31" s="5">
        <f t="shared" si="1"/>
        <v>0</v>
      </c>
      <c r="L31" s="5"/>
      <c r="M31" s="5"/>
      <c r="N31" s="5">
        <f t="shared" si="2"/>
        <v>0</v>
      </c>
    </row>
    <row r="32" spans="4:14" x14ac:dyDescent="0.35">
      <c r="D32" s="5"/>
      <c r="E32" s="5"/>
      <c r="F32" s="5"/>
      <c r="G32" s="5">
        <f t="shared" si="0"/>
        <v>0</v>
      </c>
      <c r="H32" s="5"/>
      <c r="I32" s="5"/>
      <c r="J32" s="5"/>
      <c r="K32" s="5">
        <f t="shared" si="1"/>
        <v>0</v>
      </c>
      <c r="L32" s="5"/>
      <c r="M32" s="5"/>
      <c r="N32" s="5">
        <f t="shared" si="2"/>
        <v>0</v>
      </c>
    </row>
    <row r="33" spans="4:14" x14ac:dyDescent="0.35">
      <c r="D33" s="5"/>
      <c r="E33" s="5"/>
      <c r="F33" s="5"/>
      <c r="G33" s="5">
        <f t="shared" si="0"/>
        <v>0</v>
      </c>
      <c r="H33" s="5"/>
      <c r="I33" s="5"/>
      <c r="J33" s="5"/>
      <c r="K33" s="5">
        <f t="shared" si="1"/>
        <v>0</v>
      </c>
      <c r="L33" s="5"/>
      <c r="M33" s="5"/>
      <c r="N33" s="5">
        <f t="shared" si="2"/>
        <v>0</v>
      </c>
    </row>
    <row r="34" spans="4:14" x14ac:dyDescent="0.35">
      <c r="D34" s="5"/>
      <c r="E34" s="5"/>
      <c r="F34" s="5"/>
      <c r="G34" s="5">
        <f t="shared" si="0"/>
        <v>0</v>
      </c>
      <c r="H34" s="5"/>
      <c r="I34" s="5"/>
      <c r="J34" s="5"/>
      <c r="K34" s="5">
        <f t="shared" si="1"/>
        <v>0</v>
      </c>
      <c r="L34" s="5"/>
      <c r="M34" s="5"/>
      <c r="N34" s="5">
        <f t="shared" si="2"/>
        <v>0</v>
      </c>
    </row>
    <row r="35" spans="4:14" x14ac:dyDescent="0.35">
      <c r="D35" s="5" t="s">
        <v>73</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Rate</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2025-08-22T11:43:33Z</cp:lastPrinted>
  <dcterms:created xsi:type="dcterms:W3CDTF">2013-11-23T05:32:33Z</dcterms:created>
  <dcterms:modified xsi:type="dcterms:W3CDTF">2025-08-22T11:44:28Z</dcterms:modified>
</cp:coreProperties>
</file>