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Aug 2025\19-08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_FilterDatabase" localSheetId="0" hidden="1">Report!$A$261:$H$343</definedName>
    <definedName name="_xlnm.Print_Area" localSheetId="0">Report!$A$1:$H$468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1" i="1" l="1"/>
  <c r="C15" i="1" l="1"/>
  <c r="D211" i="1" l="1"/>
  <c r="F211" i="1" s="1"/>
  <c r="D210" i="1"/>
  <c r="F210" i="1" s="1"/>
  <c r="D209" i="1"/>
  <c r="F209" i="1" s="1"/>
  <c r="D208" i="1"/>
  <c r="D207" i="1"/>
  <c r="F207" i="1" s="1"/>
  <c r="D206" i="1"/>
  <c r="F206" i="1" s="1"/>
  <c r="D205" i="1"/>
  <c r="F205" i="1" s="1"/>
  <c r="D195" i="1"/>
  <c r="F195" i="1" s="1"/>
  <c r="D196" i="1"/>
  <c r="D202" i="1"/>
  <c r="F202" i="1" s="1"/>
  <c r="D201" i="1"/>
  <c r="F201" i="1" s="1"/>
  <c r="D200" i="1"/>
  <c r="F200" i="1" s="1"/>
  <c r="D199" i="1"/>
  <c r="D198" i="1"/>
  <c r="D197" i="1"/>
  <c r="F197" i="1" s="1"/>
  <c r="D193" i="1"/>
  <c r="F193" i="1" s="1"/>
  <c r="D192" i="1"/>
  <c r="F192" i="1" s="1"/>
  <c r="D191" i="1"/>
  <c r="F191" i="1" s="1"/>
  <c r="D190" i="1"/>
  <c r="F190" i="1" s="1"/>
  <c r="D189" i="1"/>
  <c r="F189" i="1" s="1"/>
  <c r="D188" i="1"/>
  <c r="F188" i="1" s="1"/>
  <c r="D184" i="1"/>
  <c r="F184" i="1" s="1"/>
  <c r="D183" i="1"/>
  <c r="F183" i="1" s="1"/>
  <c r="D182" i="1"/>
  <c r="F182" i="1" s="1"/>
  <c r="D181" i="1"/>
  <c r="F181" i="1" s="1"/>
  <c r="Q166" i="1" s="1"/>
  <c r="D180" i="1"/>
  <c r="D179" i="1"/>
  <c r="F179" i="1" s="1"/>
  <c r="D178" i="1"/>
  <c r="F178" i="1" s="1"/>
  <c r="Q163" i="1" s="1"/>
  <c r="D177" i="1"/>
  <c r="F177" i="1" s="1"/>
  <c r="Q162" i="1" s="1"/>
  <c r="F180" i="1"/>
  <c r="D175" i="1"/>
  <c r="F175" i="1" s="1"/>
  <c r="D174" i="1"/>
  <c r="F174" i="1" s="1"/>
  <c r="D173" i="1"/>
  <c r="F173" i="1" s="1"/>
  <c r="D172" i="1"/>
  <c r="F172" i="1" s="1"/>
  <c r="Q157" i="1" s="1"/>
  <c r="D168" i="1"/>
  <c r="F168" i="1" s="1"/>
  <c r="D169" i="1"/>
  <c r="F169" i="1" s="1"/>
  <c r="Q154" i="1" s="1"/>
  <c r="G168" i="1"/>
  <c r="O157" i="1"/>
  <c r="F171" i="1"/>
  <c r="O156" i="1"/>
  <c r="O155" i="1"/>
  <c r="A169" i="1"/>
  <c r="A170" i="1" s="1"/>
  <c r="A171" i="1" s="1"/>
  <c r="F208" i="1"/>
  <c r="G204" i="1"/>
  <c r="F199" i="1"/>
  <c r="F198" i="1"/>
  <c r="F196" i="1"/>
  <c r="A196" i="1"/>
  <c r="A197" i="1" s="1"/>
  <c r="A198" i="1" s="1"/>
  <c r="G195" i="1"/>
  <c r="A187" i="1"/>
  <c r="A188" i="1" s="1"/>
  <c r="A189" i="1" s="1"/>
  <c r="G186" i="1"/>
  <c r="O166" i="1"/>
  <c r="O165" i="1"/>
  <c r="O164" i="1"/>
  <c r="A178" i="1"/>
  <c r="A179" i="1" s="1"/>
  <c r="A180" i="1" s="1"/>
  <c r="G177" i="1"/>
  <c r="C71" i="1"/>
  <c r="B72" i="1" s="1"/>
  <c r="D58" i="1"/>
  <c r="P165" i="1" l="1"/>
  <c r="C139" i="1"/>
  <c r="P156" i="1"/>
  <c r="G133" i="1"/>
  <c r="E139" i="1"/>
  <c r="G139" i="1"/>
  <c r="C133" i="1"/>
  <c r="E133" i="1"/>
  <c r="J82" i="1"/>
  <c r="J80" i="1"/>
  <c r="J81" i="1"/>
  <c r="J79" i="1"/>
  <c r="D286" i="1"/>
  <c r="D287" i="1"/>
  <c r="D295" i="1"/>
  <c r="D296" i="1"/>
  <c r="D304" i="1"/>
  <c r="D305" i="1"/>
  <c r="D313" i="1"/>
  <c r="D314" i="1"/>
  <c r="D278" i="1"/>
  <c r="D277" i="1"/>
  <c r="D266" i="1"/>
  <c r="H72" i="1"/>
  <c r="C77" i="1" l="1"/>
  <c r="D84" i="1"/>
  <c r="D83" i="1"/>
  <c r="D79" i="1"/>
  <c r="J75" i="1"/>
  <c r="D81" i="1"/>
  <c r="J74" i="1"/>
  <c r="D80" i="1"/>
  <c r="D82" i="1"/>
  <c r="D78" i="1"/>
  <c r="J76" i="1"/>
  <c r="C75" i="1" s="1"/>
  <c r="J77" i="1"/>
  <c r="J78" i="1" s="1"/>
  <c r="J83" i="1" s="1"/>
  <c r="J84" i="1" s="1"/>
  <c r="C76" i="1" s="1"/>
  <c r="D268" i="1"/>
  <c r="D77" i="1" l="1"/>
  <c r="J71" i="1"/>
  <c r="J73" i="1" s="1"/>
  <c r="E75" i="1"/>
  <c r="D76" i="1"/>
  <c r="G75" i="1"/>
  <c r="D75" i="1"/>
  <c r="J220" i="1"/>
  <c r="J219" i="1"/>
  <c r="J218" i="1"/>
  <c r="I72" i="1" l="1"/>
  <c r="I73" i="1" s="1"/>
  <c r="J72" i="1"/>
  <c r="K205" i="1"/>
  <c r="G308" i="1"/>
  <c r="D315" i="1"/>
  <c r="F315" i="1" s="1"/>
  <c r="F314" i="1"/>
  <c r="F313" i="1"/>
  <c r="D312" i="1"/>
  <c r="F312" i="1" s="1"/>
  <c r="D311" i="1"/>
  <c r="F311" i="1" s="1"/>
  <c r="D310" i="1"/>
  <c r="F310" i="1" s="1"/>
  <c r="D308" i="1"/>
  <c r="F308" i="1" s="1"/>
  <c r="G299" i="1"/>
  <c r="D306" i="1"/>
  <c r="F306" i="1" s="1"/>
  <c r="F305" i="1"/>
  <c r="F304" i="1"/>
  <c r="D303" i="1"/>
  <c r="F303" i="1" s="1"/>
  <c r="D302" i="1"/>
  <c r="F302" i="1" s="1"/>
  <c r="D301" i="1"/>
  <c r="F301" i="1" s="1"/>
  <c r="D300" i="1"/>
  <c r="F300" i="1" s="1"/>
  <c r="D299" i="1"/>
  <c r="F299" i="1" s="1"/>
  <c r="G290" i="1"/>
  <c r="D297" i="1"/>
  <c r="F297" i="1" s="1"/>
  <c r="F296" i="1"/>
  <c r="F295" i="1"/>
  <c r="D294" i="1"/>
  <c r="F294" i="1" s="1"/>
  <c r="D293" i="1"/>
  <c r="F293" i="1" s="1"/>
  <c r="D292" i="1"/>
  <c r="F292" i="1" s="1"/>
  <c r="D291" i="1"/>
  <c r="F291" i="1" s="1"/>
  <c r="D290" i="1"/>
  <c r="F290" i="1" s="1"/>
  <c r="D288" i="1"/>
  <c r="F288" i="1" s="1"/>
  <c r="F287" i="1"/>
  <c r="F286" i="1"/>
  <c r="D285" i="1"/>
  <c r="F285" i="1" s="1"/>
  <c r="D284" i="1"/>
  <c r="F284" i="1" s="1"/>
  <c r="D283" i="1"/>
  <c r="F283" i="1" s="1"/>
  <c r="G272" i="1"/>
  <c r="F278" i="1"/>
  <c r="F277" i="1"/>
  <c r="D275" i="1"/>
  <c r="F275" i="1" s="1"/>
  <c r="D272" i="1"/>
  <c r="F272" i="1" s="1"/>
  <c r="D279" i="1"/>
  <c r="F279" i="1" s="1"/>
  <c r="D276" i="1"/>
  <c r="F276" i="1" s="1"/>
  <c r="D274" i="1"/>
  <c r="F274" i="1" s="1"/>
  <c r="D273" i="1"/>
  <c r="F273" i="1" s="1"/>
  <c r="F268" i="1"/>
  <c r="D267" i="1"/>
  <c r="F267" i="1" s="1"/>
  <c r="G263" i="1"/>
  <c r="D259" i="1"/>
  <c r="F259" i="1" s="1"/>
  <c r="D258" i="1"/>
  <c r="F258" i="1" s="1"/>
  <c r="D257" i="1"/>
  <c r="F257" i="1" s="1"/>
  <c r="D255" i="1"/>
  <c r="F255" i="1" s="1"/>
  <c r="D254" i="1"/>
  <c r="F254" i="1" s="1"/>
  <c r="D253" i="1"/>
  <c r="F253" i="1" s="1"/>
  <c r="G252" i="1"/>
  <c r="D252" i="1"/>
  <c r="F252" i="1" s="1"/>
  <c r="D250" i="1"/>
  <c r="F250" i="1" s="1"/>
  <c r="D249" i="1"/>
  <c r="F249" i="1" s="1"/>
  <c r="D248" i="1"/>
  <c r="F248" i="1" s="1"/>
  <c r="D247" i="1"/>
  <c r="F247" i="1" s="1"/>
  <c r="D246" i="1"/>
  <c r="F246" i="1" s="1"/>
  <c r="D245" i="1"/>
  <c r="F245" i="1" s="1"/>
  <c r="D244" i="1"/>
  <c r="F244" i="1" s="1"/>
  <c r="D243" i="1"/>
  <c r="D241" i="1"/>
  <c r="D240" i="1"/>
  <c r="D239" i="1"/>
  <c r="D238" i="1"/>
  <c r="D237" i="1"/>
  <c r="D236" i="1"/>
  <c r="D235" i="1"/>
  <c r="D234" i="1"/>
  <c r="D232" i="1"/>
  <c r="D231" i="1"/>
  <c r="D228" i="1"/>
  <c r="D225" i="1"/>
  <c r="D227" i="1"/>
  <c r="D226" i="1"/>
  <c r="D219" i="1"/>
  <c r="F219" i="1" s="1"/>
  <c r="D216" i="1"/>
  <c r="F216" i="1" s="1"/>
  <c r="L202" i="1" s="1"/>
  <c r="D223" i="1"/>
  <c r="F223" i="1" s="1"/>
  <c r="D222" i="1"/>
  <c r="F222" i="1" s="1"/>
  <c r="D221" i="1"/>
  <c r="F221" i="1" s="1"/>
  <c r="D220" i="1"/>
  <c r="F220" i="1" s="1"/>
  <c r="L206" i="1" s="1"/>
  <c r="D218" i="1"/>
  <c r="F218" i="1" s="1"/>
  <c r="D217" i="1"/>
  <c r="F217" i="1" s="1"/>
  <c r="L203" i="1" s="1"/>
  <c r="D161" i="1"/>
  <c r="F161" i="1" s="1"/>
  <c r="D160" i="1"/>
  <c r="F160" i="1" s="1"/>
  <c r="D159" i="1"/>
  <c r="F159" i="1" s="1"/>
  <c r="D158" i="1"/>
  <c r="F158" i="1" s="1"/>
  <c r="D157" i="1"/>
  <c r="F157" i="1" s="1"/>
  <c r="D156" i="1"/>
  <c r="F156" i="1" s="1"/>
  <c r="D155" i="1"/>
  <c r="D154" i="1"/>
  <c r="D153" i="1"/>
  <c r="D152" i="1"/>
  <c r="D151" i="1"/>
  <c r="D150" i="1"/>
  <c r="D149" i="1"/>
  <c r="D148" i="1"/>
  <c r="I71" i="1" l="1"/>
  <c r="C73" i="1" s="1"/>
  <c r="E140" i="1"/>
  <c r="E141" i="1" s="1"/>
  <c r="F266" i="1"/>
  <c r="G135" i="1" s="1"/>
  <c r="C135" i="1"/>
  <c r="E135" i="1"/>
  <c r="C134" i="1"/>
  <c r="C140" i="1"/>
  <c r="E134" i="1"/>
  <c r="E129" i="1"/>
  <c r="E130" i="1" s="1"/>
  <c r="C129" i="1"/>
  <c r="C130" i="1" s="1"/>
  <c r="G216" i="1"/>
  <c r="C50" i="1"/>
  <c r="E136" i="1" l="1"/>
  <c r="C136" i="1"/>
  <c r="C141" i="1"/>
  <c r="E142" i="1"/>
  <c r="I143" i="1"/>
  <c r="C142" i="1" l="1"/>
  <c r="G281" i="1"/>
  <c r="F155" i="1"/>
  <c r="F154" i="1"/>
  <c r="F153" i="1"/>
  <c r="F152" i="1"/>
  <c r="F243" i="1" l="1"/>
  <c r="G243" i="1"/>
  <c r="G234" i="1"/>
  <c r="F234" i="1" l="1"/>
  <c r="F241" i="1"/>
  <c r="F240" i="1"/>
  <c r="F239" i="1"/>
  <c r="F238" i="1"/>
  <c r="F237" i="1"/>
  <c r="F236" i="1"/>
  <c r="F235" i="1"/>
  <c r="A235" i="1"/>
  <c r="A236" i="1" s="1"/>
  <c r="A237" i="1" s="1"/>
  <c r="F228" i="1"/>
  <c r="F227" i="1"/>
  <c r="F225" i="1"/>
  <c r="F232" i="1"/>
  <c r="F231" i="1"/>
  <c r="G225" i="1"/>
  <c r="F226" i="1"/>
  <c r="A226" i="1"/>
  <c r="A227" i="1" s="1"/>
  <c r="A228" i="1" s="1"/>
  <c r="G50" i="1"/>
  <c r="G51" i="1" s="1"/>
  <c r="G134" i="1" l="1"/>
  <c r="G136" i="1" s="1"/>
  <c r="G140" i="1"/>
  <c r="G141" i="1" s="1"/>
  <c r="F148" i="1"/>
  <c r="E43" i="1" l="1"/>
  <c r="E44" i="1" s="1"/>
  <c r="E30" i="1" l="1"/>
  <c r="A217" i="1" l="1"/>
  <c r="A218" i="1" s="1"/>
  <c r="A219" i="1" s="1"/>
  <c r="F126" i="1" l="1"/>
  <c r="F149" i="1" l="1"/>
  <c r="F150" i="1"/>
  <c r="F151" i="1"/>
  <c r="G129" i="1" l="1"/>
  <c r="G130" i="1" s="1"/>
  <c r="G142" i="1" s="1"/>
  <c r="B320" i="1"/>
  <c r="B321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343" i="1"/>
  <c r="A149" i="1"/>
  <c r="A150" i="1" s="1"/>
  <c r="A151" i="1" s="1"/>
  <c r="G148" i="1"/>
  <c r="B100" i="1"/>
  <c r="C85" i="1"/>
  <c r="B86" i="1" s="1"/>
  <c r="E27" i="1"/>
  <c r="E25" i="1"/>
  <c r="E7" i="1"/>
  <c r="E3" i="1"/>
  <c r="A152" i="1" l="1"/>
  <c r="D65" i="1"/>
  <c r="H86" i="1"/>
  <c r="H100" i="1"/>
  <c r="A153" i="1" l="1"/>
  <c r="J104" i="1"/>
  <c r="C103" i="1" s="1"/>
  <c r="D103" i="1" s="1"/>
  <c r="J102" i="1"/>
  <c r="J105" i="1"/>
  <c r="J106" i="1" s="1"/>
  <c r="J111" i="1" s="1"/>
  <c r="J99" i="1"/>
  <c r="J101" i="1" s="1"/>
  <c r="D107" i="1"/>
  <c r="D109" i="1"/>
  <c r="D112" i="1"/>
  <c r="D106" i="1"/>
  <c r="D110" i="1"/>
  <c r="D111" i="1"/>
  <c r="D108" i="1"/>
  <c r="J103" i="1"/>
  <c r="D98" i="1"/>
  <c r="D96" i="1"/>
  <c r="D95" i="1"/>
  <c r="D92" i="1"/>
  <c r="D94" i="1"/>
  <c r="J91" i="1"/>
  <c r="J92" i="1" s="1"/>
  <c r="J97" i="1" s="1"/>
  <c r="D97" i="1"/>
  <c r="J85" i="1"/>
  <c r="J87" i="1" s="1"/>
  <c r="D93" i="1"/>
  <c r="J89" i="1"/>
  <c r="J90" i="1"/>
  <c r="C89" i="1" s="1"/>
  <c r="D89" i="1" s="1"/>
  <c r="J88" i="1"/>
  <c r="J107" i="1"/>
  <c r="J108" i="1" s="1"/>
  <c r="J109" i="1" s="1"/>
  <c r="J110" i="1" s="1"/>
  <c r="J93" i="1"/>
  <c r="J94" i="1" s="1"/>
  <c r="J95" i="1" s="1"/>
  <c r="J96" i="1" s="1"/>
  <c r="D105" i="1"/>
  <c r="D91" i="1"/>
  <c r="A154" i="1" l="1"/>
  <c r="J98" i="1"/>
  <c r="C90" i="1" s="1"/>
  <c r="G89" i="1" s="1"/>
  <c r="D69" i="1" s="1"/>
  <c r="D70" i="1" s="1"/>
  <c r="J112" i="1"/>
  <c r="J100" i="1" s="1"/>
  <c r="A155" i="1" l="1"/>
  <c r="A156" i="1" s="1"/>
  <c r="A157" i="1" s="1"/>
  <c r="A158" i="1" s="1"/>
  <c r="A159" i="1" s="1"/>
  <c r="A160" i="1" s="1"/>
  <c r="A161" i="1" s="1"/>
  <c r="J86" i="1"/>
  <c r="D90" i="1"/>
  <c r="I86" i="1" s="1"/>
  <c r="I87" i="1" s="1"/>
  <c r="E89" i="1"/>
  <c r="F70" i="1"/>
  <c r="E103" i="1"/>
  <c r="G103" i="1"/>
  <c r="D104" i="1"/>
  <c r="I100" i="1" s="1"/>
  <c r="I101" i="1" s="1"/>
  <c r="I85" i="1" l="1"/>
  <c r="C87" i="1" s="1"/>
  <c r="I99" i="1"/>
  <c r="C101" i="1" s="1"/>
</calcChain>
</file>

<file path=xl/comments1.xml><?xml version="1.0" encoding="utf-8"?>
<comments xmlns="http://schemas.openxmlformats.org/spreadsheetml/2006/main">
  <authors>
    <author>Sachin</author>
  </authors>
  <commentList>
    <comment ref="E11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</commentList>
</comments>
</file>

<file path=xl/sharedStrings.xml><?xml version="1.0" encoding="utf-8"?>
<sst xmlns="http://schemas.openxmlformats.org/spreadsheetml/2006/main" count="640" uniqueCount="269">
  <si>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</si>
  <si>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</si>
  <si>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</si>
  <si>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</si>
  <si>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</si>
  <si>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</si>
  <si>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</si>
  <si>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</si>
  <si>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</si>
  <si>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</si>
  <si>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</si>
  <si>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</si>
  <si>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</si>
  <si>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</si>
  <si>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</si>
  <si>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</si>
  <si>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</si>
  <si>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</si>
  <si>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</si>
  <si>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</si>
  <si>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</si>
  <si>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</si>
  <si>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</si>
  <si>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</si>
  <si>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</si>
  <si>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</si>
  <si>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</si>
  <si>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</si>
  <si>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</si>
  <si>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</si>
  <si>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</si>
  <si>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</si>
  <si>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</si>
  <si>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</si>
  <si>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</si>
  <si>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</si>
  <si>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</si>
  <si>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</si>
  <si>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</si>
  <si>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</si>
  <si>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</si>
  <si>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</si>
  <si>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</si>
  <si>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</si>
  <si>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</si>
  <si>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</si>
  <si>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</si>
  <si>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</si>
  <si>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</si>
  <si>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</si>
  <si>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</si>
  <si>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</si>
  <si>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</si>
  <si>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</si>
  <si>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</si>
  <si>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</si>
  <si>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</si>
  <si>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</si>
  <si>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</si>
  <si>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</si>
  <si>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</si>
  <si>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</si>
  <si>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</si>
  <si>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</si>
  <si>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</si>
  <si>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</si>
  <si>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</si>
  <si>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</si>
  <si>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</si>
  <si>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</si>
  <si>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</si>
  <si>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</si>
  <si>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</si>
  <si>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</si>
  <si>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</si>
  <si>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</si>
  <si>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</si>
  <si>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</si>
  <si>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</si>
  <si>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</si>
  <si>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</si>
  <si>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</si>
  <si>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</si>
  <si>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</si>
  <si>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</si>
  <si>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</si>
  <si>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 xml:space="preserve">Stage of construction: 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</si>
  <si>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</si>
  <si>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</si>
  <si>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</si>
  <si>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</si>
  <si>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</si>
  <si>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</si>
  <si>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</si>
  <si>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</si>
  <si>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</si>
  <si>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</si>
  <si>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</si>
  <si>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</si>
  <si>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</si>
  <si>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</si>
  <si>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</si>
  <si>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</si>
  <si>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</si>
  <si>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</si>
  <si>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</si>
  <si>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</si>
  <si>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</si>
  <si>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</si>
  <si>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</si>
  <si>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</si>
  <si>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</si>
  <si>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</si>
  <si>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</si>
  <si>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</si>
  <si>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</si>
  <si>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</si>
  <si>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</si>
  <si>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</si>
  <si>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</si>
  <si>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</si>
  <si>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</si>
  <si>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</si>
  <si>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</si>
  <si>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</si>
  <si>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</si>
  <si>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</si>
  <si>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</si>
  <si>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</si>
  <si>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</si>
  <si>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</si>
  <si>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</si>
  <si>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</si>
  <si>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</si>
  <si>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</si>
  <si>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</si>
  <si>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</si>
  <si>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</si>
  <si>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</si>
  <si>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</si>
  <si>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</si>
  <si>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</si>
  <si>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</si>
  <si>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</si>
  <si>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</si>
  <si>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</si>
  <si>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</si>
  <si>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</si>
  <si>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</si>
  <si>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</si>
  <si>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</si>
  <si>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</si>
  <si>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</si>
  <si>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</si>
  <si>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</si>
  <si>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</si>
  <si>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</si>
  <si>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</si>
  <si>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</si>
  <si>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</si>
  <si>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</si>
  <si>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</si>
  <si>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</si>
  <si>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</si>
  <si>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</si>
  <si>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</si>
  <si>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Name / No of the Existing Building</t>
  </si>
  <si>
    <t>As per Layout</t>
  </si>
  <si>
    <t xml:space="preserve">Details of Residential &amp; Commercials in Building   </t>
  </si>
  <si>
    <t>Floor Rise Rate from    Floor</t>
  </si>
  <si>
    <t>Survey No</t>
  </si>
  <si>
    <t>Axis Thane</t>
  </si>
  <si>
    <t>Vihang Enterprises</t>
  </si>
  <si>
    <t>Vihang Woods</t>
  </si>
  <si>
    <t>P51700005038</t>
  </si>
  <si>
    <t>Thane</t>
  </si>
  <si>
    <t>Thane Municipal Corporation</t>
  </si>
  <si>
    <t>As per RERA - 30/12/2026</t>
  </si>
  <si>
    <t>Building Type  C</t>
  </si>
  <si>
    <t>Sale</t>
  </si>
  <si>
    <t>2BHK</t>
  </si>
  <si>
    <t>1BHK</t>
  </si>
  <si>
    <t>7th, 11th &amp; 16th Part Refuge Area</t>
  </si>
  <si>
    <t>Refuge Area</t>
  </si>
  <si>
    <t>Building C</t>
  </si>
  <si>
    <t>Open Plot</t>
  </si>
  <si>
    <t>Gaimukh Gaon</t>
  </si>
  <si>
    <t>Building B</t>
  </si>
  <si>
    <t>Building D</t>
  </si>
  <si>
    <t>http://vihangwoods.a2zproperty.in/</t>
  </si>
  <si>
    <t>Mhada</t>
  </si>
  <si>
    <t>Shop</t>
  </si>
  <si>
    <t>Parking Area</t>
  </si>
  <si>
    <t>1st to 6th, 8th to 10th, 12th to 15th Floor</t>
  </si>
  <si>
    <t>Commercial Area Details (Sale) : Shops</t>
  </si>
  <si>
    <t xml:space="preserve">Approved Plans, CC  </t>
  </si>
  <si>
    <t>Residential Area Details (Sale) : Flats</t>
  </si>
  <si>
    <t>Residential Area Details (Mhada) : Flats</t>
  </si>
  <si>
    <t>19.282965,72.950859</t>
  </si>
  <si>
    <t>https://goo.gl/maps/fq6jACa9SZR4Vnbu6</t>
  </si>
  <si>
    <t>S06/0084/10/TMC/TDD 4447/23</t>
  </si>
  <si>
    <t>Proposed no of Floor</t>
  </si>
  <si>
    <t>Building C =  Lower Gr + Upper Gr + 1st to 31st Floor</t>
  </si>
  <si>
    <t>Building D = Lower Gr + Upper Gr + 1st to 31st Floor</t>
  </si>
  <si>
    <t>Lower Ground Floor For Commercial, Entrance Lobby, Meter Room, Panel Room &amp; Parking Area</t>
  </si>
  <si>
    <t>Lower Ground Floor For Meter Room, LV Panel Room, Entrance Lobby &amp; Parking Area</t>
  </si>
  <si>
    <t>Upper Ground Floor For Entrance Lobby, Society Office, Fitness Center, Creche, Drivers Room &amp; Parking Area</t>
  </si>
  <si>
    <t>22nd to 25th, 27th to 30th Floor</t>
  </si>
  <si>
    <t>21st &amp; 26th Floor ( Part Refuge Area )</t>
  </si>
  <si>
    <t>31st Floor (Part Recreational &amp; Refuge Area )</t>
  </si>
  <si>
    <t xml:space="preserve"> Refuge Area</t>
  </si>
  <si>
    <t>Upper Ground Floor For Residential ( Part Entrance Lobby, Creche &amp; Parking Area )</t>
  </si>
  <si>
    <t>Entrance Lobby &amp; Creche</t>
  </si>
  <si>
    <t xml:space="preserve">Entrance Lobby </t>
  </si>
  <si>
    <t>7th, 11th &amp; 16th Floor ( Part Refuge Area )</t>
  </si>
  <si>
    <t>We considered Gross carpet area = Net carpet + Balcony Area + Enclosed Balcony</t>
  </si>
  <si>
    <t>17th Floor</t>
  </si>
  <si>
    <t>18th to 20th, 22nd to 25th, 27th to 30th Floor</t>
  </si>
  <si>
    <t>Bhatti Road</t>
  </si>
  <si>
    <t>Godrej Emerald</t>
  </si>
  <si>
    <t>S.No. 103/3/A/2 /Amenity Plot</t>
  </si>
  <si>
    <t xml:space="preserve">Wing E </t>
  </si>
  <si>
    <t xml:space="preserve">40.00 M Wide D.P Road </t>
  </si>
  <si>
    <t>13.3 KM from Thane Railway Station</t>
  </si>
  <si>
    <t>Thane West</t>
  </si>
  <si>
    <t xml:space="preserve">Bhatti Road
</t>
  </si>
  <si>
    <t>S06/0084/10/TMC/TD-DP/TPS 4447/23</t>
  </si>
  <si>
    <t>Mhada/ Sale</t>
  </si>
  <si>
    <t>18th to 20th Floor</t>
  </si>
  <si>
    <t xml:space="preserve"> Refuge Area </t>
  </si>
  <si>
    <t>Bhayandarpada</t>
  </si>
  <si>
    <t>Approved Floor plan No.  (Wing C &amp; D)</t>
  </si>
  <si>
    <t xml:space="preserve">Commencement-CC No (Wing C &amp; D)
Valid Up to: </t>
  </si>
  <si>
    <t>Approved Floor plan No.  (Wing B)</t>
  </si>
  <si>
    <t xml:space="preserve">Commencement-CC No (Wing B)
Valid Up to: </t>
  </si>
  <si>
    <t>S06/0084/10/TMC/TD-DP/TPS/ 4114/22</t>
  </si>
  <si>
    <t>91/1/1A, 91/1/2B, 91/1/3C, 91/2A, 91/2B, 91/2C, 102/1, 102/2A, 102/2B, 102/2C, 102/3A, 102/3B, 103/1, 103/2, 103/3A, 103/3B, 103/4103/5B/1, 103/5B/2, 104/7A, 104/7B, 104/7C, 104/8A, 104/8B, 104/8C, 104/11A, 104/11B, 104/11C,109/29A, 109/29B, 109/29C, 109/29D, 109/30/1A, 109/30/1B, 109/30/4A, 109/30/4B, 109/33, 109/34, 104/8D, 91/2D, 99/1, 99/2A, 99/2B, 100/30B, 100/30B &amp; 100/30C</t>
  </si>
  <si>
    <t>03 Buildings</t>
  </si>
  <si>
    <t>Other Plot</t>
  </si>
  <si>
    <t>Building</t>
  </si>
  <si>
    <t>Builtup Area of Building (Sq.Mt)</t>
  </si>
  <si>
    <t>Building B = Lower Gr + Upper Gr + 1st to 30th Floor
Building C &amp; D = Lower Gr + Upper Gr + 1st to 31st Floor</t>
  </si>
  <si>
    <t>Building B =  Lower Gr + Upper Gr + 1st to 30th Floor</t>
  </si>
  <si>
    <t>Building Type B</t>
  </si>
  <si>
    <t>Upper Ground Floor For Residential, Entrance Lobby &amp; Parking Area</t>
  </si>
  <si>
    <t>Entrance Lobby / Parking Area</t>
  </si>
  <si>
    <t>7th, 11th, 16th &amp; 21st Floor (Part Refuge Area)</t>
  </si>
  <si>
    <t>1st to 6th, 8th to 10th, 12th to 15th, 17th to 20th, 22nd to 23rd &amp; 24th Floor For Residential</t>
  </si>
  <si>
    <t>1st to 6th, 8th to 10th, 12th to 15th &amp; 17th Floor For Residential</t>
  </si>
  <si>
    <t>26th Floor (Part Refuge Area)</t>
  </si>
  <si>
    <t>25th, 27th to 30th Floor</t>
  </si>
  <si>
    <t>Sale Flats = 456, Mhada Flat = 249, Shop = 14</t>
  </si>
  <si>
    <t>Fitness Center, Creche, Lift of reputed Brand, CCTV surveillance, Fire Rated Main Road, Fire Fighting system, Power backup in common araes, Rain water Harvesting, Parking etc.</t>
  </si>
  <si>
    <t>S06/0084/10/TMC/TDD/TPS/4114/ 22</t>
  </si>
  <si>
    <t>9556.08+5735.31+7577.58</t>
  </si>
  <si>
    <t>Building B, C &amp; D</t>
  </si>
  <si>
    <t>We have considered flat numbering as per Sale Plan in type B building.</t>
  </si>
  <si>
    <t>Building C &amp; D = LG + UG + 1st to 31st Floor</t>
  </si>
  <si>
    <t>Building Type B = LG + UG + 1st to 30th Floor</t>
  </si>
  <si>
    <t>We have updated approved plans for Building Type B (On 08/08/2024).</t>
  </si>
  <si>
    <t>Only Upper ground Floor flats are for Sale in Building Type B.</t>
  </si>
  <si>
    <t>Ajay Songare</t>
  </si>
  <si>
    <t xml:space="preserve">Construction work is in process at the time of Visit.(Internal Photo was not allowed)
</t>
  </si>
  <si>
    <t>w</t>
  </si>
  <si>
    <t>21/07/2023.</t>
  </si>
  <si>
    <t>01/07/2022.</t>
  </si>
  <si>
    <t>Note- We considered C Wing as Part II of D wing which was changed on Date 19/05/2025</t>
  </si>
  <si>
    <t>Security</t>
  </si>
  <si>
    <t>Pooja Kawale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</si>
</sst>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_ * #,##0_ ;_ * \-#,##0_ ;_ * &quot;-&quot;??_ ;_ @_ "/>
    <numFmt numFmtId="167" formatCode="[&gt;0]0&quot;BHK&quot;;&quot;1RK&quot;"/>
  </numFmts>
  <fonts count="31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Times New Roman"/>
      <family val="1"/>
    </font>
    <font>
      <b/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64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5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4" fillId="2" borderId="30" xfId="0" applyFont="1" applyFill="1" applyBorder="1"/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167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1" fontId="7" fillId="0" borderId="1" xfId="1" applyNumberFormat="1" applyFont="1" applyBorder="1" applyAlignment="1">
      <alignment horizontal="center" vertical="center"/>
    </xf>
    <xf numFmtId="0" fontId="26" fillId="0" borderId="0" xfId="10"/>
    <xf numFmtId="1" fontId="16" fillId="0" borderId="1" xfId="0" applyNumberFormat="1" applyFont="1" applyBorder="1" applyAlignment="1">
      <alignment horizontal="center"/>
    </xf>
    <xf numFmtId="1" fontId="29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top" wrapText="1"/>
    </xf>
    <xf numFmtId="1" fontId="7" fillId="0" borderId="1" xfId="0" applyNumberFormat="1" applyFont="1" applyBorder="1" applyAlignment="1">
      <alignment horizontal="center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30" fillId="0" borderId="0" xfId="1" applyFont="1" applyAlignment="1">
      <alignment horizontal="center" vertical="top" wrapText="1"/>
    </xf>
    <xf numFmtId="1" fontId="13" fillId="0" borderId="8" xfId="1" applyNumberFormat="1" applyFont="1" applyBorder="1" applyAlignment="1" applyProtection="1">
      <alignment horizontal="center" vertical="center" wrapText="1"/>
      <protection locked="0"/>
    </xf>
    <xf numFmtId="1" fontId="13" fillId="0" borderId="21" xfId="1" applyNumberFormat="1" applyFont="1" applyBorder="1" applyAlignment="1" applyProtection="1">
      <alignment horizontal="center" vertical="center" wrapText="1"/>
      <protection locked="0"/>
    </xf>
    <xf numFmtId="1" fontId="13" fillId="0" borderId="9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10" fillId="0" borderId="3" xfId="0" applyNumberFormat="1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7" fillId="0" borderId="8" xfId="0" applyNumberFormat="1" applyFont="1" applyBorder="1" applyAlignment="1" applyProtection="1">
      <alignment horizontal="center" vertical="center"/>
      <protection locked="0"/>
    </xf>
    <xf numFmtId="1" fontId="7" fillId="0" borderId="9" xfId="0" applyNumberFormat="1" applyFont="1" applyBorder="1" applyAlignment="1" applyProtection="1">
      <alignment horizontal="center" vertical="center"/>
      <protection locked="0"/>
    </xf>
    <xf numFmtId="1" fontId="7" fillId="0" borderId="8" xfId="0" applyNumberFormat="1" applyFont="1" applyBorder="1" applyAlignment="1" applyProtection="1">
      <alignment horizontal="center" vertical="top" wrapText="1"/>
      <protection locked="0"/>
    </xf>
    <xf numFmtId="1" fontId="7" fillId="0" borderId="9" xfId="0" applyNumberFormat="1" applyFont="1" applyBorder="1" applyAlignment="1" applyProtection="1">
      <alignment horizontal="center" vertical="top" wrapText="1"/>
      <protection locked="0"/>
    </xf>
    <xf numFmtId="1" fontId="8" fillId="3" borderId="8" xfId="1" applyNumberFormat="1" applyFont="1" applyFill="1" applyBorder="1" applyAlignment="1" applyProtection="1">
      <alignment horizontal="center" vertical="center" wrapText="1"/>
      <protection locked="0"/>
    </xf>
    <xf numFmtId="1" fontId="8" fillId="3" borderId="21" xfId="1" applyNumberFormat="1" applyFont="1" applyFill="1" applyBorder="1" applyAlignment="1" applyProtection="1">
      <alignment horizontal="center" vertical="center" wrapText="1"/>
      <protection locked="0"/>
    </xf>
    <xf numFmtId="1" fontId="8" fillId="3" borderId="9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0" xfId="1" applyNumberFormat="1" applyFont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1" fontId="13" fillId="0" borderId="1" xfId="1" applyNumberFormat="1" applyFont="1" applyBorder="1" applyAlignment="1" applyProtection="1">
      <alignment horizontal="center" vertical="center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14" fontId="6" fillId="0" borderId="9" xfId="1" applyNumberFormat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23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8" fillId="0" borderId="3" xfId="0" applyNumberFormat="1" applyFont="1" applyBorder="1" applyAlignment="1" applyProtection="1">
      <alignment horizontal="center" vertical="center" wrapText="1"/>
      <protection locked="0"/>
    </xf>
    <xf numFmtId="1" fontId="13" fillId="0" borderId="8" xfId="0" applyNumberFormat="1" applyFont="1" applyBorder="1" applyAlignment="1" applyProtection="1">
      <alignment horizontal="left" vertical="top" wrapText="1"/>
      <protection locked="0"/>
    </xf>
    <xf numFmtId="1" fontId="13" fillId="0" borderId="21" xfId="0" applyNumberFormat="1" applyFont="1" applyBorder="1" applyAlignment="1" applyProtection="1">
      <alignment horizontal="left" vertical="top" wrapText="1"/>
      <protection locked="0"/>
    </xf>
    <xf numFmtId="1" fontId="13" fillId="0" borderId="9" xfId="0" applyNumberFormat="1" applyFont="1" applyBorder="1" applyAlignment="1" applyProtection="1">
      <alignment horizontal="left" vertical="top" wrapText="1"/>
      <protection locked="0"/>
    </xf>
    <xf numFmtId="1" fontId="6" fillId="0" borderId="8" xfId="0" applyNumberFormat="1" applyFont="1" applyBorder="1" applyAlignment="1" applyProtection="1">
      <alignment horizontal="center" vertical="center" wrapText="1"/>
      <protection locked="0"/>
    </xf>
    <xf numFmtId="1" fontId="6" fillId="0" borderId="9" xfId="0" applyNumberFormat="1" applyFont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>
      <alignment horizontal="left" vertical="top" wrapText="1"/>
    </xf>
    <xf numFmtId="0" fontId="12" fillId="0" borderId="21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66" fontId="12" fillId="0" borderId="1" xfId="9" applyNumberFormat="1" applyFont="1" applyFill="1" applyBorder="1" applyAlignment="1" applyProtection="1">
      <alignment horizontal="left" vertical="top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6" fillId="0" borderId="8" xfId="1" applyFont="1" applyBorder="1" applyAlignment="1" applyProtection="1">
      <alignment horizontal="left" vertical="top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7" fillId="0" borderId="21" xfId="1" applyFont="1" applyBorder="1" applyAlignment="1" applyProtection="1">
      <alignment horizontal="left" vertical="top" wrapText="1"/>
      <protection locked="0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/>
      <protection locked="0"/>
    </xf>
    <xf numFmtId="0" fontId="6" fillId="0" borderId="9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12" fillId="0" borderId="8" xfId="1" applyFont="1" applyBorder="1" applyAlignment="1" applyProtection="1">
      <alignment horizontal="center" vertical="top" wrapText="1"/>
      <protection locked="0"/>
    </xf>
    <xf numFmtId="0" fontId="12" fillId="0" borderId="21" xfId="1" applyFont="1" applyBorder="1" applyAlignment="1" applyProtection="1">
      <alignment horizontal="center" vertical="top"/>
      <protection locked="0"/>
    </xf>
    <xf numFmtId="0" fontId="12" fillId="0" borderId="9" xfId="1" applyFont="1" applyBorder="1" applyAlignment="1" applyProtection="1">
      <alignment horizontal="center" vertical="top"/>
      <protection locked="0"/>
    </xf>
    <xf numFmtId="0" fontId="12" fillId="0" borderId="8" xfId="1" applyFont="1" applyBorder="1" applyAlignment="1" applyProtection="1">
      <alignment horizontal="center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 vertical="center"/>
      <protection locked="0"/>
    </xf>
    <xf numFmtId="0" fontId="12" fillId="0" borderId="8" xfId="1" applyFont="1" applyBorder="1" applyAlignment="1" applyProtection="1">
      <alignment horizontal="center" vertical="center" wrapText="1"/>
      <protection locked="0"/>
    </xf>
    <xf numFmtId="0" fontId="12" fillId="0" borderId="21" xfId="1" applyFont="1" applyBorder="1" applyAlignment="1" applyProtection="1">
      <alignment horizontal="center" vertical="center" wrapText="1"/>
      <protection locked="0"/>
    </xf>
    <xf numFmtId="0" fontId="12" fillId="0" borderId="9" xfId="1" applyFont="1" applyBorder="1" applyAlignment="1" applyProtection="1">
      <alignment horizontal="center" vertical="center" wrapText="1"/>
      <protection locked="0"/>
    </xf>
    <xf numFmtId="0" fontId="13" fillId="0" borderId="8" xfId="1" applyFont="1" applyBorder="1" applyAlignment="1" applyProtection="1">
      <alignment horizontal="center" vertical="top"/>
      <protection locked="0"/>
    </xf>
    <xf numFmtId="0" fontId="13" fillId="0" borderId="21" xfId="1" applyFont="1" applyBorder="1" applyAlignment="1" applyProtection="1">
      <alignment horizontal="center" vertical="top"/>
      <protection locked="0"/>
    </xf>
    <xf numFmtId="0" fontId="13" fillId="0" borderId="9" xfId="1" applyFont="1" applyBorder="1" applyAlignment="1" applyProtection="1">
      <alignment horizontal="center" vertical="top"/>
      <protection locked="0"/>
    </xf>
    <xf numFmtId="0" fontId="12" fillId="0" borderId="21" xfId="1" applyFont="1" applyBorder="1" applyAlignment="1" applyProtection="1">
      <alignment horizontal="center" vertical="top" wrapText="1"/>
      <protection locked="0"/>
    </xf>
    <xf numFmtId="0" fontId="12" fillId="0" borderId="9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8" xfId="1" applyFont="1" applyBorder="1" applyAlignment="1" applyProtection="1">
      <alignment horizontal="center" vertical="center"/>
      <protection locked="0"/>
    </xf>
    <xf numFmtId="0" fontId="12" fillId="0" borderId="21" xfId="1" applyFont="1" applyBorder="1" applyAlignment="1" applyProtection="1">
      <alignment horizontal="center" vertical="center"/>
      <protection locked="0"/>
    </xf>
    <xf numFmtId="0" fontId="12" fillId="0" borderId="9" xfId="1" applyFont="1" applyBorder="1" applyAlignment="1" applyProtection="1">
      <alignment horizontal="center" vertical="center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8" fillId="0" borderId="3" xfId="1" applyFont="1" applyBorder="1" applyAlignment="1" applyProtection="1">
      <alignment horizontal="left" vertical="top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18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9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12" fillId="0" borderId="8" xfId="0" applyNumberFormat="1" applyFont="1" applyBorder="1" applyAlignment="1">
      <alignment horizontal="left" vertical="top" wrapText="1"/>
    </xf>
    <xf numFmtId="2" fontId="12" fillId="0" borderId="21" xfId="0" applyNumberFormat="1" applyFont="1" applyBorder="1" applyAlignment="1">
      <alignment horizontal="left" vertical="top" wrapText="1"/>
    </xf>
    <xf numFmtId="2" fontId="12" fillId="0" borderId="9" xfId="0" applyNumberFormat="1" applyFont="1" applyBorder="1" applyAlignment="1">
      <alignment horizontal="left" vertical="top" wrapText="1"/>
    </xf>
    <xf numFmtId="0" fontId="7" fillId="0" borderId="0" xfId="1" applyFont="1" applyAlignment="1">
      <alignment horizontal="center" vertical="center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/>
      <protection locked="0"/>
    </xf>
    <xf numFmtId="1" fontId="8" fillId="0" borderId="8" xfId="1" applyNumberFormat="1" applyFont="1" applyBorder="1" applyAlignment="1" applyProtection="1">
      <alignment horizontal="center" vertical="top" wrapText="1"/>
      <protection locked="0"/>
    </xf>
    <xf numFmtId="1" fontId="8" fillId="0" borderId="21" xfId="1" applyNumberFormat="1" applyFont="1" applyBorder="1" applyAlignment="1" applyProtection="1">
      <alignment horizontal="center" vertical="top" wrapText="1"/>
      <protection locked="0"/>
    </xf>
    <xf numFmtId="1" fontId="8" fillId="0" borderId="9" xfId="1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10" fillId="0" borderId="8" xfId="1" applyFont="1" applyBorder="1" applyAlignment="1" applyProtection="1">
      <alignment horizontal="left" vertical="top"/>
      <protection locked="0"/>
    </xf>
    <xf numFmtId="0" fontId="10" fillId="0" borderId="21" xfId="1" applyFont="1" applyBorder="1" applyAlignment="1" applyProtection="1">
      <alignment horizontal="left" vertical="top"/>
      <protection locked="0"/>
    </xf>
    <xf numFmtId="0" fontId="10" fillId="0" borderId="9" xfId="1" applyFont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top"/>
      <protection locked="0"/>
    </xf>
    <xf numFmtId="1" fontId="7" fillId="0" borderId="1" xfId="0" applyNumberFormat="1" applyFont="1" applyBorder="1" applyAlignment="1" applyProtection="1">
      <alignment horizontal="left" vertical="center" wrapText="1" indent="7"/>
      <protection locked="0"/>
    </xf>
    <xf numFmtId="1" fontId="11" fillId="0" borderId="17" xfId="1" applyNumberFormat="1" applyFont="1" applyBorder="1" applyAlignment="1" applyProtection="1">
      <alignment horizontal="center" vertical="top" wrapText="1"/>
      <protection locked="0"/>
    </xf>
    <xf numFmtId="1" fontId="11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1" fontId="8" fillId="0" borderId="33" xfId="0" applyNumberFormat="1" applyFont="1" applyBorder="1" applyAlignment="1" applyProtection="1">
      <alignment horizontal="center" vertical="center" wrapText="1"/>
      <protection locked="0"/>
    </xf>
    <xf numFmtId="1" fontId="10" fillId="0" borderId="33" xfId="0" applyNumberFormat="1" applyFont="1" applyBorder="1" applyAlignment="1" applyProtection="1">
      <alignment horizontal="center" vertical="center"/>
      <protection locked="0"/>
    </xf>
    <xf numFmtId="0" fontId="10" fillId="0" borderId="33" xfId="0" applyFont="1" applyBorder="1" applyAlignment="1" applyProtection="1">
      <alignment horizontal="center" vertical="center"/>
      <protection locked="0"/>
    </xf>
    <xf numFmtId="1" fontId="10" fillId="0" borderId="33" xfId="0" applyNumberFormat="1" applyFont="1" applyBorder="1" applyAlignment="1" applyProtection="1">
      <alignment horizontal="left" vertical="center" indent="6"/>
      <protection locked="0"/>
    </xf>
    <xf numFmtId="0" fontId="10" fillId="0" borderId="33" xfId="0" applyFont="1" applyBorder="1" applyAlignment="1" applyProtection="1">
      <alignment horizontal="left" vertical="center" indent="6"/>
      <protection locked="0"/>
    </xf>
    <xf numFmtId="1" fontId="10" fillId="0" borderId="33" xfId="0" applyNumberFormat="1" applyFont="1" applyBorder="1" applyAlignment="1" applyProtection="1">
      <alignment horizontal="left" vertical="center" indent="7"/>
      <protection locked="0"/>
    </xf>
    <xf numFmtId="0" fontId="10" fillId="0" borderId="33" xfId="0" applyFont="1" applyBorder="1" applyAlignment="1" applyProtection="1">
      <alignment horizontal="left" vertical="center" indent="7"/>
      <protection locked="0"/>
    </xf>
    <xf numFmtId="1" fontId="29" fillId="0" borderId="8" xfId="0" applyNumberFormat="1" applyFont="1" applyBorder="1" applyAlignment="1">
      <alignment horizontal="center" vertical="center" wrapText="1"/>
    </xf>
    <xf numFmtId="1" fontId="29" fillId="0" borderId="21" xfId="0" applyNumberFormat="1" applyFont="1" applyBorder="1" applyAlignment="1">
      <alignment horizontal="center" vertical="center" wrapText="1"/>
    </xf>
    <xf numFmtId="1" fontId="29" fillId="0" borderId="9" xfId="0" applyNumberFormat="1" applyFont="1" applyBorder="1" applyAlignment="1">
      <alignment horizontal="center" vertical="center" wrapText="1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vertical="top" wrapText="1"/>
      <protection locked="0"/>
    </xf>
    <xf numFmtId="1" fontId="13" fillId="0" borderId="1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vertical="top" wrapText="1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openxmlformats.org/officeDocument/2006/relationships/image" Target="../media/image11.jpeg"/><Relationship Id="rId18" Type="http://schemas.openxmlformats.org/officeDocument/2006/relationships/image" Target="../media/image16.jpeg"/><Relationship Id="rId3" Type="http://schemas.openxmlformats.org/officeDocument/2006/relationships/image" Target="../media/image2.png"/><Relationship Id="rId21" Type="http://schemas.openxmlformats.org/officeDocument/2006/relationships/image" Target="../media/image19.png"/><Relationship Id="rId7" Type="http://schemas.microsoft.com/office/2007/relationships/hdphoto" Target="../media/hdphoto2.wdp"/><Relationship Id="rId12" Type="http://schemas.openxmlformats.org/officeDocument/2006/relationships/image" Target="../media/image10.jpeg"/><Relationship Id="rId17" Type="http://schemas.openxmlformats.org/officeDocument/2006/relationships/image" Target="../media/image15.jpeg"/><Relationship Id="rId2" Type="http://schemas.microsoft.com/office/2007/relationships/hdphoto" Target="../media/hdphoto1.wdp"/><Relationship Id="rId16" Type="http://schemas.openxmlformats.org/officeDocument/2006/relationships/image" Target="../media/image14.jpeg"/><Relationship Id="rId20" Type="http://schemas.openxmlformats.org/officeDocument/2006/relationships/image" Target="../media/image18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9.emf"/><Relationship Id="rId5" Type="http://schemas.openxmlformats.org/officeDocument/2006/relationships/image" Target="../media/image4.png"/><Relationship Id="rId15" Type="http://schemas.openxmlformats.org/officeDocument/2006/relationships/image" Target="../media/image13.jpeg"/><Relationship Id="rId23" Type="http://schemas.openxmlformats.org/officeDocument/2006/relationships/image" Target="../media/image21.png"/><Relationship Id="rId10" Type="http://schemas.openxmlformats.org/officeDocument/2006/relationships/image" Target="../media/image8.emf"/><Relationship Id="rId19" Type="http://schemas.openxmlformats.org/officeDocument/2006/relationships/image" Target="../media/image17.jpeg"/><Relationship Id="rId4" Type="http://schemas.openxmlformats.org/officeDocument/2006/relationships/image" Target="../media/image3.png"/><Relationship Id="rId9" Type="http://schemas.openxmlformats.org/officeDocument/2006/relationships/image" Target="../media/image7.png"/><Relationship Id="rId14" Type="http://schemas.openxmlformats.org/officeDocument/2006/relationships/image" Target="../media/image12.jpeg"/><Relationship Id="rId22" Type="http://schemas.openxmlformats.org/officeDocument/2006/relationships/image" Target="../media/image20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5.png"/><Relationship Id="rId1" Type="http://schemas.openxmlformats.org/officeDocument/2006/relationships/image" Target="../media/image24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885264</xdr:colOff>
      <xdr:row>357</xdr:row>
      <xdr:rowOff>112059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7765676" y="655992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twoCellAnchor>
    <xdr:from>
      <xdr:col>4</xdr:col>
      <xdr:colOff>126548</xdr:colOff>
      <xdr:row>398</xdr:row>
      <xdr:rowOff>25613</xdr:rowOff>
    </xdr:from>
    <xdr:to>
      <xdr:col>5</xdr:col>
      <xdr:colOff>82285</xdr:colOff>
      <xdr:row>400</xdr:row>
      <xdr:rowOff>48023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 rot="1245715">
          <a:off x="3269798" y="81797738"/>
          <a:ext cx="793937" cy="4224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IN" sz="1200">
            <a:ln w="12700">
              <a:solidFill>
                <a:srgbClr val="FFFF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803303</xdr:colOff>
      <xdr:row>396</xdr:row>
      <xdr:rowOff>134793</xdr:rowOff>
    </xdr:from>
    <xdr:to>
      <xdr:col>4</xdr:col>
      <xdr:colOff>137674</xdr:colOff>
      <xdr:row>398</xdr:row>
      <xdr:rowOff>134792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 rot="833253">
          <a:off x="2346353" y="81506868"/>
          <a:ext cx="934571" cy="4000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IN" sz="1200">
            <a:ln>
              <a:solidFill>
                <a:srgbClr val="FFFF00"/>
              </a:solidFill>
            </a:ln>
            <a:noFill/>
          </a:endParaRPr>
        </a:p>
      </xdr:txBody>
    </xdr:sp>
    <xdr:clientData/>
  </xdr:twoCellAnchor>
  <xdr:twoCellAnchor>
    <xdr:from>
      <xdr:col>2</xdr:col>
      <xdr:colOff>471934</xdr:colOff>
      <xdr:row>395</xdr:row>
      <xdr:rowOff>127107</xdr:rowOff>
    </xdr:from>
    <xdr:to>
      <xdr:col>3</xdr:col>
      <xdr:colOff>136318</xdr:colOff>
      <xdr:row>399</xdr:row>
      <xdr:rowOff>19130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 rot="16200000">
          <a:off x="1915452" y="81398689"/>
          <a:ext cx="692123" cy="4930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IN" sz="1200">
            <a:ln w="12700">
              <a:solidFill>
                <a:srgbClr val="FFFF00"/>
              </a:solidFill>
            </a:ln>
            <a:solidFill>
              <a:srgbClr val="FFC000"/>
            </a:solidFill>
          </a:endParaRPr>
        </a:p>
      </xdr:txBody>
    </xdr:sp>
    <xdr:clientData/>
  </xdr:twoCellAnchor>
  <xdr:twoCellAnchor editAs="oneCell">
    <xdr:from>
      <xdr:col>1</xdr:col>
      <xdr:colOff>761037</xdr:colOff>
      <xdr:row>403</xdr:row>
      <xdr:rowOff>187134</xdr:rowOff>
    </xdr:from>
    <xdr:to>
      <xdr:col>6</xdr:col>
      <xdr:colOff>181933</xdr:colOff>
      <xdr:row>422</xdr:row>
      <xdr:rowOff>128702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433390" y="86091428"/>
          <a:ext cx="3443808" cy="3773980"/>
        </a:xfrm>
        <a:prstGeom prst="rect">
          <a:avLst/>
        </a:prstGeom>
        <a:ln w="9525"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165606</xdr:colOff>
      <xdr:row>449</xdr:row>
      <xdr:rowOff>49147</xdr:rowOff>
    </xdr:from>
    <xdr:to>
      <xdr:col>7</xdr:col>
      <xdr:colOff>866237</xdr:colOff>
      <xdr:row>467</xdr:row>
      <xdr:rowOff>18442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5606" y="94918147"/>
          <a:ext cx="6148931" cy="356974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289558</xdr:colOff>
      <xdr:row>347</xdr:row>
      <xdr:rowOff>98562</xdr:rowOff>
    </xdr:from>
    <xdr:to>
      <xdr:col>8</xdr:col>
      <xdr:colOff>1131831</xdr:colOff>
      <xdr:row>348</xdr:row>
      <xdr:rowOff>134699</xdr:rowOff>
    </xdr:to>
    <xdr:sp macro="" textlink="">
      <xdr:nvSpPr>
        <xdr:cNvPr id="69" name="TextBox 9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6800176" y="74505621"/>
          <a:ext cx="842273" cy="23784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900">
              <a:ln>
                <a:solidFill>
                  <a:srgbClr val="FF0000"/>
                </a:solidFill>
              </a:ln>
            </a:rPr>
            <a:t>Building C</a:t>
          </a:r>
          <a:endParaRPr lang="en-IN" sz="900">
            <a:ln>
              <a:solidFill>
                <a:srgbClr val="FF0000"/>
              </a:solidFill>
            </a:ln>
          </a:endParaRPr>
        </a:p>
      </xdr:txBody>
    </xdr:sp>
    <xdr:clientData/>
  </xdr:twoCellAnchor>
  <xdr:twoCellAnchor>
    <xdr:from>
      <xdr:col>8</xdr:col>
      <xdr:colOff>238400</xdr:colOff>
      <xdr:row>346</xdr:row>
      <xdr:rowOff>104408</xdr:rowOff>
    </xdr:from>
    <xdr:to>
      <xdr:col>8</xdr:col>
      <xdr:colOff>1077749</xdr:colOff>
      <xdr:row>347</xdr:row>
      <xdr:rowOff>140545</xdr:rowOff>
    </xdr:to>
    <xdr:sp macro="" textlink="">
      <xdr:nvSpPr>
        <xdr:cNvPr id="71" name="TextBox 9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6749018" y="74309761"/>
          <a:ext cx="839349" cy="23784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900">
              <a:ln>
                <a:solidFill>
                  <a:srgbClr val="FF0000"/>
                </a:solidFill>
              </a:ln>
            </a:rPr>
            <a:t>Building D</a:t>
          </a:r>
          <a:endParaRPr lang="en-IN" sz="900">
            <a:ln>
              <a:solidFill>
                <a:srgbClr val="FF0000"/>
              </a:solidFill>
            </a:ln>
          </a:endParaRPr>
        </a:p>
      </xdr:txBody>
    </xdr:sp>
    <xdr:clientData/>
  </xdr:twoCellAnchor>
  <xdr:twoCellAnchor editAs="oneCell">
    <xdr:from>
      <xdr:col>8</xdr:col>
      <xdr:colOff>257175</xdr:colOff>
      <xdr:row>127</xdr:row>
      <xdr:rowOff>57150</xdr:rowOff>
    </xdr:from>
    <xdr:to>
      <xdr:col>13</xdr:col>
      <xdr:colOff>457200</xdr:colOff>
      <xdr:row>134</xdr:row>
      <xdr:rowOff>18879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62750" y="29232225"/>
          <a:ext cx="4324350" cy="1361905"/>
        </a:xfrm>
        <a:prstGeom prst="rect">
          <a:avLst/>
        </a:prstGeom>
      </xdr:spPr>
    </xdr:pic>
    <xdr:clientData/>
  </xdr:twoCellAnchor>
  <xdr:twoCellAnchor>
    <xdr:from>
      <xdr:col>1</xdr:col>
      <xdr:colOff>121754</xdr:colOff>
      <xdr:row>427</xdr:row>
      <xdr:rowOff>72473</xdr:rowOff>
    </xdr:from>
    <xdr:to>
      <xdr:col>7</xdr:col>
      <xdr:colOff>217004</xdr:colOff>
      <xdr:row>448</xdr:row>
      <xdr:rowOff>79514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832954" y="88978823"/>
          <a:ext cx="5099050" cy="4140891"/>
          <a:chOff x="817079" y="90493298"/>
          <a:chExt cx="4867275" cy="4207566"/>
        </a:xfrm>
      </xdr:grpSpPr>
      <xdr:pic>
        <xdr:nvPicPr>
          <xdr:cNvPr id="72" name="Picture 71">
            <a:extLst>
              <a:ext uri="{FF2B5EF4-FFF2-40B4-BE49-F238E27FC236}">
                <a16:creationId xmlns:a16="http://schemas.microsoft.com/office/drawing/2014/main" id="{00000000-0008-0000-0000-00004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817079" y="90493298"/>
            <a:ext cx="4867275" cy="4207566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9" name="Freeform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>
          <a:xfrm>
            <a:off x="1438274" y="91516200"/>
            <a:ext cx="1885951" cy="1057275"/>
          </a:xfrm>
          <a:custGeom>
            <a:avLst/>
            <a:gdLst>
              <a:gd name="connsiteX0" fmla="*/ 0 w 1857375"/>
              <a:gd name="connsiteY0" fmla="*/ 0 h 1019175"/>
              <a:gd name="connsiteX1" fmla="*/ 28575 w 1857375"/>
              <a:gd name="connsiteY1" fmla="*/ 1019175 h 1019175"/>
              <a:gd name="connsiteX2" fmla="*/ 476250 w 1857375"/>
              <a:gd name="connsiteY2" fmla="*/ 981075 h 1019175"/>
              <a:gd name="connsiteX3" fmla="*/ 571500 w 1857375"/>
              <a:gd name="connsiteY3" fmla="*/ 847725 h 1019175"/>
              <a:gd name="connsiteX4" fmla="*/ 1343025 w 1857375"/>
              <a:gd name="connsiteY4" fmla="*/ 981075 h 1019175"/>
              <a:gd name="connsiteX5" fmla="*/ 1695450 w 1857375"/>
              <a:gd name="connsiteY5" fmla="*/ 971550 h 1019175"/>
              <a:gd name="connsiteX6" fmla="*/ 1857375 w 1857375"/>
              <a:gd name="connsiteY6" fmla="*/ 390525 h 1019175"/>
              <a:gd name="connsiteX7" fmla="*/ 1209675 w 1857375"/>
              <a:gd name="connsiteY7" fmla="*/ 238125 h 1019175"/>
              <a:gd name="connsiteX8" fmla="*/ 0 w 1857375"/>
              <a:gd name="connsiteY8" fmla="*/ 0 h 101917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1857375" h="1019175">
                <a:moveTo>
                  <a:pt x="0" y="0"/>
                </a:moveTo>
                <a:lnTo>
                  <a:pt x="28575" y="1019175"/>
                </a:lnTo>
                <a:lnTo>
                  <a:pt x="476250" y="981075"/>
                </a:lnTo>
                <a:lnTo>
                  <a:pt x="571500" y="847725"/>
                </a:lnTo>
                <a:lnTo>
                  <a:pt x="1343025" y="981075"/>
                </a:lnTo>
                <a:lnTo>
                  <a:pt x="1695450" y="971550"/>
                </a:lnTo>
                <a:lnTo>
                  <a:pt x="1857375" y="390525"/>
                </a:lnTo>
                <a:lnTo>
                  <a:pt x="1209675" y="238125"/>
                </a:lnTo>
                <a:lnTo>
                  <a:pt x="0" y="0"/>
                </a:lnTo>
                <a:close/>
              </a:path>
            </a:pathLst>
          </a:custGeom>
          <a:noFill/>
          <a:ln w="28575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</xdr:grpSp>
    <xdr:clientData/>
  </xdr:twoCellAnchor>
  <xdr:twoCellAnchor>
    <xdr:from>
      <xdr:col>1</xdr:col>
      <xdr:colOff>6400</xdr:colOff>
      <xdr:row>385</xdr:row>
      <xdr:rowOff>111260</xdr:rowOff>
    </xdr:from>
    <xdr:to>
      <xdr:col>7</xdr:col>
      <xdr:colOff>24743</xdr:colOff>
      <xdr:row>403</xdr:row>
      <xdr:rowOff>37333</xdr:rowOff>
    </xdr:to>
    <xdr:grpSp>
      <xdr:nvGrpSpPr>
        <xdr:cNvPr id="17" name="Group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/>
      </xdr:nvGrpSpPr>
      <xdr:grpSpPr>
        <a:xfrm>
          <a:off x="717600" y="80749910"/>
          <a:ext cx="5022143" cy="3469373"/>
          <a:chOff x="835636" y="82396054"/>
          <a:chExt cx="4803255" cy="3556779"/>
        </a:xfrm>
      </xdr:grpSpPr>
      <xdr:grpSp>
        <xdr:nvGrpSpPr>
          <xdr:cNvPr id="7" name="Group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GrpSpPr/>
        </xdr:nvGrpSpPr>
        <xdr:grpSpPr>
          <a:xfrm>
            <a:off x="835636" y="82396054"/>
            <a:ext cx="4803255" cy="3556779"/>
            <a:chOff x="842457" y="81341727"/>
            <a:chExt cx="4780843" cy="3504160"/>
          </a:xfrm>
        </xdr:grpSpPr>
        <xdr:pic>
          <xdr:nvPicPr>
            <xdr:cNvPr id="26" name="Picture 25">
              <a:extLst>
                <a:ext uri="{FF2B5EF4-FFF2-40B4-BE49-F238E27FC236}">
                  <a16:creationId xmlns:a16="http://schemas.microsoft.com/office/drawing/2014/main" id="{00000000-0008-0000-0000-00001A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6" cstate="screen">
              <a:extLst>
                <a:ext uri="{BEBA8EAE-BF5A-486C-A8C5-ECC9F3942E4B}">
                  <a14:imgProps xmlns:a14="http://schemas.microsoft.com/office/drawing/2010/main">
                    <a14:imgLayer r:embed="rId7">
                      <a14:imgEffect>
                        <a14:brightnessContrast contrast="20000"/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/>
          </xdr:blipFill>
          <xdr:spPr>
            <a:xfrm>
              <a:off x="842457" y="81341727"/>
              <a:ext cx="4780843" cy="3504160"/>
            </a:xfrm>
            <a:prstGeom prst="rect">
              <a:avLst/>
            </a:prstGeom>
            <a:ln w="9525">
              <a:solidFill>
                <a:schemeClr val="tx1"/>
              </a:solidFill>
            </a:ln>
          </xdr:spPr>
        </xdr:pic>
        <xdr:grpSp>
          <xdr:nvGrpSpPr>
            <xdr:cNvPr id="30" name="Group 29">
              <a:extLst>
                <a:ext uri="{FF2B5EF4-FFF2-40B4-BE49-F238E27FC236}">
                  <a16:creationId xmlns:a16="http://schemas.microsoft.com/office/drawing/2014/main" id="{00000000-0008-0000-0000-00001E000000}"/>
                </a:ext>
              </a:extLst>
            </xdr:cNvPr>
            <xdr:cNvGrpSpPr/>
          </xdr:nvGrpSpPr>
          <xdr:grpSpPr>
            <a:xfrm>
              <a:off x="2140212" y="83051556"/>
              <a:ext cx="1167974" cy="796416"/>
              <a:chOff x="2587468" y="4537239"/>
              <a:chExt cx="1008534" cy="633473"/>
            </a:xfrm>
          </xdr:grpSpPr>
          <xdr:sp macro="" textlink="">
            <xdr:nvSpPr>
              <xdr:cNvPr id="34" name="TextBox 153">
                <a:extLst>
                  <a:ext uri="{FF2B5EF4-FFF2-40B4-BE49-F238E27FC236}">
                    <a16:creationId xmlns:a16="http://schemas.microsoft.com/office/drawing/2014/main" id="{00000000-0008-0000-0000-000022000000}"/>
                  </a:ext>
                </a:extLst>
              </xdr:cNvPr>
              <xdr:cNvSpPr txBox="1"/>
            </xdr:nvSpPr>
            <xdr:spPr>
              <a:xfrm rot="582977">
                <a:off x="2950731" y="4537239"/>
                <a:ext cx="645271" cy="196682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000" b="1">
                    <a:solidFill>
                      <a:schemeClr val="tx1">
                        <a:lumMod val="95000"/>
                        <a:lumOff val="5000"/>
                      </a:schemeClr>
                    </a:solidFill>
                  </a:rPr>
                  <a:t>Building C</a:t>
                </a:r>
                <a:endParaRPr lang="en-IN" sz="1000" b="1">
                  <a:solidFill>
                    <a:schemeClr val="tx1">
                      <a:lumMod val="95000"/>
                      <a:lumOff val="5000"/>
                    </a:schemeClr>
                  </a:solidFill>
                </a:endParaRPr>
              </a:p>
            </xdr:txBody>
          </xdr:sp>
          <xdr:sp macro="" textlink="">
            <xdr:nvSpPr>
              <xdr:cNvPr id="35" name="TextBox 154">
                <a:extLst>
                  <a:ext uri="{FF2B5EF4-FFF2-40B4-BE49-F238E27FC236}">
                    <a16:creationId xmlns:a16="http://schemas.microsoft.com/office/drawing/2014/main" id="{00000000-0008-0000-0000-000023000000}"/>
                  </a:ext>
                </a:extLst>
              </xdr:cNvPr>
              <xdr:cNvSpPr txBox="1"/>
            </xdr:nvSpPr>
            <xdr:spPr>
              <a:xfrm rot="16200000">
                <a:off x="2379793" y="4748584"/>
                <a:ext cx="629803" cy="214453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000" b="1">
                    <a:solidFill>
                      <a:srgbClr val="FFFF00"/>
                    </a:solidFill>
                  </a:rPr>
                  <a:t>Building D</a:t>
                </a:r>
                <a:endParaRPr lang="en-IN" sz="1000" b="1">
                  <a:solidFill>
                    <a:srgbClr val="FFFF00"/>
                  </a:solidFill>
                </a:endParaRPr>
              </a:p>
            </xdr:txBody>
          </xdr:sp>
        </xdr:grpSp>
        <xdr:sp macro="" textlink="">
          <xdr:nvSpPr>
            <xdr:cNvPr id="6" name="Rectangle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/>
          </xdr:nvSpPr>
          <xdr:spPr>
            <a:xfrm rot="1508763">
              <a:off x="3205500" y="83470374"/>
              <a:ext cx="619267" cy="379021"/>
            </a:xfrm>
            <a:prstGeom prst="rect">
              <a:avLst/>
            </a:prstGeom>
            <a:noFill/>
            <a:ln w="28575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IN" sz="1100"/>
            </a:p>
          </xdr:txBody>
        </xdr:sp>
        <xdr:sp macro="" textlink="">
          <xdr:nvSpPr>
            <xdr:cNvPr id="65" name="TextBox 154">
              <a:extLst>
                <a:ext uri="{FF2B5EF4-FFF2-40B4-BE49-F238E27FC236}">
                  <a16:creationId xmlns:a16="http://schemas.microsoft.com/office/drawing/2014/main" id="{00000000-0008-0000-0000-000041000000}"/>
                </a:ext>
              </a:extLst>
            </xdr:cNvPr>
            <xdr:cNvSpPr txBox="1"/>
          </xdr:nvSpPr>
          <xdr:spPr>
            <a:xfrm rot="1293465">
              <a:off x="3377814" y="83232085"/>
              <a:ext cx="828092" cy="229980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000" b="1">
                  <a:solidFill>
                    <a:srgbClr val="FF0000"/>
                  </a:solidFill>
                </a:rPr>
                <a:t>Building B</a:t>
              </a:r>
              <a:endParaRPr lang="en-IN" sz="1000" b="1">
                <a:solidFill>
                  <a:srgbClr val="FF0000"/>
                </a:solidFill>
              </a:endParaRPr>
            </a:p>
          </xdr:txBody>
        </xdr:sp>
      </xdr:grpSp>
      <xdr:sp macro="" textlink="">
        <xdr:nvSpPr>
          <xdr:cNvPr id="73" name="Rectangle 72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SpPr/>
        </xdr:nvSpPr>
        <xdr:spPr>
          <a:xfrm rot="738047">
            <a:off x="2537635" y="84370783"/>
            <a:ext cx="570800" cy="384802"/>
          </a:xfrm>
          <a:prstGeom prst="rect">
            <a:avLst/>
          </a:prstGeom>
          <a:noFill/>
          <a:ln w="285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sp macro="" textlink="">
        <xdr:nvSpPr>
          <xdr:cNvPr id="11" name="Freeform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/>
        </xdr:nvSpPr>
        <xdr:spPr>
          <a:xfrm>
            <a:off x="2066364" y="84269916"/>
            <a:ext cx="506506" cy="721099"/>
          </a:xfrm>
          <a:custGeom>
            <a:avLst/>
            <a:gdLst>
              <a:gd name="connsiteX0" fmla="*/ 9525 w 533400"/>
              <a:gd name="connsiteY0" fmla="*/ 9525 h 714375"/>
              <a:gd name="connsiteX1" fmla="*/ 0 w 533400"/>
              <a:gd name="connsiteY1" fmla="*/ 714375 h 714375"/>
              <a:gd name="connsiteX2" fmla="*/ 361950 w 533400"/>
              <a:gd name="connsiteY2" fmla="*/ 714375 h 714375"/>
              <a:gd name="connsiteX3" fmla="*/ 352425 w 533400"/>
              <a:gd name="connsiteY3" fmla="*/ 352425 h 714375"/>
              <a:gd name="connsiteX4" fmla="*/ 438150 w 533400"/>
              <a:gd name="connsiteY4" fmla="*/ 400050 h 714375"/>
              <a:gd name="connsiteX5" fmla="*/ 533400 w 533400"/>
              <a:gd name="connsiteY5" fmla="*/ 19050 h 714375"/>
              <a:gd name="connsiteX6" fmla="*/ 200025 w 533400"/>
              <a:gd name="connsiteY6" fmla="*/ 0 h 714375"/>
              <a:gd name="connsiteX7" fmla="*/ 9525 w 533400"/>
              <a:gd name="connsiteY7" fmla="*/ 9525 h 71437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</a:cxnLst>
            <a:rect l="l" t="t" r="r" b="b"/>
            <a:pathLst>
              <a:path w="533400" h="714375">
                <a:moveTo>
                  <a:pt x="9525" y="9525"/>
                </a:moveTo>
                <a:lnTo>
                  <a:pt x="0" y="714375"/>
                </a:lnTo>
                <a:lnTo>
                  <a:pt x="361950" y="714375"/>
                </a:lnTo>
                <a:lnTo>
                  <a:pt x="352425" y="352425"/>
                </a:lnTo>
                <a:lnTo>
                  <a:pt x="438150" y="400050"/>
                </a:lnTo>
                <a:lnTo>
                  <a:pt x="533400" y="19050"/>
                </a:lnTo>
                <a:lnTo>
                  <a:pt x="200025" y="0"/>
                </a:lnTo>
                <a:lnTo>
                  <a:pt x="9525" y="9525"/>
                </a:lnTo>
                <a:close/>
              </a:path>
            </a:pathLst>
          </a:custGeom>
          <a:noFill/>
          <a:ln w="28575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</xdr:grpSp>
    <xdr:clientData/>
  </xdr:twoCellAnchor>
  <xdr:twoCellAnchor editAs="oneCell">
    <xdr:from>
      <xdr:col>8</xdr:col>
      <xdr:colOff>390525</xdr:colOff>
      <xdr:row>165</xdr:row>
      <xdr:rowOff>123825</xdr:rowOff>
    </xdr:from>
    <xdr:to>
      <xdr:col>14</xdr:col>
      <xdr:colOff>374202</xdr:colOff>
      <xdr:row>181</xdr:row>
      <xdr:rowOff>163425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96100" y="37576125"/>
          <a:ext cx="4946202" cy="3240000"/>
        </a:xfrm>
        <a:prstGeom prst="rect">
          <a:avLst/>
        </a:prstGeom>
      </xdr:spPr>
    </xdr:pic>
    <xdr:clientData/>
  </xdr:twoCellAnchor>
  <xdr:twoCellAnchor>
    <xdr:from>
      <xdr:col>8</xdr:col>
      <xdr:colOff>104774</xdr:colOff>
      <xdr:row>51</xdr:row>
      <xdr:rowOff>180975</xdr:rowOff>
    </xdr:from>
    <xdr:to>
      <xdr:col>13</xdr:col>
      <xdr:colOff>207545</xdr:colOff>
      <xdr:row>55</xdr:row>
      <xdr:rowOff>145575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6924674" y="13884275"/>
          <a:ext cx="4420771" cy="1133000"/>
          <a:chOff x="6610349" y="13925550"/>
          <a:chExt cx="4227096" cy="1260000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/>
          <a:stretch>
            <a:fillRect/>
          </a:stretch>
        </xdr:blipFill>
        <xdr:spPr>
          <a:xfrm>
            <a:off x="6610349" y="13925550"/>
            <a:ext cx="4227096" cy="1260000"/>
          </a:xfrm>
          <a:prstGeom prst="rect">
            <a:avLst/>
          </a:prstGeom>
        </xdr:spPr>
      </xdr:pic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9639300" y="14535150"/>
            <a:ext cx="1143000" cy="590550"/>
          </a:xfrm>
          <a:prstGeom prst="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</xdr:grpSp>
    <xdr:clientData/>
  </xdr:twoCellAnchor>
  <xdr:twoCellAnchor editAs="oneCell">
    <xdr:from>
      <xdr:col>8</xdr:col>
      <xdr:colOff>395653</xdr:colOff>
      <xdr:row>182</xdr:row>
      <xdr:rowOff>87924</xdr:rowOff>
    </xdr:from>
    <xdr:to>
      <xdr:col>10</xdr:col>
      <xdr:colOff>628913</xdr:colOff>
      <xdr:row>191</xdr:row>
      <xdr:rowOff>114110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01961" y="40657097"/>
          <a:ext cx="2160240" cy="18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740019</xdr:colOff>
      <xdr:row>169</xdr:row>
      <xdr:rowOff>183174</xdr:rowOff>
    </xdr:from>
    <xdr:to>
      <xdr:col>11</xdr:col>
      <xdr:colOff>107922</xdr:colOff>
      <xdr:row>179</xdr:row>
      <xdr:rowOff>4905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46327" y="38180597"/>
          <a:ext cx="1998268" cy="18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547318</xdr:colOff>
      <xdr:row>364</xdr:row>
      <xdr:rowOff>171579</xdr:rowOff>
    </xdr:from>
    <xdr:to>
      <xdr:col>16</xdr:col>
      <xdr:colOff>323580</xdr:colOff>
      <xdr:row>380</xdr:row>
      <xdr:rowOff>192698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177218" y="81229329"/>
          <a:ext cx="2052737" cy="3221519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413940</xdr:colOff>
      <xdr:row>364</xdr:row>
      <xdr:rowOff>198821</xdr:rowOff>
    </xdr:from>
    <xdr:to>
      <xdr:col>13</xdr:col>
      <xdr:colOff>657225</xdr:colOff>
      <xdr:row>380</xdr:row>
      <xdr:rowOff>178209</xdr:rowOff>
    </xdr:to>
    <xdr:grpSp>
      <xdr:nvGrpSpPr>
        <xdr:cNvPr id="39" name="Group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pSpPr/>
      </xdr:nvGrpSpPr>
      <xdr:grpSpPr>
        <a:xfrm>
          <a:off x="7233840" y="76703621"/>
          <a:ext cx="4561285" cy="3128988"/>
          <a:chOff x="933303" y="78299489"/>
          <a:chExt cx="5120789" cy="3672227"/>
        </a:xfrm>
      </xdr:grpSpPr>
      <xdr:pic>
        <xdr:nvPicPr>
          <xdr:cNvPr id="22" name="Picture 2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933303" y="78299489"/>
            <a:ext cx="4853999" cy="367222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4" name="TextBox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 txBox="1"/>
        </xdr:nvSpPr>
        <xdr:spPr>
          <a:xfrm>
            <a:off x="1184315" y="78371200"/>
            <a:ext cx="1445238" cy="42099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800" b="1">
                <a:solidFill>
                  <a:srgbClr val="FF0000"/>
                </a:solidFill>
              </a:rPr>
              <a:t>Building</a:t>
            </a:r>
            <a:r>
              <a:rPr lang="en-IN" sz="1800" b="1" baseline="0">
                <a:solidFill>
                  <a:srgbClr val="FF0000"/>
                </a:solidFill>
              </a:rPr>
              <a:t> B</a:t>
            </a:r>
            <a:endParaRPr lang="en-IN" sz="1800" b="1">
              <a:solidFill>
                <a:srgbClr val="FF0000"/>
              </a:solidFill>
            </a:endParaRPr>
          </a:p>
        </xdr:txBody>
      </xdr:sp>
      <xdr:cxnSp macro="">
        <xdr:nvCxnSpPr>
          <xdr:cNvPr id="27" name="Straight Arrow Connector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CxnSpPr/>
        </xdr:nvCxnSpPr>
        <xdr:spPr>
          <a:xfrm>
            <a:off x="1910720" y="78706014"/>
            <a:ext cx="483247" cy="303447"/>
          </a:xfrm>
          <a:prstGeom prst="straightConnector1">
            <a:avLst/>
          </a:prstGeom>
          <a:ln w="28575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3" name="TextBox 32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 txBox="1"/>
        </xdr:nvSpPr>
        <xdr:spPr>
          <a:xfrm>
            <a:off x="4425524" y="79188754"/>
            <a:ext cx="1628568" cy="75113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800" b="1">
                <a:solidFill>
                  <a:srgbClr val="FF0000"/>
                </a:solidFill>
              </a:rPr>
              <a:t>Building</a:t>
            </a:r>
            <a:r>
              <a:rPr lang="en-IN" sz="1800" b="1" baseline="0">
                <a:solidFill>
                  <a:srgbClr val="FF0000"/>
                </a:solidFill>
              </a:rPr>
              <a:t> C</a:t>
            </a:r>
            <a:endParaRPr lang="en-IN" sz="1800" b="1">
              <a:solidFill>
                <a:srgbClr val="FF0000"/>
              </a:solidFill>
            </a:endParaRPr>
          </a:p>
        </xdr:txBody>
      </xdr:sp>
      <xdr:cxnSp macro="">
        <xdr:nvCxnSpPr>
          <xdr:cNvPr id="36" name="Straight Arrow Connector 35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CxnSpPr/>
        </xdr:nvCxnSpPr>
        <xdr:spPr>
          <a:xfrm flipH="1">
            <a:off x="4389588" y="79568691"/>
            <a:ext cx="292201" cy="295316"/>
          </a:xfrm>
          <a:prstGeom prst="straightConnector1">
            <a:avLst/>
          </a:prstGeom>
          <a:ln w="28575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873800</xdr:colOff>
      <xdr:row>343</xdr:row>
      <xdr:rowOff>92320</xdr:rowOff>
    </xdr:from>
    <xdr:to>
      <xdr:col>15</xdr:col>
      <xdr:colOff>694593</xdr:colOff>
      <xdr:row>364</xdr:row>
      <xdr:rowOff>56386</xdr:rowOff>
    </xdr:to>
    <xdr:grpSp>
      <xdr:nvGrpSpPr>
        <xdr:cNvPr id="52" name="Group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GrpSpPr/>
      </xdr:nvGrpSpPr>
      <xdr:grpSpPr>
        <a:xfrm>
          <a:off x="7693700" y="72463270"/>
          <a:ext cx="5700893" cy="4097916"/>
          <a:chOff x="588050" y="78527030"/>
          <a:chExt cx="5478642" cy="4096451"/>
        </a:xfrm>
      </xdr:grpSpPr>
      <xdr:pic>
        <xdr:nvPicPr>
          <xdr:cNvPr id="21" name="Picture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588050" y="78527030"/>
            <a:ext cx="5409448" cy="409645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37" name="TextBox 3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 txBox="1"/>
        </xdr:nvSpPr>
        <xdr:spPr>
          <a:xfrm>
            <a:off x="4882357" y="78933957"/>
            <a:ext cx="1184335" cy="4136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800" b="1">
                <a:solidFill>
                  <a:srgbClr val="FF0000"/>
                </a:solidFill>
              </a:rPr>
              <a:t>Building</a:t>
            </a:r>
            <a:r>
              <a:rPr lang="en-IN" sz="1800" b="1" baseline="0">
                <a:solidFill>
                  <a:srgbClr val="FF0000"/>
                </a:solidFill>
              </a:rPr>
              <a:t> D</a:t>
            </a:r>
            <a:endParaRPr lang="en-IN" sz="1800" b="1">
              <a:solidFill>
                <a:srgbClr val="FF0000"/>
              </a:solidFill>
            </a:endParaRPr>
          </a:p>
        </xdr:txBody>
      </xdr:sp>
      <xdr:sp macro="" textlink="">
        <xdr:nvSpPr>
          <xdr:cNvPr id="44" name="TextBox 43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SpPr txBox="1"/>
        </xdr:nvSpPr>
        <xdr:spPr>
          <a:xfrm>
            <a:off x="4337235" y="78599848"/>
            <a:ext cx="732996" cy="28473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800" b="1">
                <a:solidFill>
                  <a:srgbClr val="FF0000"/>
                </a:solidFill>
              </a:rPr>
              <a:t>Part</a:t>
            </a:r>
            <a:r>
              <a:rPr lang="en-IN" sz="1800" b="1" baseline="0">
                <a:solidFill>
                  <a:srgbClr val="FF0000"/>
                </a:solidFill>
              </a:rPr>
              <a:t> I</a:t>
            </a:r>
            <a:endParaRPr lang="en-IN" sz="1800" b="1">
              <a:solidFill>
                <a:srgbClr val="FF0000"/>
              </a:solidFill>
            </a:endParaRPr>
          </a:p>
        </xdr:txBody>
      </xdr:sp>
      <xdr:sp macro="" textlink="">
        <xdr:nvSpPr>
          <xdr:cNvPr id="45" name="TextBox 44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 txBox="1"/>
        </xdr:nvSpPr>
        <xdr:spPr>
          <a:xfrm>
            <a:off x="1119251" y="79033602"/>
            <a:ext cx="1231226" cy="45472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800" b="1">
                <a:solidFill>
                  <a:srgbClr val="FF0000"/>
                </a:solidFill>
              </a:rPr>
              <a:t>Part</a:t>
            </a:r>
            <a:r>
              <a:rPr lang="en-IN" sz="1800" b="1" baseline="0">
                <a:solidFill>
                  <a:srgbClr val="FF0000"/>
                </a:solidFill>
              </a:rPr>
              <a:t> II</a:t>
            </a:r>
            <a:endParaRPr lang="en-IN" sz="1800" b="1">
              <a:solidFill>
                <a:srgbClr val="FF0000"/>
              </a:solidFill>
            </a:endParaRPr>
          </a:p>
        </xdr:txBody>
      </xdr:sp>
      <xdr:cxnSp macro="">
        <xdr:nvCxnSpPr>
          <xdr:cNvPr id="46" name="Straight Arrow Connector 45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CxnSpPr/>
        </xdr:nvCxnSpPr>
        <xdr:spPr>
          <a:xfrm>
            <a:off x="1801388" y="79300753"/>
            <a:ext cx="431858" cy="1043355"/>
          </a:xfrm>
          <a:prstGeom prst="straightConnector1">
            <a:avLst/>
          </a:prstGeom>
          <a:ln w="28575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8" name="Straight Arrow Connector 47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CxnSpPr/>
        </xdr:nvCxnSpPr>
        <xdr:spPr>
          <a:xfrm flipH="1">
            <a:off x="4124964" y="78943200"/>
            <a:ext cx="423591" cy="318780"/>
          </a:xfrm>
          <a:prstGeom prst="straightConnector1">
            <a:avLst/>
          </a:prstGeom>
          <a:ln w="28575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361950</xdr:colOff>
      <xdr:row>343</xdr:row>
      <xdr:rowOff>47625</xdr:rowOff>
    </xdr:from>
    <xdr:to>
      <xdr:col>15</xdr:col>
      <xdr:colOff>591333</xdr:colOff>
      <xdr:row>383</xdr:row>
      <xdr:rowOff>7349</xdr:rowOff>
    </xdr:to>
    <xdr:grpSp>
      <xdr:nvGrpSpPr>
        <xdr:cNvPr id="20" name="Group 19">
          <a:extLst>
            <a:ext uri="{FF2B5EF4-FFF2-40B4-BE49-F238E27FC236}">
              <a16:creationId xmlns:a16="http://schemas.microsoft.com/office/drawing/2014/main" id="{8860FFE5-F5E7-46D7-BA67-0D4BE04B334D}"/>
            </a:ext>
          </a:extLst>
        </xdr:cNvPr>
        <xdr:cNvGrpSpPr/>
      </xdr:nvGrpSpPr>
      <xdr:grpSpPr>
        <a:xfrm>
          <a:off x="7181850" y="72418575"/>
          <a:ext cx="6109483" cy="7833724"/>
          <a:chOff x="314325" y="73656825"/>
          <a:chExt cx="5849133" cy="7960724"/>
        </a:xfrm>
      </xdr:grpSpPr>
      <xdr:pic>
        <xdr:nvPicPr>
          <xdr:cNvPr id="47" name="Picture 46" descr="https://vsjcllp.vsjadon.com/upload/insp-217402-1525.jpg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486026" y="79761416"/>
            <a:ext cx="1390650" cy="185613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1" name="Picture 50" descr="https://vsjcllp.vsjadon.com/upload/insp-217402-849.jpg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286125" y="77528737"/>
            <a:ext cx="287733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3" name="Picture 52" descr="https://vsjcllp.vsjadon.com/upload/insp-217402-851.jpg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14325" y="77519212"/>
            <a:ext cx="287733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19" name="Group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GrpSpPr/>
        </xdr:nvGrpSpPr>
        <xdr:grpSpPr>
          <a:xfrm>
            <a:off x="3286125" y="73656825"/>
            <a:ext cx="2833117" cy="3781426"/>
            <a:chOff x="3286125" y="76904850"/>
            <a:chExt cx="2833117" cy="3781426"/>
          </a:xfrm>
        </xdr:grpSpPr>
        <xdr:pic>
          <xdr:nvPicPr>
            <xdr:cNvPr id="50" name="Picture 49" descr="https://vsjcllp.vsjadon.com/upload/insp-217402-845.jpg">
              <a:extLst>
                <a:ext uri="{FF2B5EF4-FFF2-40B4-BE49-F238E27FC236}">
                  <a16:creationId xmlns:a16="http://schemas.microsoft.com/office/drawing/2014/main" id="{00000000-0008-0000-0000-000032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286125" y="76904850"/>
              <a:ext cx="2833117" cy="3781426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54" name="TextBox 53">
              <a:extLst>
                <a:ext uri="{FF2B5EF4-FFF2-40B4-BE49-F238E27FC236}">
                  <a16:creationId xmlns:a16="http://schemas.microsoft.com/office/drawing/2014/main" id="{00000000-0008-0000-0000-000036000000}"/>
                </a:ext>
              </a:extLst>
            </xdr:cNvPr>
            <xdr:cNvSpPr txBox="1"/>
          </xdr:nvSpPr>
          <xdr:spPr>
            <a:xfrm>
              <a:off x="3286125" y="76904850"/>
              <a:ext cx="1176099" cy="42057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IN" sz="1800" b="1">
                  <a:solidFill>
                    <a:srgbClr val="FF0000"/>
                  </a:solidFill>
                </a:rPr>
                <a:t>Building</a:t>
              </a:r>
              <a:r>
                <a:rPr lang="en-IN" sz="1800" b="1" baseline="0">
                  <a:solidFill>
                    <a:srgbClr val="FF0000"/>
                  </a:solidFill>
                </a:rPr>
                <a:t> D</a:t>
              </a:r>
              <a:endParaRPr lang="en-IN" sz="1800" b="1">
                <a:solidFill>
                  <a:srgbClr val="FF0000"/>
                </a:solidFill>
              </a:endParaRPr>
            </a:p>
          </xdr:txBody>
        </xdr:sp>
      </xdr:grpSp>
    </xdr:grpSp>
    <xdr:clientData/>
  </xdr:twoCellAnchor>
  <xdr:twoCellAnchor>
    <xdr:from>
      <xdr:col>8</xdr:col>
      <xdr:colOff>361950</xdr:colOff>
      <xdr:row>343</xdr:row>
      <xdr:rowOff>66675</xdr:rowOff>
    </xdr:from>
    <xdr:to>
      <xdr:col>11</xdr:col>
      <xdr:colOff>566167</xdr:colOff>
      <xdr:row>362</xdr:row>
      <xdr:rowOff>47626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pSpPr/>
      </xdr:nvGrpSpPr>
      <xdr:grpSpPr>
        <a:xfrm>
          <a:off x="7181850" y="72437625"/>
          <a:ext cx="2960117" cy="3721101"/>
          <a:chOff x="361950" y="76904850"/>
          <a:chExt cx="2833117" cy="3781426"/>
        </a:xfrm>
      </xdr:grpSpPr>
      <xdr:pic>
        <xdr:nvPicPr>
          <xdr:cNvPr id="49" name="Picture 48" descr="https://vsjcllp.vsjadon.com/upload/insp-217402-843.jpg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61950" y="76904850"/>
            <a:ext cx="2833117" cy="378142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5" name="TextBox 5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 txBox="1"/>
        </xdr:nvSpPr>
        <xdr:spPr>
          <a:xfrm>
            <a:off x="1304925" y="76942950"/>
            <a:ext cx="1176099" cy="42057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800" b="1">
                <a:solidFill>
                  <a:srgbClr val="FF0000"/>
                </a:solidFill>
              </a:rPr>
              <a:t>Building</a:t>
            </a:r>
            <a:r>
              <a:rPr lang="en-IN" sz="1800" b="1" baseline="0">
                <a:solidFill>
                  <a:srgbClr val="FF0000"/>
                </a:solidFill>
              </a:rPr>
              <a:t> B</a:t>
            </a:r>
            <a:endParaRPr lang="en-IN" sz="1800" b="1">
              <a:solidFill>
                <a:srgbClr val="FF0000"/>
              </a:solidFill>
            </a:endParaRPr>
          </a:p>
        </xdr:txBody>
      </xdr:sp>
      <xdr:sp macro="" textlink="">
        <xdr:nvSpPr>
          <xdr:cNvPr id="56" name="TextBox 55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SpPr txBox="1"/>
        </xdr:nvSpPr>
        <xdr:spPr>
          <a:xfrm>
            <a:off x="2000250" y="77857350"/>
            <a:ext cx="1176099" cy="42057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800" b="1">
                <a:solidFill>
                  <a:srgbClr val="FF0000"/>
                </a:solidFill>
              </a:rPr>
              <a:t>Building</a:t>
            </a:r>
            <a:r>
              <a:rPr lang="en-IN" sz="1800" b="1" baseline="0">
                <a:solidFill>
                  <a:srgbClr val="FF0000"/>
                </a:solidFill>
              </a:rPr>
              <a:t> C</a:t>
            </a:r>
            <a:endParaRPr lang="en-IN" sz="1800" b="1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>
      <xdr:col>14</xdr:col>
      <xdr:colOff>401295</xdr:colOff>
      <xdr:row>343</xdr:row>
      <xdr:rowOff>123825</xdr:rowOff>
    </xdr:from>
    <xdr:to>
      <xdr:col>15</xdr:col>
      <xdr:colOff>471969</xdr:colOff>
      <xdr:row>345</xdr:row>
      <xdr:rowOff>13246</xdr:rowOff>
    </xdr:to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11869395" y="73733025"/>
          <a:ext cx="727899" cy="289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800" b="1">
              <a:solidFill>
                <a:srgbClr val="FF0000"/>
              </a:solidFill>
            </a:rPr>
            <a:t>Part</a:t>
          </a:r>
          <a:r>
            <a:rPr lang="en-IN" sz="1800" b="1" baseline="0">
              <a:solidFill>
                <a:srgbClr val="FF0000"/>
              </a:solidFill>
            </a:rPr>
            <a:t> I</a:t>
          </a:r>
          <a:endParaRPr lang="en-IN" sz="1800" b="1">
            <a:solidFill>
              <a:srgbClr val="FF0000"/>
            </a:solidFill>
          </a:endParaRPr>
        </a:p>
      </xdr:txBody>
    </xdr:sp>
    <xdr:clientData/>
  </xdr:twoCellAnchor>
  <xdr:twoCellAnchor>
    <xdr:from>
      <xdr:col>14</xdr:col>
      <xdr:colOff>419100</xdr:colOff>
      <xdr:row>345</xdr:row>
      <xdr:rowOff>72839</xdr:rowOff>
    </xdr:from>
    <xdr:to>
      <xdr:col>14</xdr:col>
      <xdr:colOff>611146</xdr:colOff>
      <xdr:row>346</xdr:row>
      <xdr:rowOff>171450</xdr:rowOff>
    </xdr:to>
    <xdr:cxnSp macro="">
      <xdr:nvCxnSpPr>
        <xdr:cNvPr id="58" name="Straight Arrow Connector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CxnSpPr/>
      </xdr:nvCxnSpPr>
      <xdr:spPr>
        <a:xfrm flipH="1">
          <a:off x="11887200" y="74082089"/>
          <a:ext cx="192046" cy="298636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171450</xdr:colOff>
      <xdr:row>345</xdr:row>
      <xdr:rowOff>133350</xdr:rowOff>
    </xdr:from>
    <xdr:to>
      <xdr:col>13</xdr:col>
      <xdr:colOff>190500</xdr:colOff>
      <xdr:row>347</xdr:row>
      <xdr:rowOff>85725</xdr:rowOff>
    </xdr:to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10010775" y="74142600"/>
          <a:ext cx="809625" cy="352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800" b="1">
              <a:solidFill>
                <a:srgbClr val="FF0000"/>
              </a:solidFill>
            </a:rPr>
            <a:t>Part</a:t>
          </a:r>
          <a:r>
            <a:rPr lang="en-IN" sz="1800" b="1" baseline="0">
              <a:solidFill>
                <a:srgbClr val="FF0000"/>
              </a:solidFill>
            </a:rPr>
            <a:t> II</a:t>
          </a:r>
          <a:endParaRPr lang="en-IN" sz="1800" b="1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457200</xdr:colOff>
      <xdr:row>347</xdr:row>
      <xdr:rowOff>47625</xdr:rowOff>
    </xdr:from>
    <xdr:to>
      <xdr:col>12</xdr:col>
      <xdr:colOff>704850</xdr:colOff>
      <xdr:row>349</xdr:row>
      <xdr:rowOff>161925</xdr:rowOff>
    </xdr:to>
    <xdr:cxnSp macro="">
      <xdr:nvCxnSpPr>
        <xdr:cNvPr id="60" name="Straight Arrow Connector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CxnSpPr/>
      </xdr:nvCxnSpPr>
      <xdr:spPr>
        <a:xfrm>
          <a:off x="10296525" y="74456925"/>
          <a:ext cx="247650" cy="514350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374650</xdr:colOff>
      <xdr:row>343</xdr:row>
      <xdr:rowOff>101600</xdr:rowOff>
    </xdr:from>
    <xdr:to>
      <xdr:col>7</xdr:col>
      <xdr:colOff>752139</xdr:colOff>
      <xdr:row>375</xdr:row>
      <xdr:rowOff>81376</xdr:rowOff>
    </xdr:to>
    <xdr:grpSp>
      <xdr:nvGrpSpPr>
        <xdr:cNvPr id="23" name="Group 22"/>
        <xdr:cNvGrpSpPr/>
      </xdr:nvGrpSpPr>
      <xdr:grpSpPr>
        <a:xfrm>
          <a:off x="374650" y="72472550"/>
          <a:ext cx="6092489" cy="6278976"/>
          <a:chOff x="374650" y="72472550"/>
          <a:chExt cx="6092489" cy="6278976"/>
        </a:xfrm>
      </xdr:grpSpPr>
      <xdr:pic>
        <xdr:nvPicPr>
          <xdr:cNvPr id="78" name="Picture 77"/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035446" y="76591526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9" name="Picture 78"/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4650" y="7247255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0" name="Picture 79"/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00232" y="7247255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1" name="Picture 80"/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90317" y="76591526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82" name="TextBox 81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 txBox="1"/>
        </xdr:nvSpPr>
        <xdr:spPr>
          <a:xfrm>
            <a:off x="1708150" y="72478900"/>
            <a:ext cx="1228820" cy="41386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800" b="1">
                <a:solidFill>
                  <a:srgbClr val="FF0000"/>
                </a:solidFill>
              </a:rPr>
              <a:t>Building</a:t>
            </a:r>
            <a:r>
              <a:rPr lang="en-IN" sz="1800" b="1" baseline="0">
                <a:solidFill>
                  <a:srgbClr val="FF0000"/>
                </a:solidFill>
              </a:rPr>
              <a:t> B</a:t>
            </a:r>
            <a:endParaRPr lang="en-IN" sz="1800" b="1">
              <a:solidFill>
                <a:srgbClr val="FF0000"/>
              </a:solidFill>
            </a:endParaRPr>
          </a:p>
        </xdr:txBody>
      </xdr:sp>
      <xdr:sp macro="" textlink="">
        <xdr:nvSpPr>
          <xdr:cNvPr id="83" name="TextBox 82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 txBox="1"/>
        </xdr:nvSpPr>
        <xdr:spPr>
          <a:xfrm>
            <a:off x="3455782" y="72891650"/>
            <a:ext cx="1228820" cy="41386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800" b="1">
                <a:solidFill>
                  <a:srgbClr val="FF0000"/>
                </a:solidFill>
              </a:rPr>
              <a:t>Building</a:t>
            </a:r>
            <a:r>
              <a:rPr lang="en-IN" sz="1800" b="1" baseline="0">
                <a:solidFill>
                  <a:srgbClr val="FF0000"/>
                </a:solidFill>
              </a:rPr>
              <a:t> C</a:t>
            </a:r>
            <a:endParaRPr lang="en-IN" sz="1800" b="1">
              <a:solidFill>
                <a:srgbClr val="FF0000"/>
              </a:solidFill>
            </a:endParaRPr>
          </a:p>
        </xdr:txBody>
      </xdr:sp>
      <xdr:sp macro="" textlink="">
        <xdr:nvSpPr>
          <xdr:cNvPr id="84" name="TextBox 83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 txBox="1"/>
        </xdr:nvSpPr>
        <xdr:spPr>
          <a:xfrm>
            <a:off x="5449682" y="72517000"/>
            <a:ext cx="1014618" cy="9080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IN" sz="1800" b="1">
                <a:solidFill>
                  <a:srgbClr val="FF0000"/>
                </a:solidFill>
              </a:rPr>
              <a:t>Building</a:t>
            </a:r>
            <a:r>
              <a:rPr lang="en-IN" sz="1800" b="1" baseline="0">
                <a:solidFill>
                  <a:srgbClr val="FF0000"/>
                </a:solidFill>
              </a:rPr>
              <a:t> D</a:t>
            </a:r>
            <a:endParaRPr lang="en-IN" sz="1800" b="1">
              <a:solidFill>
                <a:srgbClr val="FF0000"/>
              </a:solidFill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78441</xdr:colOff>
      <xdr:row>54</xdr:row>
      <xdr:rowOff>1</xdr:rowOff>
    </xdr:from>
    <xdr:to>
      <xdr:col>15</xdr:col>
      <xdr:colOff>180415</xdr:colOff>
      <xdr:row>92</xdr:row>
      <xdr:rowOff>76201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1147" y="10298207"/>
          <a:ext cx="13011150" cy="7315200"/>
        </a:xfrm>
        <a:prstGeom prst="rect">
          <a:avLst/>
        </a:prstGeom>
      </xdr:spPr>
    </xdr:pic>
    <xdr:clientData/>
  </xdr:twoCellAnchor>
  <xdr:twoCellAnchor editAs="oneCell">
    <xdr:from>
      <xdr:col>1</xdr:col>
      <xdr:colOff>78441</xdr:colOff>
      <xdr:row>15</xdr:row>
      <xdr:rowOff>33618</xdr:rowOff>
    </xdr:from>
    <xdr:to>
      <xdr:col>15</xdr:col>
      <xdr:colOff>180415</xdr:colOff>
      <xdr:row>53</xdr:row>
      <xdr:rowOff>109818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1147" y="2902324"/>
          <a:ext cx="13011150" cy="731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omments" Target="../comments1.xml"/><Relationship Id="rId2" Type="http://schemas.openxmlformats.org/officeDocument/2006/relationships/hyperlink" Target="https://goo.gl/maps/fq6jACa9SZR4Vnbu6" TargetMode="External"/><Relationship Id="rId1" Type="http://schemas.openxmlformats.org/officeDocument/2006/relationships/hyperlink" Target="http://vihangwoods.a2zproperty.in/" TargetMode="External"/><Relationship Id="rId6" Type="http://schemas.openxmlformats.org/officeDocument/2006/relationships/vmlDrawing" Target="../drawings/vmlDrawing2.v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Q430"/>
  <sheetViews>
    <sheetView tabSelected="1" view="pageBreakPreview" zoomScaleNormal="100" zoomScaleSheetLayoutView="100" zoomScalePageLayoutView="85" workbookViewId="0">
      <selection activeCell="E9" sqref="E9:H9"/>
    </sheetView>
  </sheetViews>
  <sheetFormatPr defaultColWidth="9.1796875" defaultRowHeight="15.5" x14ac:dyDescent="0.35"/>
  <cols>
    <col min="1" max="1" width="10.1796875" style="40" customWidth="1"/>
    <col min="2" max="2" width="11.7265625" style="40" customWidth="1"/>
    <col min="3" max="3" width="14.453125" style="40" customWidth="1"/>
    <col min="4" max="4" width="10.7265625" style="40" customWidth="1"/>
    <col min="5" max="5" width="11.7265625" style="40" customWidth="1"/>
    <col min="6" max="6" width="11.54296875" style="40" customWidth="1"/>
    <col min="7" max="7" width="11.453125" style="40" customWidth="1"/>
    <col min="8" max="8" width="15.81640625" style="40" customWidth="1"/>
    <col min="9" max="9" width="17.453125" style="21" customWidth="1"/>
    <col min="10" max="10" width="11.453125" style="21" customWidth="1"/>
    <col min="11" max="11" width="10.54296875" style="21" bestFit="1" customWidth="1"/>
    <col min="12" max="12" width="10.54296875" style="21" customWidth="1"/>
    <col min="13" max="13" width="11.81640625" style="21" customWidth="1"/>
    <col min="14" max="14" width="12.54296875" style="21" customWidth="1"/>
    <col min="15" max="15" width="9.81640625" style="21" customWidth="1"/>
    <col min="16" max="16" width="11.7265625" style="21" customWidth="1"/>
    <col min="17" max="247" width="9.1796875" style="21"/>
    <col min="248" max="248" width="8.7265625" style="21" customWidth="1"/>
    <col min="249" max="249" width="9.81640625" style="21" customWidth="1"/>
    <col min="250" max="250" width="14.453125" style="21" customWidth="1"/>
    <col min="251" max="251" width="7.26953125" style="21" customWidth="1"/>
    <col min="252" max="252" width="5.54296875" style="21" customWidth="1"/>
    <col min="253" max="253" width="9" style="21" customWidth="1"/>
    <col min="254" max="255" width="9.81640625" style="21" customWidth="1"/>
    <col min="256" max="256" width="11.1796875" style="21" customWidth="1"/>
    <col min="257" max="257" width="2.81640625" style="21" customWidth="1"/>
    <col min="258" max="258" width="3.54296875" style="21" customWidth="1"/>
    <col min="259" max="503" width="9.1796875" style="21"/>
    <col min="504" max="504" width="8.7265625" style="21" customWidth="1"/>
    <col min="505" max="505" width="9.81640625" style="21" customWidth="1"/>
    <col min="506" max="506" width="14.453125" style="21" customWidth="1"/>
    <col min="507" max="507" width="7.26953125" style="21" customWidth="1"/>
    <col min="508" max="508" width="5.54296875" style="21" customWidth="1"/>
    <col min="509" max="509" width="9" style="21" customWidth="1"/>
    <col min="510" max="511" width="9.81640625" style="21" customWidth="1"/>
    <col min="512" max="512" width="11.1796875" style="21" customWidth="1"/>
    <col min="513" max="513" width="2.81640625" style="21" customWidth="1"/>
    <col min="514" max="514" width="3.54296875" style="21" customWidth="1"/>
    <col min="515" max="759" width="9.1796875" style="21"/>
    <col min="760" max="760" width="8.7265625" style="21" customWidth="1"/>
    <col min="761" max="761" width="9.81640625" style="21" customWidth="1"/>
    <col min="762" max="762" width="14.453125" style="21" customWidth="1"/>
    <col min="763" max="763" width="7.26953125" style="21" customWidth="1"/>
    <col min="764" max="764" width="5.54296875" style="21" customWidth="1"/>
    <col min="765" max="765" width="9" style="21" customWidth="1"/>
    <col min="766" max="767" width="9.81640625" style="21" customWidth="1"/>
    <col min="768" max="768" width="11.1796875" style="21" customWidth="1"/>
    <col min="769" max="769" width="2.81640625" style="21" customWidth="1"/>
    <col min="770" max="770" width="3.54296875" style="21" customWidth="1"/>
    <col min="771" max="1015" width="9.1796875" style="21"/>
    <col min="1016" max="1016" width="8.7265625" style="21" customWidth="1"/>
    <col min="1017" max="1017" width="9.81640625" style="21" customWidth="1"/>
    <col min="1018" max="1018" width="14.453125" style="21" customWidth="1"/>
    <col min="1019" max="1019" width="7.26953125" style="21" customWidth="1"/>
    <col min="1020" max="1020" width="5.54296875" style="21" customWidth="1"/>
    <col min="1021" max="1021" width="9" style="21" customWidth="1"/>
    <col min="1022" max="1023" width="9.81640625" style="21" customWidth="1"/>
    <col min="1024" max="1024" width="11.1796875" style="21" customWidth="1"/>
    <col min="1025" max="1025" width="2.81640625" style="21" customWidth="1"/>
    <col min="1026" max="1026" width="3.54296875" style="21" customWidth="1"/>
    <col min="1027" max="1271" width="9.1796875" style="21"/>
    <col min="1272" max="1272" width="8.7265625" style="21" customWidth="1"/>
    <col min="1273" max="1273" width="9.81640625" style="21" customWidth="1"/>
    <col min="1274" max="1274" width="14.453125" style="21" customWidth="1"/>
    <col min="1275" max="1275" width="7.26953125" style="21" customWidth="1"/>
    <col min="1276" max="1276" width="5.54296875" style="21" customWidth="1"/>
    <col min="1277" max="1277" width="9" style="21" customWidth="1"/>
    <col min="1278" max="1279" width="9.81640625" style="21" customWidth="1"/>
    <col min="1280" max="1280" width="11.1796875" style="21" customWidth="1"/>
    <col min="1281" max="1281" width="2.81640625" style="21" customWidth="1"/>
    <col min="1282" max="1282" width="3.54296875" style="21" customWidth="1"/>
    <col min="1283" max="1527" width="9.1796875" style="21"/>
    <col min="1528" max="1528" width="8.7265625" style="21" customWidth="1"/>
    <col min="1529" max="1529" width="9.81640625" style="21" customWidth="1"/>
    <col min="1530" max="1530" width="14.453125" style="21" customWidth="1"/>
    <col min="1531" max="1531" width="7.26953125" style="21" customWidth="1"/>
    <col min="1532" max="1532" width="5.54296875" style="21" customWidth="1"/>
    <col min="1533" max="1533" width="9" style="21" customWidth="1"/>
    <col min="1534" max="1535" width="9.81640625" style="21" customWidth="1"/>
    <col min="1536" max="1536" width="11.1796875" style="21" customWidth="1"/>
    <col min="1537" max="1537" width="2.81640625" style="21" customWidth="1"/>
    <col min="1538" max="1538" width="3.54296875" style="21" customWidth="1"/>
    <col min="1539" max="1783" width="9.1796875" style="21"/>
    <col min="1784" max="1784" width="8.7265625" style="21" customWidth="1"/>
    <col min="1785" max="1785" width="9.81640625" style="21" customWidth="1"/>
    <col min="1786" max="1786" width="14.453125" style="21" customWidth="1"/>
    <col min="1787" max="1787" width="7.26953125" style="21" customWidth="1"/>
    <col min="1788" max="1788" width="5.54296875" style="21" customWidth="1"/>
    <col min="1789" max="1789" width="9" style="21" customWidth="1"/>
    <col min="1790" max="1791" width="9.81640625" style="21" customWidth="1"/>
    <col min="1792" max="1792" width="11.1796875" style="21" customWidth="1"/>
    <col min="1793" max="1793" width="2.81640625" style="21" customWidth="1"/>
    <col min="1794" max="1794" width="3.54296875" style="21" customWidth="1"/>
    <col min="1795" max="2039" width="9.1796875" style="21"/>
    <col min="2040" max="2040" width="8.7265625" style="21" customWidth="1"/>
    <col min="2041" max="2041" width="9.81640625" style="21" customWidth="1"/>
    <col min="2042" max="2042" width="14.453125" style="21" customWidth="1"/>
    <col min="2043" max="2043" width="7.26953125" style="21" customWidth="1"/>
    <col min="2044" max="2044" width="5.54296875" style="21" customWidth="1"/>
    <col min="2045" max="2045" width="9" style="21" customWidth="1"/>
    <col min="2046" max="2047" width="9.81640625" style="21" customWidth="1"/>
    <col min="2048" max="2048" width="11.1796875" style="21" customWidth="1"/>
    <col min="2049" max="2049" width="2.81640625" style="21" customWidth="1"/>
    <col min="2050" max="2050" width="3.54296875" style="21" customWidth="1"/>
    <col min="2051" max="2295" width="9.1796875" style="21"/>
    <col min="2296" max="2296" width="8.7265625" style="21" customWidth="1"/>
    <col min="2297" max="2297" width="9.81640625" style="21" customWidth="1"/>
    <col min="2298" max="2298" width="14.453125" style="21" customWidth="1"/>
    <col min="2299" max="2299" width="7.26953125" style="21" customWidth="1"/>
    <col min="2300" max="2300" width="5.54296875" style="21" customWidth="1"/>
    <col min="2301" max="2301" width="9" style="21" customWidth="1"/>
    <col min="2302" max="2303" width="9.81640625" style="21" customWidth="1"/>
    <col min="2304" max="2304" width="11.1796875" style="21" customWidth="1"/>
    <col min="2305" max="2305" width="2.81640625" style="21" customWidth="1"/>
    <col min="2306" max="2306" width="3.54296875" style="21" customWidth="1"/>
    <col min="2307" max="2551" width="9.1796875" style="21"/>
    <col min="2552" max="2552" width="8.7265625" style="21" customWidth="1"/>
    <col min="2553" max="2553" width="9.81640625" style="21" customWidth="1"/>
    <col min="2554" max="2554" width="14.453125" style="21" customWidth="1"/>
    <col min="2555" max="2555" width="7.26953125" style="21" customWidth="1"/>
    <col min="2556" max="2556" width="5.54296875" style="21" customWidth="1"/>
    <col min="2557" max="2557" width="9" style="21" customWidth="1"/>
    <col min="2558" max="2559" width="9.81640625" style="21" customWidth="1"/>
    <col min="2560" max="2560" width="11.1796875" style="21" customWidth="1"/>
    <col min="2561" max="2561" width="2.81640625" style="21" customWidth="1"/>
    <col min="2562" max="2562" width="3.54296875" style="21" customWidth="1"/>
    <col min="2563" max="2807" width="9.1796875" style="21"/>
    <col min="2808" max="2808" width="8.7265625" style="21" customWidth="1"/>
    <col min="2809" max="2809" width="9.81640625" style="21" customWidth="1"/>
    <col min="2810" max="2810" width="14.453125" style="21" customWidth="1"/>
    <col min="2811" max="2811" width="7.26953125" style="21" customWidth="1"/>
    <col min="2812" max="2812" width="5.54296875" style="21" customWidth="1"/>
    <col min="2813" max="2813" width="9" style="21" customWidth="1"/>
    <col min="2814" max="2815" width="9.81640625" style="21" customWidth="1"/>
    <col min="2816" max="2816" width="11.1796875" style="21" customWidth="1"/>
    <col min="2817" max="2817" width="2.81640625" style="21" customWidth="1"/>
    <col min="2818" max="2818" width="3.54296875" style="21" customWidth="1"/>
    <col min="2819" max="3063" width="9.1796875" style="21"/>
    <col min="3064" max="3064" width="8.7265625" style="21" customWidth="1"/>
    <col min="3065" max="3065" width="9.81640625" style="21" customWidth="1"/>
    <col min="3066" max="3066" width="14.453125" style="21" customWidth="1"/>
    <col min="3067" max="3067" width="7.26953125" style="21" customWidth="1"/>
    <col min="3068" max="3068" width="5.54296875" style="21" customWidth="1"/>
    <col min="3069" max="3069" width="9" style="21" customWidth="1"/>
    <col min="3070" max="3071" width="9.81640625" style="21" customWidth="1"/>
    <col min="3072" max="3072" width="11.1796875" style="21" customWidth="1"/>
    <col min="3073" max="3073" width="2.81640625" style="21" customWidth="1"/>
    <col min="3074" max="3074" width="3.54296875" style="21" customWidth="1"/>
    <col min="3075" max="3319" width="9.1796875" style="21"/>
    <col min="3320" max="3320" width="8.7265625" style="21" customWidth="1"/>
    <col min="3321" max="3321" width="9.81640625" style="21" customWidth="1"/>
    <col min="3322" max="3322" width="14.453125" style="21" customWidth="1"/>
    <col min="3323" max="3323" width="7.26953125" style="21" customWidth="1"/>
    <col min="3324" max="3324" width="5.54296875" style="21" customWidth="1"/>
    <col min="3325" max="3325" width="9" style="21" customWidth="1"/>
    <col min="3326" max="3327" width="9.81640625" style="21" customWidth="1"/>
    <col min="3328" max="3328" width="11.1796875" style="21" customWidth="1"/>
    <col min="3329" max="3329" width="2.81640625" style="21" customWidth="1"/>
    <col min="3330" max="3330" width="3.54296875" style="21" customWidth="1"/>
    <col min="3331" max="3575" width="9.1796875" style="21"/>
    <col min="3576" max="3576" width="8.7265625" style="21" customWidth="1"/>
    <col min="3577" max="3577" width="9.81640625" style="21" customWidth="1"/>
    <col min="3578" max="3578" width="14.453125" style="21" customWidth="1"/>
    <col min="3579" max="3579" width="7.26953125" style="21" customWidth="1"/>
    <col min="3580" max="3580" width="5.54296875" style="21" customWidth="1"/>
    <col min="3581" max="3581" width="9" style="21" customWidth="1"/>
    <col min="3582" max="3583" width="9.81640625" style="21" customWidth="1"/>
    <col min="3584" max="3584" width="11.1796875" style="21" customWidth="1"/>
    <col min="3585" max="3585" width="2.81640625" style="21" customWidth="1"/>
    <col min="3586" max="3586" width="3.54296875" style="21" customWidth="1"/>
    <col min="3587" max="3831" width="9.1796875" style="21"/>
    <col min="3832" max="3832" width="8.7265625" style="21" customWidth="1"/>
    <col min="3833" max="3833" width="9.81640625" style="21" customWidth="1"/>
    <col min="3834" max="3834" width="14.453125" style="21" customWidth="1"/>
    <col min="3835" max="3835" width="7.26953125" style="21" customWidth="1"/>
    <col min="3836" max="3836" width="5.54296875" style="21" customWidth="1"/>
    <col min="3837" max="3837" width="9" style="21" customWidth="1"/>
    <col min="3838" max="3839" width="9.81640625" style="21" customWidth="1"/>
    <col min="3840" max="3840" width="11.1796875" style="21" customWidth="1"/>
    <col min="3841" max="3841" width="2.81640625" style="21" customWidth="1"/>
    <col min="3842" max="3842" width="3.54296875" style="21" customWidth="1"/>
    <col min="3843" max="4087" width="9.1796875" style="21"/>
    <col min="4088" max="4088" width="8.7265625" style="21" customWidth="1"/>
    <col min="4089" max="4089" width="9.81640625" style="21" customWidth="1"/>
    <col min="4090" max="4090" width="14.453125" style="21" customWidth="1"/>
    <col min="4091" max="4091" width="7.26953125" style="21" customWidth="1"/>
    <col min="4092" max="4092" width="5.54296875" style="21" customWidth="1"/>
    <col min="4093" max="4093" width="9" style="21" customWidth="1"/>
    <col min="4094" max="4095" width="9.81640625" style="21" customWidth="1"/>
    <col min="4096" max="4096" width="11.1796875" style="21" customWidth="1"/>
    <col min="4097" max="4097" width="2.81640625" style="21" customWidth="1"/>
    <col min="4098" max="4098" width="3.54296875" style="21" customWidth="1"/>
    <col min="4099" max="4343" width="9.1796875" style="21"/>
    <col min="4344" max="4344" width="8.7265625" style="21" customWidth="1"/>
    <col min="4345" max="4345" width="9.81640625" style="21" customWidth="1"/>
    <col min="4346" max="4346" width="14.453125" style="21" customWidth="1"/>
    <col min="4347" max="4347" width="7.26953125" style="21" customWidth="1"/>
    <col min="4348" max="4348" width="5.54296875" style="21" customWidth="1"/>
    <col min="4349" max="4349" width="9" style="21" customWidth="1"/>
    <col min="4350" max="4351" width="9.81640625" style="21" customWidth="1"/>
    <col min="4352" max="4352" width="11.1796875" style="21" customWidth="1"/>
    <col min="4353" max="4353" width="2.81640625" style="21" customWidth="1"/>
    <col min="4354" max="4354" width="3.54296875" style="21" customWidth="1"/>
    <col min="4355" max="4599" width="9.1796875" style="21"/>
    <col min="4600" max="4600" width="8.7265625" style="21" customWidth="1"/>
    <col min="4601" max="4601" width="9.81640625" style="21" customWidth="1"/>
    <col min="4602" max="4602" width="14.453125" style="21" customWidth="1"/>
    <col min="4603" max="4603" width="7.26953125" style="21" customWidth="1"/>
    <col min="4604" max="4604" width="5.54296875" style="21" customWidth="1"/>
    <col min="4605" max="4605" width="9" style="21" customWidth="1"/>
    <col min="4606" max="4607" width="9.81640625" style="21" customWidth="1"/>
    <col min="4608" max="4608" width="11.1796875" style="21" customWidth="1"/>
    <col min="4609" max="4609" width="2.81640625" style="21" customWidth="1"/>
    <col min="4610" max="4610" width="3.54296875" style="21" customWidth="1"/>
    <col min="4611" max="4855" width="9.1796875" style="21"/>
    <col min="4856" max="4856" width="8.7265625" style="21" customWidth="1"/>
    <col min="4857" max="4857" width="9.81640625" style="21" customWidth="1"/>
    <col min="4858" max="4858" width="14.453125" style="21" customWidth="1"/>
    <col min="4859" max="4859" width="7.26953125" style="21" customWidth="1"/>
    <col min="4860" max="4860" width="5.54296875" style="21" customWidth="1"/>
    <col min="4861" max="4861" width="9" style="21" customWidth="1"/>
    <col min="4862" max="4863" width="9.81640625" style="21" customWidth="1"/>
    <col min="4864" max="4864" width="11.1796875" style="21" customWidth="1"/>
    <col min="4865" max="4865" width="2.81640625" style="21" customWidth="1"/>
    <col min="4866" max="4866" width="3.54296875" style="21" customWidth="1"/>
    <col min="4867" max="5111" width="9.1796875" style="21"/>
    <col min="5112" max="5112" width="8.7265625" style="21" customWidth="1"/>
    <col min="5113" max="5113" width="9.81640625" style="21" customWidth="1"/>
    <col min="5114" max="5114" width="14.453125" style="21" customWidth="1"/>
    <col min="5115" max="5115" width="7.26953125" style="21" customWidth="1"/>
    <col min="5116" max="5116" width="5.54296875" style="21" customWidth="1"/>
    <col min="5117" max="5117" width="9" style="21" customWidth="1"/>
    <col min="5118" max="5119" width="9.81640625" style="21" customWidth="1"/>
    <col min="5120" max="5120" width="11.1796875" style="21" customWidth="1"/>
    <col min="5121" max="5121" width="2.81640625" style="21" customWidth="1"/>
    <col min="5122" max="5122" width="3.54296875" style="21" customWidth="1"/>
    <col min="5123" max="5367" width="9.1796875" style="21"/>
    <col min="5368" max="5368" width="8.7265625" style="21" customWidth="1"/>
    <col min="5369" max="5369" width="9.81640625" style="21" customWidth="1"/>
    <col min="5370" max="5370" width="14.453125" style="21" customWidth="1"/>
    <col min="5371" max="5371" width="7.26953125" style="21" customWidth="1"/>
    <col min="5372" max="5372" width="5.54296875" style="21" customWidth="1"/>
    <col min="5373" max="5373" width="9" style="21" customWidth="1"/>
    <col min="5374" max="5375" width="9.81640625" style="21" customWidth="1"/>
    <col min="5376" max="5376" width="11.1796875" style="21" customWidth="1"/>
    <col min="5377" max="5377" width="2.81640625" style="21" customWidth="1"/>
    <col min="5378" max="5378" width="3.54296875" style="21" customWidth="1"/>
    <col min="5379" max="5623" width="9.1796875" style="21"/>
    <col min="5624" max="5624" width="8.7265625" style="21" customWidth="1"/>
    <col min="5625" max="5625" width="9.81640625" style="21" customWidth="1"/>
    <col min="5626" max="5626" width="14.453125" style="21" customWidth="1"/>
    <col min="5627" max="5627" width="7.26953125" style="21" customWidth="1"/>
    <col min="5628" max="5628" width="5.54296875" style="21" customWidth="1"/>
    <col min="5629" max="5629" width="9" style="21" customWidth="1"/>
    <col min="5630" max="5631" width="9.81640625" style="21" customWidth="1"/>
    <col min="5632" max="5632" width="11.1796875" style="21" customWidth="1"/>
    <col min="5633" max="5633" width="2.81640625" style="21" customWidth="1"/>
    <col min="5634" max="5634" width="3.54296875" style="21" customWidth="1"/>
    <col min="5635" max="5879" width="9.1796875" style="21"/>
    <col min="5880" max="5880" width="8.7265625" style="21" customWidth="1"/>
    <col min="5881" max="5881" width="9.81640625" style="21" customWidth="1"/>
    <col min="5882" max="5882" width="14.453125" style="21" customWidth="1"/>
    <col min="5883" max="5883" width="7.26953125" style="21" customWidth="1"/>
    <col min="5884" max="5884" width="5.54296875" style="21" customWidth="1"/>
    <col min="5885" max="5885" width="9" style="21" customWidth="1"/>
    <col min="5886" max="5887" width="9.81640625" style="21" customWidth="1"/>
    <col min="5888" max="5888" width="11.1796875" style="21" customWidth="1"/>
    <col min="5889" max="5889" width="2.81640625" style="21" customWidth="1"/>
    <col min="5890" max="5890" width="3.54296875" style="21" customWidth="1"/>
    <col min="5891" max="6135" width="9.1796875" style="21"/>
    <col min="6136" max="6136" width="8.7265625" style="21" customWidth="1"/>
    <col min="6137" max="6137" width="9.81640625" style="21" customWidth="1"/>
    <col min="6138" max="6138" width="14.453125" style="21" customWidth="1"/>
    <col min="6139" max="6139" width="7.26953125" style="21" customWidth="1"/>
    <col min="6140" max="6140" width="5.54296875" style="21" customWidth="1"/>
    <col min="6141" max="6141" width="9" style="21" customWidth="1"/>
    <col min="6142" max="6143" width="9.81640625" style="21" customWidth="1"/>
    <col min="6144" max="6144" width="11.1796875" style="21" customWidth="1"/>
    <col min="6145" max="6145" width="2.81640625" style="21" customWidth="1"/>
    <col min="6146" max="6146" width="3.54296875" style="21" customWidth="1"/>
    <col min="6147" max="6391" width="9.1796875" style="21"/>
    <col min="6392" max="6392" width="8.7265625" style="21" customWidth="1"/>
    <col min="6393" max="6393" width="9.81640625" style="21" customWidth="1"/>
    <col min="6394" max="6394" width="14.453125" style="21" customWidth="1"/>
    <col min="6395" max="6395" width="7.26953125" style="21" customWidth="1"/>
    <col min="6396" max="6396" width="5.54296875" style="21" customWidth="1"/>
    <col min="6397" max="6397" width="9" style="21" customWidth="1"/>
    <col min="6398" max="6399" width="9.81640625" style="21" customWidth="1"/>
    <col min="6400" max="6400" width="11.1796875" style="21" customWidth="1"/>
    <col min="6401" max="6401" width="2.81640625" style="21" customWidth="1"/>
    <col min="6402" max="6402" width="3.54296875" style="21" customWidth="1"/>
    <col min="6403" max="6647" width="9.1796875" style="21"/>
    <col min="6648" max="6648" width="8.7265625" style="21" customWidth="1"/>
    <col min="6649" max="6649" width="9.81640625" style="21" customWidth="1"/>
    <col min="6650" max="6650" width="14.453125" style="21" customWidth="1"/>
    <col min="6651" max="6651" width="7.26953125" style="21" customWidth="1"/>
    <col min="6652" max="6652" width="5.54296875" style="21" customWidth="1"/>
    <col min="6653" max="6653" width="9" style="21" customWidth="1"/>
    <col min="6654" max="6655" width="9.81640625" style="21" customWidth="1"/>
    <col min="6656" max="6656" width="11.1796875" style="21" customWidth="1"/>
    <col min="6657" max="6657" width="2.81640625" style="21" customWidth="1"/>
    <col min="6658" max="6658" width="3.54296875" style="21" customWidth="1"/>
    <col min="6659" max="6903" width="9.1796875" style="21"/>
    <col min="6904" max="6904" width="8.7265625" style="21" customWidth="1"/>
    <col min="6905" max="6905" width="9.81640625" style="21" customWidth="1"/>
    <col min="6906" max="6906" width="14.453125" style="21" customWidth="1"/>
    <col min="6907" max="6907" width="7.26953125" style="21" customWidth="1"/>
    <col min="6908" max="6908" width="5.54296875" style="21" customWidth="1"/>
    <col min="6909" max="6909" width="9" style="21" customWidth="1"/>
    <col min="6910" max="6911" width="9.81640625" style="21" customWidth="1"/>
    <col min="6912" max="6912" width="11.1796875" style="21" customWidth="1"/>
    <col min="6913" max="6913" width="2.81640625" style="21" customWidth="1"/>
    <col min="6914" max="6914" width="3.54296875" style="21" customWidth="1"/>
    <col min="6915" max="7159" width="9.1796875" style="21"/>
    <col min="7160" max="7160" width="8.7265625" style="21" customWidth="1"/>
    <col min="7161" max="7161" width="9.81640625" style="21" customWidth="1"/>
    <col min="7162" max="7162" width="14.453125" style="21" customWidth="1"/>
    <col min="7163" max="7163" width="7.26953125" style="21" customWidth="1"/>
    <col min="7164" max="7164" width="5.54296875" style="21" customWidth="1"/>
    <col min="7165" max="7165" width="9" style="21" customWidth="1"/>
    <col min="7166" max="7167" width="9.81640625" style="21" customWidth="1"/>
    <col min="7168" max="7168" width="11.1796875" style="21" customWidth="1"/>
    <col min="7169" max="7169" width="2.81640625" style="21" customWidth="1"/>
    <col min="7170" max="7170" width="3.54296875" style="21" customWidth="1"/>
    <col min="7171" max="7415" width="9.1796875" style="21"/>
    <col min="7416" max="7416" width="8.7265625" style="21" customWidth="1"/>
    <col min="7417" max="7417" width="9.81640625" style="21" customWidth="1"/>
    <col min="7418" max="7418" width="14.453125" style="21" customWidth="1"/>
    <col min="7419" max="7419" width="7.26953125" style="21" customWidth="1"/>
    <col min="7420" max="7420" width="5.54296875" style="21" customWidth="1"/>
    <col min="7421" max="7421" width="9" style="21" customWidth="1"/>
    <col min="7422" max="7423" width="9.81640625" style="21" customWidth="1"/>
    <col min="7424" max="7424" width="11.1796875" style="21" customWidth="1"/>
    <col min="7425" max="7425" width="2.81640625" style="21" customWidth="1"/>
    <col min="7426" max="7426" width="3.54296875" style="21" customWidth="1"/>
    <col min="7427" max="7671" width="9.1796875" style="21"/>
    <col min="7672" max="7672" width="8.7265625" style="21" customWidth="1"/>
    <col min="7673" max="7673" width="9.81640625" style="21" customWidth="1"/>
    <col min="7674" max="7674" width="14.453125" style="21" customWidth="1"/>
    <col min="7675" max="7675" width="7.26953125" style="21" customWidth="1"/>
    <col min="7676" max="7676" width="5.54296875" style="21" customWidth="1"/>
    <col min="7677" max="7677" width="9" style="21" customWidth="1"/>
    <col min="7678" max="7679" width="9.81640625" style="21" customWidth="1"/>
    <col min="7680" max="7680" width="11.1796875" style="21" customWidth="1"/>
    <col min="7681" max="7681" width="2.81640625" style="21" customWidth="1"/>
    <col min="7682" max="7682" width="3.54296875" style="21" customWidth="1"/>
    <col min="7683" max="7927" width="9.1796875" style="21"/>
    <col min="7928" max="7928" width="8.7265625" style="21" customWidth="1"/>
    <col min="7929" max="7929" width="9.81640625" style="21" customWidth="1"/>
    <col min="7930" max="7930" width="14.453125" style="21" customWidth="1"/>
    <col min="7931" max="7931" width="7.26953125" style="21" customWidth="1"/>
    <col min="7932" max="7932" width="5.54296875" style="21" customWidth="1"/>
    <col min="7933" max="7933" width="9" style="21" customWidth="1"/>
    <col min="7934" max="7935" width="9.81640625" style="21" customWidth="1"/>
    <col min="7936" max="7936" width="11.1796875" style="21" customWidth="1"/>
    <col min="7937" max="7937" width="2.81640625" style="21" customWidth="1"/>
    <col min="7938" max="7938" width="3.54296875" style="21" customWidth="1"/>
    <col min="7939" max="8183" width="9.1796875" style="21"/>
    <col min="8184" max="8184" width="8.7265625" style="21" customWidth="1"/>
    <col min="8185" max="8185" width="9.81640625" style="21" customWidth="1"/>
    <col min="8186" max="8186" width="14.453125" style="21" customWidth="1"/>
    <col min="8187" max="8187" width="7.26953125" style="21" customWidth="1"/>
    <col min="8188" max="8188" width="5.54296875" style="21" customWidth="1"/>
    <col min="8189" max="8189" width="9" style="21" customWidth="1"/>
    <col min="8190" max="8191" width="9.81640625" style="21" customWidth="1"/>
    <col min="8192" max="8192" width="11.1796875" style="21" customWidth="1"/>
    <col min="8193" max="8193" width="2.81640625" style="21" customWidth="1"/>
    <col min="8194" max="8194" width="3.54296875" style="21" customWidth="1"/>
    <col min="8195" max="8439" width="9.1796875" style="21"/>
    <col min="8440" max="8440" width="8.7265625" style="21" customWidth="1"/>
    <col min="8441" max="8441" width="9.81640625" style="21" customWidth="1"/>
    <col min="8442" max="8442" width="14.453125" style="21" customWidth="1"/>
    <col min="8443" max="8443" width="7.26953125" style="21" customWidth="1"/>
    <col min="8444" max="8444" width="5.54296875" style="21" customWidth="1"/>
    <col min="8445" max="8445" width="9" style="21" customWidth="1"/>
    <col min="8446" max="8447" width="9.81640625" style="21" customWidth="1"/>
    <col min="8448" max="8448" width="11.1796875" style="21" customWidth="1"/>
    <col min="8449" max="8449" width="2.81640625" style="21" customWidth="1"/>
    <col min="8450" max="8450" width="3.54296875" style="21" customWidth="1"/>
    <col min="8451" max="8695" width="9.1796875" style="21"/>
    <col min="8696" max="8696" width="8.7265625" style="21" customWidth="1"/>
    <col min="8697" max="8697" width="9.81640625" style="21" customWidth="1"/>
    <col min="8698" max="8698" width="14.453125" style="21" customWidth="1"/>
    <col min="8699" max="8699" width="7.26953125" style="21" customWidth="1"/>
    <col min="8700" max="8700" width="5.54296875" style="21" customWidth="1"/>
    <col min="8701" max="8701" width="9" style="21" customWidth="1"/>
    <col min="8702" max="8703" width="9.81640625" style="21" customWidth="1"/>
    <col min="8704" max="8704" width="11.1796875" style="21" customWidth="1"/>
    <col min="8705" max="8705" width="2.81640625" style="21" customWidth="1"/>
    <col min="8706" max="8706" width="3.54296875" style="21" customWidth="1"/>
    <col min="8707" max="8951" width="9.1796875" style="21"/>
    <col min="8952" max="8952" width="8.7265625" style="21" customWidth="1"/>
    <col min="8953" max="8953" width="9.81640625" style="21" customWidth="1"/>
    <col min="8954" max="8954" width="14.453125" style="21" customWidth="1"/>
    <col min="8955" max="8955" width="7.26953125" style="21" customWidth="1"/>
    <col min="8956" max="8956" width="5.54296875" style="21" customWidth="1"/>
    <col min="8957" max="8957" width="9" style="21" customWidth="1"/>
    <col min="8958" max="8959" width="9.81640625" style="21" customWidth="1"/>
    <col min="8960" max="8960" width="11.1796875" style="21" customWidth="1"/>
    <col min="8961" max="8961" width="2.81640625" style="21" customWidth="1"/>
    <col min="8962" max="8962" width="3.54296875" style="21" customWidth="1"/>
    <col min="8963" max="9207" width="9.1796875" style="21"/>
    <col min="9208" max="9208" width="8.7265625" style="21" customWidth="1"/>
    <col min="9209" max="9209" width="9.81640625" style="21" customWidth="1"/>
    <col min="9210" max="9210" width="14.453125" style="21" customWidth="1"/>
    <col min="9211" max="9211" width="7.26953125" style="21" customWidth="1"/>
    <col min="9212" max="9212" width="5.54296875" style="21" customWidth="1"/>
    <col min="9213" max="9213" width="9" style="21" customWidth="1"/>
    <col min="9214" max="9215" width="9.81640625" style="21" customWidth="1"/>
    <col min="9216" max="9216" width="11.1796875" style="21" customWidth="1"/>
    <col min="9217" max="9217" width="2.81640625" style="21" customWidth="1"/>
    <col min="9218" max="9218" width="3.54296875" style="21" customWidth="1"/>
    <col min="9219" max="9463" width="9.1796875" style="21"/>
    <col min="9464" max="9464" width="8.7265625" style="21" customWidth="1"/>
    <col min="9465" max="9465" width="9.81640625" style="21" customWidth="1"/>
    <col min="9466" max="9466" width="14.453125" style="21" customWidth="1"/>
    <col min="9467" max="9467" width="7.26953125" style="21" customWidth="1"/>
    <col min="9468" max="9468" width="5.54296875" style="21" customWidth="1"/>
    <col min="9469" max="9469" width="9" style="21" customWidth="1"/>
    <col min="9470" max="9471" width="9.81640625" style="21" customWidth="1"/>
    <col min="9472" max="9472" width="11.1796875" style="21" customWidth="1"/>
    <col min="9473" max="9473" width="2.81640625" style="21" customWidth="1"/>
    <col min="9474" max="9474" width="3.54296875" style="21" customWidth="1"/>
    <col min="9475" max="9719" width="9.1796875" style="21"/>
    <col min="9720" max="9720" width="8.7265625" style="21" customWidth="1"/>
    <col min="9721" max="9721" width="9.81640625" style="21" customWidth="1"/>
    <col min="9722" max="9722" width="14.453125" style="21" customWidth="1"/>
    <col min="9723" max="9723" width="7.26953125" style="21" customWidth="1"/>
    <col min="9724" max="9724" width="5.54296875" style="21" customWidth="1"/>
    <col min="9725" max="9725" width="9" style="21" customWidth="1"/>
    <col min="9726" max="9727" width="9.81640625" style="21" customWidth="1"/>
    <col min="9728" max="9728" width="11.1796875" style="21" customWidth="1"/>
    <col min="9729" max="9729" width="2.81640625" style="21" customWidth="1"/>
    <col min="9730" max="9730" width="3.54296875" style="21" customWidth="1"/>
    <col min="9731" max="9975" width="9.1796875" style="21"/>
    <col min="9976" max="9976" width="8.7265625" style="21" customWidth="1"/>
    <col min="9977" max="9977" width="9.81640625" style="21" customWidth="1"/>
    <col min="9978" max="9978" width="14.453125" style="21" customWidth="1"/>
    <col min="9979" max="9979" width="7.26953125" style="21" customWidth="1"/>
    <col min="9980" max="9980" width="5.54296875" style="21" customWidth="1"/>
    <col min="9981" max="9981" width="9" style="21" customWidth="1"/>
    <col min="9982" max="9983" width="9.81640625" style="21" customWidth="1"/>
    <col min="9984" max="9984" width="11.1796875" style="21" customWidth="1"/>
    <col min="9985" max="9985" width="2.81640625" style="21" customWidth="1"/>
    <col min="9986" max="9986" width="3.54296875" style="21" customWidth="1"/>
    <col min="9987" max="10231" width="9.1796875" style="21"/>
    <col min="10232" max="10232" width="8.7265625" style="21" customWidth="1"/>
    <col min="10233" max="10233" width="9.81640625" style="21" customWidth="1"/>
    <col min="10234" max="10234" width="14.453125" style="21" customWidth="1"/>
    <col min="10235" max="10235" width="7.26953125" style="21" customWidth="1"/>
    <col min="10236" max="10236" width="5.54296875" style="21" customWidth="1"/>
    <col min="10237" max="10237" width="9" style="21" customWidth="1"/>
    <col min="10238" max="10239" width="9.81640625" style="21" customWidth="1"/>
    <col min="10240" max="10240" width="11.1796875" style="21" customWidth="1"/>
    <col min="10241" max="10241" width="2.81640625" style="21" customWidth="1"/>
    <col min="10242" max="10242" width="3.54296875" style="21" customWidth="1"/>
    <col min="10243" max="10487" width="9.1796875" style="21"/>
    <col min="10488" max="10488" width="8.7265625" style="21" customWidth="1"/>
    <col min="10489" max="10489" width="9.81640625" style="21" customWidth="1"/>
    <col min="10490" max="10490" width="14.453125" style="21" customWidth="1"/>
    <col min="10491" max="10491" width="7.26953125" style="21" customWidth="1"/>
    <col min="10492" max="10492" width="5.54296875" style="21" customWidth="1"/>
    <col min="10493" max="10493" width="9" style="21" customWidth="1"/>
    <col min="10494" max="10495" width="9.81640625" style="21" customWidth="1"/>
    <col min="10496" max="10496" width="11.1796875" style="21" customWidth="1"/>
    <col min="10497" max="10497" width="2.81640625" style="21" customWidth="1"/>
    <col min="10498" max="10498" width="3.54296875" style="21" customWidth="1"/>
    <col min="10499" max="10743" width="9.1796875" style="21"/>
    <col min="10744" max="10744" width="8.7265625" style="21" customWidth="1"/>
    <col min="10745" max="10745" width="9.81640625" style="21" customWidth="1"/>
    <col min="10746" max="10746" width="14.453125" style="21" customWidth="1"/>
    <col min="10747" max="10747" width="7.26953125" style="21" customWidth="1"/>
    <col min="10748" max="10748" width="5.54296875" style="21" customWidth="1"/>
    <col min="10749" max="10749" width="9" style="21" customWidth="1"/>
    <col min="10750" max="10751" width="9.81640625" style="21" customWidth="1"/>
    <col min="10752" max="10752" width="11.1796875" style="21" customWidth="1"/>
    <col min="10753" max="10753" width="2.81640625" style="21" customWidth="1"/>
    <col min="10754" max="10754" width="3.54296875" style="21" customWidth="1"/>
    <col min="10755" max="10999" width="9.1796875" style="21"/>
    <col min="11000" max="11000" width="8.7265625" style="21" customWidth="1"/>
    <col min="11001" max="11001" width="9.81640625" style="21" customWidth="1"/>
    <col min="11002" max="11002" width="14.453125" style="21" customWidth="1"/>
    <col min="11003" max="11003" width="7.26953125" style="21" customWidth="1"/>
    <col min="11004" max="11004" width="5.54296875" style="21" customWidth="1"/>
    <col min="11005" max="11005" width="9" style="21" customWidth="1"/>
    <col min="11006" max="11007" width="9.81640625" style="21" customWidth="1"/>
    <col min="11008" max="11008" width="11.1796875" style="21" customWidth="1"/>
    <col min="11009" max="11009" width="2.81640625" style="21" customWidth="1"/>
    <col min="11010" max="11010" width="3.54296875" style="21" customWidth="1"/>
    <col min="11011" max="11255" width="9.1796875" style="21"/>
    <col min="11256" max="11256" width="8.7265625" style="21" customWidth="1"/>
    <col min="11257" max="11257" width="9.81640625" style="21" customWidth="1"/>
    <col min="11258" max="11258" width="14.453125" style="21" customWidth="1"/>
    <col min="11259" max="11259" width="7.26953125" style="21" customWidth="1"/>
    <col min="11260" max="11260" width="5.54296875" style="21" customWidth="1"/>
    <col min="11261" max="11261" width="9" style="21" customWidth="1"/>
    <col min="11262" max="11263" width="9.81640625" style="21" customWidth="1"/>
    <col min="11264" max="11264" width="11.1796875" style="21" customWidth="1"/>
    <col min="11265" max="11265" width="2.81640625" style="21" customWidth="1"/>
    <col min="11266" max="11266" width="3.54296875" style="21" customWidth="1"/>
    <col min="11267" max="11511" width="9.1796875" style="21"/>
    <col min="11512" max="11512" width="8.7265625" style="21" customWidth="1"/>
    <col min="11513" max="11513" width="9.81640625" style="21" customWidth="1"/>
    <col min="11514" max="11514" width="14.453125" style="21" customWidth="1"/>
    <col min="11515" max="11515" width="7.26953125" style="21" customWidth="1"/>
    <col min="11516" max="11516" width="5.54296875" style="21" customWidth="1"/>
    <col min="11517" max="11517" width="9" style="21" customWidth="1"/>
    <col min="11518" max="11519" width="9.81640625" style="21" customWidth="1"/>
    <col min="11520" max="11520" width="11.1796875" style="21" customWidth="1"/>
    <col min="11521" max="11521" width="2.81640625" style="21" customWidth="1"/>
    <col min="11522" max="11522" width="3.54296875" style="21" customWidth="1"/>
    <col min="11523" max="11767" width="9.1796875" style="21"/>
    <col min="11768" max="11768" width="8.7265625" style="21" customWidth="1"/>
    <col min="11769" max="11769" width="9.81640625" style="21" customWidth="1"/>
    <col min="11770" max="11770" width="14.453125" style="21" customWidth="1"/>
    <col min="11771" max="11771" width="7.26953125" style="21" customWidth="1"/>
    <col min="11772" max="11772" width="5.54296875" style="21" customWidth="1"/>
    <col min="11773" max="11773" width="9" style="21" customWidth="1"/>
    <col min="11774" max="11775" width="9.81640625" style="21" customWidth="1"/>
    <col min="11776" max="11776" width="11.1796875" style="21" customWidth="1"/>
    <col min="11777" max="11777" width="2.81640625" style="21" customWidth="1"/>
    <col min="11778" max="11778" width="3.54296875" style="21" customWidth="1"/>
    <col min="11779" max="12023" width="9.1796875" style="21"/>
    <col min="12024" max="12024" width="8.7265625" style="21" customWidth="1"/>
    <col min="12025" max="12025" width="9.81640625" style="21" customWidth="1"/>
    <col min="12026" max="12026" width="14.453125" style="21" customWidth="1"/>
    <col min="12027" max="12027" width="7.26953125" style="21" customWidth="1"/>
    <col min="12028" max="12028" width="5.54296875" style="21" customWidth="1"/>
    <col min="12029" max="12029" width="9" style="21" customWidth="1"/>
    <col min="12030" max="12031" width="9.81640625" style="21" customWidth="1"/>
    <col min="12032" max="12032" width="11.1796875" style="21" customWidth="1"/>
    <col min="12033" max="12033" width="2.81640625" style="21" customWidth="1"/>
    <col min="12034" max="12034" width="3.54296875" style="21" customWidth="1"/>
    <col min="12035" max="12279" width="9.1796875" style="21"/>
    <col min="12280" max="12280" width="8.7265625" style="21" customWidth="1"/>
    <col min="12281" max="12281" width="9.81640625" style="21" customWidth="1"/>
    <col min="12282" max="12282" width="14.453125" style="21" customWidth="1"/>
    <col min="12283" max="12283" width="7.26953125" style="21" customWidth="1"/>
    <col min="12284" max="12284" width="5.54296875" style="21" customWidth="1"/>
    <col min="12285" max="12285" width="9" style="21" customWidth="1"/>
    <col min="12286" max="12287" width="9.81640625" style="21" customWidth="1"/>
    <col min="12288" max="12288" width="11.1796875" style="21" customWidth="1"/>
    <col min="12289" max="12289" width="2.81640625" style="21" customWidth="1"/>
    <col min="12290" max="12290" width="3.54296875" style="21" customWidth="1"/>
    <col min="12291" max="12535" width="9.1796875" style="21"/>
    <col min="12536" max="12536" width="8.7265625" style="21" customWidth="1"/>
    <col min="12537" max="12537" width="9.81640625" style="21" customWidth="1"/>
    <col min="12538" max="12538" width="14.453125" style="21" customWidth="1"/>
    <col min="12539" max="12539" width="7.26953125" style="21" customWidth="1"/>
    <col min="12540" max="12540" width="5.54296875" style="21" customWidth="1"/>
    <col min="12541" max="12541" width="9" style="21" customWidth="1"/>
    <col min="12542" max="12543" width="9.81640625" style="21" customWidth="1"/>
    <col min="12544" max="12544" width="11.1796875" style="21" customWidth="1"/>
    <col min="12545" max="12545" width="2.81640625" style="21" customWidth="1"/>
    <col min="12546" max="12546" width="3.54296875" style="21" customWidth="1"/>
    <col min="12547" max="12791" width="9.1796875" style="21"/>
    <col min="12792" max="12792" width="8.7265625" style="21" customWidth="1"/>
    <col min="12793" max="12793" width="9.81640625" style="21" customWidth="1"/>
    <col min="12794" max="12794" width="14.453125" style="21" customWidth="1"/>
    <col min="12795" max="12795" width="7.26953125" style="21" customWidth="1"/>
    <col min="12796" max="12796" width="5.54296875" style="21" customWidth="1"/>
    <col min="12797" max="12797" width="9" style="21" customWidth="1"/>
    <col min="12798" max="12799" width="9.81640625" style="21" customWidth="1"/>
    <col min="12800" max="12800" width="11.1796875" style="21" customWidth="1"/>
    <col min="12801" max="12801" width="2.81640625" style="21" customWidth="1"/>
    <col min="12802" max="12802" width="3.54296875" style="21" customWidth="1"/>
    <col min="12803" max="13047" width="9.1796875" style="21"/>
    <col min="13048" max="13048" width="8.7265625" style="21" customWidth="1"/>
    <col min="13049" max="13049" width="9.81640625" style="21" customWidth="1"/>
    <col min="13050" max="13050" width="14.453125" style="21" customWidth="1"/>
    <col min="13051" max="13051" width="7.26953125" style="21" customWidth="1"/>
    <col min="13052" max="13052" width="5.54296875" style="21" customWidth="1"/>
    <col min="13053" max="13053" width="9" style="21" customWidth="1"/>
    <col min="13054" max="13055" width="9.81640625" style="21" customWidth="1"/>
    <col min="13056" max="13056" width="11.1796875" style="21" customWidth="1"/>
    <col min="13057" max="13057" width="2.81640625" style="21" customWidth="1"/>
    <col min="13058" max="13058" width="3.54296875" style="21" customWidth="1"/>
    <col min="13059" max="13303" width="9.1796875" style="21"/>
    <col min="13304" max="13304" width="8.7265625" style="21" customWidth="1"/>
    <col min="13305" max="13305" width="9.81640625" style="21" customWidth="1"/>
    <col min="13306" max="13306" width="14.453125" style="21" customWidth="1"/>
    <col min="13307" max="13307" width="7.26953125" style="21" customWidth="1"/>
    <col min="13308" max="13308" width="5.54296875" style="21" customWidth="1"/>
    <col min="13309" max="13309" width="9" style="21" customWidth="1"/>
    <col min="13310" max="13311" width="9.81640625" style="21" customWidth="1"/>
    <col min="13312" max="13312" width="11.1796875" style="21" customWidth="1"/>
    <col min="13313" max="13313" width="2.81640625" style="21" customWidth="1"/>
    <col min="13314" max="13314" width="3.54296875" style="21" customWidth="1"/>
    <col min="13315" max="13559" width="9.1796875" style="21"/>
    <col min="13560" max="13560" width="8.7265625" style="21" customWidth="1"/>
    <col min="13561" max="13561" width="9.81640625" style="21" customWidth="1"/>
    <col min="13562" max="13562" width="14.453125" style="21" customWidth="1"/>
    <col min="13563" max="13563" width="7.26953125" style="21" customWidth="1"/>
    <col min="13564" max="13564" width="5.54296875" style="21" customWidth="1"/>
    <col min="13565" max="13565" width="9" style="21" customWidth="1"/>
    <col min="13566" max="13567" width="9.81640625" style="21" customWidth="1"/>
    <col min="13568" max="13568" width="11.1796875" style="21" customWidth="1"/>
    <col min="13569" max="13569" width="2.81640625" style="21" customWidth="1"/>
    <col min="13570" max="13570" width="3.54296875" style="21" customWidth="1"/>
    <col min="13571" max="13815" width="9.1796875" style="21"/>
    <col min="13816" max="13816" width="8.7265625" style="21" customWidth="1"/>
    <col min="13817" max="13817" width="9.81640625" style="21" customWidth="1"/>
    <col min="13818" max="13818" width="14.453125" style="21" customWidth="1"/>
    <col min="13819" max="13819" width="7.26953125" style="21" customWidth="1"/>
    <col min="13820" max="13820" width="5.54296875" style="21" customWidth="1"/>
    <col min="13821" max="13821" width="9" style="21" customWidth="1"/>
    <col min="13822" max="13823" width="9.81640625" style="21" customWidth="1"/>
    <col min="13824" max="13824" width="11.1796875" style="21" customWidth="1"/>
    <col min="13825" max="13825" width="2.81640625" style="21" customWidth="1"/>
    <col min="13826" max="13826" width="3.54296875" style="21" customWidth="1"/>
    <col min="13827" max="14071" width="9.1796875" style="21"/>
    <col min="14072" max="14072" width="8.7265625" style="21" customWidth="1"/>
    <col min="14073" max="14073" width="9.81640625" style="21" customWidth="1"/>
    <col min="14074" max="14074" width="14.453125" style="21" customWidth="1"/>
    <col min="14075" max="14075" width="7.26953125" style="21" customWidth="1"/>
    <col min="14076" max="14076" width="5.54296875" style="21" customWidth="1"/>
    <col min="14077" max="14077" width="9" style="21" customWidth="1"/>
    <col min="14078" max="14079" width="9.81640625" style="21" customWidth="1"/>
    <col min="14080" max="14080" width="11.1796875" style="21" customWidth="1"/>
    <col min="14081" max="14081" width="2.81640625" style="21" customWidth="1"/>
    <col min="14082" max="14082" width="3.54296875" style="21" customWidth="1"/>
    <col min="14083" max="14327" width="9.1796875" style="21"/>
    <col min="14328" max="14328" width="8.7265625" style="21" customWidth="1"/>
    <col min="14329" max="14329" width="9.81640625" style="21" customWidth="1"/>
    <col min="14330" max="14330" width="14.453125" style="21" customWidth="1"/>
    <col min="14331" max="14331" width="7.26953125" style="21" customWidth="1"/>
    <col min="14332" max="14332" width="5.54296875" style="21" customWidth="1"/>
    <col min="14333" max="14333" width="9" style="21" customWidth="1"/>
    <col min="14334" max="14335" width="9.81640625" style="21" customWidth="1"/>
    <col min="14336" max="14336" width="11.1796875" style="21" customWidth="1"/>
    <col min="14337" max="14337" width="2.81640625" style="21" customWidth="1"/>
    <col min="14338" max="14338" width="3.54296875" style="21" customWidth="1"/>
    <col min="14339" max="14583" width="9.1796875" style="21"/>
    <col min="14584" max="14584" width="8.7265625" style="21" customWidth="1"/>
    <col min="14585" max="14585" width="9.81640625" style="21" customWidth="1"/>
    <col min="14586" max="14586" width="14.453125" style="21" customWidth="1"/>
    <col min="14587" max="14587" width="7.26953125" style="21" customWidth="1"/>
    <col min="14588" max="14588" width="5.54296875" style="21" customWidth="1"/>
    <col min="14589" max="14589" width="9" style="21" customWidth="1"/>
    <col min="14590" max="14591" width="9.81640625" style="21" customWidth="1"/>
    <col min="14592" max="14592" width="11.1796875" style="21" customWidth="1"/>
    <col min="14593" max="14593" width="2.81640625" style="21" customWidth="1"/>
    <col min="14594" max="14594" width="3.54296875" style="21" customWidth="1"/>
    <col min="14595" max="14839" width="9.1796875" style="21"/>
    <col min="14840" max="14840" width="8.7265625" style="21" customWidth="1"/>
    <col min="14841" max="14841" width="9.81640625" style="21" customWidth="1"/>
    <col min="14842" max="14842" width="14.453125" style="21" customWidth="1"/>
    <col min="14843" max="14843" width="7.26953125" style="21" customWidth="1"/>
    <col min="14844" max="14844" width="5.54296875" style="21" customWidth="1"/>
    <col min="14845" max="14845" width="9" style="21" customWidth="1"/>
    <col min="14846" max="14847" width="9.81640625" style="21" customWidth="1"/>
    <col min="14848" max="14848" width="11.1796875" style="21" customWidth="1"/>
    <col min="14849" max="14849" width="2.81640625" style="21" customWidth="1"/>
    <col min="14850" max="14850" width="3.54296875" style="21" customWidth="1"/>
    <col min="14851" max="15095" width="9.1796875" style="21"/>
    <col min="15096" max="15096" width="8.7265625" style="21" customWidth="1"/>
    <col min="15097" max="15097" width="9.81640625" style="21" customWidth="1"/>
    <col min="15098" max="15098" width="14.453125" style="21" customWidth="1"/>
    <col min="15099" max="15099" width="7.26953125" style="21" customWidth="1"/>
    <col min="15100" max="15100" width="5.54296875" style="21" customWidth="1"/>
    <col min="15101" max="15101" width="9" style="21" customWidth="1"/>
    <col min="15102" max="15103" width="9.81640625" style="21" customWidth="1"/>
    <col min="15104" max="15104" width="11.1796875" style="21" customWidth="1"/>
    <col min="15105" max="15105" width="2.81640625" style="21" customWidth="1"/>
    <col min="15106" max="15106" width="3.54296875" style="21" customWidth="1"/>
    <col min="15107" max="15351" width="9.1796875" style="21"/>
    <col min="15352" max="15352" width="8.7265625" style="21" customWidth="1"/>
    <col min="15353" max="15353" width="9.81640625" style="21" customWidth="1"/>
    <col min="15354" max="15354" width="14.453125" style="21" customWidth="1"/>
    <col min="15355" max="15355" width="7.26953125" style="21" customWidth="1"/>
    <col min="15356" max="15356" width="5.54296875" style="21" customWidth="1"/>
    <col min="15357" max="15357" width="9" style="21" customWidth="1"/>
    <col min="15358" max="15359" width="9.81640625" style="21" customWidth="1"/>
    <col min="15360" max="15360" width="11.1796875" style="21" customWidth="1"/>
    <col min="15361" max="15361" width="2.81640625" style="21" customWidth="1"/>
    <col min="15362" max="15362" width="3.54296875" style="21" customWidth="1"/>
    <col min="15363" max="15607" width="9.1796875" style="21"/>
    <col min="15608" max="15608" width="8.7265625" style="21" customWidth="1"/>
    <col min="15609" max="15609" width="9.81640625" style="21" customWidth="1"/>
    <col min="15610" max="15610" width="14.453125" style="21" customWidth="1"/>
    <col min="15611" max="15611" width="7.26953125" style="21" customWidth="1"/>
    <col min="15612" max="15612" width="5.54296875" style="21" customWidth="1"/>
    <col min="15613" max="15613" width="9" style="21" customWidth="1"/>
    <col min="15614" max="15615" width="9.81640625" style="21" customWidth="1"/>
    <col min="15616" max="15616" width="11.1796875" style="21" customWidth="1"/>
    <col min="15617" max="15617" width="2.81640625" style="21" customWidth="1"/>
    <col min="15618" max="15618" width="3.54296875" style="21" customWidth="1"/>
    <col min="15619" max="15863" width="9.1796875" style="21"/>
    <col min="15864" max="15864" width="8.7265625" style="21" customWidth="1"/>
    <col min="15865" max="15865" width="9.81640625" style="21" customWidth="1"/>
    <col min="15866" max="15866" width="14.453125" style="21" customWidth="1"/>
    <col min="15867" max="15867" width="7.26953125" style="21" customWidth="1"/>
    <col min="15868" max="15868" width="5.54296875" style="21" customWidth="1"/>
    <col min="15869" max="15869" width="9" style="21" customWidth="1"/>
    <col min="15870" max="15871" width="9.81640625" style="21" customWidth="1"/>
    <col min="15872" max="15872" width="11.1796875" style="21" customWidth="1"/>
    <col min="15873" max="15873" width="2.81640625" style="21" customWidth="1"/>
    <col min="15874" max="15874" width="3.54296875" style="21" customWidth="1"/>
    <col min="15875" max="16119" width="9.1796875" style="21"/>
    <col min="16120" max="16120" width="8.7265625" style="21" customWidth="1"/>
    <col min="16121" max="16121" width="9.81640625" style="21" customWidth="1"/>
    <col min="16122" max="16122" width="14.453125" style="21" customWidth="1"/>
    <col min="16123" max="16123" width="7.26953125" style="21" customWidth="1"/>
    <col min="16124" max="16124" width="5.54296875" style="21" customWidth="1"/>
    <col min="16125" max="16125" width="9" style="21" customWidth="1"/>
    <col min="16126" max="16127" width="9.81640625" style="21" customWidth="1"/>
    <col min="16128" max="16128" width="11.1796875" style="21" customWidth="1"/>
    <col min="16129" max="16129" width="2.81640625" style="21" customWidth="1"/>
    <col min="16130" max="16130" width="3.54296875" style="21" customWidth="1"/>
    <col min="16131" max="16384" width="9.1796875" style="21"/>
  </cols>
  <sheetData>
    <row r="1" spans="1:8" ht="46.5" customHeight="1" x14ac:dyDescent="0.35">
      <c r="A1" s="194" t="s">
        <v>161</v>
      </c>
      <c r="B1" s="194"/>
      <c r="C1" s="194"/>
      <c r="D1" s="194"/>
      <c r="E1" s="194"/>
      <c r="F1" s="194"/>
      <c r="G1" s="194"/>
      <c r="H1" s="194"/>
    </row>
    <row r="2" spans="1:8" ht="16.5" customHeight="1" x14ac:dyDescent="0.35">
      <c r="A2" s="74" t="s">
        <v>0</v>
      </c>
      <c r="B2" s="74"/>
      <c r="C2" s="74"/>
      <c r="D2" s="74"/>
      <c r="E2" s="74"/>
      <c r="F2" s="74"/>
      <c r="G2" s="74"/>
      <c r="H2" s="74"/>
    </row>
    <row r="3" spans="1:8" x14ac:dyDescent="0.35">
      <c r="A3" s="165" t="s">
        <v>1</v>
      </c>
      <c r="B3" s="165"/>
      <c r="C3" s="165"/>
      <c r="D3" s="165"/>
      <c r="E3" s="165" t="str">
        <f ca="1">TEXT(TODAY(),"DD/MM/YYYY")</f>
        <v>19/08/2025</v>
      </c>
      <c r="F3" s="165"/>
      <c r="G3" s="165"/>
      <c r="H3" s="165"/>
    </row>
    <row r="4" spans="1:8" ht="15" customHeight="1" x14ac:dyDescent="0.35">
      <c r="A4" s="165" t="s">
        <v>2</v>
      </c>
      <c r="B4" s="165"/>
      <c r="C4" s="165"/>
      <c r="D4" s="165"/>
      <c r="E4" s="165" t="s">
        <v>171</v>
      </c>
      <c r="F4" s="165"/>
      <c r="G4" s="165"/>
      <c r="H4" s="165"/>
    </row>
    <row r="5" spans="1:8" x14ac:dyDescent="0.35">
      <c r="A5" s="165" t="s">
        <v>3</v>
      </c>
      <c r="B5" s="165"/>
      <c r="C5" s="165"/>
      <c r="D5" s="165"/>
      <c r="E5" s="195">
        <v>45880</v>
      </c>
      <c r="F5" s="165"/>
      <c r="G5" s="165"/>
      <c r="H5" s="165"/>
    </row>
    <row r="6" spans="1:8" ht="16.5" customHeight="1" x14ac:dyDescent="0.35">
      <c r="A6" s="165" t="s">
        <v>4</v>
      </c>
      <c r="B6" s="165"/>
      <c r="C6" s="165"/>
      <c r="D6" s="165"/>
      <c r="E6" s="165" t="s">
        <v>172</v>
      </c>
      <c r="F6" s="165"/>
      <c r="G6" s="165"/>
      <c r="H6" s="165"/>
    </row>
    <row r="7" spans="1:8" ht="15" customHeight="1" x14ac:dyDescent="0.35">
      <c r="A7" s="165" t="s">
        <v>5</v>
      </c>
      <c r="B7" s="165"/>
      <c r="C7" s="165"/>
      <c r="D7" s="165"/>
      <c r="E7" s="165" t="str">
        <f>E6</f>
        <v>Vihang Enterprises</v>
      </c>
      <c r="F7" s="165"/>
      <c r="G7" s="165"/>
      <c r="H7" s="165"/>
    </row>
    <row r="8" spans="1:8" x14ac:dyDescent="0.35">
      <c r="A8" s="165" t="s">
        <v>6</v>
      </c>
      <c r="B8" s="165"/>
      <c r="C8" s="165"/>
      <c r="D8" s="165"/>
      <c r="E8" s="123" t="s">
        <v>173</v>
      </c>
      <c r="F8" s="123"/>
      <c r="G8" s="123"/>
      <c r="H8" s="123"/>
    </row>
    <row r="9" spans="1:8" x14ac:dyDescent="0.35">
      <c r="A9" s="165" t="s">
        <v>164</v>
      </c>
      <c r="B9" s="165"/>
      <c r="C9" s="165"/>
      <c r="D9" s="165"/>
      <c r="E9" s="165">
        <v>8424964646</v>
      </c>
      <c r="F9" s="165"/>
      <c r="G9" s="165"/>
      <c r="H9" s="165"/>
    </row>
    <row r="10" spans="1:8" x14ac:dyDescent="0.35">
      <c r="A10" s="165" t="s">
        <v>165</v>
      </c>
      <c r="B10" s="165"/>
      <c r="C10" s="165"/>
      <c r="D10" s="165"/>
      <c r="E10" s="165" t="s">
        <v>267</v>
      </c>
      <c r="F10" s="165"/>
      <c r="G10" s="165"/>
      <c r="H10" s="165"/>
    </row>
    <row r="11" spans="1:8" x14ac:dyDescent="0.35">
      <c r="A11" s="165" t="s">
        <v>7</v>
      </c>
      <c r="B11" s="165"/>
      <c r="C11" s="165"/>
      <c r="D11" s="165"/>
      <c r="E11" s="165" t="s">
        <v>255</v>
      </c>
      <c r="F11" s="165"/>
      <c r="G11" s="165"/>
      <c r="H11" s="165"/>
    </row>
    <row r="12" spans="1:8" x14ac:dyDescent="0.35">
      <c r="A12" s="165" t="s">
        <v>166</v>
      </c>
      <c r="B12" s="165"/>
      <c r="C12" s="165"/>
      <c r="D12" s="165"/>
      <c r="E12" s="165" t="s">
        <v>29</v>
      </c>
      <c r="F12" s="165"/>
      <c r="G12" s="165"/>
      <c r="H12" s="165"/>
    </row>
    <row r="13" spans="1:8" x14ac:dyDescent="0.35">
      <c r="A13" s="126" t="s">
        <v>8</v>
      </c>
      <c r="B13" s="126"/>
      <c r="C13" s="126"/>
      <c r="D13" s="126"/>
      <c r="E13" s="164" t="s">
        <v>195</v>
      </c>
      <c r="F13" s="164"/>
      <c r="G13" s="164"/>
      <c r="H13" s="164"/>
    </row>
    <row r="14" spans="1:8" x14ac:dyDescent="0.35">
      <c r="A14" s="126" t="s">
        <v>9</v>
      </c>
      <c r="B14" s="126"/>
      <c r="C14" s="126"/>
      <c r="D14" s="126"/>
      <c r="E14" s="171" t="s">
        <v>174</v>
      </c>
      <c r="F14" s="172"/>
      <c r="G14" s="172"/>
      <c r="H14" s="172"/>
    </row>
    <row r="15" spans="1:8" ht="112.5" customHeight="1" x14ac:dyDescent="0.35">
      <c r="A15" s="182" t="s">
        <v>10</v>
      </c>
      <c r="B15" s="182"/>
      <c r="C15" s="182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Vihang Woods, Survey No.91/1/1A, 91/1/2B, 91/1/3C, 91/2A, 91/2B, 91/2C, 102/1, 102/2A, 102/2B, 102/2C, 102/3A, 102/3B, 103/1, 103/2, 103/3A, 103/3B, 103/4103/5B/1, 103/5B/2, 104/7A, 104/7B, 104/7C, 104/8A, 104/8B, 104/8C, 104/11A, 104/11B, 104/11C,109/29A, 109/29B, 109/29C, 109/29D, 109/30/1A, 109/30/1B, 109/30/4A, 109/30/4B, 109/33, 109/34, 104/8D, 91/2D, 99/1, 99/2A, 99/2B, 100/30B, 100/30B &amp; 100/30C, near Godrej Emerald, Bhatti Road, Gaimukh Gaon, Bhayandarpada, Thane West, Thane, Thane - 400615.</v>
      </c>
      <c r="D15" s="182"/>
      <c r="E15" s="182"/>
      <c r="F15" s="182"/>
      <c r="G15" s="182"/>
      <c r="H15" s="182"/>
    </row>
    <row r="16" spans="1:8" ht="93.75" customHeight="1" x14ac:dyDescent="0.35">
      <c r="A16" s="171" t="s">
        <v>170</v>
      </c>
      <c r="B16" s="171"/>
      <c r="C16" s="171" t="s">
        <v>236</v>
      </c>
      <c r="D16" s="171"/>
      <c r="E16" s="171"/>
      <c r="F16" s="171"/>
      <c r="G16" s="171"/>
      <c r="H16" s="171"/>
    </row>
    <row r="17" spans="1:8" ht="15.75" customHeight="1" x14ac:dyDescent="0.35">
      <c r="A17" s="164" t="s">
        <v>159</v>
      </c>
      <c r="B17" s="164"/>
      <c r="C17" s="164" t="s">
        <v>186</v>
      </c>
      <c r="D17" s="164"/>
      <c r="E17" s="164"/>
      <c r="F17" s="164"/>
      <c r="G17" s="164"/>
      <c r="H17" s="164"/>
    </row>
    <row r="18" spans="1:8" ht="15.75" customHeight="1" x14ac:dyDescent="0.35">
      <c r="A18" s="182" t="s">
        <v>11</v>
      </c>
      <c r="B18" s="182"/>
      <c r="C18" s="165" t="s">
        <v>218</v>
      </c>
      <c r="D18" s="165"/>
      <c r="E18" s="182" t="s">
        <v>70</v>
      </c>
      <c r="F18" s="182"/>
      <c r="G18" s="164" t="s">
        <v>230</v>
      </c>
      <c r="H18" s="164"/>
    </row>
    <row r="19" spans="1:8" x14ac:dyDescent="0.35">
      <c r="A19" s="126" t="s">
        <v>13</v>
      </c>
      <c r="B19" s="126"/>
      <c r="C19" s="164" t="s">
        <v>224</v>
      </c>
      <c r="D19" s="164"/>
      <c r="E19" s="182" t="s">
        <v>12</v>
      </c>
      <c r="F19" s="182"/>
      <c r="G19" s="196" t="s">
        <v>175</v>
      </c>
      <c r="H19" s="196"/>
    </row>
    <row r="20" spans="1:8" x14ac:dyDescent="0.35">
      <c r="A20" s="126" t="s">
        <v>71</v>
      </c>
      <c r="B20" s="126"/>
      <c r="C20" s="164" t="s">
        <v>175</v>
      </c>
      <c r="D20" s="164"/>
      <c r="E20" s="182" t="s">
        <v>14</v>
      </c>
      <c r="F20" s="182"/>
      <c r="G20" s="164">
        <v>400615</v>
      </c>
      <c r="H20" s="164"/>
    </row>
    <row r="21" spans="1:8" ht="32.25" customHeight="1" x14ac:dyDescent="0.35">
      <c r="A21" s="126" t="s">
        <v>118</v>
      </c>
      <c r="B21" s="126"/>
      <c r="C21" s="164" t="s">
        <v>219</v>
      </c>
      <c r="D21" s="164"/>
      <c r="E21" s="182" t="s">
        <v>15</v>
      </c>
      <c r="F21" s="182"/>
      <c r="G21" s="171" t="s">
        <v>223</v>
      </c>
      <c r="H21" s="171"/>
    </row>
    <row r="22" spans="1:8" ht="15" customHeight="1" x14ac:dyDescent="0.35">
      <c r="A22" s="182" t="s">
        <v>73</v>
      </c>
      <c r="B22" s="182"/>
      <c r="C22" s="182"/>
      <c r="D22" s="182"/>
      <c r="E22" s="165" t="s">
        <v>16</v>
      </c>
      <c r="F22" s="165"/>
      <c r="G22" s="165"/>
      <c r="H22" s="165"/>
    </row>
    <row r="23" spans="1:8" ht="18.75" customHeight="1" x14ac:dyDescent="0.35">
      <c r="A23" s="182"/>
      <c r="B23" s="182"/>
      <c r="C23" s="182"/>
      <c r="D23" s="182"/>
      <c r="E23" s="165"/>
      <c r="F23" s="165"/>
      <c r="G23" s="165"/>
      <c r="H23" s="165"/>
    </row>
    <row r="24" spans="1:8" ht="15" customHeight="1" x14ac:dyDescent="0.35">
      <c r="A24" s="182" t="s">
        <v>17</v>
      </c>
      <c r="B24" s="182"/>
      <c r="C24" s="182"/>
      <c r="D24" s="182"/>
      <c r="E24" s="164" t="s">
        <v>18</v>
      </c>
      <c r="F24" s="164"/>
      <c r="G24" s="164"/>
      <c r="H24" s="164"/>
    </row>
    <row r="25" spans="1:8" ht="15" customHeight="1" x14ac:dyDescent="0.35">
      <c r="A25" s="126" t="s">
        <v>19</v>
      </c>
      <c r="B25" s="126"/>
      <c r="C25" s="126"/>
      <c r="D25" s="126"/>
      <c r="E25" s="164" t="str">
        <f>IF(AND(G19="Mumbai"),"Upper Class","Middle Class")</f>
        <v>Middle Class</v>
      </c>
      <c r="F25" s="164"/>
      <c r="G25" s="164"/>
      <c r="H25" s="164"/>
    </row>
    <row r="26" spans="1:8" x14ac:dyDescent="0.35">
      <c r="A26" s="126" t="s">
        <v>20</v>
      </c>
      <c r="B26" s="126"/>
      <c r="C26" s="126"/>
      <c r="D26" s="126"/>
      <c r="E26" s="164" t="s">
        <v>21</v>
      </c>
      <c r="F26" s="164"/>
      <c r="G26" s="164"/>
      <c r="H26" s="164"/>
    </row>
    <row r="27" spans="1:8" ht="15.75" customHeight="1" x14ac:dyDescent="0.35">
      <c r="A27" s="126" t="s">
        <v>22</v>
      </c>
      <c r="B27" s="126"/>
      <c r="C27" s="126"/>
      <c r="D27" s="126"/>
      <c r="E27" s="164" t="str">
        <f>IF(AND(G19="Mumbai"),"Developed","Developing")</f>
        <v>Developing</v>
      </c>
      <c r="F27" s="164"/>
      <c r="G27" s="164"/>
      <c r="H27" s="164"/>
    </row>
    <row r="28" spans="1:8" x14ac:dyDescent="0.35">
      <c r="A28" s="126" t="s">
        <v>23</v>
      </c>
      <c r="B28" s="126"/>
      <c r="C28" s="126"/>
      <c r="D28" s="126"/>
      <c r="E28" s="164" t="s">
        <v>24</v>
      </c>
      <c r="F28" s="164"/>
      <c r="G28" s="164"/>
      <c r="H28" s="164"/>
    </row>
    <row r="29" spans="1:8" ht="15.75" customHeight="1" x14ac:dyDescent="0.35">
      <c r="A29" s="126" t="s">
        <v>78</v>
      </c>
      <c r="B29" s="126"/>
      <c r="C29" s="126"/>
      <c r="D29" s="126"/>
      <c r="E29" s="164" t="s">
        <v>79</v>
      </c>
      <c r="F29" s="164"/>
      <c r="G29" s="164"/>
      <c r="H29" s="164"/>
    </row>
    <row r="30" spans="1:8" ht="15" customHeight="1" x14ac:dyDescent="0.35">
      <c r="A30" s="126" t="s">
        <v>32</v>
      </c>
      <c r="B30" s="126"/>
      <c r="C30" s="126"/>
      <c r="D30" s="126"/>
      <c r="E30" s="164" t="str">
        <f>IF(AND(ISNUMBER(SEARCH("Flat",D59)),ISNUMBER(SEARCH("Shop",D59)),ISNUMBER(SEARCH("Office",D59))),"Residential + Commercial",IF(AND(ISNUMBER(SEARCH("Flat",D59)),ISNUMBER(SEARCH("Shop",D59))),"Residential + Commercial",IF(AND(ISNUMBER(SEARCH("Flat",D59)),ISNUMBER(SEARCH("Office",D59))),"Residential + Commercial",IF(AND(ISNUMBER(SEARCH("Shop",D59)),ISNUMBER(SEARCH("Office",D59))),"Commercial",IF(ISNUMBER(SEARCH("Shop",D59)),"Commercial",IF(ISNUMBER(SEARCH("Office",D59)),"Commercial",IF(ISNUMBER(SEARCH("Flat",D59)),"Residential")))))))</f>
        <v>Residential + Commercial</v>
      </c>
      <c r="F30" s="164"/>
      <c r="G30" s="164"/>
      <c r="H30" s="164"/>
    </row>
    <row r="31" spans="1:8" ht="15.75" customHeight="1" x14ac:dyDescent="0.35">
      <c r="A31" s="126" t="s">
        <v>88</v>
      </c>
      <c r="B31" s="126"/>
      <c r="C31" s="126"/>
      <c r="D31" s="126"/>
      <c r="E31" s="164" t="s">
        <v>33</v>
      </c>
      <c r="F31" s="164"/>
      <c r="G31" s="164"/>
      <c r="H31" s="164"/>
    </row>
    <row r="32" spans="1:8" s="22" customFormat="1" x14ac:dyDescent="0.35">
      <c r="A32" s="207" t="s">
        <v>89</v>
      </c>
      <c r="B32" s="207"/>
      <c r="C32" s="201" t="s">
        <v>167</v>
      </c>
      <c r="D32" s="202"/>
      <c r="E32" s="203"/>
      <c r="F32" s="201" t="s">
        <v>30</v>
      </c>
      <c r="G32" s="202"/>
      <c r="H32" s="203"/>
    </row>
    <row r="33" spans="1:9" s="22" customFormat="1" x14ac:dyDescent="0.35">
      <c r="A33" s="206" t="s">
        <v>25</v>
      </c>
      <c r="B33" s="206" t="s">
        <v>29</v>
      </c>
      <c r="C33" s="193" t="s">
        <v>238</v>
      </c>
      <c r="D33" s="191"/>
      <c r="E33" s="192"/>
      <c r="F33" s="193" t="s">
        <v>239</v>
      </c>
      <c r="G33" s="191"/>
      <c r="H33" s="192"/>
    </row>
    <row r="34" spans="1:9" x14ac:dyDescent="0.35">
      <c r="A34" s="206" t="s">
        <v>26</v>
      </c>
      <c r="B34" s="206" t="s">
        <v>29</v>
      </c>
      <c r="C34" s="193" t="s">
        <v>222</v>
      </c>
      <c r="D34" s="191"/>
      <c r="E34" s="192"/>
      <c r="F34" s="190" t="s">
        <v>225</v>
      </c>
      <c r="G34" s="191"/>
      <c r="H34" s="192"/>
    </row>
    <row r="35" spans="1:9" s="22" customFormat="1" x14ac:dyDescent="0.35">
      <c r="A35" s="197" t="s">
        <v>28</v>
      </c>
      <c r="B35" s="197" t="s">
        <v>29</v>
      </c>
      <c r="C35" s="198" t="s">
        <v>221</v>
      </c>
      <c r="D35" s="199"/>
      <c r="E35" s="200"/>
      <c r="F35" s="190" t="s">
        <v>185</v>
      </c>
      <c r="G35" s="204"/>
      <c r="H35" s="205"/>
    </row>
    <row r="36" spans="1:9" x14ac:dyDescent="0.35">
      <c r="A36" s="197" t="s">
        <v>27</v>
      </c>
      <c r="B36" s="197" t="s">
        <v>29</v>
      </c>
      <c r="C36" s="208" t="s">
        <v>220</v>
      </c>
      <c r="D36" s="209"/>
      <c r="E36" s="210"/>
      <c r="F36" s="193" t="s">
        <v>219</v>
      </c>
      <c r="G36" s="191"/>
      <c r="H36" s="192"/>
    </row>
    <row r="37" spans="1:9" x14ac:dyDescent="0.35">
      <c r="A37" s="126" t="s">
        <v>31</v>
      </c>
      <c r="B37" s="126"/>
      <c r="C37" s="126"/>
      <c r="D37" s="126"/>
      <c r="E37" s="126"/>
      <c r="F37" s="126"/>
      <c r="G37" s="126"/>
      <c r="H37" s="126"/>
    </row>
    <row r="38" spans="1:9" ht="15.75" customHeight="1" x14ac:dyDescent="0.35">
      <c r="A38" s="126" t="s">
        <v>162</v>
      </c>
      <c r="B38" s="126"/>
      <c r="C38" s="211" t="s">
        <v>198</v>
      </c>
      <c r="D38" s="211"/>
      <c r="E38" s="211"/>
      <c r="F38" s="211"/>
      <c r="G38" s="211"/>
      <c r="H38" s="211"/>
    </row>
    <row r="39" spans="1:9" x14ac:dyDescent="0.35">
      <c r="A39" s="126" t="s">
        <v>158</v>
      </c>
      <c r="B39" s="126"/>
      <c r="C39" s="227" t="s">
        <v>199</v>
      </c>
      <c r="D39" s="164"/>
      <c r="E39" s="164"/>
      <c r="F39" s="164"/>
      <c r="G39" s="164"/>
      <c r="H39" s="164"/>
    </row>
    <row r="40" spans="1:9" x14ac:dyDescent="0.35">
      <c r="A40" s="211" t="s">
        <v>34</v>
      </c>
      <c r="B40" s="211"/>
      <c r="C40" s="211"/>
      <c r="D40" s="211"/>
      <c r="E40" s="212"/>
      <c r="F40" s="212"/>
      <c r="G40" s="212"/>
      <c r="H40" s="212"/>
    </row>
    <row r="41" spans="1:9" x14ac:dyDescent="0.35">
      <c r="A41" s="126" t="s">
        <v>35</v>
      </c>
      <c r="B41" s="126"/>
      <c r="C41" s="126"/>
      <c r="D41" s="156"/>
      <c r="E41" s="145">
        <v>41431.519999999997</v>
      </c>
      <c r="F41" s="146"/>
      <c r="G41" s="146"/>
      <c r="H41" s="147"/>
      <c r="I41" s="62"/>
    </row>
    <row r="42" spans="1:9" x14ac:dyDescent="0.35">
      <c r="A42" s="126" t="s">
        <v>36</v>
      </c>
      <c r="B42" s="126"/>
      <c r="C42" s="126"/>
      <c r="D42" s="156"/>
      <c r="E42" s="145">
        <v>1.1000000000000001</v>
      </c>
      <c r="F42" s="146"/>
      <c r="G42" s="146"/>
      <c r="H42" s="147"/>
    </row>
    <row r="43" spans="1:9" x14ac:dyDescent="0.35">
      <c r="A43" s="126" t="s">
        <v>37</v>
      </c>
      <c r="B43" s="126"/>
      <c r="C43" s="126"/>
      <c r="D43" s="156"/>
      <c r="E43" s="223">
        <f>E45/E41-E42</f>
        <v>1.9923294631720005</v>
      </c>
      <c r="F43" s="224"/>
      <c r="G43" s="224"/>
      <c r="H43" s="225"/>
    </row>
    <row r="44" spans="1:9" x14ac:dyDescent="0.35">
      <c r="A44" s="126" t="s">
        <v>38</v>
      </c>
      <c r="B44" s="126"/>
      <c r="C44" s="126"/>
      <c r="D44" s="156"/>
      <c r="E44" s="223">
        <f>E42+E43</f>
        <v>3.0923294631720006</v>
      </c>
      <c r="F44" s="224"/>
      <c r="G44" s="224"/>
      <c r="H44" s="225"/>
    </row>
    <row r="45" spans="1:9" x14ac:dyDescent="0.35">
      <c r="A45" s="126" t="s">
        <v>87</v>
      </c>
      <c r="B45" s="126"/>
      <c r="C45" s="126"/>
      <c r="D45" s="156"/>
      <c r="E45" s="145">
        <v>128119.91</v>
      </c>
      <c r="F45" s="146"/>
      <c r="G45" s="146"/>
      <c r="H45" s="147"/>
      <c r="I45" s="62"/>
    </row>
    <row r="46" spans="1:9" x14ac:dyDescent="0.35">
      <c r="A46" s="165" t="s">
        <v>39</v>
      </c>
      <c r="B46" s="165"/>
      <c r="C46" s="165"/>
      <c r="D46" s="230"/>
      <c r="E46" s="172" t="s">
        <v>237</v>
      </c>
      <c r="F46" s="172"/>
      <c r="G46" s="172"/>
      <c r="H46" s="172"/>
    </row>
    <row r="47" spans="1:9" x14ac:dyDescent="0.35">
      <c r="A47" s="211" t="s">
        <v>40</v>
      </c>
      <c r="B47" s="211"/>
      <c r="C47" s="211"/>
      <c r="D47" s="211"/>
      <c r="E47" s="211"/>
      <c r="F47" s="211"/>
      <c r="G47" s="211"/>
      <c r="H47" s="211"/>
    </row>
    <row r="48" spans="1:9" ht="30.75" customHeight="1" x14ac:dyDescent="0.35">
      <c r="A48" s="157" t="s">
        <v>147</v>
      </c>
      <c r="B48" s="158"/>
      <c r="C48" s="238" t="s">
        <v>176</v>
      </c>
      <c r="D48" s="239"/>
      <c r="E48" s="239"/>
      <c r="F48" s="239"/>
      <c r="G48" s="239"/>
      <c r="H48" s="240"/>
    </row>
    <row r="49" spans="1:14" ht="30.75" customHeight="1" x14ac:dyDescent="0.35">
      <c r="A49" s="157" t="s">
        <v>41</v>
      </c>
      <c r="B49" s="158"/>
      <c r="C49" s="157" t="s">
        <v>226</v>
      </c>
      <c r="D49" s="159"/>
      <c r="E49" s="158"/>
      <c r="F49" s="18" t="s">
        <v>42</v>
      </c>
      <c r="G49" s="107" t="s">
        <v>264</v>
      </c>
      <c r="H49" s="158"/>
    </row>
    <row r="50" spans="1:14" ht="30.75" customHeight="1" x14ac:dyDescent="0.35">
      <c r="A50" s="157" t="s">
        <v>231</v>
      </c>
      <c r="B50" s="158"/>
      <c r="C50" s="157" t="str">
        <f>C49</f>
        <v>S06/0084/10/TMC/TD-DP/TPS 4447/23</v>
      </c>
      <c r="D50" s="159"/>
      <c r="E50" s="158"/>
      <c r="F50" s="18" t="s">
        <v>42</v>
      </c>
      <c r="G50" s="107" t="str">
        <f>G49</f>
        <v>21/07/2023.</v>
      </c>
      <c r="H50" s="158"/>
    </row>
    <row r="51" spans="1:14" s="23" customFormat="1" ht="34.5" customHeight="1" x14ac:dyDescent="0.35">
      <c r="A51" s="174" t="s">
        <v>232</v>
      </c>
      <c r="B51" s="175"/>
      <c r="C51" s="157" t="s">
        <v>200</v>
      </c>
      <c r="D51" s="159"/>
      <c r="E51" s="158"/>
      <c r="F51" s="18" t="s">
        <v>42</v>
      </c>
      <c r="G51" s="107" t="str">
        <f>G50</f>
        <v>21/07/2023.</v>
      </c>
      <c r="H51" s="158"/>
    </row>
    <row r="52" spans="1:14" s="23" customFormat="1" x14ac:dyDescent="0.35">
      <c r="A52" s="176"/>
      <c r="B52" s="177"/>
      <c r="C52" s="157" t="s">
        <v>257</v>
      </c>
      <c r="D52" s="159"/>
      <c r="E52" s="159"/>
      <c r="F52" s="159"/>
      <c r="G52" s="159"/>
      <c r="H52" s="158"/>
    </row>
    <row r="53" spans="1:14" ht="30.75" customHeight="1" x14ac:dyDescent="0.35">
      <c r="A53" s="157" t="s">
        <v>233</v>
      </c>
      <c r="B53" s="158"/>
      <c r="C53" s="157" t="s">
        <v>235</v>
      </c>
      <c r="D53" s="159"/>
      <c r="E53" s="158"/>
      <c r="F53" s="18" t="s">
        <v>42</v>
      </c>
      <c r="G53" s="107" t="s">
        <v>265</v>
      </c>
      <c r="H53" s="108"/>
    </row>
    <row r="54" spans="1:14" s="23" customFormat="1" ht="30.75" customHeight="1" x14ac:dyDescent="0.35">
      <c r="A54" s="174" t="s">
        <v>234</v>
      </c>
      <c r="B54" s="175"/>
      <c r="C54" s="157" t="s">
        <v>253</v>
      </c>
      <c r="D54" s="159"/>
      <c r="E54" s="158"/>
      <c r="F54" s="18" t="s">
        <v>42</v>
      </c>
      <c r="G54" s="107" t="s">
        <v>265</v>
      </c>
      <c r="H54" s="108"/>
    </row>
    <row r="55" spans="1:14" s="23" customFormat="1" x14ac:dyDescent="0.35">
      <c r="A55" s="176"/>
      <c r="B55" s="177"/>
      <c r="C55" s="157" t="s">
        <v>258</v>
      </c>
      <c r="D55" s="159"/>
      <c r="E55" s="159"/>
      <c r="F55" s="159"/>
      <c r="G55" s="159"/>
      <c r="H55" s="158"/>
    </row>
    <row r="56" spans="1:14" x14ac:dyDescent="0.35">
      <c r="A56" s="160" t="s">
        <v>43</v>
      </c>
      <c r="B56" s="162"/>
      <c r="C56" s="160" t="s">
        <v>101</v>
      </c>
      <c r="D56" s="161"/>
      <c r="E56" s="162"/>
      <c r="F56" s="44" t="s">
        <v>42</v>
      </c>
      <c r="G56" s="169" t="s">
        <v>29</v>
      </c>
      <c r="H56" s="170"/>
    </row>
    <row r="57" spans="1:14" x14ac:dyDescent="0.35">
      <c r="A57" s="163" t="s">
        <v>45</v>
      </c>
      <c r="B57" s="163"/>
      <c r="C57" s="163"/>
      <c r="D57" s="163"/>
      <c r="E57" s="163"/>
      <c r="F57" s="163"/>
      <c r="G57" s="163"/>
      <c r="H57" s="163"/>
    </row>
    <row r="58" spans="1:14" x14ac:dyDescent="0.35">
      <c r="A58" s="156" t="s">
        <v>240</v>
      </c>
      <c r="B58" s="178"/>
      <c r="C58" s="179"/>
      <c r="D58" s="156">
        <f>22868.97</f>
        <v>22868.97</v>
      </c>
      <c r="E58" s="178"/>
      <c r="F58" s="178"/>
      <c r="G58" s="178"/>
      <c r="H58" s="179"/>
      <c r="I58" s="21" t="s">
        <v>254</v>
      </c>
    </row>
    <row r="59" spans="1:14" x14ac:dyDescent="0.35">
      <c r="A59" s="164" t="s">
        <v>46</v>
      </c>
      <c r="B59" s="165"/>
      <c r="C59" s="165"/>
      <c r="D59" s="166" t="s">
        <v>251</v>
      </c>
      <c r="E59" s="167"/>
      <c r="F59" s="167"/>
      <c r="G59" s="167"/>
      <c r="H59" s="168"/>
      <c r="I59" s="24"/>
    </row>
    <row r="60" spans="1:14" ht="33" customHeight="1" x14ac:dyDescent="0.35">
      <c r="A60" s="115" t="s">
        <v>47</v>
      </c>
      <c r="B60" s="116"/>
      <c r="C60" s="173"/>
      <c r="D60" s="171" t="s">
        <v>241</v>
      </c>
      <c r="E60" s="172"/>
      <c r="F60" s="172"/>
      <c r="G60" s="172"/>
      <c r="H60" s="172"/>
    </row>
    <row r="61" spans="1:14" ht="16.5" customHeight="1" x14ac:dyDescent="0.35">
      <c r="A61" s="164" t="s">
        <v>201</v>
      </c>
      <c r="B61" s="164"/>
      <c r="C61" s="164"/>
      <c r="D61" s="171" t="s">
        <v>242</v>
      </c>
      <c r="E61" s="171"/>
      <c r="F61" s="171"/>
      <c r="G61" s="171"/>
      <c r="H61" s="171"/>
    </row>
    <row r="62" spans="1:14" ht="16.5" customHeight="1" x14ac:dyDescent="0.35">
      <c r="A62" s="164"/>
      <c r="B62" s="164"/>
      <c r="C62" s="164"/>
      <c r="D62" s="171" t="s">
        <v>202</v>
      </c>
      <c r="E62" s="171"/>
      <c r="F62" s="171"/>
      <c r="G62" s="171"/>
      <c r="H62" s="171"/>
    </row>
    <row r="63" spans="1:14" ht="17.25" customHeight="1" x14ac:dyDescent="0.35">
      <c r="A63" s="164"/>
      <c r="B63" s="164"/>
      <c r="C63" s="164"/>
      <c r="D63" s="171" t="s">
        <v>203</v>
      </c>
      <c r="E63" s="171"/>
      <c r="F63" s="171"/>
      <c r="G63" s="171"/>
      <c r="H63" s="171"/>
    </row>
    <row r="64" spans="1:14" ht="15.75" customHeight="1" x14ac:dyDescent="0.35">
      <c r="A64" s="126" t="s">
        <v>44</v>
      </c>
      <c r="B64" s="126"/>
      <c r="C64" s="126"/>
      <c r="D64" s="182" t="s">
        <v>177</v>
      </c>
      <c r="E64" s="182"/>
      <c r="F64" s="182"/>
      <c r="G64" s="182"/>
      <c r="H64" s="182"/>
      <c r="J64" s="25"/>
      <c r="K64" s="24"/>
      <c r="N64" s="24"/>
    </row>
    <row r="65" spans="1:14" ht="15.75" customHeight="1" x14ac:dyDescent="0.35">
      <c r="A65" s="126" t="s">
        <v>84</v>
      </c>
      <c r="B65" s="126"/>
      <c r="C65" s="126"/>
      <c r="D65" s="222" t="str">
        <f>(IF(G56="NA","60 Years After Completion",IF(G56&lt;&gt;"NA",""&amp;60-ROUNDDOWN((E3-G56)/360,0)&amp;" Years"," ")))</f>
        <v>60 Years After Completion</v>
      </c>
      <c r="E65" s="222"/>
      <c r="F65" s="222"/>
      <c r="G65" s="222"/>
      <c r="H65" s="222"/>
      <c r="N65" s="24"/>
    </row>
    <row r="66" spans="1:14" ht="15.75" customHeight="1" x14ac:dyDescent="0.35">
      <c r="A66" s="126" t="s">
        <v>85</v>
      </c>
      <c r="B66" s="126"/>
      <c r="C66" s="126"/>
      <c r="D66" s="182" t="s">
        <v>24</v>
      </c>
      <c r="E66" s="182"/>
      <c r="F66" s="182"/>
      <c r="G66" s="182"/>
      <c r="H66" s="182"/>
      <c r="J66" s="26"/>
      <c r="K66" s="26"/>
    </row>
    <row r="67" spans="1:14" ht="49.5" customHeight="1" x14ac:dyDescent="0.35">
      <c r="A67" s="126" t="s">
        <v>72</v>
      </c>
      <c r="B67" s="126"/>
      <c r="C67" s="126"/>
      <c r="D67" s="164" t="s">
        <v>252</v>
      </c>
      <c r="E67" s="182"/>
      <c r="F67" s="182"/>
      <c r="G67" s="182"/>
      <c r="H67" s="182"/>
      <c r="I67" s="56" t="s">
        <v>189</v>
      </c>
    </row>
    <row r="68" spans="1:14" x14ac:dyDescent="0.35">
      <c r="A68" s="182" t="s">
        <v>144</v>
      </c>
      <c r="B68" s="182"/>
      <c r="C68" s="182"/>
      <c r="D68" s="182" t="s">
        <v>29</v>
      </c>
      <c r="E68" s="182"/>
      <c r="F68" s="182"/>
      <c r="G68" s="182"/>
      <c r="H68" s="182"/>
      <c r="I68" s="27"/>
      <c r="J68" s="27"/>
      <c r="K68" s="27"/>
      <c r="L68" s="27"/>
      <c r="M68" s="27"/>
      <c r="N68" s="27"/>
    </row>
    <row r="69" spans="1:14" ht="15.75" customHeight="1" x14ac:dyDescent="0.35">
      <c r="A69" s="109" t="s">
        <v>83</v>
      </c>
      <c r="B69" s="109"/>
      <c r="C69" s="109"/>
      <c r="D69" s="110" t="str">
        <f ca="1">(IF(G89&gt;95%,"Nothing",IF(G89&gt;0%,"Cement, Aggregate, Steel, etc",IF(G89=0%,"Work not yet Started"))))</f>
        <v>Cement, Aggregate, Steel, etc</v>
      </c>
      <c r="E69" s="110"/>
      <c r="F69" s="110"/>
      <c r="G69" s="110"/>
      <c r="H69" s="110"/>
      <c r="J69" s="26"/>
    </row>
    <row r="70" spans="1:14" ht="33.75" customHeight="1" thickBot="1" x14ac:dyDescent="0.4">
      <c r="A70" s="229" t="s">
        <v>114</v>
      </c>
      <c r="B70" s="229"/>
      <c r="C70" s="229"/>
      <c r="D70" s="110" t="str">
        <f ca="1">(IF(D69="Nothing","Yes",IF(D69="Cement, Aggregate, Steel, etc","Under Construction",IF(D69="Work not yet Started","Work not yet Started"))))</f>
        <v>Under Construction</v>
      </c>
      <c r="E70" s="110"/>
      <c r="F70" s="110" t="str">
        <f ca="1">(IF(D69="Nothing","Yes",IF(D69="Cement, Aggregate, Steel, etc","Under Construction",IF(D69="Work not yet Started","Work not yet Started"))))</f>
        <v>Under Construction</v>
      </c>
      <c r="G70" s="110"/>
      <c r="H70" s="110"/>
    </row>
    <row r="71" spans="1:14" ht="17.25" customHeight="1" x14ac:dyDescent="0.35">
      <c r="A71" s="117" t="s">
        <v>136</v>
      </c>
      <c r="B71" s="118"/>
      <c r="C71" s="119" t="str">
        <f>D61</f>
        <v>Building B =  Lower Gr + Upper Gr + 1st to 30th Floor</v>
      </c>
      <c r="D71" s="120"/>
      <c r="E71" s="120"/>
      <c r="F71" s="120"/>
      <c r="G71" s="120"/>
      <c r="H71" s="121"/>
      <c r="I71" s="47" t="str">
        <f ca="1">IF(D84=100%,"All work Completed. Possession granted to the Building.",IF(D83=100%,"All work Completed, Waiting for OC",I72&amp;""&amp;I73&amp;""&amp;J72&amp;""&amp;J71&amp;" "&amp;J73))</f>
        <v>Excavation, Plinth, RCC Slab, Brickwork, Internal Plaster Completed, External Plaster upto 25 Floor, Flooring upto 18 Floor, Painting upto 8 Floor Completed</v>
      </c>
      <c r="J71" s="48" t="str">
        <f ca="1">(IF(C77=(D72+F72+H72),"",IF(C77&gt;0,", RCC upto "&amp;C77&amp;" Slab","")))&amp;(IF(C78=H72,"",IF(C78&gt;0,", Brickwork upto "&amp;C78&amp;" Floor","")))&amp;(IF(C79=H72,"",IF(C79&gt;0,", Internal Plaster upto "&amp;C79&amp;" Floor","")))&amp;(IF(C80=H72,"",IF(C80&gt;0,", External Plaster upto "&amp;C80&amp;" Floor","")))&amp;(IF(C81=H72,"",IF(C81&gt;0,", Flooring upto "&amp;C81&amp;" Floor","")))&amp;(IF(C82=H72,"",IF(C82&gt;0,", Painting upto "&amp;C82&amp;" Floor","")))&amp;(IF(C83=H72,"",IF(C83&gt;0,", Finishing upto "&amp;C83&amp;" Floor","")))&amp;(IF(C84=H72,"",IF(C84&gt;0,", Possession upto "&amp;C84&amp;" Floor","")))</f>
        <v>, External Plaster upto 25 Floor, Flooring upto 18 Floor, Painting upto 8 Floor</v>
      </c>
    </row>
    <row r="72" spans="1:14" x14ac:dyDescent="0.35">
      <c r="A72" s="16" t="s">
        <v>138</v>
      </c>
      <c r="B72" s="54">
        <f>IF(AND(ISNUMBER(SEARCH("1B",C71))),1,IF(AND(ISNUMBER(SEARCH("2B",C71))),2,IF(AND(ISNUMBER(SEARCH("3B",C71))),3,IF(AND(ISNUMBER(SEARCH("4B",C71))),4,IF(ISNUMBER(SEARCH("5B",C71)),5,0)))))</f>
        <v>0</v>
      </c>
      <c r="C72" s="54" t="s">
        <v>69</v>
      </c>
      <c r="D72" s="54">
        <v>2</v>
      </c>
      <c r="E72" s="54" t="s">
        <v>68</v>
      </c>
      <c r="F72" s="54">
        <v>0</v>
      </c>
      <c r="G72" s="46" t="s">
        <v>77</v>
      </c>
      <c r="H72" s="17">
        <f ca="1">--TRIM(RIGHT(SUBSTITUTE(LEFT(C71,_xlfn.AGGREGATE(16,6,FIND({0,1,2,3,4,5,6,7,8,9},C71,ROW(INDIRECT("1:"&amp;LEN(C71)))),1))," ",REPT(" ",LEN(C71))),LEN(C71)))</f>
        <v>30</v>
      </c>
      <c r="I72" s="49" t="str">
        <f ca="1">IF(D75=100%,"Excavation","")&amp;IF(D76=100%,", Plinth","")&amp;IF(D77=100%,", RCC Slab","")&amp;IF(D78=100%,", Brickwork","")&amp;IF(D79=100%,", Internal Plaster","")&amp;IF(D80=100%,", External Plaster","")&amp;IF(D81=100%,", Flooring","")&amp;IF(D82=100%,", Painting","")&amp;IF(D83=100%,", Building common Amenities","")</f>
        <v>Excavation, Plinth, RCC Slab, Brickwork, Internal Plaster</v>
      </c>
      <c r="J72" s="50" t="str">
        <f ca="1">(IF(C75=0,"Work not yet Started.",IF(D75=25%,"Piling work in process",IF(D75=50%,"Excavation work in process",IF(D75=100%,"","0")))))&amp;(IF(C76=0%,"",IF(C76=J77,", Footing work is process",IF(C76=J78,", Footing work Completed",IF(C76=J79,", 1st Basement Completed",IF(C76=J80,", 1st &amp; 2nd Basement Completed",IF(C76=J81,", 1st to 3rd Basement Completed",IF(C76=J82,", 1st to 4th Basement Completed",IF(C76=J83,", Plinth work is process",IF(C76=J84,"","0"))))))))))</f>
        <v/>
      </c>
    </row>
    <row r="73" spans="1:14" ht="34.5" customHeight="1" x14ac:dyDescent="0.35">
      <c r="A73" s="122" t="s">
        <v>86</v>
      </c>
      <c r="B73" s="123"/>
      <c r="C73" s="124" t="str">
        <f ca="1">I71</f>
        <v>Excavation, Plinth, RCC Slab, Brickwork, Internal Plaster Completed, External Plaster upto 25 Floor, Flooring upto 18 Floor, Painting upto 8 Floor Completed</v>
      </c>
      <c r="D73" s="124"/>
      <c r="E73" s="124"/>
      <c r="F73" s="124"/>
      <c r="G73" s="124"/>
      <c r="H73" s="125"/>
      <c r="I73" s="49" t="str">
        <f ca="1">IF(I72&lt;&gt;""," Completed","")</f>
        <v xml:space="preserve"> Completed</v>
      </c>
      <c r="J73" s="50" t="str">
        <f ca="1">IF(J71&lt;&gt;"","Completed","")</f>
        <v>Completed</v>
      </c>
    </row>
    <row r="74" spans="1:14" ht="15.75" customHeight="1" x14ac:dyDescent="0.35">
      <c r="A74" s="111" t="s">
        <v>48</v>
      </c>
      <c r="B74" s="112"/>
      <c r="C74" s="64" t="s">
        <v>135</v>
      </c>
      <c r="D74" s="64" t="s">
        <v>80</v>
      </c>
      <c r="E74" s="112" t="s">
        <v>82</v>
      </c>
      <c r="F74" s="112"/>
      <c r="G74" s="112" t="s">
        <v>81</v>
      </c>
      <c r="H74" s="113"/>
      <c r="I74" s="14" t="s">
        <v>137</v>
      </c>
      <c r="J74" s="28">
        <f ca="1">H72*25%</f>
        <v>7.5</v>
      </c>
    </row>
    <row r="75" spans="1:14" x14ac:dyDescent="0.35">
      <c r="A75" s="111" t="s">
        <v>124</v>
      </c>
      <c r="B75" s="112"/>
      <c r="C75" s="64">
        <f ca="1">J76</f>
        <v>30</v>
      </c>
      <c r="D75" s="19">
        <f ca="1">((100/H72)*C75)/100</f>
        <v>1</v>
      </c>
      <c r="E75" s="213">
        <f ca="1">(((C76/H72*10)+(40/(D72+F72+H72)*C77)+(7.5/(H72)*C78)+(7.5/(H72)*C79)+(10/H72*C80)+(10/H72*C81)+(5/H72*C82)+(5/H72*C83)+(5/H72*C84))/100)</f>
        <v>0.80666666666666653</v>
      </c>
      <c r="F75" s="214"/>
      <c r="G75" s="213">
        <f ca="1">((((C75/H72)*20)+((C76/H72)*25)+(30/(H72+F72+D72)*C77)+(5/H72*C78)+(5/H72*C79)+(5/H72*C80)+(5/H72*C81)+(0/H72*C82)+(0/H72*C83)+(5/H72*C84))/100)</f>
        <v>0.92166666666666675</v>
      </c>
      <c r="H75" s="219"/>
      <c r="I75" s="14" t="s">
        <v>96</v>
      </c>
      <c r="J75" s="29">
        <f ca="1">H72*50%</f>
        <v>15</v>
      </c>
    </row>
    <row r="76" spans="1:14" x14ac:dyDescent="0.35">
      <c r="A76" s="111" t="s">
        <v>49</v>
      </c>
      <c r="B76" s="112"/>
      <c r="C76" s="64">
        <f ca="1">J84</f>
        <v>30</v>
      </c>
      <c r="D76" s="19">
        <f ca="1">((100/H72)*C76)/100</f>
        <v>1</v>
      </c>
      <c r="E76" s="215"/>
      <c r="F76" s="216"/>
      <c r="G76" s="215"/>
      <c r="H76" s="220"/>
      <c r="I76" s="14" t="s">
        <v>97</v>
      </c>
      <c r="J76" s="29">
        <f ca="1">H72</f>
        <v>30</v>
      </c>
    </row>
    <row r="77" spans="1:14" ht="15.75" customHeight="1" x14ac:dyDescent="0.35">
      <c r="A77" s="111" t="s">
        <v>125</v>
      </c>
      <c r="B77" s="112"/>
      <c r="C77" s="64">
        <f ca="1">D72+H72</f>
        <v>32</v>
      </c>
      <c r="D77" s="19">
        <f ca="1">((100/(D72+F72+H72))*C77)/100</f>
        <v>1</v>
      </c>
      <c r="E77" s="215"/>
      <c r="F77" s="216"/>
      <c r="G77" s="215"/>
      <c r="H77" s="220"/>
      <c r="I77" s="14" t="s">
        <v>98</v>
      </c>
      <c r="J77" s="30">
        <f ca="1">(IF(B72&gt;1,(H72/(B72+2)),H72/4))</f>
        <v>7.5</v>
      </c>
    </row>
    <row r="78" spans="1:14" ht="15.75" customHeight="1" x14ac:dyDescent="0.35">
      <c r="A78" s="111" t="s">
        <v>132</v>
      </c>
      <c r="B78" s="112" t="s">
        <v>126</v>
      </c>
      <c r="C78" s="64">
        <v>30</v>
      </c>
      <c r="D78" s="19">
        <f ca="1">((100/H72)*C78)/100</f>
        <v>1</v>
      </c>
      <c r="E78" s="215"/>
      <c r="F78" s="216"/>
      <c r="G78" s="215"/>
      <c r="H78" s="220"/>
      <c r="I78" s="14" t="s">
        <v>99</v>
      </c>
      <c r="J78" s="30">
        <f ca="1">(IF(B72&gt;1,(H72/(B72+2)+J77),H72/4+J77))</f>
        <v>15</v>
      </c>
    </row>
    <row r="79" spans="1:14" ht="15.75" customHeight="1" x14ac:dyDescent="0.35">
      <c r="A79" s="111" t="s">
        <v>133</v>
      </c>
      <c r="B79" s="112" t="s">
        <v>126</v>
      </c>
      <c r="C79" s="64">
        <v>30</v>
      </c>
      <c r="D79" s="19">
        <f ca="1">((100/H72)*C79)/100</f>
        <v>1</v>
      </c>
      <c r="E79" s="215"/>
      <c r="F79" s="216"/>
      <c r="G79" s="215"/>
      <c r="H79" s="220"/>
      <c r="I79" s="14" t="s">
        <v>142</v>
      </c>
      <c r="J79" s="30">
        <f>(IF(B72&gt;1,(H72/(B72+2)+J78),0))</f>
        <v>0</v>
      </c>
    </row>
    <row r="80" spans="1:14" ht="15" customHeight="1" x14ac:dyDescent="0.35">
      <c r="A80" s="111" t="s">
        <v>131</v>
      </c>
      <c r="B80" s="112" t="s">
        <v>128</v>
      </c>
      <c r="C80" s="64">
        <v>25</v>
      </c>
      <c r="D80" s="19">
        <f ca="1">((100/(H72))*C80)/100</f>
        <v>0.83333333333333348</v>
      </c>
      <c r="E80" s="215"/>
      <c r="F80" s="216"/>
      <c r="G80" s="215"/>
      <c r="H80" s="220"/>
      <c r="I80" s="14" t="s">
        <v>139</v>
      </c>
      <c r="J80" s="30">
        <f>(IF(B72&gt;2,(H72/(B72+2)+J79),0))</f>
        <v>0</v>
      </c>
    </row>
    <row r="81" spans="1:16" ht="15.75" customHeight="1" x14ac:dyDescent="0.35">
      <c r="A81" s="111" t="s">
        <v>127</v>
      </c>
      <c r="B81" s="112" t="s">
        <v>127</v>
      </c>
      <c r="C81" s="64">
        <v>18</v>
      </c>
      <c r="D81" s="19">
        <f ca="1">((100/H72)*C81)/100</f>
        <v>0.6</v>
      </c>
      <c r="E81" s="215"/>
      <c r="F81" s="216"/>
      <c r="G81" s="215"/>
      <c r="H81" s="220"/>
      <c r="I81" s="14" t="s">
        <v>140</v>
      </c>
      <c r="J81" s="31">
        <f>(IF(B72&gt;3,(H72/(B72+2)+J80),0))</f>
        <v>0</v>
      </c>
    </row>
    <row r="82" spans="1:16" ht="15.75" customHeight="1" x14ac:dyDescent="0.35">
      <c r="A82" s="111" t="s">
        <v>134</v>
      </c>
      <c r="B82" s="112"/>
      <c r="C82" s="64">
        <v>8</v>
      </c>
      <c r="D82" s="19">
        <f ca="1">((100/H72)*C82)/100</f>
        <v>0.26666666666666666</v>
      </c>
      <c r="E82" s="215"/>
      <c r="F82" s="216"/>
      <c r="G82" s="215"/>
      <c r="H82" s="220"/>
      <c r="I82" s="14" t="s">
        <v>141</v>
      </c>
      <c r="J82" s="30">
        <f>(IF(B72&gt;4,(H72/(B72+2)+J81),0))</f>
        <v>0</v>
      </c>
    </row>
    <row r="83" spans="1:16" ht="15.75" customHeight="1" x14ac:dyDescent="0.35">
      <c r="A83" s="111" t="s">
        <v>129</v>
      </c>
      <c r="B83" s="112" t="s">
        <v>129</v>
      </c>
      <c r="C83" s="64">
        <v>0</v>
      </c>
      <c r="D83" s="19">
        <f ca="1">((100/(H72))*C83)/100</f>
        <v>0</v>
      </c>
      <c r="E83" s="215"/>
      <c r="F83" s="216"/>
      <c r="G83" s="215"/>
      <c r="H83" s="220"/>
      <c r="I83" s="14" t="s">
        <v>143</v>
      </c>
      <c r="J83" s="30">
        <f ca="1">(IF(B72=1,(H72/(B72+3)+J78),IF(B72=0,(H72/4+J78),IF(B72&gt;1,0))))</f>
        <v>22.5</v>
      </c>
    </row>
    <row r="84" spans="1:16" ht="16" thickBot="1" x14ac:dyDescent="0.4">
      <c r="A84" s="154" t="s">
        <v>130</v>
      </c>
      <c r="B84" s="155"/>
      <c r="C84" s="65">
        <v>0</v>
      </c>
      <c r="D84" s="20">
        <f ca="1">((100/(H72))*C84)/100</f>
        <v>0</v>
      </c>
      <c r="E84" s="217"/>
      <c r="F84" s="218"/>
      <c r="G84" s="217"/>
      <c r="H84" s="221"/>
      <c r="I84" s="15" t="s">
        <v>100</v>
      </c>
      <c r="J84" s="32">
        <f ca="1">(IF(B72&gt;1.5,(H72/(B72+2)+J78+MAX(0,J79-J78)+MAX(0,J80-J79)+MAX(0,J81-J80)+MAX(0,J82-J81)+MAX(0,J83-J82)),IF(B72=1,(H72/(B72+3)+J83),IF(B72=0,H72/4+J83))))</f>
        <v>30</v>
      </c>
    </row>
    <row r="85" spans="1:16" ht="17.25" customHeight="1" x14ac:dyDescent="0.35">
      <c r="A85" s="117" t="s">
        <v>136</v>
      </c>
      <c r="B85" s="118"/>
      <c r="C85" s="119" t="str">
        <f>D62</f>
        <v>Building C =  Lower Gr + Upper Gr + 1st to 31st Floor</v>
      </c>
      <c r="D85" s="120"/>
      <c r="E85" s="120"/>
      <c r="F85" s="120"/>
      <c r="G85" s="120"/>
      <c r="H85" s="121"/>
      <c r="I85" s="47" t="str">
        <f ca="1">IF(D98=100%,"All work Completed. Possession granted to the Building.",IF(D97=100%,"All work Completed, Waiting for OC",I86&amp;""&amp;I87&amp;""&amp;J86&amp;""&amp;J85&amp;" "&amp;J87))</f>
        <v>Excavation, Plinth Completed, RCC upto 28 Slab, Brickwork upto 21 Floor Completed</v>
      </c>
      <c r="J85" s="48" t="str">
        <f ca="1">(IF(C91=(D86+F86+H86),"",IF(C91&gt;0,", RCC upto "&amp;C91&amp;" Slab","")))&amp;(IF(C92=H86,"",IF(C92&gt;0,", Brickwork upto "&amp;C92&amp;" Floor","")))&amp;(IF(C93=H86,"",IF(C93&gt;0,", Internal Plaster upto "&amp;C93&amp;" Floor","")))&amp;(IF(C94=H86,"",IF(C94&gt;0,", External Plaster upto "&amp;C94&amp;" Floor","")))&amp;(IF(C95=H86,"",IF(C95&gt;0,", Flooring upto "&amp;C95&amp;" Floor","")))&amp;(IF(C96=H86,"",IF(C96&gt;0,", Painting upto "&amp;C96&amp;" Floor","")))&amp;(IF(C97=H86,"",IF(C97&gt;0,", Finishing upto "&amp;C97&amp;" Floor","")))&amp;(IF(C98=H86,"",IF(C98&gt;0,", Possession upto "&amp;C98&amp;" Floor","")))</f>
        <v>, RCC upto 28 Slab, Brickwork upto 21 Floor</v>
      </c>
    </row>
    <row r="86" spans="1:16" x14ac:dyDescent="0.35">
      <c r="A86" s="16" t="s">
        <v>138</v>
      </c>
      <c r="B86" s="54">
        <f>IF(AND(ISNUMBER(SEARCH("1B",C85))),1,IF(AND(ISNUMBER(SEARCH("2B",C85))),2,IF(AND(ISNUMBER(SEARCH("3B",C85))),3,IF(AND(ISNUMBER(SEARCH("4B",C85))),4,IF(ISNUMBER(SEARCH("5B",C85)),5,0)))))</f>
        <v>0</v>
      </c>
      <c r="C86" s="54" t="s">
        <v>69</v>
      </c>
      <c r="D86" s="54">
        <v>2</v>
      </c>
      <c r="E86" s="54" t="s">
        <v>68</v>
      </c>
      <c r="F86" s="54">
        <v>0</v>
      </c>
      <c r="G86" s="46" t="s">
        <v>77</v>
      </c>
      <c r="H86" s="17">
        <f ca="1">--TRIM(RIGHT(SUBSTITUTE(LEFT(C85,_xlfn.AGGREGATE(16,6,FIND({0,1,2,3,4,5,6,7,8,9},C85,ROW(INDIRECT("1:"&amp;LEN(C85)))),1))," ",REPT(" ",LEN(C85))),LEN(C85)))</f>
        <v>31</v>
      </c>
      <c r="I86" s="49" t="str">
        <f ca="1">IF(D89=100%,"Excavation","")&amp;IF(D90=100%,", Plinth","")&amp;IF(D91=100%,", RCC Slab","")&amp;IF(D92=100%,", Brickwork","")&amp;IF(D93=100%,", Internal Plaster","")&amp;IF(D94=100%,", External Plaster","")&amp;IF(D95=100%,", Flooring","")&amp;IF(D96=100%,", Painting","")&amp;IF(D97=100%,", Building common Amenities","")</f>
        <v>Excavation, Plinth</v>
      </c>
      <c r="J86" s="50" t="str">
        <f ca="1">(IF(C89=0,"Work not yet Started.",IF(D89=25%,"Piling work in process",IF(D89=50%,"Excavation work in process",IF(D89=100%,"","0")))))&amp;(IF(C90=0%,"",IF(C90=J91,", Footing work is process",IF(C90=J92,", Footing work Completed",IF(C90=J93,", 1st Basement Completed",IF(C90=J94,", 1st &amp; 2nd Basement Completed",IF(C90=J95,", 1st to 3rd Basement Completed",IF(C90=J96,", 1st to 4th Basement Completed",IF(C90=J97,", Plinth work is process",IF(C90=J98,"","0"))))))))))</f>
        <v/>
      </c>
    </row>
    <row r="87" spans="1:16" ht="32.25" customHeight="1" x14ac:dyDescent="0.35">
      <c r="A87" s="122" t="s">
        <v>86</v>
      </c>
      <c r="B87" s="123"/>
      <c r="C87" s="124" t="str">
        <f ca="1">I85</f>
        <v>Excavation, Plinth Completed, RCC upto 28 Slab, Brickwork upto 21 Floor Completed</v>
      </c>
      <c r="D87" s="124"/>
      <c r="E87" s="124"/>
      <c r="F87" s="124"/>
      <c r="G87" s="124"/>
      <c r="H87" s="125"/>
      <c r="I87" s="49" t="str">
        <f ca="1">IF(I86&lt;&gt;""," Completed","")</f>
        <v xml:space="preserve"> Completed</v>
      </c>
      <c r="J87" s="50" t="str">
        <f ca="1">IF(J85&lt;&gt;"","Completed","")</f>
        <v>Completed</v>
      </c>
    </row>
    <row r="88" spans="1:16" ht="15.75" customHeight="1" x14ac:dyDescent="0.35">
      <c r="A88" s="111" t="s">
        <v>48</v>
      </c>
      <c r="B88" s="112"/>
      <c r="C88" s="64" t="s">
        <v>135</v>
      </c>
      <c r="D88" s="64" t="s">
        <v>80</v>
      </c>
      <c r="E88" s="112" t="s">
        <v>82</v>
      </c>
      <c r="F88" s="112"/>
      <c r="G88" s="112" t="s">
        <v>81</v>
      </c>
      <c r="H88" s="113"/>
      <c r="I88" s="14" t="s">
        <v>137</v>
      </c>
      <c r="J88" s="28">
        <f ca="1">H86*25%</f>
        <v>7.75</v>
      </c>
    </row>
    <row r="89" spans="1:16" x14ac:dyDescent="0.35">
      <c r="A89" s="111" t="s">
        <v>124</v>
      </c>
      <c r="B89" s="112"/>
      <c r="C89" s="64">
        <f ca="1">J90</f>
        <v>31</v>
      </c>
      <c r="D89" s="19">
        <f ca="1">((100/H86)*C89)/100</f>
        <v>1</v>
      </c>
      <c r="E89" s="213">
        <f ca="1">(((C90/H86*10)+(40/(D86+F86+H86)*C91)+(7.5/(H86)*C92)+(7.5/(H86)*C93)+(10/H86*C94)+(10/H86*C95)+(5/H86*C96)+(5/H86*C97)+(5/H86*C98))/100)</f>
        <v>0.4902003910068426</v>
      </c>
      <c r="F89" s="214"/>
      <c r="G89" s="213">
        <f ca="1">((((C89/H86)*20)+((C90/H86)*25)+(30/(H86+F86+D86)*C91)+(5/H86*C92)+(5/H86*C93)+(5/H86*C94)+(5/H86*C95)+(0/H86*C96)+(0/H86*C97)+(5/H86*C98))/100)</f>
        <v>0.73841642228739002</v>
      </c>
      <c r="H89" s="219"/>
      <c r="I89" s="14" t="s">
        <v>96</v>
      </c>
      <c r="J89" s="29">
        <f ca="1">H86*50%</f>
        <v>15.5</v>
      </c>
    </row>
    <row r="90" spans="1:16" x14ac:dyDescent="0.35">
      <c r="A90" s="111" t="s">
        <v>49</v>
      </c>
      <c r="B90" s="112"/>
      <c r="C90" s="64">
        <f ca="1">J98</f>
        <v>31</v>
      </c>
      <c r="D90" s="19">
        <f ca="1">((100/H86)*C90)/100</f>
        <v>1</v>
      </c>
      <c r="E90" s="215"/>
      <c r="F90" s="216"/>
      <c r="G90" s="215"/>
      <c r="H90" s="220"/>
      <c r="I90" s="14" t="s">
        <v>97</v>
      </c>
      <c r="J90" s="29">
        <f ca="1">H86</f>
        <v>31</v>
      </c>
    </row>
    <row r="91" spans="1:16" ht="15.75" customHeight="1" x14ac:dyDescent="0.35">
      <c r="A91" s="111" t="s">
        <v>125</v>
      </c>
      <c r="B91" s="112"/>
      <c r="C91" s="64">
        <v>28</v>
      </c>
      <c r="D91" s="19">
        <f ca="1">((100/(D86+F86+H86))*C91)/100</f>
        <v>0.8484848484848484</v>
      </c>
      <c r="E91" s="215"/>
      <c r="F91" s="216"/>
      <c r="G91" s="215"/>
      <c r="H91" s="220"/>
      <c r="I91" s="14" t="s">
        <v>98</v>
      </c>
      <c r="J91" s="30">
        <f ca="1">(IF(B86&gt;1,(H86/(B86+2)),H86/4))</f>
        <v>7.75</v>
      </c>
    </row>
    <row r="92" spans="1:16" ht="15.75" customHeight="1" x14ac:dyDescent="0.35">
      <c r="A92" s="111" t="s">
        <v>132</v>
      </c>
      <c r="B92" s="112" t="s">
        <v>126</v>
      </c>
      <c r="C92" s="64">
        <v>21</v>
      </c>
      <c r="D92" s="19">
        <f ca="1">((100/H86)*C92)/100</f>
        <v>0.67741935483870963</v>
      </c>
      <c r="E92" s="215"/>
      <c r="F92" s="216"/>
      <c r="G92" s="215"/>
      <c r="H92" s="220"/>
      <c r="I92" s="14" t="s">
        <v>99</v>
      </c>
      <c r="J92" s="30">
        <f ca="1">(IF(B86&gt;1,(H86/(B86+2)+J91),H86/4+J91))</f>
        <v>15.5</v>
      </c>
    </row>
    <row r="93" spans="1:16" ht="15.75" customHeight="1" x14ac:dyDescent="0.35">
      <c r="A93" s="111" t="s">
        <v>133</v>
      </c>
      <c r="B93" s="112" t="s">
        <v>126</v>
      </c>
      <c r="C93" s="64">
        <v>0</v>
      </c>
      <c r="D93" s="19">
        <f ca="1">((100/H86)*C93)/100</f>
        <v>0</v>
      </c>
      <c r="E93" s="215"/>
      <c r="F93" s="216"/>
      <c r="G93" s="215"/>
      <c r="H93" s="220"/>
      <c r="I93" s="14" t="s">
        <v>142</v>
      </c>
      <c r="J93" s="30">
        <f>(IF(B86&gt;1,(H86/(B86+2)+J92),0))</f>
        <v>0</v>
      </c>
    </row>
    <row r="94" spans="1:16" ht="15" customHeight="1" x14ac:dyDescent="0.35">
      <c r="A94" s="111" t="s">
        <v>131</v>
      </c>
      <c r="B94" s="112" t="s">
        <v>128</v>
      </c>
      <c r="C94" s="64">
        <v>0</v>
      </c>
      <c r="D94" s="19">
        <f ca="1">((100/(H86))*C94)/100</f>
        <v>0</v>
      </c>
      <c r="E94" s="215"/>
      <c r="F94" s="216"/>
      <c r="G94" s="215"/>
      <c r="H94" s="220"/>
      <c r="I94" s="14" t="s">
        <v>139</v>
      </c>
      <c r="J94" s="30">
        <f>(IF(B86&gt;2,(H86/(B86+2)+J93),0))</f>
        <v>0</v>
      </c>
    </row>
    <row r="95" spans="1:16" ht="15.75" customHeight="1" x14ac:dyDescent="0.35">
      <c r="A95" s="111" t="s">
        <v>127</v>
      </c>
      <c r="B95" s="112" t="s">
        <v>127</v>
      </c>
      <c r="C95" s="64">
        <v>0</v>
      </c>
      <c r="D95" s="19">
        <f ca="1">((100/H86)*C95)/100</f>
        <v>0</v>
      </c>
      <c r="E95" s="215"/>
      <c r="F95" s="216"/>
      <c r="G95" s="215"/>
      <c r="H95" s="220"/>
      <c r="I95" s="14" t="s">
        <v>140</v>
      </c>
      <c r="J95" s="31">
        <f>(IF(B86&gt;3,(H86/(B86+2)+J94),0))</f>
        <v>0</v>
      </c>
    </row>
    <row r="96" spans="1:16" ht="15.75" customHeight="1" x14ac:dyDescent="0.35">
      <c r="A96" s="111" t="s">
        <v>134</v>
      </c>
      <c r="B96" s="112"/>
      <c r="C96" s="64">
        <v>0</v>
      </c>
      <c r="D96" s="19">
        <f ca="1">((100/H86)*C96)/100</f>
        <v>0</v>
      </c>
      <c r="E96" s="215"/>
      <c r="F96" s="216"/>
      <c r="G96" s="215"/>
      <c r="H96" s="220"/>
      <c r="I96" s="14" t="s">
        <v>141</v>
      </c>
      <c r="J96" s="30">
        <f>(IF(B86&gt;4,(H86/(B86+2)+J95),0))</f>
        <v>0</v>
      </c>
      <c r="L96" s="70" t="s">
        <v>266</v>
      </c>
      <c r="M96" s="70"/>
      <c r="N96" s="70"/>
      <c r="O96" s="70"/>
      <c r="P96" s="70"/>
    </row>
    <row r="97" spans="1:16" ht="15.75" customHeight="1" x14ac:dyDescent="0.35">
      <c r="A97" s="111" t="s">
        <v>129</v>
      </c>
      <c r="B97" s="112" t="s">
        <v>129</v>
      </c>
      <c r="C97" s="64">
        <v>0</v>
      </c>
      <c r="D97" s="19">
        <f ca="1">((100/(H86))*C97)/100</f>
        <v>0</v>
      </c>
      <c r="E97" s="215"/>
      <c r="F97" s="216"/>
      <c r="G97" s="215"/>
      <c r="H97" s="220"/>
      <c r="I97" s="14" t="s">
        <v>143</v>
      </c>
      <c r="J97" s="30">
        <f ca="1">(IF(B86=1,(H86/(B86+3)+J92),IF(B86=0,(H86/4+J92),IF(B86&gt;1,0))))</f>
        <v>23.25</v>
      </c>
      <c r="L97" s="70"/>
      <c r="M97" s="70"/>
      <c r="N97" s="70"/>
      <c r="O97" s="70"/>
      <c r="P97" s="70"/>
    </row>
    <row r="98" spans="1:16" ht="16" thickBot="1" x14ac:dyDescent="0.4">
      <c r="A98" s="154" t="s">
        <v>130</v>
      </c>
      <c r="B98" s="155"/>
      <c r="C98" s="65">
        <v>0</v>
      </c>
      <c r="D98" s="20">
        <f ca="1">((100/(H86))*C98)/100</f>
        <v>0</v>
      </c>
      <c r="E98" s="217"/>
      <c r="F98" s="218"/>
      <c r="G98" s="217"/>
      <c r="H98" s="221"/>
      <c r="I98" s="15" t="s">
        <v>100</v>
      </c>
      <c r="J98" s="32">
        <f ca="1">(IF(B86&gt;1.5,(H86/(B86+2)+J92+MAX(0,J93-J92)+MAX(0,J94-J93)+MAX(0,J95-J94)+MAX(0,J96-J95)+MAX(0,J97-J96)),IF(B86=1,(H86/(B86+3)+J97),IF(B86=0,H86/4+J97))))</f>
        <v>31</v>
      </c>
      <c r="L98" s="70"/>
      <c r="M98" s="70"/>
      <c r="N98" s="70"/>
      <c r="O98" s="70"/>
      <c r="P98" s="70"/>
    </row>
    <row r="99" spans="1:16" ht="15.75" customHeight="1" x14ac:dyDescent="0.35">
      <c r="A99" s="117" t="s">
        <v>136</v>
      </c>
      <c r="B99" s="118"/>
      <c r="C99" s="119" t="s">
        <v>203</v>
      </c>
      <c r="D99" s="120"/>
      <c r="E99" s="120"/>
      <c r="F99" s="120"/>
      <c r="G99" s="120"/>
      <c r="H99" s="121"/>
      <c r="I99" s="47" t="str">
        <f ca="1">IF(D112=100%,"All work Completed. Possession granted to the Building.",IF(D111=100%,"All work Completed, Waiting for OC",I100&amp;""&amp;I101&amp;""&amp;J100&amp;""&amp;J99&amp;" "&amp;J101))</f>
        <v>Excavation, Plinth Completed, RCC upto 28 Slab, Brickwork upto 21 Floor Completed</v>
      </c>
      <c r="J99" s="48" t="str">
        <f ca="1">(IF(C105=(D100+F100+H100),"",IF(C105&gt;0,", RCC upto "&amp;C105&amp;" Slab","")))&amp;(IF(C106=H100,"",IF(C106&gt;0,", Brickwork upto "&amp;C106&amp;" Floor","")))&amp;(IF(C107=H100,"",IF(C107&gt;0,", Internal Plaster upto "&amp;C107&amp;" Floor","")))&amp;(IF(C108=H100,"",IF(C108&gt;0,", External Plaster upto "&amp;C108&amp;" Floor","")))&amp;(IF(C109=H100,"",IF(C109&gt;0,", Flooring upto "&amp;C109&amp;" Floor","")))&amp;(IF(C110=H100,"",IF(C110&gt;0,", Painting upto "&amp;C110&amp;" Floor","")))&amp;(IF(C111=H100,"",IF(C111&gt;0,", Finishing upto "&amp;C111&amp;" Floor","")))&amp;(IF(C112=H100,"",IF(C112&gt;0,", Possession upto "&amp;C112&amp;" Floor","")))</f>
        <v>, RCC upto 28 Slab, Brickwork upto 21 Floor</v>
      </c>
    </row>
    <row r="100" spans="1:16" x14ac:dyDescent="0.35">
      <c r="A100" s="16" t="s">
        <v>138</v>
      </c>
      <c r="B100" s="51">
        <f>IF(AND(ISNUMBER(SEARCH("1B",C99))),1,IF(AND(ISNUMBER(SEARCH("2B",C99))),2,IF(AND(ISNUMBER(SEARCH("3B",C99))),3,IF(AND(ISNUMBER(SEARCH("4B",C99))),4,IF(ISNUMBER(SEARCH("5B",C99)),5,0)))))</f>
        <v>0</v>
      </c>
      <c r="C100" s="51" t="s">
        <v>69</v>
      </c>
      <c r="D100" s="51">
        <v>2</v>
      </c>
      <c r="E100" s="51" t="s">
        <v>68</v>
      </c>
      <c r="F100" s="54">
        <v>0</v>
      </c>
      <c r="G100" s="46" t="s">
        <v>77</v>
      </c>
      <c r="H100" s="17">
        <f ca="1">--TRIM(RIGHT(SUBSTITUTE(LEFT(C99,_xlfn.AGGREGATE(16,6,FIND({0,1,2,3,4,5,6,7,8,9},C99,ROW(INDIRECT("1:"&amp;LEN(C99)))),1))," ",REPT(" ",LEN(C99))),LEN(C99)))</f>
        <v>31</v>
      </c>
      <c r="I100" s="49" t="str">
        <f ca="1">IF(D103=100%,"Excavation","")&amp;IF(D104=100%,", Plinth","")&amp;IF(D105=100%,", RCC Slab","")&amp;IF(D106=100%,", Brickwork","")&amp;IF(D107=100%,", Internal Plaster","")&amp;IF(D108=100%,", External Plaster","")&amp;IF(D109=100%,", Flooring","")&amp;IF(D110=100%,", Painting","")&amp;IF(D111=100%,", Building common Amenities","")</f>
        <v>Excavation, Plinth</v>
      </c>
      <c r="J100" s="50" t="str">
        <f ca="1">(IF(C103=0,"Work not yet Started.",IF(D103=25%,"Piling work in process",IF(D103=50%,"Excavation work in process",IF(D103=100%,"","0")))))&amp;(IF(C104=0%,"",IF(C104=J105,", Footing work is process",IF(C104=J106,", Footing work Completed",IF(C104=J107,", 1st Basement Completed",IF(C104=J108,", 1st &amp; 2nd Basement Completed",IF(C104=J109,", 1st to 3rd Basement Completed",IF(C104=J110,", 1st to 4th Basement Completed",IF(C104=J111,", Plinth work is process",IF(C104=J112,"","0"))))))))))</f>
        <v/>
      </c>
    </row>
    <row r="101" spans="1:16" ht="33" customHeight="1" x14ac:dyDescent="0.35">
      <c r="A101" s="122" t="s">
        <v>86</v>
      </c>
      <c r="B101" s="123"/>
      <c r="C101" s="124" t="str">
        <f ca="1">(IF($G$56="NA",I99,"All work Completed. OC Received."))</f>
        <v>Excavation, Plinth Completed, RCC upto 28 Slab, Brickwork upto 21 Floor Completed</v>
      </c>
      <c r="D101" s="124"/>
      <c r="E101" s="124"/>
      <c r="F101" s="124"/>
      <c r="G101" s="124"/>
      <c r="H101" s="125"/>
      <c r="I101" s="49" t="str">
        <f ca="1">IF(I100&lt;&gt;""," Completed","")</f>
        <v xml:space="preserve"> Completed</v>
      </c>
      <c r="J101" s="50" t="str">
        <f ca="1">IF(J99&lt;&gt;"","Completed","")</f>
        <v>Completed</v>
      </c>
    </row>
    <row r="102" spans="1:16" ht="15.75" customHeight="1" x14ac:dyDescent="0.35">
      <c r="A102" s="111" t="s">
        <v>48</v>
      </c>
      <c r="B102" s="112"/>
      <c r="C102" s="67" t="s">
        <v>135</v>
      </c>
      <c r="D102" s="67" t="s">
        <v>80</v>
      </c>
      <c r="E102" s="112" t="s">
        <v>82</v>
      </c>
      <c r="F102" s="112"/>
      <c r="G102" s="112" t="s">
        <v>81</v>
      </c>
      <c r="H102" s="113"/>
      <c r="I102" s="14" t="s">
        <v>137</v>
      </c>
      <c r="J102" s="28">
        <f ca="1">H100*25%</f>
        <v>7.75</v>
      </c>
    </row>
    <row r="103" spans="1:16" x14ac:dyDescent="0.35">
      <c r="A103" s="111" t="s">
        <v>124</v>
      </c>
      <c r="B103" s="112"/>
      <c r="C103" s="67">
        <f ca="1">J104</f>
        <v>31</v>
      </c>
      <c r="D103" s="19">
        <f ca="1">((100/H100)*C103)/100</f>
        <v>1</v>
      </c>
      <c r="E103" s="213">
        <f ca="1">(((C104/H100*10)+(40/(D100+F100+H100)*C105)+(7.5/(H100)*C106)+(7.5/(H100)*C107)+(10/H100*C108)+(10/H100*C109)+(5/H100*C110)+(5/H100*C111)+(5/H100*C112))/100)</f>
        <v>0.4902003910068426</v>
      </c>
      <c r="F103" s="214"/>
      <c r="G103" s="213">
        <f ca="1">((((C103/H100)*20)+((C104/H100)*25)+(30/(H100+F100+D100)*C105)+(5/H100*C106)+(5/H100*C107)+(5/H100*C108)+(5/H100*C109)+(0/H100*C110)+(0/H100*C111)+(5/H100*C112))/100)</f>
        <v>0.73841642228739002</v>
      </c>
      <c r="H103" s="219"/>
      <c r="I103" s="14" t="s">
        <v>96</v>
      </c>
      <c r="J103" s="29">
        <f ca="1">H100*50%</f>
        <v>15.5</v>
      </c>
    </row>
    <row r="104" spans="1:16" x14ac:dyDescent="0.35">
      <c r="A104" s="111" t="s">
        <v>49</v>
      </c>
      <c r="B104" s="112"/>
      <c r="C104" s="52">
        <v>31</v>
      </c>
      <c r="D104" s="19">
        <f ca="1">((100/H100)*C104)/100</f>
        <v>1</v>
      </c>
      <c r="E104" s="215"/>
      <c r="F104" s="216"/>
      <c r="G104" s="215"/>
      <c r="H104" s="220"/>
      <c r="I104" s="14" t="s">
        <v>97</v>
      </c>
      <c r="J104" s="29">
        <f ca="1">H100</f>
        <v>31</v>
      </c>
    </row>
    <row r="105" spans="1:16" ht="15.75" customHeight="1" x14ac:dyDescent="0.35">
      <c r="A105" s="111" t="s">
        <v>125</v>
      </c>
      <c r="B105" s="112"/>
      <c r="C105" s="67">
        <v>28</v>
      </c>
      <c r="D105" s="19">
        <f ca="1">((100/(D100+F100+H100))*C105)/100</f>
        <v>0.8484848484848484</v>
      </c>
      <c r="E105" s="215"/>
      <c r="F105" s="216"/>
      <c r="G105" s="215"/>
      <c r="H105" s="220"/>
      <c r="I105" s="14" t="s">
        <v>98</v>
      </c>
      <c r="J105" s="30">
        <f ca="1">(IF(B100&gt;1,(H100/(B100+2)),H100/4))</f>
        <v>7.75</v>
      </c>
    </row>
    <row r="106" spans="1:16" ht="15.75" customHeight="1" x14ac:dyDescent="0.35">
      <c r="A106" s="111" t="s">
        <v>132</v>
      </c>
      <c r="B106" s="112" t="s">
        <v>126</v>
      </c>
      <c r="C106" s="67">
        <v>21</v>
      </c>
      <c r="D106" s="19">
        <f ca="1">((100/H100)*C106)/100</f>
        <v>0.67741935483870963</v>
      </c>
      <c r="E106" s="215"/>
      <c r="F106" s="216"/>
      <c r="G106" s="215"/>
      <c r="H106" s="220"/>
      <c r="I106" s="14" t="s">
        <v>99</v>
      </c>
      <c r="J106" s="30">
        <f ca="1">(IF(B100&gt;1,(H100/(B100+2)+J105),H100/4+J105))</f>
        <v>15.5</v>
      </c>
    </row>
    <row r="107" spans="1:16" ht="15.75" customHeight="1" x14ac:dyDescent="0.35">
      <c r="A107" s="111" t="s">
        <v>133</v>
      </c>
      <c r="B107" s="112" t="s">
        <v>126</v>
      </c>
      <c r="C107" s="67">
        <v>0</v>
      </c>
      <c r="D107" s="19">
        <f ca="1">((100/H100)*C107)/100</f>
        <v>0</v>
      </c>
      <c r="E107" s="215"/>
      <c r="F107" s="216"/>
      <c r="G107" s="215"/>
      <c r="H107" s="220"/>
      <c r="I107" s="14" t="s">
        <v>142</v>
      </c>
      <c r="J107" s="30">
        <f>(IF(B100&gt;1,(H100/(B100+2)+J106),0))</f>
        <v>0</v>
      </c>
    </row>
    <row r="108" spans="1:16" ht="15" customHeight="1" x14ac:dyDescent="0.35">
      <c r="A108" s="111" t="s">
        <v>131</v>
      </c>
      <c r="B108" s="112" t="s">
        <v>128</v>
      </c>
      <c r="C108" s="67">
        <v>0</v>
      </c>
      <c r="D108" s="19">
        <f ca="1">((100/(H100))*C108)/100</f>
        <v>0</v>
      </c>
      <c r="E108" s="215"/>
      <c r="F108" s="216"/>
      <c r="G108" s="215"/>
      <c r="H108" s="220"/>
      <c r="I108" s="14" t="s">
        <v>139</v>
      </c>
      <c r="J108" s="30">
        <f>(IF(B100&gt;2,(H100/(B100+2)+J107),0))</f>
        <v>0</v>
      </c>
    </row>
    <row r="109" spans="1:16" ht="15.75" customHeight="1" x14ac:dyDescent="0.35">
      <c r="A109" s="111" t="s">
        <v>127</v>
      </c>
      <c r="B109" s="112" t="s">
        <v>127</v>
      </c>
      <c r="C109" s="67">
        <v>0</v>
      </c>
      <c r="D109" s="19">
        <f ca="1">((100/H100)*C109)/100</f>
        <v>0</v>
      </c>
      <c r="E109" s="215"/>
      <c r="F109" s="216"/>
      <c r="G109" s="215"/>
      <c r="H109" s="220"/>
      <c r="I109" s="14" t="s">
        <v>140</v>
      </c>
      <c r="J109" s="31">
        <f>(IF(B100&gt;3,(H100/(B100+2)+J108),0))</f>
        <v>0</v>
      </c>
    </row>
    <row r="110" spans="1:16" ht="15.75" customHeight="1" x14ac:dyDescent="0.35">
      <c r="A110" s="111" t="s">
        <v>134</v>
      </c>
      <c r="B110" s="112"/>
      <c r="C110" s="67">
        <v>0</v>
      </c>
      <c r="D110" s="19">
        <f ca="1">((100/H100)*C110)/100</f>
        <v>0</v>
      </c>
      <c r="E110" s="215"/>
      <c r="F110" s="216"/>
      <c r="G110" s="215"/>
      <c r="H110" s="220"/>
      <c r="I110" s="14" t="s">
        <v>141</v>
      </c>
      <c r="J110" s="30">
        <f>(IF(B100&gt;4,(H100/(B100+2)+J109),0))</f>
        <v>0</v>
      </c>
    </row>
    <row r="111" spans="1:16" ht="15.75" customHeight="1" x14ac:dyDescent="0.35">
      <c r="A111" s="111" t="s">
        <v>129</v>
      </c>
      <c r="B111" s="112" t="s">
        <v>129</v>
      </c>
      <c r="C111" s="67">
        <v>0</v>
      </c>
      <c r="D111" s="19">
        <f ca="1">((100/(H100))*C111)/100</f>
        <v>0</v>
      </c>
      <c r="E111" s="215"/>
      <c r="F111" s="216"/>
      <c r="G111" s="215"/>
      <c r="H111" s="220"/>
      <c r="I111" s="14" t="s">
        <v>143</v>
      </c>
      <c r="J111" s="30">
        <f ca="1">(IF(B100=1,(H100/(B100+3)+J106),IF(B100=0,(H100/4+J106),IF(B100&gt;1,0))))</f>
        <v>23.25</v>
      </c>
    </row>
    <row r="112" spans="1:16" ht="16" thickBot="1" x14ac:dyDescent="0.4">
      <c r="A112" s="154" t="s">
        <v>130</v>
      </c>
      <c r="B112" s="155"/>
      <c r="C112" s="68">
        <v>0</v>
      </c>
      <c r="D112" s="20">
        <f ca="1">((100/(H100))*C112)/100</f>
        <v>0</v>
      </c>
      <c r="E112" s="217"/>
      <c r="F112" s="218"/>
      <c r="G112" s="217"/>
      <c r="H112" s="221"/>
      <c r="I112" s="15" t="s">
        <v>100</v>
      </c>
      <c r="J112" s="32">
        <f ca="1">(IF(B100&gt;1.5,(H100/(B100+2)+J106+MAX(0,J107-J106)+MAX(0,J108-J107)+MAX(0,J109-J108)+MAX(0,J110-J109)+MAX(0,J111-J110)),IF(B100=1,(H100/(B100+3)+J111),IF(B100=0,H100/4+J111))))</f>
        <v>31</v>
      </c>
    </row>
    <row r="113" spans="1:10" s="35" customFormat="1" ht="15.75" customHeight="1" x14ac:dyDescent="0.35">
      <c r="A113" s="228" t="s">
        <v>152</v>
      </c>
      <c r="B113" s="228"/>
      <c r="C113" s="228"/>
      <c r="D113" s="228"/>
      <c r="E113" s="228"/>
      <c r="F113" s="114" t="s">
        <v>156</v>
      </c>
      <c r="G113" s="114"/>
      <c r="H113" s="114"/>
      <c r="I113" s="21"/>
      <c r="J113" s="21"/>
    </row>
    <row r="114" spans="1:10" s="35" customFormat="1" ht="15.75" customHeight="1" x14ac:dyDescent="0.35">
      <c r="A114" s="126" t="s">
        <v>154</v>
      </c>
      <c r="B114" s="126"/>
      <c r="C114" s="126"/>
      <c r="D114" s="126"/>
      <c r="E114" s="126"/>
      <c r="F114" s="153">
        <v>8500</v>
      </c>
      <c r="G114" s="153"/>
      <c r="H114" s="153"/>
      <c r="I114" s="21"/>
      <c r="J114" s="21"/>
    </row>
    <row r="115" spans="1:10" s="35" customFormat="1" x14ac:dyDescent="0.35">
      <c r="A115" s="126" t="s">
        <v>153</v>
      </c>
      <c r="B115" s="126"/>
      <c r="C115" s="126"/>
      <c r="D115" s="126"/>
      <c r="E115" s="126"/>
      <c r="F115" s="153">
        <v>16000</v>
      </c>
      <c r="G115" s="153"/>
      <c r="H115" s="153"/>
      <c r="I115" s="21"/>
      <c r="J115" s="21"/>
    </row>
    <row r="116" spans="1:10" s="35" customFormat="1" hidden="1" x14ac:dyDescent="0.35">
      <c r="A116" s="126" t="s">
        <v>155</v>
      </c>
      <c r="B116" s="126"/>
      <c r="C116" s="126"/>
      <c r="D116" s="126"/>
      <c r="E116" s="126"/>
      <c r="F116" s="153"/>
      <c r="G116" s="153"/>
      <c r="H116" s="153"/>
      <c r="I116" s="21"/>
      <c r="J116" s="21"/>
    </row>
    <row r="117" spans="1:10" s="35" customFormat="1" hidden="1" x14ac:dyDescent="0.3">
      <c r="A117" s="126" t="s">
        <v>169</v>
      </c>
      <c r="B117" s="126"/>
      <c r="C117" s="126"/>
      <c r="D117" s="126"/>
      <c r="E117" s="126"/>
      <c r="F117" s="153"/>
      <c r="G117" s="153"/>
      <c r="H117" s="153"/>
      <c r="I117" s="33"/>
      <c r="J117" s="33"/>
    </row>
    <row r="118" spans="1:10" s="35" customFormat="1" ht="15.75" hidden="1" customHeight="1" x14ac:dyDescent="0.3">
      <c r="A118" s="126" t="s">
        <v>90</v>
      </c>
      <c r="B118" s="126"/>
      <c r="C118" s="126"/>
      <c r="D118" s="126"/>
      <c r="E118" s="126"/>
      <c r="F118" s="153"/>
      <c r="G118" s="153"/>
      <c r="H118" s="153"/>
      <c r="I118" s="33"/>
      <c r="J118" s="33"/>
    </row>
    <row r="119" spans="1:10" s="35" customFormat="1" hidden="1" x14ac:dyDescent="0.3">
      <c r="A119" s="126" t="s">
        <v>91</v>
      </c>
      <c r="B119" s="126"/>
      <c r="C119" s="126"/>
      <c r="D119" s="126"/>
      <c r="E119" s="126"/>
      <c r="F119" s="153"/>
      <c r="G119" s="153"/>
      <c r="H119" s="153"/>
      <c r="I119" s="33"/>
      <c r="J119" s="33"/>
    </row>
    <row r="120" spans="1:10" s="35" customFormat="1" hidden="1" x14ac:dyDescent="0.3">
      <c r="A120" s="126" t="s">
        <v>157</v>
      </c>
      <c r="B120" s="126"/>
      <c r="C120" s="126"/>
      <c r="D120" s="126"/>
      <c r="E120" s="126"/>
      <c r="F120" s="153"/>
      <c r="G120" s="153"/>
      <c r="H120" s="153"/>
      <c r="I120" s="33"/>
      <c r="J120" s="33"/>
    </row>
    <row r="121" spans="1:10" s="35" customFormat="1" hidden="1" x14ac:dyDescent="0.3">
      <c r="A121" s="126" t="s">
        <v>92</v>
      </c>
      <c r="B121" s="126"/>
      <c r="C121" s="126"/>
      <c r="D121" s="126"/>
      <c r="E121" s="126"/>
      <c r="F121" s="153"/>
      <c r="G121" s="153"/>
      <c r="H121" s="153"/>
      <c r="I121" s="33"/>
      <c r="J121" s="33"/>
    </row>
    <row r="122" spans="1:10" s="35" customFormat="1" hidden="1" x14ac:dyDescent="0.3">
      <c r="A122" s="126" t="s">
        <v>93</v>
      </c>
      <c r="B122" s="126"/>
      <c r="C122" s="126"/>
      <c r="D122" s="126"/>
      <c r="E122" s="126"/>
      <c r="F122" s="153"/>
      <c r="G122" s="153"/>
      <c r="H122" s="153"/>
      <c r="I122" s="33"/>
      <c r="J122" s="33"/>
    </row>
    <row r="123" spans="1:10" s="35" customFormat="1" hidden="1" x14ac:dyDescent="0.3">
      <c r="A123" s="126" t="s">
        <v>94</v>
      </c>
      <c r="B123" s="126"/>
      <c r="C123" s="126"/>
      <c r="D123" s="126"/>
      <c r="E123" s="126"/>
      <c r="F123" s="153"/>
      <c r="G123" s="153"/>
      <c r="H123" s="153"/>
      <c r="I123" s="33"/>
      <c r="J123" s="33"/>
    </row>
    <row r="124" spans="1:10" s="35" customFormat="1" ht="15.75" hidden="1" customHeight="1" x14ac:dyDescent="0.3">
      <c r="A124" s="126" t="s">
        <v>95</v>
      </c>
      <c r="B124" s="126"/>
      <c r="C124" s="126"/>
      <c r="D124" s="126"/>
      <c r="E124" s="126"/>
      <c r="F124" s="153"/>
      <c r="G124" s="153"/>
      <c r="H124" s="153"/>
      <c r="I124" s="33"/>
      <c r="J124" s="33"/>
    </row>
    <row r="125" spans="1:10" s="35" customFormat="1" x14ac:dyDescent="0.35">
      <c r="A125" s="126" t="s">
        <v>50</v>
      </c>
      <c r="B125" s="126"/>
      <c r="C125" s="126"/>
      <c r="D125" s="126"/>
      <c r="E125" s="126"/>
      <c r="F125" s="153">
        <v>400000</v>
      </c>
      <c r="G125" s="153"/>
      <c r="H125" s="153"/>
      <c r="I125" s="21"/>
      <c r="J125" s="21"/>
    </row>
    <row r="126" spans="1:10" s="35" customFormat="1" x14ac:dyDescent="0.35">
      <c r="A126" s="211" t="s">
        <v>51</v>
      </c>
      <c r="B126" s="211"/>
      <c r="C126" s="211"/>
      <c r="D126" s="211"/>
      <c r="E126" s="211"/>
      <c r="F126" s="153">
        <f>F114*0.8</f>
        <v>6800</v>
      </c>
      <c r="G126" s="153"/>
      <c r="H126" s="153"/>
      <c r="I126" s="34"/>
      <c r="J126" s="34"/>
    </row>
    <row r="127" spans="1:10" s="35" customFormat="1" x14ac:dyDescent="0.35">
      <c r="A127" s="148" t="s">
        <v>194</v>
      </c>
      <c r="B127" s="148"/>
      <c r="C127" s="148"/>
      <c r="D127" s="148"/>
      <c r="E127" s="148"/>
      <c r="F127" s="148"/>
      <c r="G127" s="148"/>
      <c r="H127" s="148"/>
    </row>
    <row r="128" spans="1:10" s="35" customFormat="1" x14ac:dyDescent="0.35">
      <c r="A128" s="128" t="s">
        <v>52</v>
      </c>
      <c r="B128" s="128"/>
      <c r="C128" s="150" t="s">
        <v>75</v>
      </c>
      <c r="D128" s="150"/>
      <c r="E128" s="152" t="s">
        <v>53</v>
      </c>
      <c r="F128" s="152"/>
      <c r="G128" s="243" t="s">
        <v>54</v>
      </c>
      <c r="H128" s="243"/>
    </row>
    <row r="129" spans="1:14" s="37" customFormat="1" x14ac:dyDescent="0.35">
      <c r="A129" s="241" t="s">
        <v>188</v>
      </c>
      <c r="B129" s="241"/>
      <c r="C129" s="234">
        <f>COUNT(D148:D161)</f>
        <v>14</v>
      </c>
      <c r="D129" s="235"/>
      <c r="E129" s="236">
        <f>SUM(D148:D161)</f>
        <v>4505.7027600000001</v>
      </c>
      <c r="F129" s="237"/>
      <c r="G129" s="236">
        <f>SUM(F148:F161)</f>
        <v>6983.8392779999995</v>
      </c>
      <c r="H129" s="237"/>
      <c r="I129" s="35"/>
      <c r="J129" s="35"/>
    </row>
    <row r="130" spans="1:14" s="37" customFormat="1" x14ac:dyDescent="0.35">
      <c r="A130" s="148" t="s">
        <v>146</v>
      </c>
      <c r="B130" s="148"/>
      <c r="C130" s="149">
        <f>SUM(C129)</f>
        <v>14</v>
      </c>
      <c r="D130" s="150"/>
      <c r="E130" s="151">
        <f>SUM(E129)</f>
        <v>4505.7027600000001</v>
      </c>
      <c r="F130" s="152"/>
      <c r="G130" s="128">
        <f>SUM(G129)</f>
        <v>6983.8392779999995</v>
      </c>
      <c r="H130" s="128"/>
      <c r="I130" s="35"/>
      <c r="J130" s="35"/>
    </row>
    <row r="131" spans="1:14" s="37" customFormat="1" x14ac:dyDescent="0.35">
      <c r="A131" s="148" t="s">
        <v>196</v>
      </c>
      <c r="B131" s="148"/>
      <c r="C131" s="148"/>
      <c r="D131" s="148"/>
      <c r="E131" s="148"/>
      <c r="F131" s="148"/>
      <c r="G131" s="148"/>
      <c r="H131" s="148"/>
      <c r="I131" s="35"/>
      <c r="J131" s="35"/>
      <c r="L131" s="226"/>
      <c r="M131" s="226"/>
      <c r="N131" s="36"/>
    </row>
    <row r="132" spans="1:14" s="37" customFormat="1" x14ac:dyDescent="0.35">
      <c r="A132" s="128" t="s">
        <v>52</v>
      </c>
      <c r="B132" s="128"/>
      <c r="C132" s="150" t="s">
        <v>75</v>
      </c>
      <c r="D132" s="150"/>
      <c r="E132" s="152" t="s">
        <v>53</v>
      </c>
      <c r="F132" s="152"/>
      <c r="G132" s="243" t="s">
        <v>54</v>
      </c>
      <c r="H132" s="243"/>
      <c r="I132" s="35"/>
      <c r="J132" s="35"/>
      <c r="L132" s="226"/>
      <c r="M132" s="226"/>
      <c r="N132" s="36"/>
    </row>
    <row r="133" spans="1:14" s="37" customFormat="1" x14ac:dyDescent="0.35">
      <c r="A133" s="241" t="s">
        <v>187</v>
      </c>
      <c r="B133" s="241"/>
      <c r="C133" s="234">
        <f>COUNT(D168:D169,D171:D175)</f>
        <v>7</v>
      </c>
      <c r="D133" s="234"/>
      <c r="E133" s="234">
        <f>SUM(D168:D169,D171:D175)</f>
        <v>2395.0610423999992</v>
      </c>
      <c r="F133" s="234"/>
      <c r="G133" s="234">
        <f>SUM(F168:F169,F171:F175)</f>
        <v>3592.5915635999991</v>
      </c>
      <c r="H133" s="234"/>
      <c r="I133" s="35"/>
      <c r="J133" s="35"/>
      <c r="L133" s="226"/>
      <c r="M133" s="226"/>
      <c r="N133" s="36"/>
    </row>
    <row r="134" spans="1:14" s="37" customFormat="1" ht="15.75" customHeight="1" x14ac:dyDescent="0.35">
      <c r="A134" s="241" t="s">
        <v>184</v>
      </c>
      <c r="B134" s="241"/>
      <c r="C134" s="234">
        <f>COUNT(D216:D223)*14+COUNT(D225:D228)*3+COUNT(D231:D232)*3+COUNT(D234)*3+COUNT(D237)*3+COUNT(D243:D250)*8+COUNT(D252:D255)*2+COUNT(D257:D259)*2</f>
        <v>214</v>
      </c>
      <c r="D134" s="234"/>
      <c r="E134" s="236">
        <f>SUM(D216:D223)*14+SUM(D225:D228)*3+SUM(D231:D232)*3+SUM(D234)*3+SUM(D237)*3+SUM(D243:D250)*8+SUM(D252:D255)*2+SUM(D257:D259)*2</f>
        <v>96463.738799999992</v>
      </c>
      <c r="F134" s="236"/>
      <c r="G134" s="236">
        <f>SUM(F216:F223)*14+SUM(F225:F228)*3+SUM(F231:F232)*3+SUM(F234)*3+SUM(F237)*3+SUM(F243:F250)*8+SUM(F252:F255)*2+SUM(F257:F259)*2</f>
        <v>144695.60819999999</v>
      </c>
      <c r="H134" s="236"/>
      <c r="I134" s="35"/>
      <c r="J134" s="35"/>
      <c r="L134" s="226"/>
      <c r="M134" s="226"/>
      <c r="N134" s="36"/>
    </row>
    <row r="135" spans="1:14" s="37" customFormat="1" ht="15.75" customHeight="1" x14ac:dyDescent="0.35">
      <c r="A135" s="143" t="s">
        <v>188</v>
      </c>
      <c r="B135" s="144"/>
      <c r="C135" s="81">
        <f>COUNT(D266:D268)*1+COUNT(D272:D279)*13+COUNT(D283:D288)*3+COUNT(D290:D297)+COUNT(D299:D306)*11+COUNT(D308)*2+COUNT(D310:D315)*2</f>
        <v>235</v>
      </c>
      <c r="D135" s="82"/>
      <c r="E135" s="83">
        <f>SUM(D266:D268)*1+SUM(D272:D279)*13+SUM(D283:D288)*3+SUM(D290:D297)+SUM(D299:D306)*11+SUM(D308)*2+SUM(D310:D315)*2</f>
        <v>127466.10395999998</v>
      </c>
      <c r="F135" s="84"/>
      <c r="G135" s="83">
        <f>SUM(F266:F268)*1+SUM(F272:F279)*13+SUM(F283:F288)*3+SUM(F290:F297)+SUM(F299:F306)*11+SUM(F308:F315)*2</f>
        <v>191199.15594</v>
      </c>
      <c r="H135" s="84"/>
      <c r="I135" s="35"/>
      <c r="J135" s="35"/>
      <c r="L135" s="226"/>
      <c r="M135" s="226"/>
      <c r="N135" s="36"/>
    </row>
    <row r="136" spans="1:14" s="37" customFormat="1" ht="15.75" customHeight="1" x14ac:dyDescent="0.35">
      <c r="A136" s="139" t="s">
        <v>146</v>
      </c>
      <c r="B136" s="139"/>
      <c r="C136" s="75">
        <f>SUM(C133:D135)</f>
        <v>456</v>
      </c>
      <c r="D136" s="76"/>
      <c r="E136" s="75">
        <f>SUM(E133:F135)</f>
        <v>226324.90380239999</v>
      </c>
      <c r="F136" s="76"/>
      <c r="G136" s="75">
        <f>SUM(G133:H135)</f>
        <v>339487.35570359998</v>
      </c>
      <c r="H136" s="76"/>
      <c r="I136" s="35"/>
      <c r="J136" s="35"/>
      <c r="L136" s="226"/>
      <c r="M136" s="226"/>
      <c r="N136" s="36"/>
    </row>
    <row r="137" spans="1:14" s="37" customFormat="1" ht="15.75" customHeight="1" x14ac:dyDescent="0.35">
      <c r="A137" s="148" t="s">
        <v>197</v>
      </c>
      <c r="B137" s="148"/>
      <c r="C137" s="148"/>
      <c r="D137" s="148"/>
      <c r="E137" s="148"/>
      <c r="F137" s="148"/>
      <c r="G137" s="148"/>
      <c r="H137" s="148"/>
      <c r="I137" s="35"/>
      <c r="J137" s="35"/>
      <c r="L137" s="226"/>
      <c r="M137" s="226"/>
      <c r="N137" s="36"/>
    </row>
    <row r="138" spans="1:14" s="37" customFormat="1" x14ac:dyDescent="0.35">
      <c r="A138" s="128" t="s">
        <v>52</v>
      </c>
      <c r="B138" s="128"/>
      <c r="C138" s="150" t="s">
        <v>75</v>
      </c>
      <c r="D138" s="150"/>
      <c r="E138" s="152" t="s">
        <v>53</v>
      </c>
      <c r="F138" s="152"/>
      <c r="G138" s="243" t="s">
        <v>54</v>
      </c>
      <c r="H138" s="243"/>
      <c r="I138" s="35"/>
      <c r="J138" s="35"/>
      <c r="L138" s="226"/>
      <c r="M138" s="226"/>
      <c r="N138" s="36"/>
    </row>
    <row r="139" spans="1:14" s="37" customFormat="1" x14ac:dyDescent="0.35">
      <c r="A139" s="241" t="s">
        <v>187</v>
      </c>
      <c r="B139" s="241"/>
      <c r="C139" s="234">
        <f>COUNT(D177:D184)*20+COUNT(D188:D193)*4+COUNT(D195:D202)*5+COUNT(D205:D211)</f>
        <v>231</v>
      </c>
      <c r="D139" s="234"/>
      <c r="E139" s="236">
        <f>SUM(D177:D184)*20+SUM(D188:D193)*4+SUM(D195:D202)*5+SUM(D205:D211)</f>
        <v>79238.174184000003</v>
      </c>
      <c r="F139" s="236"/>
      <c r="G139" s="236">
        <f>SUM(F177:F184)*20+SUM(F188:F193)*4+SUM(F195:F202)*5+SUM(F205:F211)</f>
        <v>118857.261276</v>
      </c>
      <c r="H139" s="236"/>
      <c r="I139" s="35"/>
      <c r="J139" s="35"/>
      <c r="N139" s="36"/>
    </row>
    <row r="140" spans="1:14" x14ac:dyDescent="0.35">
      <c r="A140" s="241" t="s">
        <v>184</v>
      </c>
      <c r="B140" s="241"/>
      <c r="C140" s="234">
        <f>COUNT(D235:D236)*3+COUNT(D238:D241)*3</f>
        <v>18</v>
      </c>
      <c r="D140" s="234"/>
      <c r="E140" s="244">
        <f>SUM(D235:D236)*3+SUM(D238:D241)*3</f>
        <v>6653.4436799999994</v>
      </c>
      <c r="F140" s="244"/>
      <c r="G140" s="242">
        <f>SUM(F235:F236)*3+SUM(F238:F241)*3</f>
        <v>9980.1655199999987</v>
      </c>
      <c r="H140" s="242"/>
      <c r="I140" s="35"/>
      <c r="J140" s="35"/>
    </row>
    <row r="141" spans="1:14" s="37" customFormat="1" ht="16" thickBot="1" x14ac:dyDescent="0.4">
      <c r="A141" s="139" t="s">
        <v>146</v>
      </c>
      <c r="B141" s="139"/>
      <c r="C141" s="75">
        <f>SUM(C139:D140)</f>
        <v>249</v>
      </c>
      <c r="D141" s="76"/>
      <c r="E141" s="75">
        <f>SUM(E139:F140)</f>
        <v>85891.617864</v>
      </c>
      <c r="F141" s="76"/>
      <c r="G141" s="75">
        <f>SUM(G139:H140)</f>
        <v>128837.426796</v>
      </c>
      <c r="H141" s="76"/>
      <c r="I141" s="35"/>
      <c r="J141" s="35"/>
    </row>
    <row r="142" spans="1:14" s="37" customFormat="1" ht="16" thickBot="1" x14ac:dyDescent="0.4">
      <c r="A142" s="247" t="s">
        <v>163</v>
      </c>
      <c r="B142" s="248"/>
      <c r="C142" s="249">
        <f>C130+C136+C141</f>
        <v>719</v>
      </c>
      <c r="D142" s="250"/>
      <c r="E142" s="251">
        <f>E130+E136+E141</f>
        <v>316722.22442640003</v>
      </c>
      <c r="F142" s="252"/>
      <c r="G142" s="253">
        <f>G130+G136+G141</f>
        <v>475308.62177759997</v>
      </c>
      <c r="H142" s="254"/>
      <c r="I142" s="35"/>
      <c r="J142" s="35"/>
    </row>
    <row r="143" spans="1:14" s="37" customFormat="1" x14ac:dyDescent="0.35">
      <c r="A143" s="74" t="s">
        <v>168</v>
      </c>
      <c r="B143" s="74"/>
      <c r="C143" s="74"/>
      <c r="D143" s="74"/>
      <c r="E143" s="74"/>
      <c r="F143" s="74"/>
      <c r="G143" s="74"/>
      <c r="H143" s="74"/>
      <c r="I143" s="55">
        <f>10.764</f>
        <v>10.763999999999999</v>
      </c>
    </row>
    <row r="144" spans="1:14" s="37" customFormat="1" ht="45" x14ac:dyDescent="0.35">
      <c r="A144" s="77" t="s">
        <v>116</v>
      </c>
      <c r="B144" s="77" t="s">
        <v>115</v>
      </c>
      <c r="C144" s="77" t="s">
        <v>55</v>
      </c>
      <c r="D144" s="77" t="s">
        <v>56</v>
      </c>
      <c r="E144" s="129" t="s">
        <v>151</v>
      </c>
      <c r="F144" s="43" t="s">
        <v>145</v>
      </c>
      <c r="G144" s="131" t="s">
        <v>58</v>
      </c>
      <c r="H144" s="132"/>
      <c r="J144" s="36"/>
    </row>
    <row r="145" spans="1:17" s="37" customFormat="1" x14ac:dyDescent="0.35">
      <c r="A145" s="78"/>
      <c r="B145" s="78"/>
      <c r="C145" s="78"/>
      <c r="D145" s="78"/>
      <c r="E145" s="130"/>
      <c r="F145" s="13">
        <v>0.55000000000000004</v>
      </c>
      <c r="G145" s="133"/>
      <c r="H145" s="134"/>
      <c r="I145" s="36"/>
    </row>
    <row r="146" spans="1:17" s="37" customFormat="1" x14ac:dyDescent="0.35">
      <c r="A146" s="231" t="s">
        <v>188</v>
      </c>
      <c r="B146" s="232"/>
      <c r="C146" s="232"/>
      <c r="D146" s="232"/>
      <c r="E146" s="232"/>
      <c r="F146" s="232"/>
      <c r="G146" s="232"/>
      <c r="H146" s="233"/>
      <c r="I146" s="36"/>
    </row>
    <row r="147" spans="1:17" s="37" customFormat="1" x14ac:dyDescent="0.35">
      <c r="A147" s="88" t="s">
        <v>204</v>
      </c>
      <c r="B147" s="89"/>
      <c r="C147" s="89"/>
      <c r="D147" s="89"/>
      <c r="E147" s="89"/>
      <c r="F147" s="89"/>
      <c r="G147" s="89"/>
      <c r="H147" s="90"/>
      <c r="I147" s="36"/>
    </row>
    <row r="148" spans="1:17" s="37" customFormat="1" x14ac:dyDescent="0.3">
      <c r="A148" s="79">
        <v>1</v>
      </c>
      <c r="B148" s="80"/>
      <c r="C148" s="42" t="s">
        <v>191</v>
      </c>
      <c r="D148" s="57">
        <f>(12.65)*10.764</f>
        <v>136.16460000000001</v>
      </c>
      <c r="E148" s="42">
        <v>0</v>
      </c>
      <c r="F148" s="42">
        <f t="shared" ref="F148:F155" si="0">(D148+E148)*(($F$145)+1)</f>
        <v>211.05513000000002</v>
      </c>
      <c r="G148" s="94" t="str">
        <f>A147</f>
        <v>Lower Ground Floor For Commercial, Entrance Lobby, Meter Room, Panel Room &amp; Parking Area</v>
      </c>
      <c r="H148" s="101"/>
      <c r="I148" s="36"/>
    </row>
    <row r="149" spans="1:17" s="37" customFormat="1" x14ac:dyDescent="0.3">
      <c r="A149" s="79">
        <f t="shared" ref="A149:A161" si="1">A148+1</f>
        <v>2</v>
      </c>
      <c r="B149" s="80"/>
      <c r="C149" s="42" t="s">
        <v>191</v>
      </c>
      <c r="D149" s="57">
        <f>(17.99)*10.764</f>
        <v>193.64435999999998</v>
      </c>
      <c r="E149" s="42">
        <v>0</v>
      </c>
      <c r="F149" s="42">
        <f t="shared" si="0"/>
        <v>300.14875799999999</v>
      </c>
      <c r="G149" s="96"/>
      <c r="H149" s="183"/>
      <c r="I149" s="36"/>
    </row>
    <row r="150" spans="1:17" x14ac:dyDescent="0.35">
      <c r="A150" s="79">
        <f t="shared" si="1"/>
        <v>3</v>
      </c>
      <c r="B150" s="80"/>
      <c r="C150" s="42" t="s">
        <v>191</v>
      </c>
      <c r="D150" s="57">
        <f>(15.97)*10.764</f>
        <v>171.90108000000001</v>
      </c>
      <c r="E150" s="42">
        <v>0</v>
      </c>
      <c r="F150" s="42">
        <f t="shared" si="0"/>
        <v>266.44667400000003</v>
      </c>
      <c r="G150" s="96"/>
      <c r="H150" s="183"/>
      <c r="I150" s="36"/>
      <c r="J150" s="37"/>
    </row>
    <row r="151" spans="1:17" s="37" customFormat="1" ht="15.75" customHeight="1" x14ac:dyDescent="0.3">
      <c r="A151" s="79">
        <f t="shared" si="1"/>
        <v>4</v>
      </c>
      <c r="B151" s="80"/>
      <c r="C151" s="42" t="s">
        <v>191</v>
      </c>
      <c r="D151" s="57">
        <f>(20.9)*10.764</f>
        <v>224.96759999999998</v>
      </c>
      <c r="E151" s="42">
        <v>0</v>
      </c>
      <c r="F151" s="42">
        <f t="shared" si="0"/>
        <v>348.69977999999998</v>
      </c>
      <c r="G151" s="96"/>
      <c r="H151" s="183"/>
      <c r="I151" s="36"/>
    </row>
    <row r="152" spans="1:17" s="37" customFormat="1" ht="15.75" customHeight="1" x14ac:dyDescent="0.3">
      <c r="A152" s="79">
        <f t="shared" si="1"/>
        <v>5</v>
      </c>
      <c r="B152" s="80"/>
      <c r="C152" s="42" t="s">
        <v>191</v>
      </c>
      <c r="D152" s="57">
        <f>(20.88)*10.764</f>
        <v>224.75231999999997</v>
      </c>
      <c r="E152" s="42">
        <v>0</v>
      </c>
      <c r="F152" s="42">
        <f t="shared" si="0"/>
        <v>348.36609599999997</v>
      </c>
      <c r="G152" s="96"/>
      <c r="H152" s="183"/>
      <c r="I152" s="36"/>
    </row>
    <row r="153" spans="1:17" s="35" customFormat="1" x14ac:dyDescent="0.3">
      <c r="A153" s="79">
        <f t="shared" si="1"/>
        <v>6</v>
      </c>
      <c r="B153" s="80"/>
      <c r="C153" s="42" t="s">
        <v>191</v>
      </c>
      <c r="D153" s="57">
        <f>(15.25)*10.764</f>
        <v>164.15099999999998</v>
      </c>
      <c r="E153" s="42">
        <v>0</v>
      </c>
      <c r="F153" s="42">
        <f t="shared" si="0"/>
        <v>254.43404999999998</v>
      </c>
      <c r="G153" s="96"/>
      <c r="H153" s="183"/>
      <c r="I153" s="36"/>
      <c r="J153" s="37"/>
    </row>
    <row r="154" spans="1:17" s="35" customFormat="1" x14ac:dyDescent="0.35">
      <c r="A154" s="79">
        <f t="shared" si="1"/>
        <v>7</v>
      </c>
      <c r="B154" s="80"/>
      <c r="C154" s="42" t="s">
        <v>191</v>
      </c>
      <c r="D154" s="57">
        <f>(18.82)*10.764</f>
        <v>202.57847999999998</v>
      </c>
      <c r="E154" s="42">
        <v>0</v>
      </c>
      <c r="F154" s="42">
        <f t="shared" si="0"/>
        <v>313.996644</v>
      </c>
      <c r="G154" s="96"/>
      <c r="H154" s="183"/>
      <c r="I154" s="36"/>
      <c r="J154" s="21"/>
      <c r="Q154" s="35">
        <f>4750000/F169</f>
        <v>10067.363565433676</v>
      </c>
    </row>
    <row r="155" spans="1:17" s="35" customFormat="1" x14ac:dyDescent="0.3">
      <c r="A155" s="79">
        <f t="shared" si="1"/>
        <v>8</v>
      </c>
      <c r="B155" s="80"/>
      <c r="C155" s="42" t="s">
        <v>191</v>
      </c>
      <c r="D155" s="57">
        <f>(20.9)*10.764</f>
        <v>224.96759999999998</v>
      </c>
      <c r="E155" s="42">
        <v>0</v>
      </c>
      <c r="F155" s="42">
        <f t="shared" si="0"/>
        <v>348.69977999999998</v>
      </c>
      <c r="G155" s="96"/>
      <c r="H155" s="183"/>
      <c r="I155" s="36"/>
      <c r="J155" s="37"/>
      <c r="O155" s="35">
        <f>0.6*1.4+0.6*2.1+0.6*2.28+3.05*5.1+2.28*3.05+3.04*3.05+3.35*3.43+1.37*2.28+2.27*1.38+1*2.28+1*1.2</f>
        <v>56.475699999999996</v>
      </c>
    </row>
    <row r="156" spans="1:17" s="35" customFormat="1" x14ac:dyDescent="0.3">
      <c r="A156" s="79">
        <f t="shared" si="1"/>
        <v>9</v>
      </c>
      <c r="B156" s="80"/>
      <c r="C156" s="42" t="s">
        <v>191</v>
      </c>
      <c r="D156" s="57">
        <f>(15.97)*10.764</f>
        <v>171.90108000000001</v>
      </c>
      <c r="E156" s="42">
        <v>0</v>
      </c>
      <c r="F156" s="42">
        <f t="shared" ref="F156:F161" si="2">(D156+E156)*(($F$145)+1)</f>
        <v>266.44667400000003</v>
      </c>
      <c r="G156" s="96"/>
      <c r="H156" s="183"/>
      <c r="I156" s="36"/>
      <c r="J156" s="37"/>
      <c r="O156" s="35">
        <f>1.67*3.05</f>
        <v>5.0934999999999997</v>
      </c>
      <c r="P156" s="35">
        <f>O156+O155</f>
        <v>61.569199999999995</v>
      </c>
    </row>
    <row r="157" spans="1:17" s="35" customFormat="1" x14ac:dyDescent="0.3">
      <c r="A157" s="79">
        <f t="shared" si="1"/>
        <v>10</v>
      </c>
      <c r="B157" s="80"/>
      <c r="C157" s="42" t="s">
        <v>191</v>
      </c>
      <c r="D157" s="57">
        <f>(17.99)*10.764</f>
        <v>193.64435999999998</v>
      </c>
      <c r="E157" s="42">
        <v>0</v>
      </c>
      <c r="F157" s="42">
        <f t="shared" si="2"/>
        <v>300.14875799999999</v>
      </c>
      <c r="G157" s="96"/>
      <c r="H157" s="183"/>
      <c r="I157" s="36"/>
      <c r="J157" s="37"/>
      <c r="O157" s="35">
        <f>1.2*1.75</f>
        <v>2.1</v>
      </c>
      <c r="Q157" s="35">
        <f>5700000/F172</f>
        <v>10472.518952778973</v>
      </c>
    </row>
    <row r="158" spans="1:17" s="35" customFormat="1" x14ac:dyDescent="0.3">
      <c r="A158" s="79">
        <f t="shared" si="1"/>
        <v>11</v>
      </c>
      <c r="B158" s="80"/>
      <c r="C158" s="42" t="s">
        <v>191</v>
      </c>
      <c r="D158" s="57">
        <f>(11.9)*10.764</f>
        <v>128.0916</v>
      </c>
      <c r="E158" s="42">
        <v>0</v>
      </c>
      <c r="F158" s="42">
        <f t="shared" si="2"/>
        <v>198.54198</v>
      </c>
      <c r="G158" s="96"/>
      <c r="H158" s="183"/>
      <c r="I158" s="36"/>
      <c r="J158" s="37"/>
    </row>
    <row r="159" spans="1:17" s="35" customFormat="1" x14ac:dyDescent="0.3">
      <c r="A159" s="79">
        <f t="shared" si="1"/>
        <v>12</v>
      </c>
      <c r="B159" s="80"/>
      <c r="C159" s="42" t="s">
        <v>191</v>
      </c>
      <c r="D159" s="57">
        <f>(19.17)*10.764</f>
        <v>206.34587999999999</v>
      </c>
      <c r="E159" s="42">
        <v>0</v>
      </c>
      <c r="F159" s="42">
        <f t="shared" si="2"/>
        <v>319.83611400000001</v>
      </c>
      <c r="G159" s="96"/>
      <c r="H159" s="183"/>
      <c r="I159" s="36"/>
      <c r="J159" s="37"/>
    </row>
    <row r="160" spans="1:17" s="35" customFormat="1" x14ac:dyDescent="0.3">
      <c r="A160" s="79">
        <f t="shared" si="1"/>
        <v>13</v>
      </c>
      <c r="B160" s="80"/>
      <c r="C160" s="42" t="s">
        <v>191</v>
      </c>
      <c r="D160" s="57">
        <f>(127.64)*10.764</f>
        <v>1373.91696</v>
      </c>
      <c r="E160" s="42">
        <v>0</v>
      </c>
      <c r="F160" s="42">
        <f t="shared" si="2"/>
        <v>2129.5712880000001</v>
      </c>
      <c r="G160" s="96"/>
      <c r="H160" s="183"/>
      <c r="I160" s="36"/>
      <c r="J160" s="37"/>
    </row>
    <row r="161" spans="1:17" s="35" customFormat="1" x14ac:dyDescent="0.3">
      <c r="A161" s="79">
        <f t="shared" si="1"/>
        <v>14</v>
      </c>
      <c r="B161" s="80"/>
      <c r="C161" s="42" t="s">
        <v>191</v>
      </c>
      <c r="D161" s="57">
        <f>(82.56)*10.764</f>
        <v>888.67583999999999</v>
      </c>
      <c r="E161" s="42">
        <v>0</v>
      </c>
      <c r="F161" s="42">
        <f t="shared" si="2"/>
        <v>1377.4475520000001</v>
      </c>
      <c r="G161" s="98"/>
      <c r="H161" s="102"/>
      <c r="I161" s="36"/>
      <c r="J161" s="37"/>
    </row>
    <row r="162" spans="1:17" s="35" customFormat="1" x14ac:dyDescent="0.35">
      <c r="A162" s="79"/>
      <c r="B162" s="100"/>
      <c r="C162" s="100"/>
      <c r="D162" s="100"/>
      <c r="E162" s="100"/>
      <c r="F162" s="100"/>
      <c r="G162" s="100"/>
      <c r="H162" s="80"/>
      <c r="I162" s="36"/>
      <c r="J162" s="37"/>
      <c r="Q162" s="35">
        <f>8700000/F177</f>
        <v>15661.02271489856</v>
      </c>
    </row>
    <row r="163" spans="1:17" s="35" customFormat="1" ht="45" x14ac:dyDescent="0.35">
      <c r="A163" s="131" t="s">
        <v>117</v>
      </c>
      <c r="B163" s="245" t="s">
        <v>227</v>
      </c>
      <c r="C163" s="77" t="s">
        <v>55</v>
      </c>
      <c r="D163" s="77" t="s">
        <v>56</v>
      </c>
      <c r="E163" s="129" t="s">
        <v>57</v>
      </c>
      <c r="F163" s="43" t="s">
        <v>145</v>
      </c>
      <c r="G163" s="131" t="s">
        <v>58</v>
      </c>
      <c r="H163" s="132"/>
      <c r="I163" s="36"/>
      <c r="J163" s="37"/>
      <c r="Q163" s="35">
        <f>4750000/F178</f>
        <v>10023.185294600387</v>
      </c>
    </row>
    <row r="164" spans="1:17" s="35" customFormat="1" x14ac:dyDescent="0.35">
      <c r="A164" s="133"/>
      <c r="B164" s="246"/>
      <c r="C164" s="78"/>
      <c r="D164" s="78"/>
      <c r="E164" s="130"/>
      <c r="F164" s="13">
        <v>0.5</v>
      </c>
      <c r="G164" s="133"/>
      <c r="H164" s="134"/>
      <c r="I164" s="21"/>
      <c r="J164" s="21"/>
      <c r="O164" s="35">
        <f>0.6*1.4+0.6*2.1+0.6*2.28+3.05*5.1+2.28*3.05+3.04*3.05+3.35*3.43+1.37*2.28+2.27*1.38+1*2.28+1*1.2</f>
        <v>56.475699999999996</v>
      </c>
    </row>
    <row r="165" spans="1:17" s="35" customFormat="1" x14ac:dyDescent="0.35">
      <c r="A165" s="85" t="s">
        <v>243</v>
      </c>
      <c r="B165" s="86"/>
      <c r="C165" s="86"/>
      <c r="D165" s="86"/>
      <c r="E165" s="86"/>
      <c r="F165" s="86"/>
      <c r="G165" s="86"/>
      <c r="H165" s="87"/>
      <c r="I165" s="36"/>
      <c r="J165" s="37"/>
      <c r="O165" s="35">
        <f>1.67*3.05</f>
        <v>5.0934999999999997</v>
      </c>
      <c r="P165" s="35">
        <f>O165+O164</f>
        <v>61.569199999999995</v>
      </c>
    </row>
    <row r="166" spans="1:17" s="35" customFormat="1" x14ac:dyDescent="0.35">
      <c r="A166" s="88" t="s">
        <v>205</v>
      </c>
      <c r="B166" s="89"/>
      <c r="C166" s="89"/>
      <c r="D166" s="89"/>
      <c r="E166" s="89"/>
      <c r="F166" s="89"/>
      <c r="G166" s="89"/>
      <c r="H166" s="90"/>
      <c r="I166" s="36"/>
      <c r="J166" s="37"/>
      <c r="O166" s="35">
        <f>1.2*1.75</f>
        <v>2.1</v>
      </c>
      <c r="Q166" s="35">
        <f>5700000/F181</f>
        <v>10260.670054588711</v>
      </c>
    </row>
    <row r="167" spans="1:17" s="35" customFormat="1" x14ac:dyDescent="0.35">
      <c r="A167" s="71" t="s">
        <v>244</v>
      </c>
      <c r="B167" s="72"/>
      <c r="C167" s="72"/>
      <c r="D167" s="72"/>
      <c r="E167" s="72"/>
      <c r="F167" s="72"/>
      <c r="G167" s="72"/>
      <c r="H167" s="73"/>
    </row>
    <row r="168" spans="1:17" s="35" customFormat="1" x14ac:dyDescent="0.35">
      <c r="A168" s="42">
        <v>1</v>
      </c>
      <c r="B168" s="42" t="s">
        <v>179</v>
      </c>
      <c r="C168" s="58" t="s">
        <v>181</v>
      </c>
      <c r="D168" s="63">
        <f>(3.05*4.3+1.95*2.75+2.55*3.05+2.15*1.2+1.2*2.15+0.9*2.55)*10.764</f>
        <v>362.8544399999999</v>
      </c>
      <c r="E168" s="57">
        <v>0</v>
      </c>
      <c r="F168" s="42">
        <f>(D168+E168)*(($F$164)+1)</f>
        <v>544.28165999999987</v>
      </c>
      <c r="G168" s="94" t="str">
        <f>A167</f>
        <v>Upper Ground Floor For Residential, Entrance Lobby &amp; Parking Area</v>
      </c>
      <c r="H168" s="95"/>
    </row>
    <row r="169" spans="1:17" s="35" customFormat="1" x14ac:dyDescent="0.35">
      <c r="A169" s="42">
        <f>A168+1</f>
        <v>2</v>
      </c>
      <c r="B169" s="42" t="s">
        <v>179</v>
      </c>
      <c r="C169" s="58" t="s">
        <v>181</v>
      </c>
      <c r="D169" s="63">
        <f>(2.9*3.45+2.05*2.14+2.75*3.2+1.2*2.15+1.22*0.91+0.9*2.6)*10.764</f>
        <v>314.54776079999993</v>
      </c>
      <c r="E169" s="57">
        <v>0</v>
      </c>
      <c r="F169" s="42">
        <f t="shared" ref="F169:F175" si="3">(D169+E169)*(($F$164)+1)</f>
        <v>471.82164119999993</v>
      </c>
      <c r="G169" s="96"/>
      <c r="H169" s="97"/>
    </row>
    <row r="170" spans="1:17" s="35" customFormat="1" x14ac:dyDescent="0.35">
      <c r="A170" s="42">
        <f>A169+1</f>
        <v>3</v>
      </c>
      <c r="B170" s="79" t="s">
        <v>245</v>
      </c>
      <c r="C170" s="100"/>
      <c r="D170" s="100"/>
      <c r="E170" s="100"/>
      <c r="F170" s="80"/>
      <c r="G170" s="96"/>
      <c r="H170" s="97"/>
    </row>
    <row r="171" spans="1:17" x14ac:dyDescent="0.35">
      <c r="A171" s="42">
        <f>A170+1</f>
        <v>4</v>
      </c>
      <c r="B171" s="42" t="s">
        <v>179</v>
      </c>
      <c r="C171" s="42" t="s">
        <v>181</v>
      </c>
      <c r="D171" s="63">
        <f>(3.05*4.3+1.95*2.75+2.55*3.05+2.15*1.2+1.2*2.15+0.9*2.55)*10.764</f>
        <v>362.8544399999999</v>
      </c>
      <c r="E171" s="57">
        <v>0</v>
      </c>
      <c r="F171" s="42">
        <f t="shared" si="3"/>
        <v>544.28165999999987</v>
      </c>
      <c r="G171" s="96"/>
      <c r="H171" s="97"/>
      <c r="I171" s="35"/>
      <c r="J171" s="35"/>
    </row>
    <row r="172" spans="1:17" x14ac:dyDescent="0.35">
      <c r="A172" s="42">
        <v>5</v>
      </c>
      <c r="B172" s="42" t="s">
        <v>179</v>
      </c>
      <c r="C172" s="42" t="s">
        <v>181</v>
      </c>
      <c r="D172" s="63">
        <f>(3.05*4.3+1.95*2.75+2.55*3.05+2.15*1.2+1.2*2.15+0.9*2.55)*10.764</f>
        <v>362.8544399999999</v>
      </c>
      <c r="E172" s="57">
        <v>0</v>
      </c>
      <c r="F172" s="42">
        <f t="shared" si="3"/>
        <v>544.28165999999987</v>
      </c>
      <c r="G172" s="96"/>
      <c r="H172" s="97"/>
      <c r="I172" s="35"/>
      <c r="J172" s="35"/>
    </row>
    <row r="173" spans="1:17" ht="15.75" customHeight="1" x14ac:dyDescent="0.35">
      <c r="A173" s="42">
        <v>6</v>
      </c>
      <c r="B173" s="42" t="s">
        <v>179</v>
      </c>
      <c r="C173" s="42" t="s">
        <v>181</v>
      </c>
      <c r="D173" s="63">
        <f>(2.9*3.45+2.05*2.14+2.75*3.2+1.22*0.91+1.2*2.15+0.9*2.6)*10.764</f>
        <v>314.54776079999993</v>
      </c>
      <c r="E173" s="57">
        <v>0</v>
      </c>
      <c r="F173" s="42">
        <f t="shared" si="3"/>
        <v>471.82164119999993</v>
      </c>
      <c r="G173" s="96"/>
      <c r="H173" s="97"/>
      <c r="I173" s="35"/>
      <c r="J173" s="35"/>
    </row>
    <row r="174" spans="1:17" x14ac:dyDescent="0.35">
      <c r="A174" s="42">
        <v>7</v>
      </c>
      <c r="B174" s="42" t="s">
        <v>179</v>
      </c>
      <c r="C174" s="42" t="s">
        <v>181</v>
      </c>
      <c r="D174" s="63">
        <f>(2.9*3.45+2.05*2.14+2.75*3.2+1.2*2.15+1.22*0.91+0.9*2.6)*10.764</f>
        <v>314.54776079999993</v>
      </c>
      <c r="E174" s="57">
        <v>0</v>
      </c>
      <c r="F174" s="42">
        <f t="shared" si="3"/>
        <v>471.82164119999993</v>
      </c>
      <c r="G174" s="96"/>
      <c r="H174" s="97"/>
      <c r="I174" s="35"/>
      <c r="J174" s="35"/>
    </row>
    <row r="175" spans="1:17" x14ac:dyDescent="0.35">
      <c r="A175" s="42">
        <v>8</v>
      </c>
      <c r="B175" s="42" t="s">
        <v>179</v>
      </c>
      <c r="C175" s="42" t="s">
        <v>181</v>
      </c>
      <c r="D175" s="63">
        <f>(3.05*4.3+1.95*2.75+2.55*3.05+2.15*1.2+1.2*2.15+0.9*2.55)*10.764</f>
        <v>362.8544399999999</v>
      </c>
      <c r="E175" s="57">
        <v>0</v>
      </c>
      <c r="F175" s="42">
        <f t="shared" si="3"/>
        <v>544.28165999999987</v>
      </c>
      <c r="G175" s="98"/>
      <c r="H175" s="99"/>
      <c r="I175" s="35"/>
      <c r="J175" s="35"/>
    </row>
    <row r="176" spans="1:17" ht="15.75" customHeight="1" x14ac:dyDescent="0.35">
      <c r="A176" s="71" t="s">
        <v>247</v>
      </c>
      <c r="B176" s="72"/>
      <c r="C176" s="72"/>
      <c r="D176" s="72"/>
      <c r="E176" s="72"/>
      <c r="F176" s="72"/>
      <c r="G176" s="72"/>
      <c r="H176" s="73"/>
      <c r="I176" s="35"/>
      <c r="J176" s="35"/>
    </row>
    <row r="177" spans="1:10" ht="15.75" customHeight="1" x14ac:dyDescent="0.35">
      <c r="A177" s="42">
        <v>1</v>
      </c>
      <c r="B177" s="42" t="s">
        <v>190</v>
      </c>
      <c r="C177" s="42" t="s">
        <v>181</v>
      </c>
      <c r="D177" s="63">
        <f>(3.05*4.3+2.07*2.75+2.67*3.05+2.15*1.2+1.2*2.15+0.9*2.55)*10.764</f>
        <v>370.34618399999994</v>
      </c>
      <c r="E177" s="57">
        <v>0</v>
      </c>
      <c r="F177" s="42">
        <f>(D177+E177)*(($F$164)+1)</f>
        <v>555.51927599999988</v>
      </c>
      <c r="G177" s="94" t="str">
        <f>A176</f>
        <v>1st to 6th, 8th to 10th, 12th to 15th, 17th to 20th, 22nd to 23rd &amp; 24th Floor For Residential</v>
      </c>
      <c r="H177" s="95"/>
      <c r="I177" s="35"/>
      <c r="J177" s="35"/>
    </row>
    <row r="178" spans="1:10" x14ac:dyDescent="0.35">
      <c r="A178" s="42">
        <f>A177+1</f>
        <v>2</v>
      </c>
      <c r="B178" s="42" t="s">
        <v>190</v>
      </c>
      <c r="C178" s="42" t="s">
        <v>181</v>
      </c>
      <c r="D178" s="63">
        <f>(2.9*3.45+2.17*2.14+2.71*3.2+1.2*2.15+1.22*0.91+0.9*2.6)*10.764</f>
        <v>315.93416399999995</v>
      </c>
      <c r="E178" s="57">
        <v>0</v>
      </c>
      <c r="F178" s="42">
        <f t="shared" ref="F178:F184" si="4">(D178+E178)*(($F$164)+1)</f>
        <v>473.9012459999999</v>
      </c>
      <c r="G178" s="96"/>
      <c r="H178" s="97"/>
      <c r="I178" s="35"/>
      <c r="J178" s="35"/>
    </row>
    <row r="179" spans="1:10" x14ac:dyDescent="0.35">
      <c r="A179" s="42">
        <f>A178+1</f>
        <v>3</v>
      </c>
      <c r="B179" s="42" t="s">
        <v>190</v>
      </c>
      <c r="C179" s="42" t="s">
        <v>181</v>
      </c>
      <c r="D179" s="63">
        <f>(2.9*3.45+2.17*2.14+2.71*3.2+1.2*2.15+1.22*0.91+0.9*2.6)*10.764</f>
        <v>315.93416399999995</v>
      </c>
      <c r="E179" s="57">
        <v>0</v>
      </c>
      <c r="F179" s="42">
        <f t="shared" si="4"/>
        <v>473.9012459999999</v>
      </c>
      <c r="G179" s="96"/>
      <c r="H179" s="97"/>
      <c r="I179" s="35"/>
      <c r="J179" s="35"/>
    </row>
    <row r="180" spans="1:10" x14ac:dyDescent="0.35">
      <c r="A180" s="42">
        <f>A179+1</f>
        <v>4</v>
      </c>
      <c r="B180" s="42" t="s">
        <v>190</v>
      </c>
      <c r="C180" s="42" t="s">
        <v>181</v>
      </c>
      <c r="D180" s="63">
        <f>(3.05*4.3+2.07*2.75+2.67*3.05+2.15*1.2+1.2*2.15+0.9*2.55)*10.764</f>
        <v>370.34618399999994</v>
      </c>
      <c r="E180" s="57">
        <v>0</v>
      </c>
      <c r="F180" s="42">
        <f t="shared" si="4"/>
        <v>555.51927599999988</v>
      </c>
      <c r="G180" s="96"/>
      <c r="H180" s="97"/>
      <c r="I180" s="35"/>
      <c r="J180" s="35"/>
    </row>
    <row r="181" spans="1:10" x14ac:dyDescent="0.35">
      <c r="A181" s="42">
        <v>5</v>
      </c>
      <c r="B181" s="42" t="s">
        <v>190</v>
      </c>
      <c r="C181" s="42" t="s">
        <v>181</v>
      </c>
      <c r="D181" s="63">
        <f>(3.05*4.3+2.07*2.75+2.67*3.05+2.15*1.2+1.2*2.15+0.9*2.55)*10.764</f>
        <v>370.34618399999994</v>
      </c>
      <c r="E181" s="57">
        <v>0</v>
      </c>
      <c r="F181" s="42">
        <f t="shared" si="4"/>
        <v>555.51927599999988</v>
      </c>
      <c r="G181" s="96"/>
      <c r="H181" s="97"/>
      <c r="I181" s="35"/>
      <c r="J181" s="35"/>
    </row>
    <row r="182" spans="1:10" x14ac:dyDescent="0.35">
      <c r="A182" s="42">
        <v>6</v>
      </c>
      <c r="B182" s="42" t="s">
        <v>190</v>
      </c>
      <c r="C182" s="42" t="s">
        <v>181</v>
      </c>
      <c r="D182" s="63">
        <f>(2.9*3.45+2.17*2.14+2.71*3.2+1.2*2.15+1.22*0.91+0.9*2.6)*10.764</f>
        <v>315.93416399999995</v>
      </c>
      <c r="E182" s="57">
        <v>0</v>
      </c>
      <c r="F182" s="42">
        <f t="shared" si="4"/>
        <v>473.9012459999999</v>
      </c>
      <c r="G182" s="96"/>
      <c r="H182" s="97"/>
      <c r="I182" s="35"/>
      <c r="J182" s="35"/>
    </row>
    <row r="183" spans="1:10" x14ac:dyDescent="0.35">
      <c r="A183" s="42">
        <v>7</v>
      </c>
      <c r="B183" s="42" t="s">
        <v>190</v>
      </c>
      <c r="C183" s="42" t="s">
        <v>181</v>
      </c>
      <c r="D183" s="63">
        <f>(2.9*3.45+2.17*2.14+2.71*3.2+1.2*2.15+1.22*0.91+0.9*2.6)*10.764</f>
        <v>315.93416399999995</v>
      </c>
      <c r="E183" s="57">
        <v>0</v>
      </c>
      <c r="F183" s="42">
        <f t="shared" si="4"/>
        <v>473.9012459999999</v>
      </c>
      <c r="G183" s="96"/>
      <c r="H183" s="97"/>
      <c r="I183" s="35"/>
      <c r="J183" s="35"/>
    </row>
    <row r="184" spans="1:10" x14ac:dyDescent="0.35">
      <c r="A184" s="42">
        <v>8</v>
      </c>
      <c r="B184" s="42" t="s">
        <v>190</v>
      </c>
      <c r="C184" s="42" t="s">
        <v>181</v>
      </c>
      <c r="D184" s="63">
        <f>(3.05*4.3+2.07*2.75+2.67*3.05+2.15*1.2+1.2*2.15+0.9*2.55)*10.764</f>
        <v>370.34618399999994</v>
      </c>
      <c r="E184" s="57">
        <v>0</v>
      </c>
      <c r="F184" s="42">
        <f t="shared" si="4"/>
        <v>555.51927599999988</v>
      </c>
      <c r="G184" s="98"/>
      <c r="H184" s="99"/>
      <c r="I184" s="35"/>
      <c r="J184" s="35"/>
    </row>
    <row r="185" spans="1:10" x14ac:dyDescent="0.35">
      <c r="A185" s="106" t="s">
        <v>246</v>
      </c>
      <c r="B185" s="106"/>
      <c r="C185" s="106"/>
      <c r="D185" s="106"/>
      <c r="E185" s="106"/>
      <c r="F185" s="106"/>
      <c r="G185" s="106"/>
      <c r="H185" s="106"/>
    </row>
    <row r="186" spans="1:10" ht="15" customHeight="1" x14ac:dyDescent="0.35">
      <c r="A186" s="42">
        <v>1</v>
      </c>
      <c r="B186" s="94" t="s">
        <v>183</v>
      </c>
      <c r="C186" s="95"/>
      <c r="D186" s="95"/>
      <c r="E186" s="95"/>
      <c r="F186" s="101"/>
      <c r="G186" s="94" t="str">
        <f>A185</f>
        <v>7th, 11th, 16th &amp; 21st Floor (Part Refuge Area)</v>
      </c>
      <c r="H186" s="101"/>
    </row>
    <row r="187" spans="1:10" x14ac:dyDescent="0.35">
      <c r="A187" s="42">
        <f>A186+1</f>
        <v>2</v>
      </c>
      <c r="B187" s="98"/>
      <c r="C187" s="99"/>
      <c r="D187" s="99"/>
      <c r="E187" s="99"/>
      <c r="F187" s="102"/>
      <c r="G187" s="96"/>
      <c r="H187" s="183"/>
    </row>
    <row r="188" spans="1:10" x14ac:dyDescent="0.35">
      <c r="A188" s="42">
        <f>A187+1</f>
        <v>3</v>
      </c>
      <c r="B188" s="42" t="s">
        <v>190</v>
      </c>
      <c r="C188" s="53" t="s">
        <v>181</v>
      </c>
      <c r="D188" s="63">
        <f>(2.9*3.45+2.17*2.14+2.71*3.2+1.2*2.15+1.22*0.91+0.9*2.6)*10.764</f>
        <v>315.93416399999995</v>
      </c>
      <c r="E188" s="42">
        <v>0</v>
      </c>
      <c r="F188" s="42">
        <f>D188*(($F$164)+1)+(IF(E188&lt;101,E188,IF(E188&lt;201,E188/2,IF(E188&lt;=301,E188/3,E188/4))))</f>
        <v>473.9012459999999</v>
      </c>
      <c r="G188" s="96"/>
      <c r="H188" s="183"/>
    </row>
    <row r="189" spans="1:10" x14ac:dyDescent="0.35">
      <c r="A189" s="42">
        <f>A188+1</f>
        <v>4</v>
      </c>
      <c r="B189" s="42" t="s">
        <v>190</v>
      </c>
      <c r="C189" s="53" t="s">
        <v>181</v>
      </c>
      <c r="D189" s="63">
        <f>(3.05*4.3+2.07*2.75+2.67*3.05+2.15*1.2+1.2*2.15+0.9*2.55)*10.764</f>
        <v>370.34618399999994</v>
      </c>
      <c r="E189" s="42">
        <v>0</v>
      </c>
      <c r="F189" s="42">
        <f>D189*(($F$164)+1)+(IF(E189&lt;101,E189,IF(E189&lt;201,E189/2,IF(E189&lt;=301,E189/3,E189/4))))</f>
        <v>555.51927599999988</v>
      </c>
      <c r="G189" s="96"/>
      <c r="H189" s="183"/>
    </row>
    <row r="190" spans="1:10" ht="15.75" customHeight="1" x14ac:dyDescent="0.35">
      <c r="A190" s="42">
        <v>5</v>
      </c>
      <c r="B190" s="42" t="s">
        <v>190</v>
      </c>
      <c r="C190" s="42" t="s">
        <v>181</v>
      </c>
      <c r="D190" s="63">
        <f>(3.05*4.3+2.07*2.75+2.67*3.05+2.15*1.2+1.2*2.15+0.9*2.55)*10.764</f>
        <v>370.34618399999994</v>
      </c>
      <c r="E190" s="57">
        <v>0</v>
      </c>
      <c r="F190" s="42">
        <f t="shared" ref="F190:F191" si="5">(D190+E190)*(($F$164)+1)</f>
        <v>555.51927599999988</v>
      </c>
      <c r="G190" s="96"/>
      <c r="H190" s="183"/>
    </row>
    <row r="191" spans="1:10" x14ac:dyDescent="0.35">
      <c r="A191" s="42">
        <v>6</v>
      </c>
      <c r="B191" s="42" t="s">
        <v>190</v>
      </c>
      <c r="C191" s="42" t="s">
        <v>181</v>
      </c>
      <c r="D191" s="63">
        <f>(2.9*3.45+2.17*2.14+2.71*3.2+1.2*2.15+1.22*0.91+0.9*2.6)*10.764</f>
        <v>315.93416399999995</v>
      </c>
      <c r="E191" s="57">
        <v>0</v>
      </c>
      <c r="F191" s="42">
        <f t="shared" si="5"/>
        <v>473.9012459999999</v>
      </c>
      <c r="G191" s="96"/>
      <c r="H191" s="183"/>
    </row>
    <row r="192" spans="1:10" ht="15.75" customHeight="1" x14ac:dyDescent="0.35">
      <c r="A192" s="42">
        <v>7</v>
      </c>
      <c r="B192" s="42" t="s">
        <v>190</v>
      </c>
      <c r="C192" s="53" t="s">
        <v>181</v>
      </c>
      <c r="D192" s="63">
        <f>(2.9*3.45+2.17*2.14+2.71*3.2+1.2*2.15+1.22*0.91+0.9*2.6)*10.764</f>
        <v>315.93416399999995</v>
      </c>
      <c r="E192" s="42">
        <v>0</v>
      </c>
      <c r="F192" s="42">
        <f>D192*(($F$164)+1)+(IF(E192&lt;101,E192,IF(E192&lt;201,E192/2,IF(E192&lt;=301,E192/3,E192/4))))</f>
        <v>473.9012459999999</v>
      </c>
      <c r="G192" s="96"/>
      <c r="H192" s="183"/>
    </row>
    <row r="193" spans="1:12" ht="15.75" customHeight="1" x14ac:dyDescent="0.35">
      <c r="A193" s="42">
        <v>8</v>
      </c>
      <c r="B193" s="42" t="s">
        <v>190</v>
      </c>
      <c r="C193" s="53" t="s">
        <v>181</v>
      </c>
      <c r="D193" s="63">
        <f>(3.05*4.3+2.07*2.75+2.67*3.05+2.15*1.2+1.2*2.15+0.9*2.55)*10.764</f>
        <v>370.34618399999994</v>
      </c>
      <c r="E193" s="42">
        <v>0</v>
      </c>
      <c r="F193" s="42">
        <f>D193*(($F$164)+1)+(IF(E193&lt;101,E193,IF(E193&lt;201,E193/2,IF(E193&lt;=301,E193/3,E193/4))))</f>
        <v>555.51927599999988</v>
      </c>
      <c r="G193" s="98"/>
      <c r="H193" s="102"/>
    </row>
    <row r="194" spans="1:12" ht="15.75" customHeight="1" x14ac:dyDescent="0.35">
      <c r="A194" s="71" t="s">
        <v>250</v>
      </c>
      <c r="B194" s="72"/>
      <c r="C194" s="72"/>
      <c r="D194" s="72"/>
      <c r="E194" s="72"/>
      <c r="F194" s="72"/>
      <c r="G194" s="72"/>
      <c r="H194" s="73"/>
    </row>
    <row r="195" spans="1:12" x14ac:dyDescent="0.35">
      <c r="A195" s="42">
        <v>1</v>
      </c>
      <c r="B195" s="60" t="s">
        <v>190</v>
      </c>
      <c r="C195" s="61" t="s">
        <v>181</v>
      </c>
      <c r="D195" s="63">
        <f>(3.05*4.3+2.07*2.75+2.67*3.05+2.15*1.2+1.2*2.15+0.9*2.55)*10.764</f>
        <v>370.34618399999994</v>
      </c>
      <c r="E195" s="42">
        <v>0</v>
      </c>
      <c r="F195" s="42">
        <f t="shared" ref="F195:F202" si="6">D195*(($F$164)+1)+(IF(E195&lt;101,E195,IF(E195&lt;201,E195/2,IF(E195&lt;=301,E195/3,E195/4))))</f>
        <v>555.51927599999988</v>
      </c>
      <c r="G195" s="94" t="str">
        <f>A194</f>
        <v>25th, 27th to 30th Floor</v>
      </c>
      <c r="H195" s="101"/>
    </row>
    <row r="196" spans="1:12" ht="15.75" customHeight="1" x14ac:dyDescent="0.35">
      <c r="A196" s="42">
        <f>A195+1</f>
        <v>2</v>
      </c>
      <c r="B196" s="60" t="s">
        <v>190</v>
      </c>
      <c r="C196" s="61" t="s">
        <v>181</v>
      </c>
      <c r="D196" s="63">
        <f>(2.9*3.45+2.17*2.14+2.71*3.2+1.2*2.15+1.22*0.91+0.9*2.6)*10.764</f>
        <v>315.93416399999995</v>
      </c>
      <c r="E196" s="42">
        <v>0</v>
      </c>
      <c r="F196" s="42">
        <f t="shared" si="6"/>
        <v>473.9012459999999</v>
      </c>
      <c r="G196" s="96"/>
      <c r="H196" s="183"/>
    </row>
    <row r="197" spans="1:12" s="37" customFormat="1" ht="15.75" customHeight="1" x14ac:dyDescent="0.35">
      <c r="A197" s="42">
        <f>A196+1</f>
        <v>3</v>
      </c>
      <c r="B197" s="60" t="s">
        <v>190</v>
      </c>
      <c r="C197" s="61" t="s">
        <v>181</v>
      </c>
      <c r="D197" s="63">
        <f>(2.9*3.45+2.17*2.14+2.71*3.2+1.2*2.15+1.22*0.91+0.9*2.6)*10.764</f>
        <v>315.93416399999995</v>
      </c>
      <c r="E197" s="42">
        <v>0</v>
      </c>
      <c r="F197" s="42">
        <f t="shared" si="6"/>
        <v>473.9012459999999</v>
      </c>
      <c r="G197" s="96"/>
      <c r="H197" s="183"/>
      <c r="I197" s="21"/>
      <c r="J197" s="21"/>
    </row>
    <row r="198" spans="1:12" s="37" customFormat="1" ht="15.75" customHeight="1" x14ac:dyDescent="0.35">
      <c r="A198" s="42">
        <f>A197+1</f>
        <v>4</v>
      </c>
      <c r="B198" s="60" t="s">
        <v>190</v>
      </c>
      <c r="C198" s="61" t="s">
        <v>181</v>
      </c>
      <c r="D198" s="63">
        <f>(3.05*4.3+2.07*2.75+2.67*3.05+2.15*1.2+1.2*2.15+0.9*2.55)*10.764</f>
        <v>370.34618399999994</v>
      </c>
      <c r="E198" s="42">
        <v>0</v>
      </c>
      <c r="F198" s="42">
        <f t="shared" si="6"/>
        <v>555.51927599999988</v>
      </c>
      <c r="G198" s="96"/>
      <c r="H198" s="183"/>
      <c r="I198" s="21"/>
      <c r="J198" s="21"/>
    </row>
    <row r="199" spans="1:12" s="37" customFormat="1" ht="15.75" customHeight="1" x14ac:dyDescent="0.35">
      <c r="A199" s="42">
        <v>5</v>
      </c>
      <c r="B199" s="60" t="s">
        <v>190</v>
      </c>
      <c r="C199" s="61" t="s">
        <v>181</v>
      </c>
      <c r="D199" s="63">
        <f>(3.05*4.3+2.07*2.75+2.67*3.05+2.15*1.2+1.2*2.15+0.9*2.55)*10.764</f>
        <v>370.34618399999994</v>
      </c>
      <c r="E199" s="42">
        <v>0</v>
      </c>
      <c r="F199" s="42">
        <f t="shared" si="6"/>
        <v>555.51927599999988</v>
      </c>
      <c r="G199" s="96"/>
      <c r="H199" s="183"/>
      <c r="I199" s="21"/>
      <c r="J199" s="21"/>
    </row>
    <row r="200" spans="1:12" s="35" customFormat="1" x14ac:dyDescent="0.35">
      <c r="A200" s="42">
        <v>6</v>
      </c>
      <c r="B200" s="60" t="s">
        <v>190</v>
      </c>
      <c r="C200" s="61" t="s">
        <v>181</v>
      </c>
      <c r="D200" s="63">
        <f>(2.9*3.45+2.17*2.14+2.71*3.2+1.2*2.15+1.22*0.91+0.9*2.6)*10.764</f>
        <v>315.93416399999995</v>
      </c>
      <c r="E200" s="42">
        <v>0</v>
      </c>
      <c r="F200" s="42">
        <f t="shared" si="6"/>
        <v>473.9012459999999</v>
      </c>
      <c r="G200" s="96"/>
      <c r="H200" s="183"/>
      <c r="I200" s="21"/>
      <c r="J200" s="21"/>
    </row>
    <row r="201" spans="1:12" s="35" customFormat="1" x14ac:dyDescent="0.35">
      <c r="A201" s="42">
        <v>7</v>
      </c>
      <c r="B201" s="60" t="s">
        <v>190</v>
      </c>
      <c r="C201" s="61" t="s">
        <v>181</v>
      </c>
      <c r="D201" s="63">
        <f>(2.9*3.45+2.17*2.14+2.71*3.2+1.2*2.15+1.22*0.91+0.9*2.6)*10.764</f>
        <v>315.93416399999995</v>
      </c>
      <c r="E201" s="42">
        <v>0</v>
      </c>
      <c r="F201" s="42">
        <f t="shared" si="6"/>
        <v>473.9012459999999</v>
      </c>
      <c r="G201" s="96"/>
      <c r="H201" s="183"/>
      <c r="I201" s="21"/>
      <c r="J201" s="21"/>
    </row>
    <row r="202" spans="1:12" s="35" customFormat="1" x14ac:dyDescent="0.35">
      <c r="A202" s="42">
        <v>8</v>
      </c>
      <c r="B202" s="60" t="s">
        <v>190</v>
      </c>
      <c r="C202" s="61" t="s">
        <v>181</v>
      </c>
      <c r="D202" s="63">
        <f>(3.05*4.3+2.07*2.75+2.67*3.05+2.15*1.2+1.2*2.15+0.9*2.55)*10.764</f>
        <v>370.34618399999994</v>
      </c>
      <c r="E202" s="42">
        <v>0</v>
      </c>
      <c r="F202" s="42">
        <f t="shared" si="6"/>
        <v>555.51927599999988</v>
      </c>
      <c r="G202" s="98"/>
      <c r="H202" s="102"/>
      <c r="I202" s="21"/>
      <c r="J202" s="21"/>
      <c r="L202" s="35">
        <f>8700000/F216</f>
        <v>8760.0901890554342</v>
      </c>
    </row>
    <row r="203" spans="1:12" s="35" customFormat="1" x14ac:dyDescent="0.35">
      <c r="A203" s="71" t="s">
        <v>249</v>
      </c>
      <c r="B203" s="72"/>
      <c r="C203" s="72"/>
      <c r="D203" s="72"/>
      <c r="E203" s="72"/>
      <c r="F203" s="72"/>
      <c r="G203" s="72"/>
      <c r="H203" s="73"/>
      <c r="I203" s="21"/>
      <c r="J203" s="21"/>
      <c r="L203" s="35">
        <f>4750000/F217</f>
        <v>9222.2730903390584</v>
      </c>
    </row>
    <row r="204" spans="1:12" s="35" customFormat="1" x14ac:dyDescent="0.35">
      <c r="A204" s="42">
        <v>1</v>
      </c>
      <c r="B204" s="103" t="s">
        <v>183</v>
      </c>
      <c r="C204" s="104"/>
      <c r="D204" s="104"/>
      <c r="E204" s="104"/>
      <c r="F204" s="105"/>
      <c r="G204" s="94" t="str">
        <f>A203</f>
        <v>26th Floor (Part Refuge Area)</v>
      </c>
      <c r="H204" s="101"/>
      <c r="I204" s="21"/>
      <c r="J204" s="21"/>
    </row>
    <row r="205" spans="1:12" s="35" customFormat="1" x14ac:dyDescent="0.35">
      <c r="A205" s="42">
        <v>2</v>
      </c>
      <c r="B205" s="60" t="s">
        <v>190</v>
      </c>
      <c r="C205" s="61" t="s">
        <v>181</v>
      </c>
      <c r="D205" s="63">
        <f>(2.9*3.45+2.17*2.14+2.71*3.2+1.2*2.15+1.22*0.91+0.9*2.6)*10.764</f>
        <v>315.93416399999995</v>
      </c>
      <c r="E205" s="42">
        <v>0</v>
      </c>
      <c r="F205" s="42">
        <f>D205*(($F$164)+1)+(IF(E205&lt;101,E205,IF(E205&lt;201,E205/2,IF(E205&lt;=301,E205/3,E205/4))))</f>
        <v>473.9012459999999</v>
      </c>
      <c r="G205" s="96"/>
      <c r="H205" s="183"/>
      <c r="I205" s="21"/>
      <c r="J205" s="21"/>
      <c r="K205" s="35">
        <f>J219+J218</f>
        <v>61.569199999999995</v>
      </c>
    </row>
    <row r="206" spans="1:12" s="35" customFormat="1" x14ac:dyDescent="0.35">
      <c r="A206" s="42">
        <v>3</v>
      </c>
      <c r="B206" s="60" t="s">
        <v>190</v>
      </c>
      <c r="C206" s="61" t="s">
        <v>181</v>
      </c>
      <c r="D206" s="63">
        <f>(2.9*3.45+2.17*2.14+2.71*3.2+1.2*2.15+1.22*0.91+0.9*2.6)*10.764</f>
        <v>315.93416399999995</v>
      </c>
      <c r="E206" s="42">
        <v>0</v>
      </c>
      <c r="F206" s="42">
        <f t="shared" ref="F206:F211" si="7">D206*(($F$164)+1)+(IF(E206&lt;101,E206,IF(E206&lt;201,E206/2,IF(E206&lt;=301,E206/3,E206/4))))</f>
        <v>473.9012459999999</v>
      </c>
      <c r="G206" s="96"/>
      <c r="H206" s="183"/>
      <c r="I206" s="21"/>
      <c r="J206" s="21"/>
      <c r="L206" s="35">
        <f>5700000/F220</f>
        <v>8987.4901705239081</v>
      </c>
    </row>
    <row r="207" spans="1:12" s="35" customFormat="1" x14ac:dyDescent="0.35">
      <c r="A207" s="42">
        <v>4</v>
      </c>
      <c r="B207" s="60" t="s">
        <v>190</v>
      </c>
      <c r="C207" s="61" t="s">
        <v>181</v>
      </c>
      <c r="D207" s="63">
        <f>(3.05*4.3+2.07*2.75+2.67*3.05+2.15*1.2+1.2*2.15+0.9*2.55)*10.764</f>
        <v>370.34618399999994</v>
      </c>
      <c r="E207" s="42">
        <v>0</v>
      </c>
      <c r="F207" s="42">
        <f t="shared" si="7"/>
        <v>555.51927599999988</v>
      </c>
      <c r="G207" s="96"/>
      <c r="H207" s="183"/>
      <c r="I207" s="21"/>
      <c r="J207" s="21"/>
    </row>
    <row r="208" spans="1:12" s="35" customFormat="1" x14ac:dyDescent="0.35">
      <c r="A208" s="42">
        <v>5</v>
      </c>
      <c r="B208" s="60" t="s">
        <v>190</v>
      </c>
      <c r="C208" s="61" t="s">
        <v>181</v>
      </c>
      <c r="D208" s="63">
        <f>(3.05*4.3+2.07*2.75+2.67*3.05+2.15*1.2+1.2*2.15+0.9*2.55)*10.764</f>
        <v>370.34618399999994</v>
      </c>
      <c r="E208" s="42">
        <v>0</v>
      </c>
      <c r="F208" s="42">
        <f t="shared" si="7"/>
        <v>555.51927599999988</v>
      </c>
      <c r="G208" s="96"/>
      <c r="H208" s="183"/>
      <c r="I208" s="21"/>
      <c r="J208" s="21"/>
    </row>
    <row r="209" spans="1:10" s="35" customFormat="1" x14ac:dyDescent="0.35">
      <c r="A209" s="42">
        <v>6</v>
      </c>
      <c r="B209" s="60" t="s">
        <v>190</v>
      </c>
      <c r="C209" s="61" t="s">
        <v>181</v>
      </c>
      <c r="D209" s="63">
        <f>(2.9*3.45+2.17*2.14+2.71*3.2+1.2*2.15+1.22*0.91+0.9*2.6)*10.764</f>
        <v>315.93416399999995</v>
      </c>
      <c r="E209" s="42">
        <v>0</v>
      </c>
      <c r="F209" s="42">
        <f t="shared" si="7"/>
        <v>473.9012459999999</v>
      </c>
      <c r="G209" s="96"/>
      <c r="H209" s="183"/>
      <c r="I209" s="21"/>
      <c r="J209" s="21"/>
    </row>
    <row r="210" spans="1:10" x14ac:dyDescent="0.35">
      <c r="A210" s="42">
        <v>7</v>
      </c>
      <c r="B210" s="60" t="s">
        <v>190</v>
      </c>
      <c r="C210" s="61" t="s">
        <v>181</v>
      </c>
      <c r="D210" s="63">
        <f>(2.9*3.45+2.17*2.14+2.71*3.2+1.2*2.15+1.22*0.91+0.9*2.6)*10.764</f>
        <v>315.93416399999995</v>
      </c>
      <c r="E210" s="42">
        <v>0</v>
      </c>
      <c r="F210" s="42">
        <f t="shared" si="7"/>
        <v>473.9012459999999</v>
      </c>
      <c r="G210" s="96"/>
      <c r="H210" s="183"/>
    </row>
    <row r="211" spans="1:10" x14ac:dyDescent="0.35">
      <c r="A211" s="42">
        <v>8</v>
      </c>
      <c r="B211" s="60" t="s">
        <v>190</v>
      </c>
      <c r="C211" s="61" t="s">
        <v>181</v>
      </c>
      <c r="D211" s="63">
        <f>(3.05*4.3+2.07*2.75+2.67*3.05+2.15*1.2+1.2*2.15+0.9*2.55)*10.764</f>
        <v>370.34618399999994</v>
      </c>
      <c r="E211" s="42">
        <v>0</v>
      </c>
      <c r="F211" s="42">
        <f t="shared" si="7"/>
        <v>555.51927599999988</v>
      </c>
      <c r="G211" s="98"/>
      <c r="H211" s="102"/>
      <c r="I211" s="36"/>
      <c r="J211" s="37"/>
    </row>
    <row r="212" spans="1:10" ht="15.75" customHeight="1" x14ac:dyDescent="0.35">
      <c r="A212" s="85" t="s">
        <v>178</v>
      </c>
      <c r="B212" s="86"/>
      <c r="C212" s="86"/>
      <c r="D212" s="86"/>
      <c r="E212" s="86"/>
      <c r="F212" s="86"/>
      <c r="G212" s="86"/>
      <c r="H212" s="87"/>
      <c r="I212" s="36"/>
      <c r="J212" s="37"/>
    </row>
    <row r="213" spans="1:10" x14ac:dyDescent="0.35">
      <c r="A213" s="88" t="s">
        <v>205</v>
      </c>
      <c r="B213" s="89"/>
      <c r="C213" s="89"/>
      <c r="D213" s="89"/>
      <c r="E213" s="89"/>
      <c r="F213" s="89"/>
      <c r="G213" s="89"/>
      <c r="H213" s="90"/>
      <c r="I213" s="36"/>
      <c r="J213" s="37"/>
    </row>
    <row r="214" spans="1:10" x14ac:dyDescent="0.35">
      <c r="A214" s="88" t="s">
        <v>206</v>
      </c>
      <c r="B214" s="89"/>
      <c r="C214" s="89"/>
      <c r="D214" s="89"/>
      <c r="E214" s="89"/>
      <c r="F214" s="89"/>
      <c r="G214" s="89"/>
      <c r="H214" s="90"/>
      <c r="I214" s="35"/>
      <c r="J214" s="35"/>
    </row>
    <row r="215" spans="1:10" ht="15.75" customHeight="1" x14ac:dyDescent="0.35">
      <c r="A215" s="88" t="s">
        <v>248</v>
      </c>
      <c r="B215" s="89"/>
      <c r="C215" s="89"/>
      <c r="D215" s="89"/>
      <c r="E215" s="89"/>
      <c r="F215" s="89"/>
      <c r="G215" s="89"/>
      <c r="H215" s="90"/>
      <c r="I215" s="35"/>
      <c r="J215" s="35"/>
    </row>
    <row r="216" spans="1:10" ht="15.75" customHeight="1" x14ac:dyDescent="0.35">
      <c r="A216" s="42">
        <v>1</v>
      </c>
      <c r="B216" s="42" t="s">
        <v>179</v>
      </c>
      <c r="C216" s="61" t="s">
        <v>180</v>
      </c>
      <c r="D216" s="63">
        <f>(59.68+1.83)*10.764</f>
        <v>662.09363999999994</v>
      </c>
      <c r="E216" s="57">
        <v>0</v>
      </c>
      <c r="F216" s="42">
        <f>(D216+E216)*(($F$164)+1)</f>
        <v>993.14045999999985</v>
      </c>
      <c r="G216" s="94" t="str">
        <f>A215</f>
        <v>1st to 6th, 8th to 10th, 12th to 15th &amp; 17th Floor For Residential</v>
      </c>
      <c r="H216" s="95"/>
      <c r="I216" s="35"/>
      <c r="J216" s="35"/>
    </row>
    <row r="217" spans="1:10" x14ac:dyDescent="0.35">
      <c r="A217" s="42">
        <f>A216+1</f>
        <v>2</v>
      </c>
      <c r="B217" s="42" t="s">
        <v>179</v>
      </c>
      <c r="C217" s="61" t="s">
        <v>181</v>
      </c>
      <c r="D217" s="63">
        <f>(31.9)*10.764</f>
        <v>343.37159999999994</v>
      </c>
      <c r="E217" s="57">
        <v>0</v>
      </c>
      <c r="F217" s="42">
        <f t="shared" ref="F217:F223" si="8">(D217+E217)*(($F$164)+1)</f>
        <v>515.05739999999992</v>
      </c>
      <c r="G217" s="96"/>
      <c r="H217" s="97"/>
      <c r="I217" s="35"/>
      <c r="J217" s="35"/>
    </row>
    <row r="218" spans="1:10" x14ac:dyDescent="0.35">
      <c r="A218" s="42">
        <f>A217+1</f>
        <v>3</v>
      </c>
      <c r="B218" s="42" t="s">
        <v>179</v>
      </c>
      <c r="C218" s="61" t="s">
        <v>181</v>
      </c>
      <c r="D218" s="63">
        <f>(31.87)*10.764</f>
        <v>343.04867999999999</v>
      </c>
      <c r="E218" s="57">
        <v>0</v>
      </c>
      <c r="F218" s="42">
        <f t="shared" si="8"/>
        <v>514.57302000000004</v>
      </c>
      <c r="G218" s="96"/>
      <c r="H218" s="97"/>
      <c r="I218" s="35"/>
      <c r="J218" s="35">
        <f>0.6*1.4+0.6*2.1+0.6*2.28+3.05*5.1+2.28*3.05+3.04*3.05+3.35*3.43+1.37*2.28+2.27*1.38+1*2.28+1*1.2</f>
        <v>56.475699999999996</v>
      </c>
    </row>
    <row r="219" spans="1:10" x14ac:dyDescent="0.35">
      <c r="A219" s="42">
        <f>A218+1</f>
        <v>4</v>
      </c>
      <c r="B219" s="42" t="s">
        <v>179</v>
      </c>
      <c r="C219" s="61" t="s">
        <v>180</v>
      </c>
      <c r="D219" s="63">
        <f>(59.68+1.83)*10.764</f>
        <v>662.09363999999994</v>
      </c>
      <c r="E219" s="57">
        <v>0</v>
      </c>
      <c r="F219" s="42">
        <f t="shared" si="8"/>
        <v>993.14045999999985</v>
      </c>
      <c r="G219" s="96"/>
      <c r="H219" s="97"/>
      <c r="I219" s="35"/>
      <c r="J219" s="35">
        <f>1.67*3.05</f>
        <v>5.0934999999999997</v>
      </c>
    </row>
    <row r="220" spans="1:10" x14ac:dyDescent="0.35">
      <c r="A220" s="42">
        <v>5</v>
      </c>
      <c r="B220" s="42" t="s">
        <v>179</v>
      </c>
      <c r="C220" s="61" t="s">
        <v>181</v>
      </c>
      <c r="D220" s="63">
        <f>(39.28)*10.764</f>
        <v>422.80991999999998</v>
      </c>
      <c r="E220" s="57">
        <v>0</v>
      </c>
      <c r="F220" s="42">
        <f t="shared" si="8"/>
        <v>634.21487999999999</v>
      </c>
      <c r="G220" s="96"/>
      <c r="H220" s="97"/>
      <c r="I220" s="35"/>
      <c r="J220" s="35">
        <f>1.2*1.75</f>
        <v>2.1</v>
      </c>
    </row>
    <row r="221" spans="1:10" x14ac:dyDescent="0.35">
      <c r="A221" s="42">
        <v>6</v>
      </c>
      <c r="B221" s="42" t="s">
        <v>179</v>
      </c>
      <c r="C221" s="61" t="s">
        <v>181</v>
      </c>
      <c r="D221" s="63">
        <f>(31.86)*10.764</f>
        <v>342.94103999999999</v>
      </c>
      <c r="E221" s="57">
        <v>0</v>
      </c>
      <c r="F221" s="42">
        <f t="shared" si="8"/>
        <v>514.41156000000001</v>
      </c>
      <c r="G221" s="96"/>
      <c r="H221" s="97"/>
      <c r="I221" s="35"/>
      <c r="J221" s="35"/>
    </row>
    <row r="222" spans="1:10" x14ac:dyDescent="0.35">
      <c r="A222" s="42">
        <v>7</v>
      </c>
      <c r="B222" s="42" t="s">
        <v>179</v>
      </c>
      <c r="C222" s="61" t="s">
        <v>181</v>
      </c>
      <c r="D222" s="63">
        <f>(31.83)*10.764</f>
        <v>342.61811999999998</v>
      </c>
      <c r="E222" s="57">
        <v>0</v>
      </c>
      <c r="F222" s="42">
        <f t="shared" si="8"/>
        <v>513.92717999999991</v>
      </c>
      <c r="G222" s="96"/>
      <c r="H222" s="97"/>
      <c r="I222" s="35"/>
      <c r="J222" s="35"/>
    </row>
    <row r="223" spans="1:10" x14ac:dyDescent="0.35">
      <c r="A223" s="42">
        <v>8</v>
      </c>
      <c r="B223" s="42" t="s">
        <v>179</v>
      </c>
      <c r="C223" s="61" t="s">
        <v>181</v>
      </c>
      <c r="D223" s="63">
        <f>(39.3)*10.764</f>
        <v>423.02519999999993</v>
      </c>
      <c r="E223" s="57">
        <v>0</v>
      </c>
      <c r="F223" s="42">
        <f t="shared" si="8"/>
        <v>634.53779999999983</v>
      </c>
      <c r="G223" s="98"/>
      <c r="H223" s="99"/>
      <c r="I223" s="35"/>
      <c r="J223" s="35"/>
    </row>
    <row r="224" spans="1:10" x14ac:dyDescent="0.35">
      <c r="A224" s="258" t="s">
        <v>182</v>
      </c>
      <c r="B224" s="258"/>
      <c r="C224" s="258"/>
      <c r="D224" s="258"/>
      <c r="E224" s="258"/>
      <c r="F224" s="258"/>
      <c r="G224" s="258"/>
      <c r="H224" s="258"/>
    </row>
    <row r="225" spans="1:10" ht="15" customHeight="1" x14ac:dyDescent="0.35">
      <c r="A225" s="42">
        <v>1</v>
      </c>
      <c r="B225" s="42" t="s">
        <v>179</v>
      </c>
      <c r="C225" s="53" t="s">
        <v>180</v>
      </c>
      <c r="D225" s="63">
        <f>(59.68+1.83)*10.764</f>
        <v>662.09363999999994</v>
      </c>
      <c r="E225" s="42">
        <v>0</v>
      </c>
      <c r="F225" s="42">
        <f>D225*(($F$164)+1)+(IF(E225&lt;101,E225,IF(E225&lt;201,E225/2,IF(E225&lt;=301,E225/3,E225/4))))</f>
        <v>993.14045999999985</v>
      </c>
      <c r="G225" s="94" t="str">
        <f>A224</f>
        <v>7th, 11th &amp; 16th Part Refuge Area</v>
      </c>
      <c r="H225" s="101"/>
    </row>
    <row r="226" spans="1:10" x14ac:dyDescent="0.35">
      <c r="A226" s="42">
        <f>A225+1</f>
        <v>2</v>
      </c>
      <c r="B226" s="42" t="s">
        <v>179</v>
      </c>
      <c r="C226" s="53" t="s">
        <v>181</v>
      </c>
      <c r="D226" s="63">
        <f>(31.9)*10.764</f>
        <v>343.37159999999994</v>
      </c>
      <c r="E226" s="42">
        <v>0</v>
      </c>
      <c r="F226" s="42">
        <f>D226*(($F$164)+1)+(IF(E226&lt;101,E226,IF(E226&lt;201,E226/2,IF(E226&lt;=301,E226/3,E226/4))))</f>
        <v>515.05739999999992</v>
      </c>
      <c r="G226" s="96"/>
      <c r="H226" s="183"/>
    </row>
    <row r="227" spans="1:10" x14ac:dyDescent="0.35">
      <c r="A227" s="42">
        <f>A226+1</f>
        <v>3</v>
      </c>
      <c r="B227" s="42" t="s">
        <v>179</v>
      </c>
      <c r="C227" s="53" t="s">
        <v>181</v>
      </c>
      <c r="D227" s="63">
        <f>(31.87)*10.764</f>
        <v>343.04867999999999</v>
      </c>
      <c r="E227" s="42">
        <v>0</v>
      </c>
      <c r="F227" s="42">
        <f>D227*(($F$164)+1)+(IF(E227&lt;101,E227,IF(E227&lt;201,E227/2,IF(E227&lt;=301,E227/3,E227/4))))</f>
        <v>514.57302000000004</v>
      </c>
      <c r="G227" s="96"/>
      <c r="H227" s="183"/>
    </row>
    <row r="228" spans="1:10" x14ac:dyDescent="0.35">
      <c r="A228" s="42">
        <f>A227+1</f>
        <v>4</v>
      </c>
      <c r="B228" s="42" t="s">
        <v>179</v>
      </c>
      <c r="C228" s="53" t="s">
        <v>180</v>
      </c>
      <c r="D228" s="63">
        <f>(59.68+1.83)*10.764</f>
        <v>662.09363999999994</v>
      </c>
      <c r="E228" s="42">
        <v>0</v>
      </c>
      <c r="F228" s="42">
        <f>D228*(($F$164)+1)+(IF(E228&lt;101,E228,IF(E228&lt;201,E228/2,IF(E228&lt;=301,E228/3,E228/4))))</f>
        <v>993.14045999999985</v>
      </c>
      <c r="G228" s="96"/>
      <c r="H228" s="183"/>
    </row>
    <row r="229" spans="1:10" ht="15.75" customHeight="1" x14ac:dyDescent="0.35">
      <c r="A229" s="42">
        <v>5</v>
      </c>
      <c r="B229" s="94" t="s">
        <v>183</v>
      </c>
      <c r="C229" s="95"/>
      <c r="D229" s="95"/>
      <c r="E229" s="95"/>
      <c r="F229" s="101"/>
      <c r="G229" s="96"/>
      <c r="H229" s="183"/>
    </row>
    <row r="230" spans="1:10" x14ac:dyDescent="0.35">
      <c r="A230" s="42">
        <v>6</v>
      </c>
      <c r="B230" s="98"/>
      <c r="C230" s="99"/>
      <c r="D230" s="99"/>
      <c r="E230" s="99"/>
      <c r="F230" s="102"/>
      <c r="G230" s="96"/>
      <c r="H230" s="183"/>
    </row>
    <row r="231" spans="1:10" ht="15.75" customHeight="1" x14ac:dyDescent="0.35">
      <c r="A231" s="42">
        <v>7</v>
      </c>
      <c r="B231" s="42" t="s">
        <v>179</v>
      </c>
      <c r="C231" s="53" t="s">
        <v>181</v>
      </c>
      <c r="D231" s="63">
        <f>(31.83)*10.764</f>
        <v>342.61811999999998</v>
      </c>
      <c r="E231" s="42">
        <v>0</v>
      </c>
      <c r="F231" s="42">
        <f>D231*(($F$164)+1)+(IF(E231&lt;101,E231,IF(E231&lt;201,E231/2,IF(E231&lt;=301,E231/3,E231/4))))</f>
        <v>513.92717999999991</v>
      </c>
      <c r="G231" s="96"/>
      <c r="H231" s="183"/>
    </row>
    <row r="232" spans="1:10" ht="15.75" customHeight="1" x14ac:dyDescent="0.35">
      <c r="A232" s="42">
        <v>8</v>
      </c>
      <c r="B232" s="42" t="s">
        <v>179</v>
      </c>
      <c r="C232" s="53" t="s">
        <v>181</v>
      </c>
      <c r="D232" s="63">
        <f>(39.3)*10.764</f>
        <v>423.02519999999993</v>
      </c>
      <c r="E232" s="42">
        <v>0</v>
      </c>
      <c r="F232" s="42">
        <f>D232*(($F$164)+1)+(IF(E232&lt;101,E232,IF(E232&lt;201,E232/2,IF(E232&lt;=301,E232/3,E232/4))))</f>
        <v>634.53779999999983</v>
      </c>
      <c r="G232" s="98"/>
      <c r="H232" s="102"/>
    </row>
    <row r="233" spans="1:10" ht="15.75" customHeight="1" x14ac:dyDescent="0.35">
      <c r="A233" s="88" t="s">
        <v>228</v>
      </c>
      <c r="B233" s="89"/>
      <c r="C233" s="89"/>
      <c r="D233" s="89"/>
      <c r="E233" s="89"/>
      <c r="F233" s="89"/>
      <c r="G233" s="89"/>
      <c r="H233" s="90"/>
    </row>
    <row r="234" spans="1:10" x14ac:dyDescent="0.35">
      <c r="A234" s="42">
        <v>1</v>
      </c>
      <c r="B234" s="60" t="s">
        <v>179</v>
      </c>
      <c r="C234" s="61" t="s">
        <v>180</v>
      </c>
      <c r="D234" s="63">
        <f>(59.68+1.83)*10.764</f>
        <v>662.09363999999994</v>
      </c>
      <c r="E234" s="42">
        <v>0</v>
      </c>
      <c r="F234" s="42">
        <f t="shared" ref="F234:F241" si="9">D234*(($F$164)+1)+(IF(E234&lt;101,E234,IF(E234&lt;201,E234/2,IF(E234&lt;=301,E234/3,E234/4))))</f>
        <v>993.14045999999985</v>
      </c>
      <c r="G234" s="94" t="str">
        <f>A233</f>
        <v>18th to 20th Floor</v>
      </c>
      <c r="H234" s="101"/>
    </row>
    <row r="235" spans="1:10" ht="15.75" customHeight="1" x14ac:dyDescent="0.35">
      <c r="A235" s="42">
        <f>A234+1</f>
        <v>2</v>
      </c>
      <c r="B235" s="60" t="s">
        <v>190</v>
      </c>
      <c r="C235" s="61" t="s">
        <v>181</v>
      </c>
      <c r="D235" s="63">
        <f>(31.9)*10.764</f>
        <v>343.37159999999994</v>
      </c>
      <c r="E235" s="42">
        <v>0</v>
      </c>
      <c r="F235" s="42">
        <f t="shared" si="9"/>
        <v>515.05739999999992</v>
      </c>
      <c r="G235" s="96"/>
      <c r="H235" s="183"/>
    </row>
    <row r="236" spans="1:10" s="37" customFormat="1" ht="15.75" customHeight="1" x14ac:dyDescent="0.35">
      <c r="A236" s="42">
        <f>A235+1</f>
        <v>3</v>
      </c>
      <c r="B236" s="60" t="s">
        <v>190</v>
      </c>
      <c r="C236" s="61" t="s">
        <v>181</v>
      </c>
      <c r="D236" s="63">
        <f>(31.87)*10.764</f>
        <v>343.04867999999999</v>
      </c>
      <c r="E236" s="42">
        <v>0</v>
      </c>
      <c r="F236" s="42">
        <f t="shared" si="9"/>
        <v>514.57302000000004</v>
      </c>
      <c r="G236" s="96"/>
      <c r="H236" s="183"/>
      <c r="I236" s="21"/>
      <c r="J236" s="21"/>
    </row>
    <row r="237" spans="1:10" s="37" customFormat="1" ht="15.75" customHeight="1" x14ac:dyDescent="0.35">
      <c r="A237" s="42">
        <f>A236+1</f>
        <v>4</v>
      </c>
      <c r="B237" s="60" t="s">
        <v>179</v>
      </c>
      <c r="C237" s="61" t="s">
        <v>180</v>
      </c>
      <c r="D237" s="63">
        <f>(59.68+1.83)*10.764</f>
        <v>662.09363999999994</v>
      </c>
      <c r="E237" s="42">
        <v>0</v>
      </c>
      <c r="F237" s="42">
        <f t="shared" si="9"/>
        <v>993.14045999999985</v>
      </c>
      <c r="G237" s="96"/>
      <c r="H237" s="183"/>
      <c r="I237" s="21"/>
      <c r="J237" s="21"/>
    </row>
    <row r="238" spans="1:10" s="37" customFormat="1" ht="15.75" customHeight="1" x14ac:dyDescent="0.35">
      <c r="A238" s="42">
        <v>5</v>
      </c>
      <c r="B238" s="60" t="s">
        <v>190</v>
      </c>
      <c r="C238" s="61" t="s">
        <v>181</v>
      </c>
      <c r="D238" s="63">
        <f>(39.28)*10.764</f>
        <v>422.80991999999998</v>
      </c>
      <c r="E238" s="42">
        <v>0</v>
      </c>
      <c r="F238" s="42">
        <f t="shared" si="9"/>
        <v>634.21487999999999</v>
      </c>
      <c r="G238" s="96"/>
      <c r="H238" s="183"/>
      <c r="I238" s="21"/>
      <c r="J238" s="21"/>
    </row>
    <row r="239" spans="1:10" s="37" customFormat="1" ht="15.75" customHeight="1" x14ac:dyDescent="0.35">
      <c r="A239" s="42">
        <v>6</v>
      </c>
      <c r="B239" s="60" t="s">
        <v>190</v>
      </c>
      <c r="C239" s="61" t="s">
        <v>181</v>
      </c>
      <c r="D239" s="63">
        <f>(31.86)*10.764</f>
        <v>342.94103999999999</v>
      </c>
      <c r="E239" s="42">
        <v>0</v>
      </c>
      <c r="F239" s="42">
        <f t="shared" si="9"/>
        <v>514.41156000000001</v>
      </c>
      <c r="G239" s="96"/>
      <c r="H239" s="183"/>
      <c r="I239" s="21"/>
      <c r="J239" s="21"/>
    </row>
    <row r="240" spans="1:10" s="37" customFormat="1" ht="15.75" customHeight="1" x14ac:dyDescent="0.35">
      <c r="A240" s="42">
        <v>7</v>
      </c>
      <c r="B240" s="60" t="s">
        <v>190</v>
      </c>
      <c r="C240" s="61" t="s">
        <v>181</v>
      </c>
      <c r="D240" s="63">
        <f>(31.83)*10.764</f>
        <v>342.61811999999998</v>
      </c>
      <c r="E240" s="42">
        <v>0</v>
      </c>
      <c r="F240" s="42">
        <f t="shared" si="9"/>
        <v>513.92717999999991</v>
      </c>
      <c r="G240" s="96"/>
      <c r="H240" s="183"/>
      <c r="I240" s="21"/>
      <c r="J240" s="21"/>
    </row>
    <row r="241" spans="1:10" s="37" customFormat="1" ht="15.75" customHeight="1" x14ac:dyDescent="0.35">
      <c r="A241" s="42">
        <v>8</v>
      </c>
      <c r="B241" s="60" t="s">
        <v>190</v>
      </c>
      <c r="C241" s="61" t="s">
        <v>181</v>
      </c>
      <c r="D241" s="63">
        <f>(39.3)*10.764</f>
        <v>423.02519999999993</v>
      </c>
      <c r="E241" s="42">
        <v>0</v>
      </c>
      <c r="F241" s="42">
        <f t="shared" si="9"/>
        <v>634.53779999999983</v>
      </c>
      <c r="G241" s="98"/>
      <c r="H241" s="102"/>
      <c r="I241" s="21"/>
      <c r="J241" s="21"/>
    </row>
    <row r="242" spans="1:10" s="37" customFormat="1" ht="15.75" customHeight="1" x14ac:dyDescent="0.35">
      <c r="A242" s="88" t="s">
        <v>207</v>
      </c>
      <c r="B242" s="89"/>
      <c r="C242" s="89"/>
      <c r="D242" s="89"/>
      <c r="E242" s="89"/>
      <c r="F242" s="89"/>
      <c r="G242" s="89"/>
      <c r="H242" s="90"/>
      <c r="I242" s="21"/>
      <c r="J242" s="21"/>
    </row>
    <row r="243" spans="1:10" s="37" customFormat="1" ht="15.75" customHeight="1" x14ac:dyDescent="0.35">
      <c r="A243" s="42">
        <v>1</v>
      </c>
      <c r="B243" s="60" t="s">
        <v>179</v>
      </c>
      <c r="C243" s="61" t="s">
        <v>180</v>
      </c>
      <c r="D243" s="63">
        <f>(59.68+1.83)*10.764</f>
        <v>662.09363999999994</v>
      </c>
      <c r="E243" s="42">
        <v>0</v>
      </c>
      <c r="F243" s="42">
        <f>D243*(($F$164)+1)+(IF(E243&lt;101,E243,IF(E243&lt;201,E243/2,IF(E243&lt;=301,E243/3,E243/4))))</f>
        <v>993.14045999999985</v>
      </c>
      <c r="G243" s="94" t="str">
        <f>A242</f>
        <v>22nd to 25th, 27th to 30th Floor</v>
      </c>
      <c r="H243" s="101"/>
      <c r="I243" s="21"/>
      <c r="J243" s="21"/>
    </row>
    <row r="244" spans="1:10" s="37" customFormat="1" ht="15.75" customHeight="1" x14ac:dyDescent="0.35">
      <c r="A244" s="42">
        <v>2</v>
      </c>
      <c r="B244" s="60" t="s">
        <v>179</v>
      </c>
      <c r="C244" s="61" t="s">
        <v>181</v>
      </c>
      <c r="D244" s="63">
        <f>(31.9)*10.764</f>
        <v>343.37159999999994</v>
      </c>
      <c r="E244" s="42">
        <v>0</v>
      </c>
      <c r="F244" s="42">
        <f>D244*(($F$164)+1)+(IF(E244&lt;101,E244,IF(E244&lt;201,E244/2,IF(E244&lt;=301,E244/3,E244/4))))</f>
        <v>515.05739999999992</v>
      </c>
      <c r="G244" s="96"/>
      <c r="H244" s="183"/>
      <c r="I244" s="21"/>
      <c r="J244" s="21"/>
    </row>
    <row r="245" spans="1:10" s="37" customFormat="1" ht="15.75" customHeight="1" x14ac:dyDescent="0.35">
      <c r="A245" s="42">
        <v>3</v>
      </c>
      <c r="B245" s="60" t="s">
        <v>179</v>
      </c>
      <c r="C245" s="61" t="s">
        <v>181</v>
      </c>
      <c r="D245" s="63">
        <f>(31.87)*10.764</f>
        <v>343.04867999999999</v>
      </c>
      <c r="E245" s="42">
        <v>0</v>
      </c>
      <c r="F245" s="42">
        <f t="shared" ref="F245:F250" si="10">D245*(($F$164)+1)+(IF(E245&lt;101,E245,IF(E245&lt;201,E245/2,IF(E245&lt;=301,E245/3,E245/4))))</f>
        <v>514.57302000000004</v>
      </c>
      <c r="G245" s="96"/>
      <c r="H245" s="183"/>
      <c r="I245" s="21"/>
      <c r="J245" s="21"/>
    </row>
    <row r="246" spans="1:10" s="37" customFormat="1" ht="15.75" customHeight="1" x14ac:dyDescent="0.35">
      <c r="A246" s="42">
        <v>4</v>
      </c>
      <c r="B246" s="60" t="s">
        <v>179</v>
      </c>
      <c r="C246" s="61" t="s">
        <v>180</v>
      </c>
      <c r="D246" s="63">
        <f>(59.68+1.83)*10.764</f>
        <v>662.09363999999994</v>
      </c>
      <c r="E246" s="42">
        <v>0</v>
      </c>
      <c r="F246" s="42">
        <f t="shared" si="10"/>
        <v>993.14045999999985</v>
      </c>
      <c r="G246" s="96"/>
      <c r="H246" s="183"/>
      <c r="I246" s="21"/>
      <c r="J246" s="21"/>
    </row>
    <row r="247" spans="1:10" s="37" customFormat="1" ht="15.75" customHeight="1" x14ac:dyDescent="0.35">
      <c r="A247" s="42">
        <v>5</v>
      </c>
      <c r="B247" s="60" t="s">
        <v>179</v>
      </c>
      <c r="C247" s="61" t="s">
        <v>181</v>
      </c>
      <c r="D247" s="63">
        <f>(39.28)*10.764</f>
        <v>422.80991999999998</v>
      </c>
      <c r="E247" s="42">
        <v>0</v>
      </c>
      <c r="F247" s="42">
        <f t="shared" si="10"/>
        <v>634.21487999999999</v>
      </c>
      <c r="G247" s="96"/>
      <c r="H247" s="183"/>
      <c r="I247" s="21"/>
      <c r="J247" s="21"/>
    </row>
    <row r="248" spans="1:10" x14ac:dyDescent="0.35">
      <c r="A248" s="42">
        <v>6</v>
      </c>
      <c r="B248" s="60" t="s">
        <v>179</v>
      </c>
      <c r="C248" s="61" t="s">
        <v>181</v>
      </c>
      <c r="D248" s="63">
        <f>(31.86)*10.764</f>
        <v>342.94103999999999</v>
      </c>
      <c r="E248" s="42">
        <v>0</v>
      </c>
      <c r="F248" s="42">
        <f t="shared" si="10"/>
        <v>514.41156000000001</v>
      </c>
      <c r="G248" s="96"/>
      <c r="H248" s="183"/>
    </row>
    <row r="249" spans="1:10" ht="15.75" customHeight="1" x14ac:dyDescent="0.35">
      <c r="A249" s="42">
        <v>7</v>
      </c>
      <c r="B249" s="60" t="s">
        <v>179</v>
      </c>
      <c r="C249" s="61" t="s">
        <v>181</v>
      </c>
      <c r="D249" s="63">
        <f>(31.83)*10.764</f>
        <v>342.61811999999998</v>
      </c>
      <c r="E249" s="42">
        <v>0</v>
      </c>
      <c r="F249" s="42">
        <f t="shared" si="10"/>
        <v>513.92717999999991</v>
      </c>
      <c r="G249" s="96"/>
      <c r="H249" s="183"/>
    </row>
    <row r="250" spans="1:10" x14ac:dyDescent="0.35">
      <c r="A250" s="42">
        <v>8</v>
      </c>
      <c r="B250" s="60" t="s">
        <v>179</v>
      </c>
      <c r="C250" s="61" t="s">
        <v>181</v>
      </c>
      <c r="D250" s="63">
        <f>(39.3)*10.764</f>
        <v>423.02519999999993</v>
      </c>
      <c r="E250" s="42">
        <v>0</v>
      </c>
      <c r="F250" s="42">
        <f t="shared" si="10"/>
        <v>634.53779999999983</v>
      </c>
      <c r="G250" s="98"/>
      <c r="H250" s="102"/>
      <c r="I250" s="36"/>
      <c r="J250" s="37"/>
    </row>
    <row r="251" spans="1:10" x14ac:dyDescent="0.35">
      <c r="A251" s="88" t="s">
        <v>208</v>
      </c>
      <c r="B251" s="89"/>
      <c r="C251" s="89"/>
      <c r="D251" s="89"/>
      <c r="E251" s="89"/>
      <c r="F251" s="89"/>
      <c r="G251" s="89"/>
      <c r="H251" s="90"/>
      <c r="I251" s="36"/>
      <c r="J251" s="37"/>
    </row>
    <row r="252" spans="1:10" x14ac:dyDescent="0.35">
      <c r="A252" s="42">
        <v>1</v>
      </c>
      <c r="B252" s="60" t="s">
        <v>179</v>
      </c>
      <c r="C252" s="61" t="s">
        <v>180</v>
      </c>
      <c r="D252" s="63">
        <f>(59.68+1.83)*10.764</f>
        <v>662.09363999999994</v>
      </c>
      <c r="E252" s="42">
        <v>0</v>
      </c>
      <c r="F252" s="42">
        <f>D252*(($F$164)+1)+(IF(E252&lt;101,E252,IF(E252&lt;201,E252/2,IF(E252&lt;=301,E252/3,E252/4))))</f>
        <v>993.14045999999985</v>
      </c>
      <c r="G252" s="94" t="str">
        <f>A251</f>
        <v>21st &amp; 26th Floor ( Part Refuge Area )</v>
      </c>
      <c r="H252" s="101"/>
      <c r="I252" s="36"/>
      <c r="J252" s="37"/>
    </row>
    <row r="253" spans="1:10" x14ac:dyDescent="0.35">
      <c r="A253" s="42">
        <v>2</v>
      </c>
      <c r="B253" s="60" t="s">
        <v>179</v>
      </c>
      <c r="C253" s="61" t="s">
        <v>181</v>
      </c>
      <c r="D253" s="63">
        <f>(31.9)*10.764</f>
        <v>343.37159999999994</v>
      </c>
      <c r="E253" s="42">
        <v>0</v>
      </c>
      <c r="F253" s="42">
        <f>D253*(($F$164)+1)+(IF(E253&lt;101,E253,IF(E253&lt;201,E253/2,IF(E253&lt;=301,E253/3,E253/4))))</f>
        <v>515.05739999999992</v>
      </c>
      <c r="G253" s="96"/>
      <c r="H253" s="183"/>
      <c r="I253" s="36"/>
      <c r="J253" s="37"/>
    </row>
    <row r="254" spans="1:10" x14ac:dyDescent="0.35">
      <c r="A254" s="42">
        <v>3</v>
      </c>
      <c r="B254" s="60" t="s">
        <v>179</v>
      </c>
      <c r="C254" s="61" t="s">
        <v>181</v>
      </c>
      <c r="D254" s="63">
        <f>(31.87)*10.764</f>
        <v>343.04867999999999</v>
      </c>
      <c r="E254" s="42">
        <v>0</v>
      </c>
      <c r="F254" s="42">
        <f t="shared" ref="F254:F259" si="11">D254*(($F$164)+1)+(IF(E254&lt;101,E254,IF(E254&lt;201,E254/2,IF(E254&lt;=301,E254/3,E254/4))))</f>
        <v>514.57302000000004</v>
      </c>
      <c r="G254" s="96"/>
      <c r="H254" s="183"/>
      <c r="I254" s="36"/>
      <c r="J254" s="37"/>
    </row>
    <row r="255" spans="1:10" ht="15.75" customHeight="1" x14ac:dyDescent="0.35">
      <c r="A255" s="42">
        <v>4</v>
      </c>
      <c r="B255" s="60" t="s">
        <v>179</v>
      </c>
      <c r="C255" s="61" t="s">
        <v>180</v>
      </c>
      <c r="D255" s="63">
        <f>(59.68+1.83)*10.764</f>
        <v>662.09363999999994</v>
      </c>
      <c r="E255" s="42">
        <v>0</v>
      </c>
      <c r="F255" s="42">
        <f t="shared" si="11"/>
        <v>993.14045999999985</v>
      </c>
      <c r="G255" s="96"/>
      <c r="H255" s="183"/>
      <c r="I255" s="36"/>
      <c r="J255" s="37"/>
    </row>
    <row r="256" spans="1:10" ht="15.75" customHeight="1" x14ac:dyDescent="0.35">
      <c r="A256" s="42">
        <v>5</v>
      </c>
      <c r="B256" s="103" t="s">
        <v>229</v>
      </c>
      <c r="C256" s="104"/>
      <c r="D256" s="104"/>
      <c r="E256" s="104"/>
      <c r="F256" s="105"/>
      <c r="G256" s="96"/>
      <c r="H256" s="183"/>
      <c r="I256" s="36"/>
      <c r="J256" s="37"/>
    </row>
    <row r="257" spans="1:10" ht="15.75" customHeight="1" x14ac:dyDescent="0.35">
      <c r="A257" s="42">
        <v>6</v>
      </c>
      <c r="B257" s="60" t="s">
        <v>179</v>
      </c>
      <c r="C257" s="61" t="s">
        <v>181</v>
      </c>
      <c r="D257" s="63">
        <f>(31.86)*10.764</f>
        <v>342.94103999999999</v>
      </c>
      <c r="E257" s="42">
        <v>0</v>
      </c>
      <c r="F257" s="42">
        <f t="shared" si="11"/>
        <v>514.41156000000001</v>
      </c>
      <c r="G257" s="96"/>
      <c r="H257" s="183"/>
      <c r="I257" s="36"/>
      <c r="J257" s="37"/>
    </row>
    <row r="258" spans="1:10" ht="15.75" customHeight="1" x14ac:dyDescent="0.35">
      <c r="A258" s="42">
        <v>7</v>
      </c>
      <c r="B258" s="60" t="s">
        <v>179</v>
      </c>
      <c r="C258" s="61" t="s">
        <v>181</v>
      </c>
      <c r="D258" s="63">
        <f>(31.83)*10.764</f>
        <v>342.61811999999998</v>
      </c>
      <c r="E258" s="42">
        <v>0</v>
      </c>
      <c r="F258" s="42">
        <f t="shared" si="11"/>
        <v>513.92717999999991</v>
      </c>
      <c r="G258" s="96"/>
      <c r="H258" s="183"/>
      <c r="I258" s="36"/>
      <c r="J258" s="37"/>
    </row>
    <row r="259" spans="1:10" ht="15.75" customHeight="1" x14ac:dyDescent="0.35">
      <c r="A259" s="42">
        <v>8</v>
      </c>
      <c r="B259" s="60" t="s">
        <v>179</v>
      </c>
      <c r="C259" s="61" t="s">
        <v>181</v>
      </c>
      <c r="D259" s="63">
        <f>(39.3)*10.764</f>
        <v>423.02519999999993</v>
      </c>
      <c r="E259" s="42">
        <v>0</v>
      </c>
      <c r="F259" s="42">
        <f t="shared" si="11"/>
        <v>634.53779999999983</v>
      </c>
      <c r="G259" s="98"/>
      <c r="H259" s="102"/>
      <c r="I259" s="36"/>
      <c r="J259" s="37"/>
    </row>
    <row r="260" spans="1:10" ht="15.75" customHeight="1" x14ac:dyDescent="0.35">
      <c r="A260" s="88" t="s">
        <v>209</v>
      </c>
      <c r="B260" s="89"/>
      <c r="C260" s="89"/>
      <c r="D260" s="89"/>
      <c r="E260" s="89"/>
      <c r="F260" s="89"/>
      <c r="G260" s="89"/>
      <c r="H260" s="90"/>
      <c r="I260" s="36"/>
      <c r="J260" s="37"/>
    </row>
    <row r="261" spans="1:10" ht="15.75" customHeight="1" x14ac:dyDescent="0.35">
      <c r="A261" s="85" t="s">
        <v>188</v>
      </c>
      <c r="B261" s="86"/>
      <c r="C261" s="86"/>
      <c r="D261" s="86"/>
      <c r="E261" s="86"/>
      <c r="F261" s="86"/>
      <c r="G261" s="86"/>
      <c r="H261" s="86"/>
      <c r="I261" s="36"/>
      <c r="J261" s="37"/>
    </row>
    <row r="262" spans="1:10" ht="15.75" customHeight="1" x14ac:dyDescent="0.35">
      <c r="A262" s="88" t="s">
        <v>211</v>
      </c>
      <c r="B262" s="89"/>
      <c r="C262" s="89"/>
      <c r="D262" s="89"/>
      <c r="E262" s="89"/>
      <c r="F262" s="89"/>
      <c r="G262" s="89"/>
      <c r="H262" s="90"/>
    </row>
    <row r="263" spans="1:10" ht="15.75" customHeight="1" x14ac:dyDescent="0.35">
      <c r="A263" s="42">
        <v>1</v>
      </c>
      <c r="B263" s="103" t="s">
        <v>192</v>
      </c>
      <c r="C263" s="104"/>
      <c r="D263" s="104"/>
      <c r="E263" s="104"/>
      <c r="F263" s="105"/>
      <c r="G263" s="94" t="str">
        <f>A262</f>
        <v>Upper Ground Floor For Residential ( Part Entrance Lobby, Creche &amp; Parking Area )</v>
      </c>
      <c r="H263" s="101"/>
    </row>
    <row r="264" spans="1:10" ht="15.75" customHeight="1" x14ac:dyDescent="0.35">
      <c r="A264" s="42">
        <v>2</v>
      </c>
      <c r="B264" s="103" t="s">
        <v>212</v>
      </c>
      <c r="C264" s="104"/>
      <c r="D264" s="104"/>
      <c r="E264" s="104"/>
      <c r="F264" s="105"/>
      <c r="G264" s="96"/>
      <c r="H264" s="183"/>
    </row>
    <row r="265" spans="1:10" ht="15.75" customHeight="1" x14ac:dyDescent="0.35">
      <c r="A265" s="42">
        <v>3</v>
      </c>
      <c r="B265" s="103" t="s">
        <v>213</v>
      </c>
      <c r="C265" s="104"/>
      <c r="D265" s="104"/>
      <c r="E265" s="104"/>
      <c r="F265" s="105"/>
      <c r="G265" s="96"/>
      <c r="H265" s="183"/>
    </row>
    <row r="266" spans="1:10" ht="15.75" customHeight="1" x14ac:dyDescent="0.35">
      <c r="A266" s="42">
        <v>4</v>
      </c>
      <c r="B266" s="60" t="s">
        <v>179</v>
      </c>
      <c r="C266" s="61" t="s">
        <v>180</v>
      </c>
      <c r="D266" s="63">
        <f>(59.58+1.71)*10.764</f>
        <v>659.72555999999997</v>
      </c>
      <c r="E266" s="42">
        <v>0</v>
      </c>
      <c r="F266" s="42">
        <f t="shared" ref="F266:F279" si="12">D266*(($F$164)+1)+(IF(E266&lt;101,E266,IF(E266&lt;201,E266/2,IF(E266&lt;=301,E266/3,E266/4))))</f>
        <v>989.58834000000002</v>
      </c>
      <c r="G266" s="96"/>
      <c r="H266" s="183"/>
    </row>
    <row r="267" spans="1:10" ht="15.75" customHeight="1" x14ac:dyDescent="0.35">
      <c r="A267" s="42">
        <v>5</v>
      </c>
      <c r="B267" s="60" t="s">
        <v>179</v>
      </c>
      <c r="C267" s="61" t="s">
        <v>181</v>
      </c>
      <c r="D267" s="63">
        <f>(39.1)*10.764</f>
        <v>420.87239999999997</v>
      </c>
      <c r="E267" s="42">
        <v>0</v>
      </c>
      <c r="F267" s="42">
        <f t="shared" si="12"/>
        <v>631.30859999999996</v>
      </c>
      <c r="G267" s="96"/>
      <c r="H267" s="183"/>
    </row>
    <row r="268" spans="1:10" ht="15.75" customHeight="1" x14ac:dyDescent="0.35">
      <c r="A268" s="42">
        <v>6</v>
      </c>
      <c r="B268" s="60" t="s">
        <v>179</v>
      </c>
      <c r="C268" s="61" t="s">
        <v>181</v>
      </c>
      <c r="D268" s="63">
        <f>(59.55+1.53)*10.764</f>
        <v>657.46511999999996</v>
      </c>
      <c r="E268" s="42">
        <v>0</v>
      </c>
      <c r="F268" s="42">
        <f t="shared" si="12"/>
        <v>986.19767999999999</v>
      </c>
      <c r="G268" s="96"/>
      <c r="H268" s="183"/>
    </row>
    <row r="269" spans="1:10" ht="15.75" customHeight="1" x14ac:dyDescent="0.35">
      <c r="A269" s="42">
        <v>7</v>
      </c>
      <c r="B269" s="184" t="s">
        <v>192</v>
      </c>
      <c r="C269" s="185"/>
      <c r="D269" s="185"/>
      <c r="E269" s="185"/>
      <c r="F269" s="186"/>
      <c r="G269" s="96"/>
      <c r="H269" s="183"/>
    </row>
    <row r="270" spans="1:10" ht="15.75" customHeight="1" x14ac:dyDescent="0.35">
      <c r="A270" s="42">
        <v>8</v>
      </c>
      <c r="B270" s="187"/>
      <c r="C270" s="188"/>
      <c r="D270" s="188"/>
      <c r="E270" s="188"/>
      <c r="F270" s="189"/>
      <c r="G270" s="98"/>
      <c r="H270" s="102"/>
    </row>
    <row r="271" spans="1:10" ht="15.75" customHeight="1" x14ac:dyDescent="0.35">
      <c r="A271" s="88" t="s">
        <v>193</v>
      </c>
      <c r="B271" s="89"/>
      <c r="C271" s="89"/>
      <c r="D271" s="89"/>
      <c r="E271" s="89"/>
      <c r="F271" s="89"/>
      <c r="G271" s="89"/>
      <c r="H271" s="90"/>
    </row>
    <row r="272" spans="1:10" x14ac:dyDescent="0.35">
      <c r="A272" s="42">
        <v>1</v>
      </c>
      <c r="B272" s="60" t="s">
        <v>179</v>
      </c>
      <c r="C272" s="58" t="s">
        <v>180</v>
      </c>
      <c r="D272" s="63">
        <f>(59.71+1.71)*10.764</f>
        <v>661.12487999999996</v>
      </c>
      <c r="E272" s="42">
        <v>0</v>
      </c>
      <c r="F272" s="42">
        <f t="shared" si="12"/>
        <v>991.68732</v>
      </c>
      <c r="G272" s="94" t="str">
        <f>A271</f>
        <v>1st to 6th, 8th to 10th, 12th to 15th Floor</v>
      </c>
      <c r="H272" s="101"/>
    </row>
    <row r="273" spans="1:8" x14ac:dyDescent="0.35">
      <c r="A273" s="42">
        <v>2</v>
      </c>
      <c r="B273" s="60" t="s">
        <v>179</v>
      </c>
      <c r="C273" s="58" t="s">
        <v>181</v>
      </c>
      <c r="D273" s="63">
        <f>(39.28)*10.764</f>
        <v>422.80991999999998</v>
      </c>
      <c r="E273" s="42">
        <v>0</v>
      </c>
      <c r="F273" s="42">
        <f t="shared" si="12"/>
        <v>634.21487999999999</v>
      </c>
      <c r="G273" s="96"/>
      <c r="H273" s="183"/>
    </row>
    <row r="274" spans="1:8" x14ac:dyDescent="0.35">
      <c r="A274" s="42">
        <v>3</v>
      </c>
      <c r="B274" s="60" t="s">
        <v>179</v>
      </c>
      <c r="C274" s="58" t="s">
        <v>181</v>
      </c>
      <c r="D274" s="63">
        <f>(39.3)*10.764</f>
        <v>423.02519999999993</v>
      </c>
      <c r="E274" s="42">
        <v>0</v>
      </c>
      <c r="F274" s="42">
        <f t="shared" si="12"/>
        <v>634.53779999999983</v>
      </c>
      <c r="G274" s="96"/>
      <c r="H274" s="183"/>
    </row>
    <row r="275" spans="1:8" x14ac:dyDescent="0.35">
      <c r="A275" s="42">
        <v>4</v>
      </c>
      <c r="B275" s="60" t="s">
        <v>179</v>
      </c>
      <c r="C275" s="58" t="s">
        <v>180</v>
      </c>
      <c r="D275" s="63">
        <f>(59.58+1.71)*10.764</f>
        <v>659.72555999999997</v>
      </c>
      <c r="E275" s="42">
        <v>0</v>
      </c>
      <c r="F275" s="42">
        <f t="shared" si="12"/>
        <v>989.58834000000002</v>
      </c>
      <c r="G275" s="96"/>
      <c r="H275" s="183"/>
    </row>
    <row r="276" spans="1:8" x14ac:dyDescent="0.35">
      <c r="A276" s="42">
        <v>5</v>
      </c>
      <c r="B276" s="60" t="s">
        <v>179</v>
      </c>
      <c r="C276" s="58" t="s">
        <v>181</v>
      </c>
      <c r="D276" s="63">
        <f>(39.1)*10.764</f>
        <v>420.87239999999997</v>
      </c>
      <c r="E276" s="42">
        <v>0</v>
      </c>
      <c r="F276" s="42">
        <f t="shared" si="12"/>
        <v>631.30859999999996</v>
      </c>
      <c r="G276" s="96"/>
      <c r="H276" s="183"/>
    </row>
    <row r="277" spans="1:8" x14ac:dyDescent="0.35">
      <c r="A277" s="42">
        <v>6</v>
      </c>
      <c r="B277" s="60" t="s">
        <v>179</v>
      </c>
      <c r="C277" s="58" t="s">
        <v>180</v>
      </c>
      <c r="D277" s="63">
        <f>(59.58+1.71)*10.764</f>
        <v>659.72555999999997</v>
      </c>
      <c r="E277" s="42">
        <v>0</v>
      </c>
      <c r="F277" s="42">
        <f t="shared" si="12"/>
        <v>989.58834000000002</v>
      </c>
      <c r="G277" s="96"/>
      <c r="H277" s="183"/>
    </row>
    <row r="278" spans="1:8" x14ac:dyDescent="0.35">
      <c r="A278" s="42">
        <v>7</v>
      </c>
      <c r="B278" s="60" t="s">
        <v>179</v>
      </c>
      <c r="C278" s="58" t="s">
        <v>180</v>
      </c>
      <c r="D278" s="63">
        <f>(59.58+1.71)*10.764</f>
        <v>659.72555999999997</v>
      </c>
      <c r="E278" s="42">
        <v>0</v>
      </c>
      <c r="F278" s="42">
        <f t="shared" si="12"/>
        <v>989.58834000000002</v>
      </c>
      <c r="G278" s="96"/>
      <c r="H278" s="183"/>
    </row>
    <row r="279" spans="1:8" x14ac:dyDescent="0.35">
      <c r="A279" s="42">
        <v>8</v>
      </c>
      <c r="B279" s="60" t="s">
        <v>179</v>
      </c>
      <c r="C279" s="58" t="s">
        <v>181</v>
      </c>
      <c r="D279" s="63">
        <f>(39.1)*10.764</f>
        <v>420.87239999999997</v>
      </c>
      <c r="E279" s="42">
        <v>0</v>
      </c>
      <c r="F279" s="42">
        <f t="shared" si="12"/>
        <v>631.30859999999996</v>
      </c>
      <c r="G279" s="98"/>
      <c r="H279" s="102"/>
    </row>
    <row r="280" spans="1:8" x14ac:dyDescent="0.35">
      <c r="A280" s="88" t="s">
        <v>214</v>
      </c>
      <c r="B280" s="89"/>
      <c r="C280" s="89"/>
      <c r="D280" s="89"/>
      <c r="E280" s="89"/>
      <c r="F280" s="89"/>
      <c r="G280" s="89"/>
      <c r="H280" s="90"/>
    </row>
    <row r="281" spans="1:8" x14ac:dyDescent="0.35">
      <c r="A281" s="42">
        <v>1</v>
      </c>
      <c r="B281" s="94" t="s">
        <v>183</v>
      </c>
      <c r="C281" s="95"/>
      <c r="D281" s="95"/>
      <c r="E281" s="95"/>
      <c r="F281" s="101"/>
      <c r="G281" s="94" t="str">
        <f>A280</f>
        <v>7th, 11th &amp; 16th Floor ( Part Refuge Area )</v>
      </c>
      <c r="H281" s="101"/>
    </row>
    <row r="282" spans="1:8" x14ac:dyDescent="0.35">
      <c r="A282" s="42">
        <v>2</v>
      </c>
      <c r="B282" s="98"/>
      <c r="C282" s="99"/>
      <c r="D282" s="99"/>
      <c r="E282" s="99"/>
      <c r="F282" s="102"/>
      <c r="G282" s="96"/>
      <c r="H282" s="183"/>
    </row>
    <row r="283" spans="1:8" x14ac:dyDescent="0.35">
      <c r="A283" s="42">
        <v>3</v>
      </c>
      <c r="B283" s="60" t="s">
        <v>179</v>
      </c>
      <c r="C283" s="58" t="s">
        <v>181</v>
      </c>
      <c r="D283" s="63">
        <f>(39.3)*10.764</f>
        <v>423.02519999999993</v>
      </c>
      <c r="E283" s="42">
        <v>0</v>
      </c>
      <c r="F283" s="42">
        <f t="shared" ref="F283:F315" si="13">D283*(($F$164)+1)+(IF(E283&lt;101,E283,IF(E283&lt;201,E283/2,IF(E283&lt;=301,E283/3,E283/4))))</f>
        <v>634.53779999999983</v>
      </c>
      <c r="G283" s="96"/>
      <c r="H283" s="183"/>
    </row>
    <row r="284" spans="1:8" x14ac:dyDescent="0.35">
      <c r="A284" s="42">
        <v>4</v>
      </c>
      <c r="B284" s="60" t="s">
        <v>179</v>
      </c>
      <c r="C284" s="58" t="s">
        <v>180</v>
      </c>
      <c r="D284" s="63">
        <f>(59.58+1.71)*10.764</f>
        <v>659.72555999999997</v>
      </c>
      <c r="E284" s="42">
        <v>0</v>
      </c>
      <c r="F284" s="42">
        <f t="shared" si="13"/>
        <v>989.58834000000002</v>
      </c>
      <c r="G284" s="96"/>
      <c r="H284" s="183"/>
    </row>
    <row r="285" spans="1:8" x14ac:dyDescent="0.35">
      <c r="A285" s="42">
        <v>5</v>
      </c>
      <c r="B285" s="60" t="s">
        <v>179</v>
      </c>
      <c r="C285" s="58" t="s">
        <v>181</v>
      </c>
      <c r="D285" s="63">
        <f>(39.1)*10.764</f>
        <v>420.87239999999997</v>
      </c>
      <c r="E285" s="42">
        <v>0</v>
      </c>
      <c r="F285" s="42">
        <f t="shared" si="13"/>
        <v>631.30859999999996</v>
      </c>
      <c r="G285" s="96"/>
      <c r="H285" s="183"/>
    </row>
    <row r="286" spans="1:8" x14ac:dyDescent="0.35">
      <c r="A286" s="42">
        <v>6</v>
      </c>
      <c r="B286" s="60" t="s">
        <v>179</v>
      </c>
      <c r="C286" s="58" t="s">
        <v>180</v>
      </c>
      <c r="D286" s="63">
        <f>(59.55+1.71)*10.764</f>
        <v>659.40263999999991</v>
      </c>
      <c r="E286" s="42">
        <v>0</v>
      </c>
      <c r="F286" s="42">
        <f t="shared" si="13"/>
        <v>989.10395999999992</v>
      </c>
      <c r="G286" s="96"/>
      <c r="H286" s="183"/>
    </row>
    <row r="287" spans="1:8" x14ac:dyDescent="0.35">
      <c r="A287" s="42">
        <v>7</v>
      </c>
      <c r="B287" s="60" t="s">
        <v>179</v>
      </c>
      <c r="C287" s="58" t="s">
        <v>180</v>
      </c>
      <c r="D287" s="63">
        <f>(59.55+1.71)*10.764</f>
        <v>659.40263999999991</v>
      </c>
      <c r="E287" s="42">
        <v>0</v>
      </c>
      <c r="F287" s="42">
        <f t="shared" si="13"/>
        <v>989.10395999999992</v>
      </c>
      <c r="G287" s="96"/>
      <c r="H287" s="183"/>
    </row>
    <row r="288" spans="1:8" x14ac:dyDescent="0.35">
      <c r="A288" s="42">
        <v>8</v>
      </c>
      <c r="B288" s="60" t="s">
        <v>179</v>
      </c>
      <c r="C288" s="58" t="s">
        <v>181</v>
      </c>
      <c r="D288" s="63">
        <f>(39.1)*10.764</f>
        <v>420.87239999999997</v>
      </c>
      <c r="E288" s="42">
        <v>0</v>
      </c>
      <c r="F288" s="42">
        <f t="shared" si="13"/>
        <v>631.30859999999996</v>
      </c>
      <c r="G288" s="98"/>
      <c r="H288" s="102"/>
    </row>
    <row r="289" spans="1:8" x14ac:dyDescent="0.35">
      <c r="A289" s="88" t="s">
        <v>216</v>
      </c>
      <c r="B289" s="89"/>
      <c r="C289" s="89"/>
      <c r="D289" s="89"/>
      <c r="E289" s="89"/>
      <c r="F289" s="89"/>
      <c r="G289" s="89"/>
      <c r="H289" s="90"/>
    </row>
    <row r="290" spans="1:8" x14ac:dyDescent="0.35">
      <c r="A290" s="59">
        <v>1</v>
      </c>
      <c r="B290" s="60" t="s">
        <v>179</v>
      </c>
      <c r="C290" s="58" t="s">
        <v>180</v>
      </c>
      <c r="D290" s="63">
        <f>(59.71+1.71)*10.764</f>
        <v>661.12487999999996</v>
      </c>
      <c r="E290" s="42">
        <v>0</v>
      </c>
      <c r="F290" s="42">
        <f t="shared" si="13"/>
        <v>991.68732</v>
      </c>
      <c r="G290" s="94" t="str">
        <f>A289</f>
        <v>17th Floor</v>
      </c>
      <c r="H290" s="101"/>
    </row>
    <row r="291" spans="1:8" x14ac:dyDescent="0.35">
      <c r="A291" s="59">
        <v>2</v>
      </c>
      <c r="B291" s="60" t="s">
        <v>179</v>
      </c>
      <c r="C291" s="58" t="s">
        <v>181</v>
      </c>
      <c r="D291" s="63">
        <f>(39.28)*10.764</f>
        <v>422.80991999999998</v>
      </c>
      <c r="E291" s="42">
        <v>0</v>
      </c>
      <c r="F291" s="42">
        <f t="shared" si="13"/>
        <v>634.21487999999999</v>
      </c>
      <c r="G291" s="96"/>
      <c r="H291" s="183"/>
    </row>
    <row r="292" spans="1:8" x14ac:dyDescent="0.35">
      <c r="A292" s="59">
        <v>3</v>
      </c>
      <c r="B292" s="60" t="s">
        <v>179</v>
      </c>
      <c r="C292" s="58" t="s">
        <v>181</v>
      </c>
      <c r="D292" s="63">
        <f>(39.3)*10.764</f>
        <v>423.02519999999993</v>
      </c>
      <c r="E292" s="42">
        <v>0</v>
      </c>
      <c r="F292" s="42">
        <f t="shared" si="13"/>
        <v>634.53779999999983</v>
      </c>
      <c r="G292" s="96"/>
      <c r="H292" s="183"/>
    </row>
    <row r="293" spans="1:8" x14ac:dyDescent="0.35">
      <c r="A293" s="59">
        <v>4</v>
      </c>
      <c r="B293" s="60" t="s">
        <v>179</v>
      </c>
      <c r="C293" s="58" t="s">
        <v>180</v>
      </c>
      <c r="D293" s="63">
        <f>(59.58+1.71)*10.764</f>
        <v>659.72555999999997</v>
      </c>
      <c r="E293" s="42">
        <v>0</v>
      </c>
      <c r="F293" s="42">
        <f t="shared" si="13"/>
        <v>989.58834000000002</v>
      </c>
      <c r="G293" s="96"/>
      <c r="H293" s="183"/>
    </row>
    <row r="294" spans="1:8" x14ac:dyDescent="0.35">
      <c r="A294" s="59">
        <v>5</v>
      </c>
      <c r="B294" s="60" t="s">
        <v>179</v>
      </c>
      <c r="C294" s="58" t="s">
        <v>181</v>
      </c>
      <c r="D294" s="63">
        <f>(39.1)*10.764</f>
        <v>420.87239999999997</v>
      </c>
      <c r="E294" s="42">
        <v>0</v>
      </c>
      <c r="F294" s="42">
        <f t="shared" si="13"/>
        <v>631.30859999999996</v>
      </c>
      <c r="G294" s="96"/>
      <c r="H294" s="183"/>
    </row>
    <row r="295" spans="1:8" x14ac:dyDescent="0.35">
      <c r="A295" s="59">
        <v>6</v>
      </c>
      <c r="B295" s="60" t="s">
        <v>179</v>
      </c>
      <c r="C295" s="58" t="s">
        <v>180</v>
      </c>
      <c r="D295" s="63">
        <f>(59.55+1.71)*10.764</f>
        <v>659.40263999999991</v>
      </c>
      <c r="E295" s="42">
        <v>0</v>
      </c>
      <c r="F295" s="42">
        <f t="shared" si="13"/>
        <v>989.10395999999992</v>
      </c>
      <c r="G295" s="96"/>
      <c r="H295" s="183"/>
    </row>
    <row r="296" spans="1:8" x14ac:dyDescent="0.35">
      <c r="A296" s="59">
        <v>7</v>
      </c>
      <c r="B296" s="60" t="s">
        <v>179</v>
      </c>
      <c r="C296" s="58" t="s">
        <v>180</v>
      </c>
      <c r="D296" s="63">
        <f>(59.55+1.71)*10.764</f>
        <v>659.40263999999991</v>
      </c>
      <c r="E296" s="42">
        <v>0</v>
      </c>
      <c r="F296" s="42">
        <f t="shared" si="13"/>
        <v>989.10395999999992</v>
      </c>
      <c r="G296" s="96"/>
      <c r="H296" s="183"/>
    </row>
    <row r="297" spans="1:8" x14ac:dyDescent="0.35">
      <c r="A297" s="59">
        <v>8</v>
      </c>
      <c r="B297" s="60" t="s">
        <v>179</v>
      </c>
      <c r="C297" s="58" t="s">
        <v>181</v>
      </c>
      <c r="D297" s="63">
        <f>(39.1)*10.764</f>
        <v>420.87239999999997</v>
      </c>
      <c r="E297" s="42">
        <v>0</v>
      </c>
      <c r="F297" s="42">
        <f t="shared" si="13"/>
        <v>631.30859999999996</v>
      </c>
      <c r="G297" s="98"/>
      <c r="H297" s="102"/>
    </row>
    <row r="298" spans="1:8" x14ac:dyDescent="0.35">
      <c r="A298" s="88" t="s">
        <v>217</v>
      </c>
      <c r="B298" s="89"/>
      <c r="C298" s="89"/>
      <c r="D298" s="89"/>
      <c r="E298" s="89"/>
      <c r="F298" s="89"/>
      <c r="G298" s="89"/>
      <c r="H298" s="90"/>
    </row>
    <row r="299" spans="1:8" x14ac:dyDescent="0.35">
      <c r="A299" s="59">
        <v>1</v>
      </c>
      <c r="B299" s="60" t="s">
        <v>179</v>
      </c>
      <c r="C299" s="58" t="s">
        <v>180</v>
      </c>
      <c r="D299" s="63">
        <f>(59.71+1.71)*10.764</f>
        <v>661.12487999999996</v>
      </c>
      <c r="E299" s="42">
        <v>0</v>
      </c>
      <c r="F299" s="42">
        <f t="shared" si="13"/>
        <v>991.68732</v>
      </c>
      <c r="G299" s="94" t="str">
        <f>A298</f>
        <v>18th to 20th, 22nd to 25th, 27th to 30th Floor</v>
      </c>
      <c r="H299" s="101"/>
    </row>
    <row r="300" spans="1:8" x14ac:dyDescent="0.35">
      <c r="A300" s="59">
        <v>2</v>
      </c>
      <c r="B300" s="60" t="s">
        <v>179</v>
      </c>
      <c r="C300" s="58" t="s">
        <v>181</v>
      </c>
      <c r="D300" s="63">
        <f>(39.28)*10.764</f>
        <v>422.80991999999998</v>
      </c>
      <c r="E300" s="42">
        <v>0</v>
      </c>
      <c r="F300" s="42">
        <f t="shared" si="13"/>
        <v>634.21487999999999</v>
      </c>
      <c r="G300" s="96"/>
      <c r="H300" s="183"/>
    </row>
    <row r="301" spans="1:8" x14ac:dyDescent="0.35">
      <c r="A301" s="59">
        <v>3</v>
      </c>
      <c r="B301" s="60" t="s">
        <v>179</v>
      </c>
      <c r="C301" s="58" t="s">
        <v>181</v>
      </c>
      <c r="D301" s="63">
        <f>(39.3)*10.764</f>
        <v>423.02519999999993</v>
      </c>
      <c r="E301" s="42">
        <v>0</v>
      </c>
      <c r="F301" s="42">
        <f t="shared" si="13"/>
        <v>634.53779999999983</v>
      </c>
      <c r="G301" s="96"/>
      <c r="H301" s="183"/>
    </row>
    <row r="302" spans="1:8" ht="15.75" customHeight="1" x14ac:dyDescent="0.35">
      <c r="A302" s="59">
        <v>4</v>
      </c>
      <c r="B302" s="60" t="s">
        <v>179</v>
      </c>
      <c r="C302" s="58" t="s">
        <v>180</v>
      </c>
      <c r="D302" s="63">
        <f>(59.58+1.71)*10.764</f>
        <v>659.72555999999997</v>
      </c>
      <c r="E302" s="42">
        <v>0</v>
      </c>
      <c r="F302" s="42">
        <f t="shared" si="13"/>
        <v>989.58834000000002</v>
      </c>
      <c r="G302" s="96"/>
      <c r="H302" s="183"/>
    </row>
    <row r="303" spans="1:8" x14ac:dyDescent="0.35">
      <c r="A303" s="59">
        <v>5</v>
      </c>
      <c r="B303" s="60" t="s">
        <v>179</v>
      </c>
      <c r="C303" s="58" t="s">
        <v>181</v>
      </c>
      <c r="D303" s="63">
        <f>(39.1)*10.764</f>
        <v>420.87239999999997</v>
      </c>
      <c r="E303" s="42">
        <v>0</v>
      </c>
      <c r="F303" s="42">
        <f t="shared" si="13"/>
        <v>631.30859999999996</v>
      </c>
      <c r="G303" s="96"/>
      <c r="H303" s="183"/>
    </row>
    <row r="304" spans="1:8" x14ac:dyDescent="0.35">
      <c r="A304" s="59">
        <v>6</v>
      </c>
      <c r="B304" s="60" t="s">
        <v>179</v>
      </c>
      <c r="C304" s="58" t="s">
        <v>180</v>
      </c>
      <c r="D304" s="63">
        <f>(59.55+1.71)*10.764</f>
        <v>659.40263999999991</v>
      </c>
      <c r="E304" s="42">
        <v>0</v>
      </c>
      <c r="F304" s="42">
        <f t="shared" si="13"/>
        <v>989.10395999999992</v>
      </c>
      <c r="G304" s="96"/>
      <c r="H304" s="183"/>
    </row>
    <row r="305" spans="1:10" x14ac:dyDescent="0.35">
      <c r="A305" s="59">
        <v>7</v>
      </c>
      <c r="B305" s="60" t="s">
        <v>179</v>
      </c>
      <c r="C305" s="58" t="s">
        <v>180</v>
      </c>
      <c r="D305" s="63">
        <f>(59.55+1.71)*10.764</f>
        <v>659.40263999999991</v>
      </c>
      <c r="E305" s="42">
        <v>0</v>
      </c>
      <c r="F305" s="42">
        <f t="shared" si="13"/>
        <v>989.10395999999992</v>
      </c>
      <c r="G305" s="96"/>
      <c r="H305" s="183"/>
    </row>
    <row r="306" spans="1:10" x14ac:dyDescent="0.35">
      <c r="A306" s="59">
        <v>8</v>
      </c>
      <c r="B306" s="60" t="s">
        <v>179</v>
      </c>
      <c r="C306" s="58" t="s">
        <v>181</v>
      </c>
      <c r="D306" s="63">
        <f>(39.1)*10.764</f>
        <v>420.87239999999997</v>
      </c>
      <c r="E306" s="42">
        <v>0</v>
      </c>
      <c r="F306" s="42">
        <f t="shared" si="13"/>
        <v>631.30859999999996</v>
      </c>
      <c r="G306" s="98"/>
      <c r="H306" s="102"/>
    </row>
    <row r="307" spans="1:10" x14ac:dyDescent="0.35">
      <c r="A307" s="88" t="s">
        <v>208</v>
      </c>
      <c r="B307" s="89"/>
      <c r="C307" s="89"/>
      <c r="D307" s="89"/>
      <c r="E307" s="89"/>
      <c r="F307" s="89"/>
      <c r="G307" s="89"/>
      <c r="H307" s="90"/>
    </row>
    <row r="308" spans="1:10" x14ac:dyDescent="0.35">
      <c r="A308" s="59">
        <v>1</v>
      </c>
      <c r="B308" s="60" t="s">
        <v>179</v>
      </c>
      <c r="C308" s="58" t="s">
        <v>180</v>
      </c>
      <c r="D308" s="63">
        <f>(59.71+1.71)*10.764</f>
        <v>661.12487999999996</v>
      </c>
      <c r="E308" s="42">
        <v>0</v>
      </c>
      <c r="F308" s="42">
        <f t="shared" si="13"/>
        <v>991.68732</v>
      </c>
      <c r="G308" s="94" t="str">
        <f>A307</f>
        <v>21st &amp; 26th Floor ( Part Refuge Area )</v>
      </c>
      <c r="H308" s="101"/>
    </row>
    <row r="309" spans="1:10" x14ac:dyDescent="0.35">
      <c r="A309" s="59">
        <v>2</v>
      </c>
      <c r="B309" s="60" t="s">
        <v>179</v>
      </c>
      <c r="C309" s="255" t="s">
        <v>210</v>
      </c>
      <c r="D309" s="256"/>
      <c r="E309" s="256"/>
      <c r="F309" s="257"/>
      <c r="G309" s="96"/>
      <c r="H309" s="183"/>
    </row>
    <row r="310" spans="1:10" x14ac:dyDescent="0.35">
      <c r="A310" s="59">
        <v>3</v>
      </c>
      <c r="B310" s="60" t="s">
        <v>179</v>
      </c>
      <c r="C310" s="58" t="s">
        <v>181</v>
      </c>
      <c r="D310" s="63">
        <f>(39.3)*10.764</f>
        <v>423.02519999999993</v>
      </c>
      <c r="E310" s="42">
        <v>0</v>
      </c>
      <c r="F310" s="42">
        <f t="shared" si="13"/>
        <v>634.53779999999983</v>
      </c>
      <c r="G310" s="96"/>
      <c r="H310" s="183"/>
    </row>
    <row r="311" spans="1:10" x14ac:dyDescent="0.35">
      <c r="A311" s="59">
        <v>4</v>
      </c>
      <c r="B311" s="60" t="s">
        <v>179</v>
      </c>
      <c r="C311" s="58" t="s">
        <v>180</v>
      </c>
      <c r="D311" s="63">
        <f>(59.58+1.71)*10.764</f>
        <v>659.72555999999997</v>
      </c>
      <c r="E311" s="42">
        <v>0</v>
      </c>
      <c r="F311" s="42">
        <f t="shared" si="13"/>
        <v>989.58834000000002</v>
      </c>
      <c r="G311" s="96"/>
      <c r="H311" s="183"/>
    </row>
    <row r="312" spans="1:10" ht="30.75" customHeight="1" x14ac:dyDescent="0.35">
      <c r="A312" s="59">
        <v>5</v>
      </c>
      <c r="B312" s="60" t="s">
        <v>179</v>
      </c>
      <c r="C312" s="58" t="s">
        <v>181</v>
      </c>
      <c r="D312" s="63">
        <f>(39.1)*10.764</f>
        <v>420.87239999999997</v>
      </c>
      <c r="E312" s="42">
        <v>0</v>
      </c>
      <c r="F312" s="42">
        <f t="shared" si="13"/>
        <v>631.30859999999996</v>
      </c>
      <c r="G312" s="96"/>
      <c r="H312" s="183"/>
    </row>
    <row r="313" spans="1:10" x14ac:dyDescent="0.35">
      <c r="A313" s="59">
        <v>6</v>
      </c>
      <c r="B313" s="60" t="s">
        <v>179</v>
      </c>
      <c r="C313" s="58" t="s">
        <v>180</v>
      </c>
      <c r="D313" s="63">
        <f>(59.55+1.71)*10.764</f>
        <v>659.40263999999991</v>
      </c>
      <c r="E313" s="42">
        <v>0</v>
      </c>
      <c r="F313" s="42">
        <f t="shared" si="13"/>
        <v>989.10395999999992</v>
      </c>
      <c r="G313" s="96"/>
      <c r="H313" s="183"/>
    </row>
    <row r="314" spans="1:10" s="23" customFormat="1" x14ac:dyDescent="0.35">
      <c r="A314" s="59">
        <v>7</v>
      </c>
      <c r="B314" s="60" t="s">
        <v>179</v>
      </c>
      <c r="C314" s="58" t="s">
        <v>180</v>
      </c>
      <c r="D314" s="63">
        <f>(59.55+1.71)*10.764</f>
        <v>659.40263999999991</v>
      </c>
      <c r="E314" s="42">
        <v>0</v>
      </c>
      <c r="F314" s="42">
        <f t="shared" si="13"/>
        <v>989.10395999999992</v>
      </c>
      <c r="G314" s="96"/>
      <c r="H314" s="183"/>
      <c r="I314" s="21"/>
      <c r="J314" s="21"/>
    </row>
    <row r="315" spans="1:10" x14ac:dyDescent="0.35">
      <c r="A315" s="59">
        <v>8</v>
      </c>
      <c r="B315" s="60" t="s">
        <v>179</v>
      </c>
      <c r="C315" s="58" t="s">
        <v>181</v>
      </c>
      <c r="D315" s="63">
        <f>(39.1)*10.764</f>
        <v>420.87239999999997</v>
      </c>
      <c r="E315" s="42">
        <v>0</v>
      </c>
      <c r="F315" s="42">
        <f t="shared" si="13"/>
        <v>631.30859999999996</v>
      </c>
      <c r="G315" s="98"/>
      <c r="H315" s="102"/>
    </row>
    <row r="316" spans="1:10" x14ac:dyDescent="0.35">
      <c r="A316" s="258" t="s">
        <v>209</v>
      </c>
      <c r="B316" s="258"/>
      <c r="C316" s="258"/>
      <c r="D316" s="258"/>
      <c r="E316" s="258"/>
      <c r="F316" s="258"/>
      <c r="G316" s="258"/>
      <c r="H316" s="258"/>
    </row>
    <row r="317" spans="1:10" x14ac:dyDescent="0.35">
      <c r="A317" s="260"/>
      <c r="B317" s="260"/>
      <c r="C317" s="260"/>
      <c r="D317" s="260"/>
      <c r="E317" s="260"/>
      <c r="F317" s="260"/>
      <c r="G317" s="260"/>
      <c r="H317" s="260"/>
    </row>
    <row r="318" spans="1:10" x14ac:dyDescent="0.35">
      <c r="A318" s="135" t="s">
        <v>66</v>
      </c>
      <c r="B318" s="135"/>
      <c r="C318" s="135"/>
      <c r="D318" s="135"/>
      <c r="E318" s="135"/>
      <c r="F318" s="135"/>
      <c r="G318" s="135"/>
      <c r="H318" s="135"/>
    </row>
    <row r="319" spans="1:10" x14ac:dyDescent="0.35">
      <c r="A319" s="69" t="s">
        <v>149</v>
      </c>
      <c r="B319" s="261" t="s">
        <v>262</v>
      </c>
      <c r="C319" s="261"/>
      <c r="D319" s="261"/>
      <c r="E319" s="261"/>
      <c r="F319" s="261"/>
      <c r="G319" s="261"/>
      <c r="H319" s="261"/>
    </row>
    <row r="320" spans="1:10" x14ac:dyDescent="0.35">
      <c r="A320" s="69" t="s">
        <v>149</v>
      </c>
      <c r="B320" s="262" t="str">
        <f>(IF(F163="Saleable area Loading :","We have considered Saleable area of Flats as per our Calculation.","We considered Saleable area of Flat as per Builder area Sheet."))</f>
        <v>We have considered Saleable area of Flats as per our Calculation.</v>
      </c>
      <c r="C320" s="262"/>
      <c r="D320" s="262"/>
      <c r="E320" s="262"/>
      <c r="F320" s="262"/>
      <c r="G320" s="262"/>
      <c r="H320" s="262"/>
    </row>
    <row r="321" spans="1:10" x14ac:dyDescent="0.35">
      <c r="A321" s="69" t="s">
        <v>149</v>
      </c>
      <c r="B321" s="262" t="str">
        <f>(IF(F144="Saleable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321" s="262"/>
      <c r="D321" s="262"/>
      <c r="E321" s="262"/>
      <c r="F321" s="262"/>
      <c r="G321" s="262"/>
      <c r="H321" s="262"/>
    </row>
    <row r="322" spans="1:10" x14ac:dyDescent="0.35">
      <c r="A322" s="69" t="s">
        <v>149</v>
      </c>
      <c r="B322" s="263" t="s">
        <v>119</v>
      </c>
      <c r="C322" s="263"/>
      <c r="D322" s="263"/>
      <c r="E322" s="263"/>
      <c r="F322" s="263"/>
      <c r="G322" s="263"/>
      <c r="H322" s="263"/>
    </row>
    <row r="323" spans="1:10" x14ac:dyDescent="0.35">
      <c r="A323" s="69" t="s">
        <v>149</v>
      </c>
      <c r="B323" s="263" t="s">
        <v>215</v>
      </c>
      <c r="C323" s="263"/>
      <c r="D323" s="263"/>
      <c r="E323" s="263"/>
      <c r="F323" s="263"/>
      <c r="G323" s="263"/>
      <c r="H323" s="263"/>
    </row>
    <row r="324" spans="1:10" x14ac:dyDescent="0.35">
      <c r="A324" s="69" t="s">
        <v>149</v>
      </c>
      <c r="B324" s="263" t="s">
        <v>148</v>
      </c>
      <c r="C324" s="263"/>
      <c r="D324" s="263"/>
      <c r="E324" s="263"/>
      <c r="F324" s="263"/>
      <c r="G324" s="263"/>
      <c r="H324" s="263"/>
    </row>
    <row r="325" spans="1:10" x14ac:dyDescent="0.35">
      <c r="A325" s="45" t="s">
        <v>149</v>
      </c>
      <c r="B325" s="91" t="s">
        <v>120</v>
      </c>
      <c r="C325" s="92"/>
      <c r="D325" s="92"/>
      <c r="E325" s="92"/>
      <c r="F325" s="92"/>
      <c r="G325" s="92"/>
      <c r="H325" s="93"/>
    </row>
    <row r="326" spans="1:10" x14ac:dyDescent="0.35">
      <c r="A326" s="45" t="s">
        <v>149</v>
      </c>
      <c r="B326" s="91" t="s">
        <v>150</v>
      </c>
      <c r="C326" s="92"/>
      <c r="D326" s="92"/>
      <c r="E326" s="92"/>
      <c r="F326" s="92"/>
      <c r="G326" s="92"/>
      <c r="H326" s="93"/>
    </row>
    <row r="327" spans="1:10" x14ac:dyDescent="0.35">
      <c r="A327" s="45" t="s">
        <v>149</v>
      </c>
      <c r="B327" s="91" t="s">
        <v>121</v>
      </c>
      <c r="C327" s="92"/>
      <c r="D327" s="92"/>
      <c r="E327" s="92"/>
      <c r="F327" s="92"/>
      <c r="G327" s="92"/>
      <c r="H327" s="93"/>
    </row>
    <row r="328" spans="1:10" x14ac:dyDescent="0.35">
      <c r="A328" s="66" t="s">
        <v>149</v>
      </c>
      <c r="B328" s="136" t="s">
        <v>256</v>
      </c>
      <c r="C328" s="137"/>
      <c r="D328" s="137"/>
      <c r="E328" s="137"/>
      <c r="F328" s="137"/>
      <c r="G328" s="137"/>
      <c r="H328" s="138"/>
      <c r="I328" s="23"/>
      <c r="J328" s="23"/>
    </row>
    <row r="329" spans="1:10" x14ac:dyDescent="0.35">
      <c r="A329" s="45" t="s">
        <v>149</v>
      </c>
      <c r="B329" s="140" t="s">
        <v>259</v>
      </c>
      <c r="C329" s="141"/>
      <c r="D329" s="141"/>
      <c r="E329" s="141"/>
      <c r="F329" s="141"/>
      <c r="G329" s="141"/>
      <c r="H329" s="142"/>
    </row>
    <row r="330" spans="1:10" x14ac:dyDescent="0.35">
      <c r="A330" s="45" t="s">
        <v>149</v>
      </c>
      <c r="B330" s="140" t="s">
        <v>260</v>
      </c>
      <c r="C330" s="141"/>
      <c r="D330" s="141"/>
      <c r="E330" s="141"/>
      <c r="F330" s="141"/>
      <c r="G330" s="141"/>
      <c r="H330" s="142"/>
    </row>
    <row r="331" spans="1:10" x14ac:dyDescent="0.35">
      <c r="A331" s="163" t="s">
        <v>59</v>
      </c>
      <c r="B331" s="163"/>
      <c r="C331" s="163"/>
      <c r="D331" s="163"/>
      <c r="E331" s="163"/>
      <c r="F331" s="163"/>
      <c r="G331" s="163"/>
      <c r="H331" s="163"/>
    </row>
    <row r="332" spans="1:10" x14ac:dyDescent="0.35">
      <c r="A332" s="126" t="s">
        <v>60</v>
      </c>
      <c r="B332" s="126"/>
      <c r="C332" s="126"/>
      <c r="D332" s="126"/>
      <c r="E332" s="126"/>
      <c r="F332" s="126"/>
      <c r="G332" s="126"/>
      <c r="H332" s="126"/>
    </row>
    <row r="333" spans="1:10" x14ac:dyDescent="0.35">
      <c r="A333" s="127" t="s">
        <v>61</v>
      </c>
      <c r="B333" s="127"/>
      <c r="C333" s="127"/>
      <c r="D333" s="127"/>
      <c r="E333" s="127"/>
      <c r="F333" s="127"/>
      <c r="G333" s="127"/>
      <c r="H333" s="127"/>
    </row>
    <row r="334" spans="1:10" x14ac:dyDescent="0.35">
      <c r="A334" s="126" t="s">
        <v>62</v>
      </c>
      <c r="B334" s="126"/>
      <c r="C334" s="126"/>
      <c r="D334" s="126"/>
      <c r="E334" s="126"/>
      <c r="F334" s="126"/>
      <c r="G334" s="126"/>
      <c r="H334" s="126"/>
    </row>
    <row r="335" spans="1:10" x14ac:dyDescent="0.35">
      <c r="A335" s="126" t="s">
        <v>63</v>
      </c>
      <c r="B335" s="126"/>
      <c r="C335" s="126"/>
      <c r="D335" s="126"/>
      <c r="E335" s="126"/>
      <c r="F335" s="126"/>
      <c r="G335" s="126"/>
      <c r="H335" s="126"/>
    </row>
    <row r="336" spans="1:10" x14ac:dyDescent="0.35">
      <c r="A336" s="126" t="s">
        <v>122</v>
      </c>
      <c r="B336" s="126"/>
      <c r="C336" s="126"/>
      <c r="D336" s="126"/>
      <c r="E336" s="126"/>
      <c r="F336" s="126"/>
      <c r="G336" s="126"/>
      <c r="H336" s="126"/>
    </row>
    <row r="337" spans="1:8" x14ac:dyDescent="0.35">
      <c r="A337" s="182" t="s">
        <v>123</v>
      </c>
      <c r="B337" s="182"/>
      <c r="C337" s="182"/>
      <c r="D337" s="182"/>
      <c r="E337" s="182"/>
      <c r="F337" s="182"/>
      <c r="G337" s="182"/>
      <c r="H337" s="182"/>
    </row>
    <row r="338" spans="1:8" x14ac:dyDescent="0.35">
      <c r="A338" s="181" t="s">
        <v>74</v>
      </c>
      <c r="B338" s="181"/>
      <c r="C338" s="181" t="s">
        <v>261</v>
      </c>
      <c r="D338" s="181"/>
      <c r="E338" s="181" t="s">
        <v>102</v>
      </c>
      <c r="F338" s="181"/>
      <c r="G338" s="181" t="s">
        <v>268</v>
      </c>
      <c r="H338" s="181"/>
    </row>
    <row r="339" spans="1:8" x14ac:dyDescent="0.35">
      <c r="A339" s="180" t="s">
        <v>76</v>
      </c>
      <c r="B339" s="180"/>
      <c r="C339" s="180"/>
      <c r="D339" s="180"/>
      <c r="E339" s="180"/>
      <c r="F339" s="180"/>
      <c r="G339" s="180"/>
      <c r="H339" s="180"/>
    </row>
    <row r="340" spans="1:8" x14ac:dyDescent="0.35">
      <c r="A340" s="180"/>
      <c r="B340" s="180"/>
      <c r="C340" s="180"/>
      <c r="D340" s="180"/>
      <c r="E340" s="180"/>
      <c r="F340" s="180"/>
      <c r="G340" s="180"/>
      <c r="H340" s="180"/>
    </row>
    <row r="341" spans="1:8" x14ac:dyDescent="0.35">
      <c r="A341" s="180"/>
      <c r="B341" s="180"/>
      <c r="C341" s="180"/>
      <c r="D341" s="180"/>
      <c r="E341" s="180"/>
      <c r="F341" s="180"/>
      <c r="G341" s="180"/>
      <c r="H341" s="180"/>
    </row>
    <row r="342" spans="1:8" x14ac:dyDescent="0.35">
      <c r="A342" s="180"/>
      <c r="B342" s="180"/>
      <c r="C342" s="180"/>
      <c r="D342" s="180"/>
      <c r="E342" s="180"/>
      <c r="F342" s="180"/>
      <c r="G342" s="180"/>
      <c r="H342" s="180"/>
    </row>
    <row r="343" spans="1:8" x14ac:dyDescent="0.35">
      <c r="A343" s="38" t="s">
        <v>64</v>
      </c>
      <c r="B343" s="39"/>
      <c r="C343" s="39"/>
      <c r="D343" s="38" t="str">
        <f>E8</f>
        <v>Vihang Woods</v>
      </c>
      <c r="F343" s="39"/>
      <c r="G343" s="39"/>
      <c r="H343" s="39"/>
    </row>
    <row r="344" spans="1:8" x14ac:dyDescent="0.35">
      <c r="A344" s="39"/>
      <c r="B344" s="39"/>
      <c r="C344" s="39"/>
      <c r="D344" s="39"/>
      <c r="E344" s="39"/>
      <c r="F344" s="39"/>
      <c r="G344" s="39"/>
      <c r="H344" s="39"/>
    </row>
    <row r="345" spans="1:8" x14ac:dyDescent="0.35">
      <c r="A345" s="39"/>
      <c r="B345" s="39"/>
      <c r="C345" s="39"/>
      <c r="D345" s="39"/>
      <c r="E345" s="39"/>
      <c r="F345" s="39"/>
      <c r="G345" s="39"/>
      <c r="H345" s="39"/>
    </row>
    <row r="356" spans="10:10" x14ac:dyDescent="0.35">
      <c r="J356" s="21" t="s">
        <v>263</v>
      </c>
    </row>
    <row r="385" spans="1:1" x14ac:dyDescent="0.35">
      <c r="A385" s="41" t="s">
        <v>160</v>
      </c>
    </row>
    <row r="386" spans="1:1" x14ac:dyDescent="0.35">
      <c r="A386" s="41"/>
    </row>
    <row r="388" spans="1:1" x14ac:dyDescent="0.35">
      <c r="A388" s="41"/>
    </row>
    <row r="427" spans="1:1" x14ac:dyDescent="0.35">
      <c r="A427" s="41" t="s">
        <v>65</v>
      </c>
    </row>
    <row r="428" spans="1:1" x14ac:dyDescent="0.35">
      <c r="A428" s="41"/>
    </row>
    <row r="430" spans="1:1" x14ac:dyDescent="0.35">
      <c r="A430" s="41"/>
    </row>
  </sheetData>
  <mergeCells count="404">
    <mergeCell ref="E128:F128"/>
    <mergeCell ref="A128:B128"/>
    <mergeCell ref="C132:D132"/>
    <mergeCell ref="G129:H129"/>
    <mergeCell ref="A124:E124"/>
    <mergeCell ref="G128:H128"/>
    <mergeCell ref="A116:E116"/>
    <mergeCell ref="F117:H117"/>
    <mergeCell ref="G130:H130"/>
    <mergeCell ref="G132:H132"/>
    <mergeCell ref="A120:E120"/>
    <mergeCell ref="C128:D128"/>
    <mergeCell ref="A127:H127"/>
    <mergeCell ref="A125:E125"/>
    <mergeCell ref="F125:H125"/>
    <mergeCell ref="A126:E126"/>
    <mergeCell ref="F126:H126"/>
    <mergeCell ref="A129:B129"/>
    <mergeCell ref="F124:H124"/>
    <mergeCell ref="F122:H122"/>
    <mergeCell ref="F123:H123"/>
    <mergeCell ref="A316:H316"/>
    <mergeCell ref="C309:F309"/>
    <mergeCell ref="A224:H224"/>
    <mergeCell ref="B229:F230"/>
    <mergeCell ref="B256:F256"/>
    <mergeCell ref="A261:H261"/>
    <mergeCell ref="G243:H250"/>
    <mergeCell ref="A271:H271"/>
    <mergeCell ref="B330:H330"/>
    <mergeCell ref="G290:H297"/>
    <mergeCell ref="A142:B142"/>
    <mergeCell ref="C142:D142"/>
    <mergeCell ref="E142:F142"/>
    <mergeCell ref="G142:H142"/>
    <mergeCell ref="A212:H212"/>
    <mergeCell ref="G299:H306"/>
    <mergeCell ref="G308:H315"/>
    <mergeCell ref="A289:H289"/>
    <mergeCell ref="A298:H298"/>
    <mergeCell ref="A307:H307"/>
    <mergeCell ref="C144:C145"/>
    <mergeCell ref="G148:H161"/>
    <mergeCell ref="B163:B164"/>
    <mergeCell ref="A213:H213"/>
    <mergeCell ref="G263:H270"/>
    <mergeCell ref="G216:H223"/>
    <mergeCell ref="G186:H193"/>
    <mergeCell ref="A194:H194"/>
    <mergeCell ref="G195:H202"/>
    <mergeCell ref="A203:H203"/>
    <mergeCell ref="G204:H211"/>
    <mergeCell ref="A242:H242"/>
    <mergeCell ref="G225:H232"/>
    <mergeCell ref="A161:B161"/>
    <mergeCell ref="A162:H162"/>
    <mergeCell ref="G252:H259"/>
    <mergeCell ref="A233:H233"/>
    <mergeCell ref="E138:F138"/>
    <mergeCell ref="G138:H138"/>
    <mergeCell ref="A140:B140"/>
    <mergeCell ref="C140:D140"/>
    <mergeCell ref="E140:F140"/>
    <mergeCell ref="E139:F139"/>
    <mergeCell ref="G139:H139"/>
    <mergeCell ref="L136:M136"/>
    <mergeCell ref="L137:M137"/>
    <mergeCell ref="L138:M138"/>
    <mergeCell ref="A214:H214"/>
    <mergeCell ref="A215:H215"/>
    <mergeCell ref="L135:M135"/>
    <mergeCell ref="A106:B106"/>
    <mergeCell ref="F115:H115"/>
    <mergeCell ref="A115:E115"/>
    <mergeCell ref="D144:D145"/>
    <mergeCell ref="A117:E117"/>
    <mergeCell ref="A148:B148"/>
    <mergeCell ref="A149:B149"/>
    <mergeCell ref="A119:E119"/>
    <mergeCell ref="F119:H119"/>
    <mergeCell ref="A134:B134"/>
    <mergeCell ref="C134:D134"/>
    <mergeCell ref="E134:F134"/>
    <mergeCell ref="G134:H134"/>
    <mergeCell ref="G140:H140"/>
    <mergeCell ref="A107:B107"/>
    <mergeCell ref="A133:B133"/>
    <mergeCell ref="C133:D133"/>
    <mergeCell ref="E133:F133"/>
    <mergeCell ref="G133:H133"/>
    <mergeCell ref="A139:B139"/>
    <mergeCell ref="C139:D139"/>
    <mergeCell ref="A46:D46"/>
    <mergeCell ref="A146:H146"/>
    <mergeCell ref="F121:H121"/>
    <mergeCell ref="A123:E123"/>
    <mergeCell ref="C129:D129"/>
    <mergeCell ref="E129:F129"/>
    <mergeCell ref="A48:B48"/>
    <mergeCell ref="C48:H48"/>
    <mergeCell ref="A102:B102"/>
    <mergeCell ref="E102:F102"/>
    <mergeCell ref="G102:H102"/>
    <mergeCell ref="C52:H52"/>
    <mergeCell ref="A76:B76"/>
    <mergeCell ref="A77:B77"/>
    <mergeCell ref="A78:B78"/>
    <mergeCell ref="A79:B79"/>
    <mergeCell ref="A80:B80"/>
    <mergeCell ref="G103:H112"/>
    <mergeCell ref="A104:B104"/>
    <mergeCell ref="A105:B105"/>
    <mergeCell ref="A122:E122"/>
    <mergeCell ref="F116:H116"/>
    <mergeCell ref="A121:E121"/>
    <mergeCell ref="A137:H137"/>
    <mergeCell ref="A38:B38"/>
    <mergeCell ref="C38:H38"/>
    <mergeCell ref="A45:D45"/>
    <mergeCell ref="L134:M134"/>
    <mergeCell ref="L133:M133"/>
    <mergeCell ref="L132:M132"/>
    <mergeCell ref="L131:M131"/>
    <mergeCell ref="A96:B96"/>
    <mergeCell ref="F120:H120"/>
    <mergeCell ref="A114:E114"/>
    <mergeCell ref="A39:B39"/>
    <mergeCell ref="C39:H39"/>
    <mergeCell ref="A101:B101"/>
    <mergeCell ref="C101:H101"/>
    <mergeCell ref="A95:B95"/>
    <mergeCell ref="F114:H114"/>
    <mergeCell ref="A87:B87"/>
    <mergeCell ref="A85:B85"/>
    <mergeCell ref="A113:E113"/>
    <mergeCell ref="A70:C70"/>
    <mergeCell ref="D70:H70"/>
    <mergeCell ref="A75:B75"/>
    <mergeCell ref="E75:F84"/>
    <mergeCell ref="G75:H84"/>
    <mergeCell ref="A37:H37"/>
    <mergeCell ref="A36:B36"/>
    <mergeCell ref="C36:E36"/>
    <mergeCell ref="A41:D41"/>
    <mergeCell ref="A40:H40"/>
    <mergeCell ref="A64:C64"/>
    <mergeCell ref="A65:C65"/>
    <mergeCell ref="D64:H64"/>
    <mergeCell ref="E89:F98"/>
    <mergeCell ref="G89:H98"/>
    <mergeCell ref="A97:B97"/>
    <mergeCell ref="A98:B98"/>
    <mergeCell ref="D65:H65"/>
    <mergeCell ref="A43:D43"/>
    <mergeCell ref="E43:H43"/>
    <mergeCell ref="E44:H44"/>
    <mergeCell ref="E46:H46"/>
    <mergeCell ref="A44:D44"/>
    <mergeCell ref="F36:H36"/>
    <mergeCell ref="A47:H47"/>
    <mergeCell ref="C85:H85"/>
    <mergeCell ref="A93:B93"/>
    <mergeCell ref="A88:B88"/>
    <mergeCell ref="A91:B91"/>
    <mergeCell ref="E28:H28"/>
    <mergeCell ref="A25:D25"/>
    <mergeCell ref="E25:H25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A11:D11"/>
    <mergeCell ref="E11:H11"/>
    <mergeCell ref="A16:B16"/>
    <mergeCell ref="A13:D13"/>
    <mergeCell ref="A24:D24"/>
    <mergeCell ref="E24:H24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A22:D23"/>
    <mergeCell ref="E22:H23"/>
    <mergeCell ref="E14:H14"/>
    <mergeCell ref="A15:B15"/>
    <mergeCell ref="C15:H15"/>
    <mergeCell ref="C16:H16"/>
    <mergeCell ref="A17:B17"/>
    <mergeCell ref="C17:H17"/>
    <mergeCell ref="A12:D12"/>
    <mergeCell ref="E12:H12"/>
    <mergeCell ref="A68:C68"/>
    <mergeCell ref="D68:H68"/>
    <mergeCell ref="E13:H13"/>
    <mergeCell ref="A14:D14"/>
    <mergeCell ref="G54:H54"/>
    <mergeCell ref="C55:H55"/>
    <mergeCell ref="D67:H67"/>
    <mergeCell ref="G49:H49"/>
    <mergeCell ref="G51:H51"/>
    <mergeCell ref="C51:E51"/>
    <mergeCell ref="D62:H62"/>
    <mergeCell ref="D63:H63"/>
    <mergeCell ref="C50:E50"/>
    <mergeCell ref="A56:B56"/>
    <mergeCell ref="E26:H26"/>
    <mergeCell ref="A28:D28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G272:H279"/>
    <mergeCell ref="A10:D10"/>
    <mergeCell ref="F34:H34"/>
    <mergeCell ref="F33:H33"/>
    <mergeCell ref="E10:H10"/>
    <mergeCell ref="A334:H334"/>
    <mergeCell ref="A131:H131"/>
    <mergeCell ref="A337:H337"/>
    <mergeCell ref="A335:H335"/>
    <mergeCell ref="A331:H331"/>
    <mergeCell ref="A332:H332"/>
    <mergeCell ref="E132:F132"/>
    <mergeCell ref="B328:H328"/>
    <mergeCell ref="A163:A164"/>
    <mergeCell ref="G136:H136"/>
    <mergeCell ref="B322:H322"/>
    <mergeCell ref="B325:H325"/>
    <mergeCell ref="A280:H280"/>
    <mergeCell ref="B326:H326"/>
    <mergeCell ref="A141:B141"/>
    <mergeCell ref="C141:D141"/>
    <mergeCell ref="E141:F141"/>
    <mergeCell ref="G141:H141"/>
    <mergeCell ref="A157:B157"/>
    <mergeCell ref="A84:B84"/>
    <mergeCell ref="C53:E53"/>
    <mergeCell ref="A339:H342"/>
    <mergeCell ref="A338:B338"/>
    <mergeCell ref="E338:F338"/>
    <mergeCell ref="C338:D338"/>
    <mergeCell ref="G338:H338"/>
    <mergeCell ref="A66:C66"/>
    <mergeCell ref="D66:H66"/>
    <mergeCell ref="C87:H87"/>
    <mergeCell ref="A90:B90"/>
    <mergeCell ref="A92:B92"/>
    <mergeCell ref="E88:F88"/>
    <mergeCell ref="A67:C67"/>
    <mergeCell ref="B281:F282"/>
    <mergeCell ref="A153:B153"/>
    <mergeCell ref="A154:B154"/>
    <mergeCell ref="A155:B155"/>
    <mergeCell ref="B263:F263"/>
    <mergeCell ref="A251:H251"/>
    <mergeCell ref="G234:H241"/>
    <mergeCell ref="G281:H288"/>
    <mergeCell ref="B265:F265"/>
    <mergeCell ref="B269:F270"/>
    <mergeCell ref="G56:H56"/>
    <mergeCell ref="D60:H60"/>
    <mergeCell ref="A60:C60"/>
    <mergeCell ref="G50:H50"/>
    <mergeCell ref="A51:B52"/>
    <mergeCell ref="A58:C58"/>
    <mergeCell ref="D58:H58"/>
    <mergeCell ref="D61:H61"/>
    <mergeCell ref="A54:B55"/>
    <mergeCell ref="C54:E54"/>
    <mergeCell ref="E41:H41"/>
    <mergeCell ref="E45:H45"/>
    <mergeCell ref="A130:B130"/>
    <mergeCell ref="C130:D130"/>
    <mergeCell ref="E130:F130"/>
    <mergeCell ref="A74:B74"/>
    <mergeCell ref="E74:F74"/>
    <mergeCell ref="G74:H74"/>
    <mergeCell ref="F118:H118"/>
    <mergeCell ref="A118:E118"/>
    <mergeCell ref="A112:B112"/>
    <mergeCell ref="E42:H42"/>
    <mergeCell ref="A42:D42"/>
    <mergeCell ref="A99:B99"/>
    <mergeCell ref="C99:H99"/>
    <mergeCell ref="A94:B94"/>
    <mergeCell ref="A49:B49"/>
    <mergeCell ref="C49:E49"/>
    <mergeCell ref="A53:B53"/>
    <mergeCell ref="C56:E56"/>
    <mergeCell ref="A50:B50"/>
    <mergeCell ref="A57:H57"/>
    <mergeCell ref="A59:C59"/>
    <mergeCell ref="D59:H59"/>
    <mergeCell ref="A336:H336"/>
    <mergeCell ref="A333:H333"/>
    <mergeCell ref="A132:B132"/>
    <mergeCell ref="D163:D164"/>
    <mergeCell ref="E163:E164"/>
    <mergeCell ref="G163:H164"/>
    <mergeCell ref="B264:F264"/>
    <mergeCell ref="B323:H323"/>
    <mergeCell ref="A318:H318"/>
    <mergeCell ref="A262:H262"/>
    <mergeCell ref="B321:H321"/>
    <mergeCell ref="B319:H319"/>
    <mergeCell ref="B320:H320"/>
    <mergeCell ref="B144:B145"/>
    <mergeCell ref="A136:B136"/>
    <mergeCell ref="E136:F136"/>
    <mergeCell ref="B329:H329"/>
    <mergeCell ref="A135:B135"/>
    <mergeCell ref="A260:H260"/>
    <mergeCell ref="A147:H147"/>
    <mergeCell ref="E144:E145"/>
    <mergeCell ref="G144:H145"/>
    <mergeCell ref="B324:H324"/>
    <mergeCell ref="A156:B156"/>
    <mergeCell ref="B327:H327"/>
    <mergeCell ref="G168:H175"/>
    <mergeCell ref="B170:F170"/>
    <mergeCell ref="B186:F187"/>
    <mergeCell ref="B204:F204"/>
    <mergeCell ref="G177:H184"/>
    <mergeCell ref="A185:H185"/>
    <mergeCell ref="A317:H317"/>
    <mergeCell ref="G53:H53"/>
    <mergeCell ref="A69:C69"/>
    <mergeCell ref="D69:H69"/>
    <mergeCell ref="A89:B89"/>
    <mergeCell ref="G88:H88"/>
    <mergeCell ref="F113:H113"/>
    <mergeCell ref="A108:B108"/>
    <mergeCell ref="A109:B109"/>
    <mergeCell ref="A61:C63"/>
    <mergeCell ref="A71:B71"/>
    <mergeCell ref="C71:H71"/>
    <mergeCell ref="A73:B73"/>
    <mergeCell ref="C73:H73"/>
    <mergeCell ref="A81:B81"/>
    <mergeCell ref="A82:B82"/>
    <mergeCell ref="A83:B83"/>
    <mergeCell ref="L96:P98"/>
    <mergeCell ref="A176:H176"/>
    <mergeCell ref="A143:H143"/>
    <mergeCell ref="C136:D136"/>
    <mergeCell ref="A144:A145"/>
    <mergeCell ref="C163:C164"/>
    <mergeCell ref="A152:B152"/>
    <mergeCell ref="A151:B151"/>
    <mergeCell ref="A150:B150"/>
    <mergeCell ref="C135:D135"/>
    <mergeCell ref="E135:F135"/>
    <mergeCell ref="G135:H135"/>
    <mergeCell ref="A165:H165"/>
    <mergeCell ref="A166:H166"/>
    <mergeCell ref="A167:H167"/>
    <mergeCell ref="A159:B159"/>
    <mergeCell ref="A160:B160"/>
    <mergeCell ref="A158:B158"/>
    <mergeCell ref="A103:B103"/>
    <mergeCell ref="E103:F112"/>
    <mergeCell ref="A110:B110"/>
    <mergeCell ref="A111:B111"/>
    <mergeCell ref="A138:B138"/>
    <mergeCell ref="C138:D138"/>
  </mergeCells>
  <dataValidations count="8">
    <dataValidation type="list" allowBlank="1" showInputMessage="1" showErrorMessage="1" sqref="E4:H4">
      <formula1>"Axis Goregaon,Axis Thane,Axis Badlapur,Axis Sanpada, PNB Thane"</formula1>
    </dataValidation>
    <dataValidation type="list" allowBlank="1" showInputMessage="1" showErrorMessage="1" sqref="A16:B16">
      <formula1>"CTS No,Survey No,Plot No,Gut No,FP No,"</formula1>
    </dataValidation>
    <dataValidation type="list" allowBlank="1" showInputMessage="1" showErrorMessage="1" sqref="G19:H19">
      <formula1>"Mumbai,Thane,Palghar,Raigad,Pune"</formula1>
    </dataValidation>
    <dataValidation type="list" allowBlank="1" showInputMessage="1" showErrorMessage="1" sqref="E144:E145">
      <formula1>"Attached Loft area,Attached Terrace area,Attached Mezzanine area"</formula1>
    </dataValidation>
    <dataValidation type="list" allowBlank="1" showInputMessage="1" showErrorMessage="1" sqref="F145 F164">
      <formula1>"45%,50%,55%,60%"</formula1>
    </dataValidation>
    <dataValidation type="list" allowBlank="1" showInputMessage="1" showErrorMessage="1" sqref="G338:H338">
      <formula1>"Gaurav Panchal, Shruti Fule,Shruti Tathare,Pooja Kawale,Mansee Mohite,Anjali Kamble, Hitakshi Mhatre, Sachin Sawant,Pranita Mhatre"</formula1>
    </dataValidation>
    <dataValidation type="list" allowBlank="1" showInputMessage="1" showErrorMessage="1" sqref="F113:H113">
      <formula1>"On Saleable Area,On Builtup Area,On Carpet Area,On Plot Area"</formula1>
    </dataValidation>
    <dataValidation type="list" allowBlank="1" showInputMessage="1" showErrorMessage="1" sqref="F125:H125">
      <formula1>"100000,150000,200000,250000,300000,350000,400000,500000,600000,700000,800000,900000,1000000,1200000,1400000,1500000"</formula1>
    </dataValidation>
  </dataValidations>
  <hyperlinks>
    <hyperlink ref="I67" r:id="rId1"/>
    <hyperlink ref="C39" r:id="rId2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3"/>
  <headerFooter>
    <oddHeader>&amp;C&amp;G</oddHeader>
    <oddFooter>&amp;L&amp;"Times New Roman,Bold"&amp;12Ref No: &amp;F&amp;C&amp;G&amp;R&amp;"Times New Roman,Bold"&amp;12&amp;P</oddFooter>
  </headerFooter>
  <rowBreaks count="4" manualBreakCount="4">
    <brk id="98" max="7" man="1"/>
    <brk id="342" max="7" man="1"/>
    <brk id="384" max="7" man="1"/>
    <brk id="426" max="7" man="1"/>
  </rowBreaks>
  <drawing r:id="rId4"/>
  <legacyDrawing r:id="rId5"/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A37" zoomScale="85" zoomScaleNormal="85" workbookViewId="0">
      <selection activeCell="B15" sqref="B15"/>
    </sheetView>
  </sheetViews>
  <sheetFormatPr defaultColWidth="8.7265625" defaultRowHeight="14.5" x14ac:dyDescent="0.35"/>
  <cols>
    <col min="1" max="1" width="8.7265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259" t="s">
        <v>103</v>
      </c>
      <c r="C3" s="259"/>
      <c r="D3" s="259"/>
      <c r="E3" s="259"/>
      <c r="F3" s="259"/>
      <c r="G3" s="259"/>
      <c r="H3" s="259"/>
    </row>
    <row r="4" spans="1:9" x14ac:dyDescent="0.35">
      <c r="A4" s="2"/>
      <c r="B4" s="3" t="s">
        <v>104</v>
      </c>
      <c r="C4" s="3" t="s">
        <v>105</v>
      </c>
      <c r="D4" s="3" t="s">
        <v>67</v>
      </c>
      <c r="E4" s="3" t="s">
        <v>106</v>
      </c>
      <c r="F4" s="3" t="s">
        <v>112</v>
      </c>
      <c r="G4" s="3" t="s">
        <v>113</v>
      </c>
      <c r="H4" s="3" t="s">
        <v>107</v>
      </c>
    </row>
    <row r="5" spans="1:9" ht="15" customHeight="1" x14ac:dyDescent="0.35">
      <c r="A5" s="2"/>
      <c r="B5" s="5" t="s">
        <v>108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108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108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108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108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109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109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110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111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2025-05-19T13:05:08Z</cp:lastPrinted>
  <dcterms:created xsi:type="dcterms:W3CDTF">2019-07-16T09:29:46Z</dcterms:created>
  <dcterms:modified xsi:type="dcterms:W3CDTF">2025-08-19T14:09:42Z</dcterms:modified>
</cp:coreProperties>
</file>