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9-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Report!$A$1:$H$403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35" i="1" l="1"/>
  <c r="E181" i="1"/>
  <c r="D148" i="1" l="1"/>
  <c r="E243" i="1" l="1"/>
  <c r="E242" i="1"/>
  <c r="E238" i="1"/>
  <c r="E237" i="1"/>
  <c r="E233" i="1"/>
  <c r="E232" i="1"/>
  <c r="E229" i="1"/>
  <c r="E227" i="1"/>
  <c r="E228" i="1"/>
  <c r="E226" i="1"/>
  <c r="E225" i="1"/>
  <c r="E222" i="1"/>
  <c r="E221" i="1"/>
  <c r="E220" i="1"/>
  <c r="E219" i="1"/>
  <c r="E218" i="1"/>
  <c r="D222" i="1"/>
  <c r="D221" i="1"/>
  <c r="D220" i="1"/>
  <c r="D219" i="1"/>
  <c r="D218" i="1"/>
  <c r="E213" i="1"/>
  <c r="E214" i="1"/>
  <c r="E211" i="1"/>
  <c r="E212" i="1"/>
  <c r="D214" i="1"/>
  <c r="D213" i="1"/>
  <c r="D212" i="1"/>
  <c r="D211" i="1"/>
  <c r="D210" i="1"/>
  <c r="D209" i="1"/>
  <c r="E210" i="1"/>
  <c r="E209" i="1"/>
  <c r="E206" i="1"/>
  <c r="E207" i="1"/>
  <c r="E205" i="1"/>
  <c r="E204" i="1"/>
  <c r="E203" i="1" l="1"/>
  <c r="E202" i="1"/>
  <c r="D243" i="1"/>
  <c r="F243" i="1" s="1"/>
  <c r="H243" i="1" s="1"/>
  <c r="A243" i="1"/>
  <c r="A244" i="1" s="1"/>
  <c r="A245" i="1" s="1"/>
  <c r="D242" i="1"/>
  <c r="F242" i="1" s="1"/>
  <c r="H242" i="1" s="1"/>
  <c r="D238" i="1"/>
  <c r="F238" i="1" s="1"/>
  <c r="H238" i="1" s="1"/>
  <c r="A238" i="1"/>
  <c r="A239" i="1" s="1"/>
  <c r="A240" i="1" s="1"/>
  <c r="D237" i="1"/>
  <c r="F237" i="1" s="1"/>
  <c r="H237" i="1" s="1"/>
  <c r="D235" i="1"/>
  <c r="E234" i="1"/>
  <c r="D234" i="1"/>
  <c r="D233" i="1"/>
  <c r="F233" i="1" s="1"/>
  <c r="H233" i="1" s="1"/>
  <c r="A233" i="1"/>
  <c r="A234" i="1" s="1"/>
  <c r="A235" i="1" s="1"/>
  <c r="D232" i="1"/>
  <c r="F232" i="1" s="1"/>
  <c r="H232" i="1" s="1"/>
  <c r="D229" i="1"/>
  <c r="F229" i="1" s="1"/>
  <c r="H229" i="1" s="1"/>
  <c r="D228" i="1"/>
  <c r="F228" i="1" s="1"/>
  <c r="H228" i="1" s="1"/>
  <c r="D227" i="1"/>
  <c r="F227" i="1" s="1"/>
  <c r="H227" i="1" s="1"/>
  <c r="D226" i="1"/>
  <c r="F226" i="1" s="1"/>
  <c r="H226" i="1" s="1"/>
  <c r="A226" i="1"/>
  <c r="A227" i="1" s="1"/>
  <c r="A228" i="1" s="1"/>
  <c r="A229" i="1" s="1"/>
  <c r="A230" i="1" s="1"/>
  <c r="D225" i="1"/>
  <c r="F225" i="1" s="1"/>
  <c r="H225" i="1" s="1"/>
  <c r="F222" i="1"/>
  <c r="H222" i="1" s="1"/>
  <c r="F221" i="1"/>
  <c r="H221" i="1" s="1"/>
  <c r="F220" i="1"/>
  <c r="H220" i="1" s="1"/>
  <c r="F219" i="1"/>
  <c r="H219" i="1" s="1"/>
  <c r="A219" i="1"/>
  <c r="A220" i="1" s="1"/>
  <c r="A221" i="1" s="1"/>
  <c r="A222" i="1" s="1"/>
  <c r="F218" i="1"/>
  <c r="H218" i="1" s="1"/>
  <c r="F214" i="1"/>
  <c r="H214" i="1" s="1"/>
  <c r="F213" i="1"/>
  <c r="H213" i="1" s="1"/>
  <c r="F212" i="1"/>
  <c r="H212" i="1" s="1"/>
  <c r="F211" i="1"/>
  <c r="H211" i="1" s="1"/>
  <c r="F210" i="1"/>
  <c r="H210" i="1" s="1"/>
  <c r="A210" i="1"/>
  <c r="A211" i="1" s="1"/>
  <c r="A212" i="1" s="1"/>
  <c r="A213" i="1" s="1"/>
  <c r="F209" i="1"/>
  <c r="H209" i="1" s="1"/>
  <c r="D207" i="1"/>
  <c r="F207" i="1" s="1"/>
  <c r="H207" i="1" s="1"/>
  <c r="D206" i="1"/>
  <c r="F206" i="1" s="1"/>
  <c r="H206" i="1" s="1"/>
  <c r="D205" i="1"/>
  <c r="F205" i="1" s="1"/>
  <c r="H205" i="1" s="1"/>
  <c r="D204" i="1"/>
  <c r="F204" i="1" s="1"/>
  <c r="H204" i="1" s="1"/>
  <c r="D203" i="1"/>
  <c r="A203" i="1"/>
  <c r="A204" i="1" s="1"/>
  <c r="A205" i="1" s="1"/>
  <c r="A206" i="1" s="1"/>
  <c r="D202" i="1"/>
  <c r="F202" i="1" s="1"/>
  <c r="E184" i="1"/>
  <c r="E183" i="1"/>
  <c r="E178" i="1"/>
  <c r="E179" i="1"/>
  <c r="E189" i="1"/>
  <c r="E188" i="1"/>
  <c r="D179" i="1"/>
  <c r="D178" i="1"/>
  <c r="D189" i="1"/>
  <c r="D188" i="1"/>
  <c r="D184" i="1"/>
  <c r="D183" i="1"/>
  <c r="D172" i="1"/>
  <c r="D171" i="1"/>
  <c r="D165" i="1"/>
  <c r="D164" i="1"/>
  <c r="D158" i="1"/>
  <c r="D156" i="1"/>
  <c r="D155" i="1"/>
  <c r="D149" i="1"/>
  <c r="E180" i="1"/>
  <c r="D181" i="1"/>
  <c r="D180" i="1"/>
  <c r="L180" i="1"/>
  <c r="J181" i="1"/>
  <c r="I181" i="1"/>
  <c r="J180" i="1"/>
  <c r="F235" i="1" l="1"/>
  <c r="H235" i="1" s="1"/>
  <c r="H202" i="1"/>
  <c r="F234" i="1"/>
  <c r="H234" i="1" s="1"/>
  <c r="K181" i="1"/>
  <c r="F203" i="1"/>
  <c r="H203" i="1" s="1"/>
  <c r="I180" i="1"/>
  <c r="K180" i="1" s="1"/>
  <c r="E172" i="1"/>
  <c r="E171" i="1"/>
  <c r="E149" i="1"/>
  <c r="E148" i="1"/>
  <c r="E155" i="1"/>
  <c r="E156" i="1"/>
  <c r="E165" i="1"/>
  <c r="E164" i="1"/>
  <c r="E175" i="1"/>
  <c r="E174" i="1"/>
  <c r="E173" i="1"/>
  <c r="E166" i="1"/>
  <c r="E168" i="1"/>
  <c r="E167" i="1"/>
  <c r="E160" i="1"/>
  <c r="E153" i="1"/>
  <c r="E159" i="1"/>
  <c r="E152" i="1"/>
  <c r="E158" i="1"/>
  <c r="E157" i="1"/>
  <c r="E151" i="1"/>
  <c r="E150" i="1"/>
  <c r="D157" i="1"/>
  <c r="F184" i="1"/>
  <c r="H184" i="1" s="1"/>
  <c r="F183" i="1"/>
  <c r="H183" i="1" s="1"/>
  <c r="F181" i="1"/>
  <c r="H181" i="1" s="1"/>
  <c r="F180" i="1"/>
  <c r="H180" i="1" s="1"/>
  <c r="D175" i="1"/>
  <c r="D174" i="1"/>
  <c r="D173" i="1"/>
  <c r="D168" i="1"/>
  <c r="D167" i="1"/>
  <c r="D166" i="1"/>
  <c r="D160" i="1"/>
  <c r="D159" i="1"/>
  <c r="D153" i="1"/>
  <c r="D152" i="1"/>
  <c r="D151" i="1"/>
  <c r="F151" i="1" s="1"/>
  <c r="D150" i="1"/>
  <c r="A189" i="1"/>
  <c r="A190" i="1" s="1"/>
  <c r="A191" i="1" s="1"/>
  <c r="A184" i="1"/>
  <c r="A185" i="1" s="1"/>
  <c r="A186" i="1" s="1"/>
  <c r="A179" i="1"/>
  <c r="A180" i="1" s="1"/>
  <c r="A181" i="1" s="1"/>
  <c r="A172" i="1"/>
  <c r="A173" i="1" s="1"/>
  <c r="A165" i="1"/>
  <c r="A166" i="1" s="1"/>
  <c r="A167" i="1" s="1"/>
  <c r="A168" i="1" s="1"/>
  <c r="A156" i="1"/>
  <c r="A157" i="1" s="1"/>
  <c r="A158" i="1" s="1"/>
  <c r="A159" i="1" s="1"/>
  <c r="F166" i="1" l="1"/>
  <c r="H166" i="1" s="1"/>
  <c r="G122" i="1"/>
  <c r="E122" i="1"/>
  <c r="C122" i="1"/>
  <c r="F173" i="1"/>
  <c r="H173" i="1" s="1"/>
  <c r="F174" i="1"/>
  <c r="H174" i="1" s="1"/>
  <c r="F171" i="1"/>
  <c r="H171" i="1" s="1"/>
  <c r="F172" i="1"/>
  <c r="H172" i="1" s="1"/>
  <c r="F150" i="1"/>
  <c r="F149" i="1"/>
  <c r="F178" i="1"/>
  <c r="H178" i="1" s="1"/>
  <c r="F179" i="1"/>
  <c r="H179" i="1" s="1"/>
  <c r="F164" i="1"/>
  <c r="H164" i="1" s="1"/>
  <c r="F168" i="1"/>
  <c r="H168" i="1" s="1"/>
  <c r="F159" i="1"/>
  <c r="H159" i="1" s="1"/>
  <c r="F152" i="1"/>
  <c r="H152" i="1" s="1"/>
  <c r="F148" i="1"/>
  <c r="F188" i="1"/>
  <c r="H188" i="1" s="1"/>
  <c r="F153" i="1"/>
  <c r="F175" i="1"/>
  <c r="H175" i="1" s="1"/>
  <c r="F189" i="1"/>
  <c r="H189" i="1" s="1"/>
  <c r="F167" i="1"/>
  <c r="H167" i="1" s="1"/>
  <c r="F165" i="1"/>
  <c r="H165" i="1" s="1"/>
  <c r="A174" i="1"/>
  <c r="A175" i="1" s="1"/>
  <c r="A176" i="1" s="1"/>
  <c r="C73" i="1" l="1"/>
  <c r="G52" i="1"/>
  <c r="K44" i="1"/>
  <c r="K45" i="1" s="1"/>
  <c r="F131" i="1" l="1"/>
  <c r="H131" i="1" s="1"/>
  <c r="F132" i="1"/>
  <c r="H132" i="1" s="1"/>
  <c r="F133" i="1"/>
  <c r="H133" i="1" s="1"/>
  <c r="F130" i="1"/>
  <c r="H130" i="1" s="1"/>
  <c r="B248" i="1" l="1"/>
  <c r="G58" i="1" l="1"/>
  <c r="C58" i="1"/>
  <c r="G56" i="1"/>
  <c r="C56" i="1"/>
  <c r="C54" i="1"/>
  <c r="S33" i="1" l="1"/>
  <c r="F11" i="5" l="1"/>
  <c r="G11" i="5" s="1"/>
  <c r="F10" i="5"/>
  <c r="G10" i="5" s="1"/>
  <c r="F9" i="5"/>
  <c r="G9" i="5" s="1"/>
  <c r="F8" i="5"/>
  <c r="G8" i="5" s="1"/>
  <c r="F7" i="5"/>
  <c r="G7" i="5" s="1"/>
  <c r="F6" i="5"/>
  <c r="G6" i="5" s="1"/>
  <c r="F5" i="5"/>
  <c r="G5" i="5" s="1"/>
  <c r="G12" i="5" s="1"/>
  <c r="D272" i="1"/>
  <c r="B249" i="1"/>
  <c r="F160" i="1"/>
  <c r="H160" i="1" s="1"/>
  <c r="F158" i="1"/>
  <c r="H158" i="1" s="1"/>
  <c r="F157" i="1"/>
  <c r="H157" i="1" s="1"/>
  <c r="F156" i="1"/>
  <c r="H156" i="1" s="1"/>
  <c r="F155" i="1"/>
  <c r="H153" i="1"/>
  <c r="H151" i="1"/>
  <c r="H150" i="1"/>
  <c r="H149" i="1"/>
  <c r="A149" i="1"/>
  <c r="A150" i="1" s="1"/>
  <c r="A151" i="1" s="1"/>
  <c r="A152" i="1" s="1"/>
  <c r="H148" i="1"/>
  <c r="K148" i="1" s="1"/>
  <c r="A131" i="1"/>
  <c r="A132" i="1" s="1"/>
  <c r="A133" i="1" s="1"/>
  <c r="F113" i="1"/>
  <c r="C87" i="1"/>
  <c r="D62" i="1"/>
  <c r="C52" i="1"/>
  <c r="E31" i="1"/>
  <c r="E28" i="1"/>
  <c r="E26" i="1"/>
  <c r="C16" i="1"/>
  <c r="I15" i="1"/>
  <c r="Z13" i="1"/>
  <c r="E8" i="1"/>
  <c r="E3" i="1"/>
  <c r="D67" i="1" s="1"/>
  <c r="H74" i="1"/>
  <c r="H88" i="1"/>
  <c r="H155" i="1" l="1"/>
  <c r="G121" i="1" s="1"/>
  <c r="G123" i="1" s="1"/>
  <c r="G124" i="1" s="1"/>
  <c r="C121" i="1"/>
  <c r="E121" i="1"/>
  <c r="E123" i="1" s="1"/>
  <c r="E124" i="1" s="1"/>
  <c r="J73" i="1"/>
  <c r="J75" i="1" s="1"/>
  <c r="J76" i="1"/>
  <c r="J77" i="1"/>
  <c r="J78" i="1"/>
  <c r="C77" i="1" s="1"/>
  <c r="D81" i="1"/>
  <c r="D83" i="1"/>
  <c r="D82" i="1"/>
  <c r="D86" i="1"/>
  <c r="D80" i="1"/>
  <c r="D85" i="1"/>
  <c r="D79" i="1"/>
  <c r="D84" i="1"/>
  <c r="C93" i="1"/>
  <c r="J87" i="1" s="1"/>
  <c r="J89" i="1" s="1"/>
  <c r="D96" i="1"/>
  <c r="D98" i="1"/>
  <c r="J92" i="1"/>
  <c r="C91" i="1" s="1"/>
  <c r="D91" i="1" s="1"/>
  <c r="D97" i="1"/>
  <c r="J91" i="1"/>
  <c r="D95" i="1"/>
  <c r="J90" i="1"/>
  <c r="D94" i="1"/>
  <c r="D100" i="1"/>
  <c r="D99" i="1"/>
  <c r="B88" i="1"/>
  <c r="B74" i="1"/>
  <c r="J79" i="1" s="1"/>
  <c r="C123" i="1" l="1"/>
  <c r="C124" i="1" s="1"/>
  <c r="D77" i="1"/>
  <c r="D93" i="1"/>
  <c r="J98" i="1"/>
  <c r="J95" i="1"/>
  <c r="J97" i="1"/>
  <c r="J96" i="1"/>
  <c r="J93" i="1"/>
  <c r="J94" i="1" s="1"/>
  <c r="J99" i="1" s="1"/>
  <c r="J100" i="1" s="1"/>
  <c r="C92" i="1" s="1"/>
  <c r="J83" i="1"/>
  <c r="J81" i="1"/>
  <c r="J82" i="1"/>
  <c r="J80" i="1"/>
  <c r="J85" i="1" s="1"/>
  <c r="J86" i="1" s="1"/>
  <c r="C78" i="1" s="1"/>
  <c r="J84" i="1"/>
  <c r="J74" i="1" l="1"/>
  <c r="E91" i="1"/>
  <c r="D92" i="1"/>
  <c r="I88" i="1" s="1"/>
  <c r="J88" i="1"/>
  <c r="G91" i="1"/>
  <c r="E77" i="1"/>
  <c r="D78" i="1"/>
  <c r="I74" i="1" s="1"/>
  <c r="G77" i="1"/>
  <c r="D71" i="1" s="1"/>
  <c r="F72" i="1" l="1"/>
  <c r="D72" i="1"/>
  <c r="I89" i="1"/>
  <c r="I87" i="1" s="1"/>
  <c r="C89" i="1" s="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6"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6"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<sst xmlns="http://schemas.openxmlformats.org/spreadsheetml/2006/main" count="670" uniqueCount="367">
  <si>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</si>
  <si>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</si>
  <si>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</si>
  <si>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</si>
  <si>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</si>
  <si>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</si>
  <si>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</si>
  <si>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</si>
  <si>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</si>
  <si>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</si>
  <si>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</si>
  <si>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</si>
  <si>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</si>
  <si>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</si>
  <si>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</si>
  <si>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</si>
  <si>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</si>
  <si>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</si>
  <si>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</si>
  <si>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</si>
  <si>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</si>
  <si>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</si>
  <si>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</si>
  <si>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</si>
  <si>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</si>
  <si>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</si>
  <si>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</si>
  <si>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</si>
  <si>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</si>
  <si>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</si>
  <si>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</si>
  <si>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</si>
  <si>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</si>
  <si>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</si>
  <si>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</si>
  <si>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</si>
  <si>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</si>
  <si>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</si>
  <si>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</si>
  <si>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</si>
  <si>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</si>
  <si>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</si>
  <si>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</si>
  <si>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</si>
  <si>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</si>
  <si>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</si>
  <si>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</si>
  <si>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</si>
  <si>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</si>
  <si>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</si>
  <si>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</si>
  <si>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</si>
  <si>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</si>
  <si>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</si>
  <si>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</si>
  <si>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</si>
  <si>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</si>
  <si>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</si>
  <si>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</si>
  <si>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</si>
  <si>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</si>
  <si>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</si>
  <si>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</si>
  <si>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</si>
  <si>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</si>
  <si>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</si>
  <si>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</si>
  <si>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</si>
  <si>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</si>
  <si>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</si>
  <si>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</si>
  <si>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</si>
  <si>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</si>
  <si>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</si>
  <si>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</si>
  <si>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</si>
  <si>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</si>
  <si>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</si>
  <si>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</si>
  <si>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</si>
  <si>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</si>
  <si>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</si>
  <si>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</si>
  <si>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</si>
  <si>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</si>
  <si>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</si>
  <si>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</si>
  <si>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</si>
  <si>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</si>
  <si>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</si>
  <si>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</si>
  <si>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</si>
  <si>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</si>
  <si>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</si>
  <si>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</si>
  <si>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</si>
  <si>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</si>
  <si>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</si>
  <si>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</si>
  <si>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</si>
  <si>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</si>
  <si>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</si>
  <si>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</si>
  <si>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</si>
  <si>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</si>
  <si>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</si>
  <si>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</si>
  <si>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</si>
  <si>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</si>
  <si>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</si>
  <si>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</si>
  <si>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</si>
  <si>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</si>
  <si>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</si>
  <si>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</si>
  <si>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</si>
  <si>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</si>
  <si>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</si>
  <si>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</si>
  <si>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</si>
  <si>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</si>
  <si>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</si>
  <si>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</si>
  <si>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</si>
  <si>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</si>
  <si>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</si>
  <si>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</si>
  <si>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</si>
  <si>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</si>
  <si>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</si>
  <si>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</si>
  <si>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</si>
  <si>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</si>
  <si>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</si>
  <si>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</si>
  <si>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</si>
  <si>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</si>
  <si>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</si>
  <si>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</si>
  <si>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</si>
  <si>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</si>
  <si>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</si>
  <si>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</si>
  <si>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</si>
  <si>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</si>
  <si>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</si>
  <si>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</si>
  <si>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</si>
  <si>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</si>
  <si>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</si>
  <si>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</si>
  <si>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</si>
  <si>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</si>
  <si>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</si>
  <si>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</si>
  <si>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</si>
  <si>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</si>
  <si>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</si>
  <si>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</si>
  <si>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</si>
  <si>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</si>
  <si>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</si>
  <si>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</si>
  <si>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</si>
  <si>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</si>
  <si>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</si>
  <si>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</si>
  <si>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</si>
  <si>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</si>
  <si>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</si>
  <si>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</si>
  <si>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</si>
  <si>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</si>
  <si>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</si>
  <si>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</si>
  <si>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</si>
  <si>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</si>
  <si>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</si>
  <si>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</si>
  <si>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</si>
  <si>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</si>
  <si>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</si>
  <si>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</si>
  <si>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</si>
  <si>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</si>
  <si>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</si>
  <si>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</si>
  <si>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</si>
  <si>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</si>
  <si>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</si>
  <si>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</si>
  <si>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</si>
  <si>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</si>
  <si>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</si>
  <si>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</si>
  <si>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</si>
  <si>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</si>
  <si>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</si>
  <si>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</si>
  <si>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</si>
  <si>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</si>
  <si>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</si>
  <si>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</si>
  <si>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</si>
  <si>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</si>
  <si>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</si>
  <si>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</si>
  <si>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</si>
  <si>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</si>
  <si>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</si>
  <si>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</si>
  <si>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</si>
  <si>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</si>
  <si>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</si>
  <si>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</si>
  <si>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</si>
  <si>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</si>
  <si>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</si>
  <si>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</si>
  <si>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</si>
  <si>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</si>
  <si>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</si>
  <si>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</si>
  <si>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</si>
  <si>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</si>
  <si>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</si>
  <si>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</si>
  <si>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</si>
  <si>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</si>
  <si>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</si>
  <si>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</si>
  <si>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</si>
  <si>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</si>
  <si>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</si>
  <si>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</si>
  <si>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</si>
  <si>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</si>
  <si>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</si>
  <si>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</si>
  <si>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</si>
  <si>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</si>
  <si>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</si>
  <si>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</si>
  <si>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</si>
  <si>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</si>
  <si>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</si>
  <si>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</si>
  <si>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</si>
  <si>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</si>
  <si>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</si>
  <si>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</si>
  <si>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</si>
  <si>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</si>
  <si>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</si>
  <si>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</si>
  <si>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</si>
  <si>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</si>
  <si>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</si>
  <si>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</si>
  <si>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</si>
  <si>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</si>
  <si>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</si>
  <si>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</si>
  <si>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</si>
  <si>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</si>
  <si>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</si>
  <si>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</si>
  <si>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</si>
  <si>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</si>
  <si>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</si>
  <si>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</si>
  <si>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</si>
  <si>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</si>
  <si>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</si>
  <si>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</si>
  <si>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</si>
  <si>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</si>
  <si>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</si>
  <si>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</si>
  <si>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</si>
  <si>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</si>
  <si>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</si>
  <si>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</si>
  <si>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</si>
  <si>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</si>
  <si>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</si>
  <si>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</si>
  <si>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</si>
  <si>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</si>
  <si>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</si>
  <si>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</si>
  <si>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</si>
  <si>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 xml:space="preserve">Prestige Mulund Realty Private Limited </t>
  </si>
  <si>
    <t>Siesta</t>
  </si>
  <si>
    <t>Sector V - Building No.4 (Wing A &amp; B)</t>
  </si>
  <si>
    <t>P51800005285</t>
  </si>
  <si>
    <t>19/1 to 19/13</t>
  </si>
  <si>
    <t>Mulund</t>
  </si>
  <si>
    <t>Veena Nagar</t>
  </si>
  <si>
    <t>Agrawal Road</t>
  </si>
  <si>
    <t>Mulund West</t>
  </si>
  <si>
    <t>19.184000,72.942556</t>
  </si>
  <si>
    <t>https://maps.app.goo.gl/8nDPh7LfE4y59DJv9</t>
  </si>
  <si>
    <t>2.7 KM from Mulund Railway Station</t>
  </si>
  <si>
    <t>Yogi Hills CHS</t>
  </si>
  <si>
    <t>Gobind Udyog
Bhawan Industrial
Estate / Internal Road</t>
  </si>
  <si>
    <t>Internal Road</t>
  </si>
  <si>
    <t>Agarwal Road</t>
  </si>
  <si>
    <t>Bellenza</t>
  </si>
  <si>
    <t>Open Plot</t>
  </si>
  <si>
    <t>Agarwal Holding</t>
  </si>
  <si>
    <t>27.45 M Wide D.P Road</t>
  </si>
  <si>
    <t>02 Wings</t>
  </si>
  <si>
    <t>SRA/DDTP/0524/T/PL/AP</t>
  </si>
  <si>
    <t xml:space="preserve">This further CC is re -endorsed as per approved approved amended plans dated 21/11/2022.
</t>
  </si>
  <si>
    <t>Wing A &amp; B  = B + Gr + P1 to P9 + 10th &amp; 11th Eco-Deck + 12th Service Floor + 13th to 54th Floor</t>
  </si>
  <si>
    <t>Sector V- Building No. 4</t>
  </si>
  <si>
    <t>Wing A</t>
  </si>
  <si>
    <t>Basement Floor For Parking</t>
  </si>
  <si>
    <t>Ground Floor For Parking &amp; Meter Room</t>
  </si>
  <si>
    <t>1st Podium Floor For Parking</t>
  </si>
  <si>
    <t>2nd to 9th Podium Floor For Parking</t>
  </si>
  <si>
    <t>11th E-Level Upper Level Floor For Activity Area, Gymnasium, Multipurpose Hall, Lounge, Garden</t>
  </si>
  <si>
    <t>Tranfer Girder Floor Inbetween 11th E- Level Floor &amp; 12th Service Floor</t>
  </si>
  <si>
    <t>12th Floor For Service Floor</t>
  </si>
  <si>
    <t>13th, 15th, 17th, 19th, 23rd, 25th, 27th, 29th, 31st, 33rd, 36th, 38th, 40th, 44th, 46th, 48th, 50th Floor For Residential</t>
  </si>
  <si>
    <t>16th, 18th, 20th, 22nd, 24th, 26th, 30th, 32nd, 34th, 37th, 39th, 41st, 43rd, 45th, 47th &amp; 51st Floor</t>
  </si>
  <si>
    <t>Fire Check Floor Inbetween 18th &amp; 19th Floor &amp; 37th &amp; 38th</t>
  </si>
  <si>
    <t>35th Floor For Part Refuge Area &amp; Service Area</t>
  </si>
  <si>
    <t>14th, 28th &amp; 49th Floor (Part Refuge Area)</t>
  </si>
  <si>
    <t>21st &amp; 42th Floor (Part Refuge Area)</t>
  </si>
  <si>
    <t>52nd Floor</t>
  </si>
  <si>
    <t>53rd Floor</t>
  </si>
  <si>
    <t>54th Floor</t>
  </si>
  <si>
    <t>2BHK</t>
  </si>
  <si>
    <t>2.5BHK</t>
  </si>
  <si>
    <t>Refuge Area</t>
  </si>
  <si>
    <t>8BHK + MP Room Triplex With 53rd &amp; 54th Floor</t>
  </si>
  <si>
    <t xml:space="preserve"> Triplex With 52nd &amp; 54th Floor</t>
  </si>
  <si>
    <t xml:space="preserve"> Triplex With 52nd &amp; 53rd Floor</t>
  </si>
  <si>
    <t>Wing B</t>
  </si>
  <si>
    <t>ELEV. Proj.</t>
  </si>
  <si>
    <t>Carpet area
+
Enclosed Balcony</t>
  </si>
  <si>
    <t xml:space="preserve">Details of Residential in Building   </t>
  </si>
  <si>
    <t>Building No. 4</t>
  </si>
  <si>
    <t>Not Provided</t>
  </si>
  <si>
    <t>Flats - 462</t>
  </si>
  <si>
    <r>
      <t xml:space="preserve">Proposed Amenities :                                                                                                                                                                                                                         </t>
    </r>
    <r>
      <rPr>
        <b/>
        <sz val="12"/>
        <rFont val="Times New Roman"/>
        <family val="1"/>
      </rPr>
      <t xml:space="preserve">                                               </t>
    </r>
  </si>
  <si>
    <t>Jogging Track, Cafeteria, Entrance Lobby, Card Room, Party Lawn, Cigar Lounge, Chess Board, Billiards/Snooker Table, Amphitheater, Sewage Treatment Plant, 24X7 Water Supply, Fire Fighting System, Water Conservation, Rain water Harvesting, Car Parking, Club House, Indoor Games, Children's Play Area, Spa/Sauna/Steam, Storm Water Drains, Solid Waste Management And Disposal, Landscaping &amp; Tree Planting
Energy management, Meter Room, Staff Quarter, Maintenance Staff, Squash Court, 24x7 Security, Gymnasium, Power Backup, Lift(s), Swimming Pool etc.</t>
  </si>
  <si>
    <t>https://housing.com/in/buy/projects/page/5626-prestige-siesta-by-prestige-groups-in-mulund-west</t>
  </si>
  <si>
    <t>We considered Gross carpet area = Net carpet + Enclose Balcony + ELEV. Proj.</t>
  </si>
  <si>
    <t xml:space="preserve">Since Project's Builtup Area is above 20000 Sq.M. Please check for Environment Clearance Certificate.
</t>
  </si>
  <si>
    <t xml:space="preserve">Please provide Area statement sheet.
</t>
  </si>
  <si>
    <t>Tranfer Girder Floor Inbetween 11th E-Level Floor &amp; 12th Service Floor</t>
  </si>
  <si>
    <t>Total Approved Builtup area of the Building No.4
(Sq.Mt)</t>
  </si>
  <si>
    <t xml:space="preserve">Nainesh Tambe </t>
  </si>
  <si>
    <r>
      <t>10th E-Level Lower Level Floor For Indoor Swimming Pool, Jaccuzi, Library, Clubhouse,</t>
    </r>
    <r>
      <rPr>
        <b/>
        <sz val="12"/>
        <color indexed="8"/>
        <rFont val="Times New Roman"/>
        <family val="1"/>
      </rPr>
      <t xml:space="preserve"> Kids Play Area &amp; Wellness Facility </t>
    </r>
  </si>
  <si>
    <t>Miss. Sayali (CRM) : 9359530990</t>
  </si>
  <si>
    <t>Miss. Sayali 9359530990</t>
  </si>
  <si>
    <t>Pooja Kawale</t>
  </si>
  <si>
    <t>13500 08/02/2024 sanjay sir</t>
  </si>
  <si>
    <t>Floor Rise Rate from 12th Floor</t>
  </si>
  <si>
    <t>LUC Charges</t>
  </si>
  <si>
    <t>All work Completed. OC Received.
OC for Basement floor is pending.</t>
  </si>
  <si>
    <t>We have updated OC (On 25/09/2025).</t>
  </si>
  <si>
    <t>Completed</t>
  </si>
  <si>
    <t>SRA/DDTP/0524/T/PL/AP
Approved upto : Building No.4 (Wing A &amp; B) = Gr/St + 1st to 54th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</si>
</sst>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4">
    <fill>
      <patternFill patternType="none"/>
    </fill>
    <fill>
      <patternFill patternType="gray125"/>
    </fill>
    <fill>
      <patternFill patternType="solid">
        <fgColor rgb="FFFFFF00"/>
        <bgColor indexed="64"/>
      </patternFill>
    </fill>
    <fill>
      <patternFill patternType="solid">
        <fgColor rgb="FFFEF2E8"/>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3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9" fontId="17" fillId="0" borderId="15"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1" fontId="6" fillId="0" borderId="1" xfId="1" applyNumberFormat="1" applyFont="1" applyFill="1" applyBorder="1" applyAlignment="1">
      <alignment horizontal="center" vertical="center" wrapText="1"/>
    </xf>
    <xf numFmtId="1" fontId="6" fillId="3" borderId="0" xfId="1" applyNumberFormat="1" applyFont="1" applyFill="1" applyBorder="1" applyAlignment="1">
      <alignment horizontal="center" vertical="center" wrapText="1"/>
    </xf>
    <xf numFmtId="1" fontId="6" fillId="0" borderId="0" xfId="1" applyNumberFormat="1" applyFont="1" applyFill="1" applyBorder="1" applyAlignment="1">
      <alignment horizontal="center" vertical="center" wrapText="1"/>
    </xf>
    <xf numFmtId="9" fontId="13" fillId="0" borderId="15" xfId="8" applyFont="1" applyFill="1" applyBorder="1" applyAlignment="1" applyProtection="1">
      <alignment horizontal="center" vertical="top" wrapText="1"/>
      <protection locked="0"/>
    </xf>
    <xf numFmtId="0" fontId="27" fillId="0" borderId="0" xfId="10"/>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25" fillId="2" borderId="14" xfId="0" applyFont="1" applyFill="1" applyBorder="1"/>
    <xf numFmtId="1" fontId="6" fillId="0" borderId="1" xfId="0"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7" xfId="1" applyNumberFormat="1" applyFont="1" applyFill="1" applyBorder="1" applyAlignment="1">
      <alignment horizontal="center" vertical="center" wrapText="1"/>
    </xf>
    <xf numFmtId="1" fontId="6" fillId="0" borderId="20" xfId="1" applyNumberFormat="1" applyFont="1" applyFill="1" applyBorder="1" applyAlignment="1">
      <alignment horizontal="center" vertical="center" wrapText="1"/>
    </xf>
    <xf numFmtId="1" fontId="6" fillId="0" borderId="8" xfId="1" applyNumberFormat="1" applyFont="1" applyFill="1" applyBorder="1" applyAlignment="1">
      <alignment horizontal="center" vertical="center" wrapText="1"/>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7" fillId="0" borderId="24"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164" fontId="12"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13" fillId="0" borderId="2" xfId="1" applyNumberFormat="1" applyFont="1" applyBorder="1" applyAlignment="1" applyProtection="1">
      <alignment horizontal="center" vertical="top" wrapText="1"/>
      <protection locked="0"/>
    </xf>
    <xf numFmtId="1" fontId="13" fillId="0" borderId="15" xfId="1"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center"/>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0" fontId="10" fillId="0" borderId="32" xfId="0"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vertical="top" wrapText="1"/>
      <protection locked="0"/>
    </xf>
    <xf numFmtId="0" fontId="8" fillId="0" borderId="1" xfId="1" applyFont="1" applyBorder="1" applyAlignment="1" applyProtection="1">
      <alignment horizontal="center" vertical="top"/>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14" fontId="13"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vertical="top"/>
      <protection locked="0"/>
    </xf>
    <xf numFmtId="0" fontId="13" fillId="0" borderId="3" xfId="1" applyFont="1" applyBorder="1" applyAlignment="1" applyProtection="1">
      <alignment horizontal="left" vertical="top"/>
      <protection locked="0"/>
    </xf>
    <xf numFmtId="0" fontId="12" fillId="0" borderId="1" xfId="1" applyFont="1" applyBorder="1" applyAlignment="1" applyProtection="1">
      <alignment horizontal="center" vertical="center"/>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2" fillId="0" borderId="1" xfId="1" applyFont="1" applyBorder="1" applyAlignment="1" applyProtection="1">
      <alignment horizontal="center" vertical="center" wrapText="1"/>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Border="1" applyAlignment="1" applyProtection="1">
      <alignment horizontal="left" vertical="top"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2" fontId="12"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10" fillId="0" borderId="4" xfId="1" applyFont="1" applyBorder="1" applyAlignment="1" applyProtection="1">
      <alignment horizontal="left" vertical="top" wrapText="1"/>
      <protection locked="0"/>
    </xf>
    <xf numFmtId="0" fontId="7" fillId="0" borderId="0" xfId="1" applyFont="1" applyAlignment="1">
      <alignment horizontal="center" vertical="center"/>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0" fontId="12" fillId="0" borderId="17"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8" fillId="0" borderId="15" xfId="1" applyFont="1" applyBorder="1" applyAlignment="1" applyProtection="1">
      <alignment horizontal="center" vertical="top"/>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8" fillId="0" borderId="15" xfId="1" applyFont="1" applyBorder="1" applyAlignment="1" applyProtection="1">
      <alignment horizontal="left" vertical="top"/>
      <protection locked="0"/>
    </xf>
    <xf numFmtId="1" fontId="8" fillId="0" borderId="2"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6" fillId="0" borderId="2" xfId="0" applyNumberFormat="1" applyFont="1" applyBorder="1" applyAlignment="1" applyProtection="1">
      <alignment horizontal="center" vertical="center" wrapText="1"/>
      <protection locked="0"/>
    </xf>
    <xf numFmtId="1" fontId="6" fillId="0" borderId="15"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9" fillId="0" borderId="1" xfId="5" applyFont="1" applyBorder="1" applyAlignment="1">
      <alignment horizontal="left"/>
    </xf>
    <xf numFmtId="14" fontId="8" fillId="0" borderId="7" xfId="1" applyNumberFormat="1" applyFont="1" applyBorder="1" applyAlignment="1" applyProtection="1">
      <alignment horizontal="left"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694083</xdr:colOff>
      <xdr:row>9</xdr:row>
      <xdr:rowOff>30231</xdr:rowOff>
    </xdr:from>
    <xdr:to>
      <xdr:col>18</xdr:col>
      <xdr:colOff>53621</xdr:colOff>
      <xdr:row>18</xdr:row>
      <xdr:rowOff>99655</xdr:rowOff>
    </xdr:to>
    <xdr:pic>
      <xdr:nvPicPr>
        <xdr:cNvPr id="2" name="Picture 1"/>
        <xdr:cNvPicPr>
          <a:picLocks noChangeAspect="1"/>
        </xdr:cNvPicPr>
      </xdr:nvPicPr>
      <xdr:blipFill>
        <a:blip xmlns:r="http://schemas.openxmlformats.org/officeDocument/2006/relationships" r:embed="rId1"/>
        <a:stretch>
          <a:fillRect/>
        </a:stretch>
      </xdr:blipFill>
      <xdr:spPr>
        <a:xfrm>
          <a:off x="7013713" y="2200274"/>
          <a:ext cx="7352256" cy="1883316"/>
        </a:xfrm>
        <a:prstGeom prst="rect">
          <a:avLst/>
        </a:prstGeom>
      </xdr:spPr>
    </xdr:pic>
    <xdr:clientData/>
  </xdr:twoCellAnchor>
  <xdr:twoCellAnchor editAs="oneCell">
    <xdr:from>
      <xdr:col>0</xdr:col>
      <xdr:colOff>415635</xdr:colOff>
      <xdr:row>317</xdr:row>
      <xdr:rowOff>86591</xdr:rowOff>
    </xdr:from>
    <xdr:to>
      <xdr:col>7</xdr:col>
      <xdr:colOff>304464</xdr:colOff>
      <xdr:row>352</xdr:row>
      <xdr:rowOff>12955</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25"/>
        <a:stretch/>
      </xdr:blipFill>
      <xdr:spPr>
        <a:xfrm rot="5400000">
          <a:off x="-356203" y="57002351"/>
          <a:ext cx="7010583" cy="5466907"/>
        </a:xfrm>
        <a:prstGeom prst="rect">
          <a:avLst/>
        </a:prstGeom>
        <a:ln w="9525">
          <a:solidFill>
            <a:schemeClr val="tx1"/>
          </a:solidFill>
        </a:ln>
      </xdr:spPr>
    </xdr:pic>
    <xdr:clientData/>
  </xdr:twoCellAnchor>
  <xdr:twoCellAnchor>
    <xdr:from>
      <xdr:col>4</xdr:col>
      <xdr:colOff>270688</xdr:colOff>
      <xdr:row>334</xdr:row>
      <xdr:rowOff>88404</xdr:rowOff>
    </xdr:from>
    <xdr:to>
      <xdr:col>4</xdr:col>
      <xdr:colOff>736898</xdr:colOff>
      <xdr:row>337</xdr:row>
      <xdr:rowOff>22547</xdr:rowOff>
    </xdr:to>
    <xdr:sp macro="" textlink="">
      <xdr:nvSpPr>
        <xdr:cNvPr id="5" name="Rectangle 4"/>
        <xdr:cNvSpPr/>
      </xdr:nvSpPr>
      <xdr:spPr>
        <a:xfrm rot="948293">
          <a:off x="3592532" y="59673232"/>
          <a:ext cx="466210" cy="541362"/>
        </a:xfrm>
        <a:prstGeom prst="rect">
          <a:avLst/>
        </a:prstGeom>
        <a:noFill/>
        <a:ln w="19050">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C00000"/>
            </a:solidFill>
          </a:endParaRPr>
        </a:p>
      </xdr:txBody>
    </xdr:sp>
    <xdr:clientData/>
  </xdr:twoCellAnchor>
  <xdr:twoCellAnchor editAs="oneCell">
    <xdr:from>
      <xdr:col>0</xdr:col>
      <xdr:colOff>294409</xdr:colOff>
      <xdr:row>377</xdr:row>
      <xdr:rowOff>153127</xdr:rowOff>
    </xdr:from>
    <xdr:to>
      <xdr:col>7</xdr:col>
      <xdr:colOff>117954</xdr:colOff>
      <xdr:row>396</xdr:row>
      <xdr:rowOff>149577</xdr:rowOff>
    </xdr:to>
    <xdr:pic>
      <xdr:nvPicPr>
        <xdr:cNvPr id="6" name="Picture 5"/>
        <xdr:cNvPicPr>
          <a:picLocks noChangeAspect="1"/>
        </xdr:cNvPicPr>
      </xdr:nvPicPr>
      <xdr:blipFill rotWithShape="1">
        <a:blip xmlns:r="http://schemas.openxmlformats.org/officeDocument/2006/relationships" r:embed="rId3"/>
        <a:srcRect l="4999" b="2861"/>
        <a:stretch/>
      </xdr:blipFill>
      <xdr:spPr>
        <a:xfrm>
          <a:off x="294409" y="70776672"/>
          <a:ext cx="5400000" cy="3944995"/>
        </a:xfrm>
        <a:prstGeom prst="rect">
          <a:avLst/>
        </a:prstGeom>
        <a:ln w="9525">
          <a:solidFill>
            <a:schemeClr val="tx1"/>
          </a:solidFill>
        </a:ln>
      </xdr:spPr>
    </xdr:pic>
    <xdr:clientData/>
  </xdr:twoCellAnchor>
  <xdr:twoCellAnchor editAs="oneCell">
    <xdr:from>
      <xdr:col>0</xdr:col>
      <xdr:colOff>654409</xdr:colOff>
      <xdr:row>361</xdr:row>
      <xdr:rowOff>34636</xdr:rowOff>
    </xdr:from>
    <xdr:to>
      <xdr:col>6</xdr:col>
      <xdr:colOff>485318</xdr:colOff>
      <xdr:row>376</xdr:row>
      <xdr:rowOff>140910</xdr:rowOff>
    </xdr:to>
    <xdr:pic>
      <xdr:nvPicPr>
        <xdr:cNvPr id="7" name="Picture 6"/>
        <xdr:cNvPicPr>
          <a:picLocks noChangeAspect="1"/>
        </xdr:cNvPicPr>
      </xdr:nvPicPr>
      <xdr:blipFill rotWithShape="1">
        <a:blip xmlns:r="http://schemas.openxmlformats.org/officeDocument/2006/relationships" r:embed="rId4"/>
        <a:srcRect t="14791" r="6480"/>
        <a:stretch/>
      </xdr:blipFill>
      <xdr:spPr>
        <a:xfrm>
          <a:off x="654409" y="67333091"/>
          <a:ext cx="4680000" cy="3223545"/>
        </a:xfrm>
        <a:prstGeom prst="rect">
          <a:avLst/>
        </a:prstGeom>
        <a:ln w="9525">
          <a:solidFill>
            <a:schemeClr val="tx1"/>
          </a:solidFill>
        </a:ln>
      </xdr:spPr>
    </xdr:pic>
    <xdr:clientData/>
  </xdr:twoCellAnchor>
  <xdr:twoCellAnchor>
    <xdr:from>
      <xdr:col>3</xdr:col>
      <xdr:colOff>526458</xdr:colOff>
      <xdr:row>386</xdr:row>
      <xdr:rowOff>27612</xdr:rowOff>
    </xdr:from>
    <xdr:to>
      <xdr:col>5</xdr:col>
      <xdr:colOff>56790</xdr:colOff>
      <xdr:row>390</xdr:row>
      <xdr:rowOff>93373</xdr:rowOff>
    </xdr:to>
    <xdr:sp macro="" textlink="">
      <xdr:nvSpPr>
        <xdr:cNvPr id="8" name="Rectangle 7"/>
        <xdr:cNvSpPr/>
      </xdr:nvSpPr>
      <xdr:spPr>
        <a:xfrm rot="673861">
          <a:off x="2933685" y="72521521"/>
          <a:ext cx="1227514" cy="897034"/>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735032</xdr:colOff>
      <xdr:row>335</xdr:row>
      <xdr:rowOff>22920</xdr:rowOff>
    </xdr:from>
    <xdr:to>
      <xdr:col>5</xdr:col>
      <xdr:colOff>421383</xdr:colOff>
      <xdr:row>337</xdr:row>
      <xdr:rowOff>159469</xdr:rowOff>
    </xdr:to>
    <xdr:sp macro="" textlink="">
      <xdr:nvSpPr>
        <xdr:cNvPr id="24" name="Rectangle 23"/>
        <xdr:cNvSpPr/>
      </xdr:nvSpPr>
      <xdr:spPr>
        <a:xfrm rot="948293">
          <a:off x="4056876" y="59810154"/>
          <a:ext cx="466210" cy="541362"/>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chemeClr val="tx1"/>
            </a:solidFill>
          </a:endParaRPr>
        </a:p>
      </xdr:txBody>
    </xdr:sp>
    <xdr:clientData/>
  </xdr:twoCellAnchor>
  <xdr:twoCellAnchor>
    <xdr:from>
      <xdr:col>4</xdr:col>
      <xdr:colOff>285748</xdr:colOff>
      <xdr:row>333</xdr:row>
      <xdr:rowOff>119060</xdr:rowOff>
    </xdr:from>
    <xdr:to>
      <xdr:col>5</xdr:col>
      <xdr:colOff>321467</xdr:colOff>
      <xdr:row>334</xdr:row>
      <xdr:rowOff>119060</xdr:rowOff>
    </xdr:to>
    <xdr:sp macro="" textlink="">
      <xdr:nvSpPr>
        <xdr:cNvPr id="25" name="TextBox 24"/>
        <xdr:cNvSpPr txBox="1"/>
      </xdr:nvSpPr>
      <xdr:spPr>
        <a:xfrm rot="1039000">
          <a:off x="3607592" y="59501482"/>
          <a:ext cx="815578"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rgbClr val="C00000"/>
              </a:solidFill>
            </a:rPr>
            <a:t>Wing</a:t>
          </a:r>
          <a:r>
            <a:rPr lang="en-IN" sz="1000" b="1" baseline="0">
              <a:solidFill>
                <a:srgbClr val="C00000"/>
              </a:solidFill>
            </a:rPr>
            <a:t> A</a:t>
          </a:r>
          <a:endParaRPr lang="en-IN" sz="1000" b="1">
            <a:solidFill>
              <a:srgbClr val="C00000"/>
            </a:solidFill>
          </a:endParaRPr>
        </a:p>
      </xdr:txBody>
    </xdr:sp>
    <xdr:clientData/>
  </xdr:twoCellAnchor>
  <xdr:twoCellAnchor>
    <xdr:from>
      <xdr:col>5</xdr:col>
      <xdr:colOff>11906</xdr:colOff>
      <xdr:row>334</xdr:row>
      <xdr:rowOff>77389</xdr:rowOff>
    </xdr:from>
    <xdr:to>
      <xdr:col>6</xdr:col>
      <xdr:colOff>83343</xdr:colOff>
      <xdr:row>335</xdr:row>
      <xdr:rowOff>77389</xdr:rowOff>
    </xdr:to>
    <xdr:sp macro="" textlink="">
      <xdr:nvSpPr>
        <xdr:cNvPr id="26" name="TextBox 25"/>
        <xdr:cNvSpPr txBox="1"/>
      </xdr:nvSpPr>
      <xdr:spPr>
        <a:xfrm rot="1039000">
          <a:off x="4113609" y="59662217"/>
          <a:ext cx="815578"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b="1">
              <a:solidFill>
                <a:srgbClr val="0000FF"/>
              </a:solidFill>
            </a:rPr>
            <a:t>Wing</a:t>
          </a:r>
          <a:r>
            <a:rPr lang="en-IN" sz="1000" b="1" baseline="0">
              <a:solidFill>
                <a:srgbClr val="0000FF"/>
              </a:solidFill>
            </a:rPr>
            <a:t> B</a:t>
          </a:r>
          <a:endParaRPr lang="en-IN" sz="1000" b="1">
            <a:solidFill>
              <a:srgbClr val="0000FF"/>
            </a:solidFill>
          </a:endParaRPr>
        </a:p>
      </xdr:txBody>
    </xdr:sp>
    <xdr:clientData/>
  </xdr:twoCellAnchor>
  <xdr:twoCellAnchor>
    <xdr:from>
      <xdr:col>0</xdr:col>
      <xdr:colOff>120650</xdr:colOff>
      <xdr:row>272</xdr:row>
      <xdr:rowOff>101600</xdr:rowOff>
    </xdr:from>
    <xdr:to>
      <xdr:col>7</xdr:col>
      <xdr:colOff>647005</xdr:colOff>
      <xdr:row>306</xdr:row>
      <xdr:rowOff>181434</xdr:rowOff>
    </xdr:to>
    <xdr:grpSp>
      <xdr:nvGrpSpPr>
        <xdr:cNvPr id="3" name="Group 2"/>
        <xdr:cNvGrpSpPr/>
      </xdr:nvGrpSpPr>
      <xdr:grpSpPr>
        <a:xfrm>
          <a:off x="120650" y="55714900"/>
          <a:ext cx="6381055" cy="6772734"/>
          <a:chOff x="120650" y="55314850"/>
          <a:chExt cx="6381055" cy="6772734"/>
        </a:xfrm>
      </xdr:grpSpPr>
      <xdr:pic>
        <xdr:nvPicPr>
          <xdr:cNvPr id="19" name="Picture 1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471056" y="59387584"/>
            <a:ext cx="2030649" cy="2700000"/>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45211" y="55314850"/>
            <a:ext cx="2978285" cy="3960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400382" y="55314850"/>
            <a:ext cx="2978285" cy="396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20650" y="59387584"/>
            <a:ext cx="2030649" cy="270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295853" y="59387584"/>
            <a:ext cx="2030649" cy="27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15</xdr:row>
      <xdr:rowOff>0</xdr:rowOff>
    </xdr:from>
    <xdr:to>
      <xdr:col>15</xdr:col>
      <xdr:colOff>101974</xdr:colOff>
      <xdr:row>53</xdr:row>
      <xdr:rowOff>76200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6" y="28687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housing.com/in/buy/projects/page/5626-prestige-siesta-by-prestige-groups-in-mulund-west" TargetMode="External"/><Relationship Id="rId1" Type="http://schemas.openxmlformats.org/officeDocument/2006/relationships/hyperlink" Target="https://maps.app.goo.gl/8nDPh7LfE4y59DJv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60"/>
  <sheetViews>
    <sheetView tabSelected="1" view="pageBreakPreview" topLeftCell="A53" zoomScaleNormal="100" zoomScaleSheetLayoutView="100" zoomScalePageLayoutView="85" workbookViewId="0">
      <selection activeCell="J64" sqref="J64"/>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72" t="s">
        <v>159</v>
      </c>
      <c r="B1" s="172"/>
      <c r="C1" s="172"/>
      <c r="D1" s="172"/>
      <c r="E1" s="172"/>
      <c r="F1" s="172"/>
      <c r="G1" s="172"/>
      <c r="H1" s="172"/>
    </row>
    <row r="2" spans="1:26" ht="16.5" customHeight="1" x14ac:dyDescent="0.35">
      <c r="A2" s="166" t="s">
        <v>0</v>
      </c>
      <c r="B2" s="166"/>
      <c r="C2" s="166"/>
      <c r="D2" s="166"/>
      <c r="E2" s="166"/>
      <c r="F2" s="166"/>
      <c r="G2" s="166"/>
      <c r="H2" s="166"/>
    </row>
    <row r="3" spans="1:26" x14ac:dyDescent="0.35">
      <c r="A3" s="99" t="s">
        <v>1</v>
      </c>
      <c r="B3" s="99"/>
      <c r="C3" s="99"/>
      <c r="D3" s="99"/>
      <c r="E3" s="99" t="str">
        <f ca="1">TEXT(TODAY(),"DD/MM/YYYY")</f>
        <v>25/09/2025</v>
      </c>
      <c r="F3" s="99"/>
      <c r="G3" s="99"/>
      <c r="H3" s="99"/>
      <c r="K3" s="61" t="s">
        <v>230</v>
      </c>
      <c r="L3" s="56" t="s">
        <v>228</v>
      </c>
      <c r="M3" s="56" t="s">
        <v>233</v>
      </c>
      <c r="N3" s="56" t="s">
        <v>231</v>
      </c>
      <c r="O3" s="56" t="s">
        <v>232</v>
      </c>
      <c r="P3" s="56" t="s">
        <v>234</v>
      </c>
    </row>
    <row r="4" spans="1:26" ht="15" customHeight="1" x14ac:dyDescent="0.35">
      <c r="A4" s="99" t="s">
        <v>227</v>
      </c>
      <c r="B4" s="99"/>
      <c r="C4" s="99"/>
      <c r="D4" s="99"/>
      <c r="E4" s="99" t="s">
        <v>228</v>
      </c>
      <c r="F4" s="99"/>
      <c r="G4" s="99"/>
      <c r="H4" s="99"/>
      <c r="K4" s="55" t="s">
        <v>229</v>
      </c>
      <c r="L4" s="56" t="s">
        <v>165</v>
      </c>
      <c r="M4" s="56" t="s">
        <v>238</v>
      </c>
      <c r="N4" s="56" t="s">
        <v>240</v>
      </c>
      <c r="O4" s="56" t="s">
        <v>242</v>
      </c>
      <c r="P4" s="56"/>
    </row>
    <row r="5" spans="1:26" ht="15" customHeight="1" x14ac:dyDescent="0.35">
      <c r="A5" s="99" t="s">
        <v>2</v>
      </c>
      <c r="B5" s="99"/>
      <c r="C5" s="99"/>
      <c r="D5" s="99"/>
      <c r="E5" s="99" t="s">
        <v>236</v>
      </c>
      <c r="F5" s="99"/>
      <c r="G5" s="99"/>
      <c r="H5" s="99"/>
      <c r="K5" s="55"/>
      <c r="L5" s="56" t="s">
        <v>235</v>
      </c>
      <c r="M5" s="56" t="s">
        <v>239</v>
      </c>
      <c r="N5" s="56" t="s">
        <v>241</v>
      </c>
      <c r="O5" s="56" t="s">
        <v>243</v>
      </c>
      <c r="P5" s="56"/>
    </row>
    <row r="6" spans="1:26" x14ac:dyDescent="0.35">
      <c r="A6" s="99" t="s">
        <v>3</v>
      </c>
      <c r="B6" s="99"/>
      <c r="C6" s="99"/>
      <c r="D6" s="99"/>
      <c r="E6" s="175">
        <v>45880</v>
      </c>
      <c r="F6" s="99"/>
      <c r="G6" s="99"/>
      <c r="H6" s="99"/>
      <c r="K6" s="55"/>
      <c r="L6" s="56" t="s">
        <v>236</v>
      </c>
      <c r="M6" s="56"/>
      <c r="N6" s="56"/>
      <c r="O6" s="56" t="s">
        <v>244</v>
      </c>
      <c r="P6" s="56"/>
    </row>
    <row r="7" spans="1:26" ht="16.5" customHeight="1" x14ac:dyDescent="0.35">
      <c r="A7" s="99" t="s">
        <v>4</v>
      </c>
      <c r="B7" s="99"/>
      <c r="C7" s="99"/>
      <c r="D7" s="99"/>
      <c r="E7" s="99" t="s">
        <v>292</v>
      </c>
      <c r="F7" s="99"/>
      <c r="G7" s="99"/>
      <c r="H7" s="99"/>
      <c r="K7" s="55"/>
      <c r="L7" s="56" t="s">
        <v>237</v>
      </c>
      <c r="M7" s="56"/>
      <c r="N7" s="56"/>
      <c r="O7" s="56" t="s">
        <v>244</v>
      </c>
      <c r="P7" s="56"/>
    </row>
    <row r="8" spans="1:26" ht="15" customHeight="1" x14ac:dyDescent="0.35">
      <c r="A8" s="99" t="s">
        <v>5</v>
      </c>
      <c r="B8" s="99"/>
      <c r="C8" s="99"/>
      <c r="D8" s="99"/>
      <c r="E8" s="99" t="str">
        <f>E7</f>
        <v xml:space="preserve">Prestige Mulund Realty Private Limited </v>
      </c>
      <c r="F8" s="99"/>
      <c r="G8" s="99"/>
      <c r="H8" s="99"/>
      <c r="K8" s="55"/>
      <c r="L8" s="56"/>
      <c r="M8" s="56"/>
      <c r="N8" s="56"/>
      <c r="O8" s="56" t="s">
        <v>245</v>
      </c>
      <c r="P8" s="56"/>
    </row>
    <row r="9" spans="1:26" x14ac:dyDescent="0.35">
      <c r="A9" s="99" t="s">
        <v>6</v>
      </c>
      <c r="B9" s="99"/>
      <c r="C9" s="99"/>
      <c r="D9" s="99"/>
      <c r="E9" s="173" t="s">
        <v>293</v>
      </c>
      <c r="F9" s="174"/>
      <c r="G9" s="174"/>
      <c r="H9" s="174"/>
      <c r="K9" s="55"/>
      <c r="L9" s="56"/>
      <c r="M9" s="56"/>
      <c r="N9" s="56"/>
      <c r="O9" s="56" t="s">
        <v>246</v>
      </c>
      <c r="P9" s="56"/>
    </row>
    <row r="10" spans="1:26" x14ac:dyDescent="0.35">
      <c r="A10" s="99" t="s">
        <v>162</v>
      </c>
      <c r="B10" s="99"/>
      <c r="C10" s="99"/>
      <c r="D10" s="99"/>
      <c r="E10" s="99" t="s">
        <v>358</v>
      </c>
      <c r="F10" s="99"/>
      <c r="G10" s="99"/>
      <c r="H10" s="99"/>
      <c r="K10" s="55"/>
      <c r="L10" s="56"/>
      <c r="M10" s="56"/>
      <c r="N10" s="56"/>
      <c r="O10" s="56"/>
      <c r="P10" s="56"/>
    </row>
    <row r="11" spans="1:26" hidden="1" x14ac:dyDescent="0.35">
      <c r="A11" s="99" t="s">
        <v>163</v>
      </c>
      <c r="B11" s="99"/>
      <c r="C11" s="99"/>
      <c r="D11" s="99"/>
      <c r="E11" s="99" t="s">
        <v>357</v>
      </c>
      <c r="F11" s="99"/>
      <c r="G11" s="99"/>
      <c r="H11" s="99"/>
    </row>
    <row r="12" spans="1:26" x14ac:dyDescent="0.35">
      <c r="A12" s="99" t="s">
        <v>7</v>
      </c>
      <c r="B12" s="99"/>
      <c r="C12" s="99"/>
      <c r="D12" s="99"/>
      <c r="E12" s="99" t="s">
        <v>294</v>
      </c>
      <c r="F12" s="99"/>
      <c r="G12" s="99"/>
      <c r="H12" s="99"/>
    </row>
    <row r="13" spans="1:26" x14ac:dyDescent="0.35">
      <c r="A13" s="99" t="s">
        <v>166</v>
      </c>
      <c r="B13" s="99"/>
      <c r="C13" s="99"/>
      <c r="D13" s="99"/>
      <c r="E13" s="99" t="s">
        <v>28</v>
      </c>
      <c r="F13" s="99"/>
      <c r="G13" s="99"/>
      <c r="H13" s="99"/>
      <c r="S13" s="56" t="s">
        <v>173</v>
      </c>
      <c r="T13" s="56" t="s">
        <v>183</v>
      </c>
      <c r="U13" s="56" t="s">
        <v>167</v>
      </c>
      <c r="V13" s="56" t="s">
        <v>188</v>
      </c>
      <c r="W13" s="56" t="s">
        <v>206</v>
      </c>
      <c r="X13"/>
      <c r="Y13" t="s">
        <v>188</v>
      </c>
      <c r="Z13" t="e">
        <f ca="1">OFFSET($S$13,1,MATCH($G20,$S$13:$W$13,0)-1,15,1)</f>
        <v>#VALUE!</v>
      </c>
    </row>
    <row r="14" spans="1:26" x14ac:dyDescent="0.35">
      <c r="A14" s="116" t="s">
        <v>273</v>
      </c>
      <c r="B14" s="116"/>
      <c r="C14" s="116"/>
      <c r="D14" s="116"/>
      <c r="E14" s="106" t="s">
        <v>221</v>
      </c>
      <c r="F14" s="106"/>
      <c r="G14" s="106"/>
      <c r="H14" s="106"/>
      <c r="S14" s="56" t="s">
        <v>174</v>
      </c>
      <c r="T14" s="56" t="s">
        <v>181</v>
      </c>
      <c r="U14" s="56" t="s">
        <v>203</v>
      </c>
      <c r="V14" s="56" t="s">
        <v>189</v>
      </c>
      <c r="W14" s="56" t="s">
        <v>207</v>
      </c>
      <c r="X14"/>
      <c r="Y14"/>
      <c r="Z14"/>
    </row>
    <row r="15" spans="1:26" x14ac:dyDescent="0.35">
      <c r="A15" s="116" t="s">
        <v>8</v>
      </c>
      <c r="B15" s="116"/>
      <c r="C15" s="116"/>
      <c r="D15" s="116"/>
      <c r="E15" s="106" t="s">
        <v>295</v>
      </c>
      <c r="F15" s="99"/>
      <c r="G15" s="99"/>
      <c r="H15" s="99"/>
      <c r="I15" s="112" t="e">
        <f ca="1">OFFSET($D$5,1,MATCH($J13,$D$5:$H$5,0)-1,15,1)</f>
        <v>#N/A</v>
      </c>
      <c r="J15" s="113"/>
      <c r="K15" s="113"/>
      <c r="L15" s="113"/>
      <c r="M15" s="113"/>
      <c r="N15" s="113"/>
      <c r="O15" s="113"/>
      <c r="P15" s="113"/>
      <c r="S15" s="56" t="s">
        <v>175</v>
      </c>
      <c r="T15" s="56" t="s">
        <v>182</v>
      </c>
      <c r="U15" s="56" t="s">
        <v>204</v>
      </c>
      <c r="V15" s="56" t="s">
        <v>190</v>
      </c>
      <c r="W15" s="56" t="s">
        <v>220</v>
      </c>
      <c r="X15"/>
      <c r="Y15"/>
      <c r="Z15"/>
    </row>
    <row r="16" spans="1:26" ht="33" customHeight="1" x14ac:dyDescent="0.35">
      <c r="A16" s="105" t="s">
        <v>9</v>
      </c>
      <c r="B16" s="105"/>
      <c r="C16" s="105" t="str">
        <f>CONCATENATE((IF(OR(E9="",E9="NA"),"",E9)),", ",(IF(OR(A17="",A17="NA"),"",A17)),".",(IF(OR(C17="",C17="NA"),"",C17)),", near ",(IF(OR(C22="",C22="NA"),"",C22)),", ",(IF(OR(C19="",C19="NA"),"",C19)),", ",(IF(OR(C18="",C18="NA"),"",C18)),", ",(IF(OR(G19="",G19="NA"),"",G19)),", ",(IF(OR(C20="",C20="NA"),"",C20)),", ",(IF(OR(C21="",C21="NA"),"",C21)),", ",(IF(OR(G20="",G20="NA"),"",G20))," - ",(IF(OR(G21="",G21="NA"),"",G21)),".")</f>
        <v>Siesta, CTS No.19/1 to 19/13, near Yogi Hills CHS, Agrawal Road, Veena Nagar, Mulund, Mulund West, Andheri, Mumbai - 400080.</v>
      </c>
      <c r="D16" s="105"/>
      <c r="E16" s="105"/>
      <c r="F16" s="105"/>
      <c r="G16" s="105"/>
      <c r="H16" s="105"/>
      <c r="S16" s="56" t="s">
        <v>176</v>
      </c>
      <c r="T16" s="56" t="s">
        <v>184</v>
      </c>
      <c r="U16" s="56" t="s">
        <v>205</v>
      </c>
      <c r="V16" s="56" t="s">
        <v>191</v>
      </c>
      <c r="W16" s="56" t="s">
        <v>208</v>
      </c>
      <c r="X16"/>
      <c r="Y16"/>
      <c r="Z16"/>
    </row>
    <row r="17" spans="1:26" x14ac:dyDescent="0.35">
      <c r="A17" s="106" t="s">
        <v>169</v>
      </c>
      <c r="B17" s="106"/>
      <c r="C17" s="106" t="s">
        <v>296</v>
      </c>
      <c r="D17" s="106"/>
      <c r="E17" s="106"/>
      <c r="F17" s="106"/>
      <c r="G17" s="106"/>
      <c r="H17" s="106"/>
      <c r="S17" s="56" t="s">
        <v>177</v>
      </c>
      <c r="T17" s="56" t="s">
        <v>185</v>
      </c>
      <c r="U17" s="56" t="s">
        <v>167</v>
      </c>
      <c r="V17" s="56" t="s">
        <v>192</v>
      </c>
      <c r="W17" s="56" t="s">
        <v>209</v>
      </c>
      <c r="X17"/>
      <c r="Y17"/>
      <c r="Z17"/>
    </row>
    <row r="18" spans="1:26" ht="15.75" customHeight="1" x14ac:dyDescent="0.35">
      <c r="A18" s="106" t="s">
        <v>157</v>
      </c>
      <c r="B18" s="106"/>
      <c r="C18" s="106" t="s">
        <v>298</v>
      </c>
      <c r="D18" s="106"/>
      <c r="E18" s="106"/>
      <c r="F18" s="106"/>
      <c r="G18" s="106"/>
      <c r="H18" s="106"/>
      <c r="S18" s="56" t="s">
        <v>178</v>
      </c>
      <c r="T18" s="56" t="s">
        <v>183</v>
      </c>
      <c r="U18" s="56"/>
      <c r="V18" s="56" t="s">
        <v>193</v>
      </c>
      <c r="W18" s="56" t="s">
        <v>210</v>
      </c>
      <c r="X18"/>
      <c r="Y18"/>
      <c r="Z18"/>
    </row>
    <row r="19" spans="1:26" ht="15.75" customHeight="1" x14ac:dyDescent="0.35">
      <c r="A19" s="105" t="s">
        <v>10</v>
      </c>
      <c r="B19" s="105"/>
      <c r="C19" s="99" t="s">
        <v>299</v>
      </c>
      <c r="D19" s="99"/>
      <c r="E19" s="105" t="s">
        <v>70</v>
      </c>
      <c r="F19" s="105"/>
      <c r="G19" s="106" t="s">
        <v>297</v>
      </c>
      <c r="H19" s="106"/>
      <c r="S19" s="56" t="s">
        <v>179</v>
      </c>
      <c r="T19" s="56" t="s">
        <v>186</v>
      </c>
      <c r="U19" s="56"/>
      <c r="V19" s="56" t="s">
        <v>194</v>
      </c>
      <c r="W19" s="56" t="s">
        <v>211</v>
      </c>
      <c r="X19"/>
      <c r="Y19"/>
      <c r="Z19"/>
    </row>
    <row r="20" spans="1:26" x14ac:dyDescent="0.35">
      <c r="A20" s="116" t="s">
        <v>12</v>
      </c>
      <c r="B20" s="116"/>
      <c r="C20" s="106" t="s">
        <v>300</v>
      </c>
      <c r="D20" s="106"/>
      <c r="E20" s="105" t="s">
        <v>11</v>
      </c>
      <c r="F20" s="105"/>
      <c r="G20" s="179" t="s">
        <v>167</v>
      </c>
      <c r="H20" s="179"/>
      <c r="S20" s="56" t="s">
        <v>180</v>
      </c>
      <c r="T20" s="56" t="s">
        <v>187</v>
      </c>
      <c r="U20" s="56"/>
      <c r="V20" s="56" t="s">
        <v>195</v>
      </c>
      <c r="W20" s="56" t="s">
        <v>212</v>
      </c>
      <c r="X20"/>
      <c r="Y20"/>
      <c r="Z20"/>
    </row>
    <row r="21" spans="1:26" x14ac:dyDescent="0.35">
      <c r="A21" s="116" t="s">
        <v>71</v>
      </c>
      <c r="B21" s="116"/>
      <c r="C21" s="106" t="s">
        <v>203</v>
      </c>
      <c r="D21" s="106"/>
      <c r="E21" s="105" t="s">
        <v>13</v>
      </c>
      <c r="F21" s="105"/>
      <c r="G21" s="106">
        <v>400080</v>
      </c>
      <c r="H21" s="106"/>
      <c r="S21" s="56"/>
      <c r="T21" s="56"/>
      <c r="U21" s="56"/>
      <c r="V21" s="56" t="s">
        <v>196</v>
      </c>
      <c r="W21" s="56" t="s">
        <v>213</v>
      </c>
      <c r="X21"/>
      <c r="Y21"/>
      <c r="Z21"/>
    </row>
    <row r="22" spans="1:26" ht="32.25" customHeight="1" x14ac:dyDescent="0.35">
      <c r="A22" s="116" t="s">
        <v>116</v>
      </c>
      <c r="B22" s="116"/>
      <c r="C22" s="106" t="s">
        <v>304</v>
      </c>
      <c r="D22" s="106"/>
      <c r="E22" s="105" t="s">
        <v>14</v>
      </c>
      <c r="F22" s="105"/>
      <c r="G22" s="106" t="s">
        <v>303</v>
      </c>
      <c r="H22" s="106"/>
      <c r="S22" s="56"/>
      <c r="T22" s="56"/>
      <c r="U22" s="56"/>
      <c r="V22" s="56" t="s">
        <v>197</v>
      </c>
      <c r="W22" s="56" t="s">
        <v>214</v>
      </c>
      <c r="X22"/>
      <c r="Y22"/>
      <c r="Z22"/>
    </row>
    <row r="23" spans="1:26" ht="15" customHeight="1" x14ac:dyDescent="0.35">
      <c r="A23" s="105" t="s">
        <v>73</v>
      </c>
      <c r="B23" s="105"/>
      <c r="C23" s="105"/>
      <c r="D23" s="105"/>
      <c r="E23" s="99" t="s">
        <v>15</v>
      </c>
      <c r="F23" s="99"/>
      <c r="G23" s="99"/>
      <c r="H23" s="99"/>
      <c r="S23" s="56"/>
      <c r="T23" s="56"/>
      <c r="U23" s="56"/>
      <c r="V23" s="56" t="s">
        <v>198</v>
      </c>
      <c r="W23" s="56" t="s">
        <v>215</v>
      </c>
      <c r="X23"/>
      <c r="Y23"/>
      <c r="Z23"/>
    </row>
    <row r="24" spans="1:26" ht="18.75" customHeight="1" x14ac:dyDescent="0.35">
      <c r="A24" s="105"/>
      <c r="B24" s="105"/>
      <c r="C24" s="105"/>
      <c r="D24" s="105"/>
      <c r="E24" s="99"/>
      <c r="F24" s="99"/>
      <c r="G24" s="99"/>
      <c r="H24" s="99"/>
      <c r="S24" s="56"/>
      <c r="T24" s="56"/>
      <c r="U24" s="56"/>
      <c r="V24" s="56" t="s">
        <v>199</v>
      </c>
      <c r="W24" s="56" t="s">
        <v>216</v>
      </c>
      <c r="X24"/>
      <c r="Y24"/>
      <c r="Z24"/>
    </row>
    <row r="25" spans="1:26" ht="15" customHeight="1" x14ac:dyDescent="0.35">
      <c r="A25" s="105" t="s">
        <v>16</v>
      </c>
      <c r="B25" s="105"/>
      <c r="C25" s="105"/>
      <c r="D25" s="105"/>
      <c r="E25" s="106" t="s">
        <v>17</v>
      </c>
      <c r="F25" s="106"/>
      <c r="G25" s="106"/>
      <c r="H25" s="106"/>
      <c r="S25" s="56"/>
      <c r="T25" s="56"/>
      <c r="U25" s="56"/>
      <c r="V25" s="56" t="s">
        <v>200</v>
      </c>
      <c r="W25" s="56" t="s">
        <v>217</v>
      </c>
      <c r="X25"/>
      <c r="Y25"/>
      <c r="Z25"/>
    </row>
    <row r="26" spans="1:26" ht="15" customHeight="1" x14ac:dyDescent="0.35">
      <c r="A26" s="116" t="s">
        <v>18</v>
      </c>
      <c r="B26" s="116"/>
      <c r="C26" s="116"/>
      <c r="D26" s="116"/>
      <c r="E26" s="106" t="str">
        <f>IF(AND(G20="Mumbai"),"Upper Class","Middle Class")</f>
        <v>Upper Class</v>
      </c>
      <c r="F26" s="106"/>
      <c r="G26" s="106"/>
      <c r="H26" s="106"/>
      <c r="S26" s="56"/>
      <c r="T26" s="56"/>
      <c r="U26" s="56"/>
      <c r="V26" s="56" t="s">
        <v>201</v>
      </c>
      <c r="W26" s="56" t="s">
        <v>218</v>
      </c>
      <c r="X26"/>
      <c r="Y26"/>
      <c r="Z26"/>
    </row>
    <row r="27" spans="1:26" x14ac:dyDescent="0.35">
      <c r="A27" s="116" t="s">
        <v>19</v>
      </c>
      <c r="B27" s="116"/>
      <c r="C27" s="116"/>
      <c r="D27" s="116"/>
      <c r="E27" s="106" t="s">
        <v>20</v>
      </c>
      <c r="F27" s="106"/>
      <c r="G27" s="106"/>
      <c r="H27" s="106"/>
      <c r="S27" s="56"/>
      <c r="T27" s="56"/>
      <c r="U27" s="56"/>
      <c r="V27" s="56" t="s">
        <v>202</v>
      </c>
      <c r="W27" s="56" t="s">
        <v>219</v>
      </c>
      <c r="X27"/>
      <c r="Y27"/>
      <c r="Z27"/>
    </row>
    <row r="28" spans="1:26" ht="15.75" customHeight="1" x14ac:dyDescent="0.35">
      <c r="A28" s="116" t="s">
        <v>21</v>
      </c>
      <c r="B28" s="116"/>
      <c r="C28" s="116"/>
      <c r="D28" s="116"/>
      <c r="E28" s="106" t="str">
        <f>IF(AND(G20="Mumbai"),"Developed","Developing")</f>
        <v>Developed</v>
      </c>
      <c r="F28" s="106"/>
      <c r="G28" s="106"/>
      <c r="H28" s="106"/>
    </row>
    <row r="29" spans="1:26" x14ac:dyDescent="0.35">
      <c r="A29" s="116" t="s">
        <v>22</v>
      </c>
      <c r="B29" s="116"/>
      <c r="C29" s="116"/>
      <c r="D29" s="116"/>
      <c r="E29" s="106" t="s">
        <v>23</v>
      </c>
      <c r="F29" s="106"/>
      <c r="G29" s="106"/>
      <c r="H29" s="106"/>
    </row>
    <row r="30" spans="1:26" ht="15.75" customHeight="1" x14ac:dyDescent="0.35">
      <c r="A30" s="116" t="s">
        <v>78</v>
      </c>
      <c r="B30" s="116"/>
      <c r="C30" s="116"/>
      <c r="D30" s="116"/>
      <c r="E30" s="106" t="s">
        <v>79</v>
      </c>
      <c r="F30" s="106"/>
      <c r="G30" s="106"/>
      <c r="H30" s="106"/>
    </row>
    <row r="31" spans="1:26" ht="15" customHeight="1" x14ac:dyDescent="0.35">
      <c r="A31" s="116" t="s">
        <v>30</v>
      </c>
      <c r="B31" s="116"/>
      <c r="C31" s="116"/>
      <c r="D31" s="116"/>
      <c r="E31" s="10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6"/>
      <c r="G31" s="106"/>
      <c r="H31" s="106"/>
    </row>
    <row r="32" spans="1:26" ht="15.75" customHeight="1" x14ac:dyDescent="0.35">
      <c r="A32" s="116" t="s">
        <v>89</v>
      </c>
      <c r="B32" s="116"/>
      <c r="C32" s="116"/>
      <c r="D32" s="116"/>
      <c r="E32" s="106" t="s">
        <v>31</v>
      </c>
      <c r="F32" s="106"/>
      <c r="G32" s="106"/>
      <c r="H32" s="106"/>
    </row>
    <row r="33" spans="1:19" s="22" customFormat="1" x14ac:dyDescent="0.35">
      <c r="A33" s="188" t="s">
        <v>90</v>
      </c>
      <c r="B33" s="188"/>
      <c r="C33" s="183" t="s">
        <v>168</v>
      </c>
      <c r="D33" s="184"/>
      <c r="E33" s="185"/>
      <c r="F33" s="183" t="s">
        <v>29</v>
      </c>
      <c r="G33" s="184"/>
      <c r="H33" s="185"/>
      <c r="S33" s="22" t="e">
        <f ca="1">OFFSET($S$13,1,MATCH($G20,$S$13:$W$13,0)-1,15,1)</f>
        <v>#VALUE!</v>
      </c>
    </row>
    <row r="34" spans="1:19" s="22" customFormat="1" x14ac:dyDescent="0.35">
      <c r="A34" s="187" t="s">
        <v>24</v>
      </c>
      <c r="B34" s="187" t="s">
        <v>28</v>
      </c>
      <c r="C34" s="176" t="s">
        <v>311</v>
      </c>
      <c r="D34" s="177"/>
      <c r="E34" s="178"/>
      <c r="F34" s="176" t="s">
        <v>307</v>
      </c>
      <c r="G34" s="177"/>
      <c r="H34" s="178"/>
    </row>
    <row r="35" spans="1:19" x14ac:dyDescent="0.35">
      <c r="A35" s="187" t="s">
        <v>25</v>
      </c>
      <c r="B35" s="187" t="s">
        <v>28</v>
      </c>
      <c r="C35" s="176" t="s">
        <v>308</v>
      </c>
      <c r="D35" s="177"/>
      <c r="E35" s="178"/>
      <c r="F35" s="176" t="s">
        <v>308</v>
      </c>
      <c r="G35" s="177"/>
      <c r="H35" s="178"/>
    </row>
    <row r="36" spans="1:19" s="22" customFormat="1" ht="47.25" customHeight="1" x14ac:dyDescent="0.35">
      <c r="A36" s="182" t="s">
        <v>27</v>
      </c>
      <c r="B36" s="182" t="s">
        <v>28</v>
      </c>
      <c r="C36" s="182" t="s">
        <v>309</v>
      </c>
      <c r="D36" s="182"/>
      <c r="E36" s="182"/>
      <c r="F36" s="186" t="s">
        <v>305</v>
      </c>
      <c r="G36" s="182"/>
      <c r="H36" s="182"/>
    </row>
    <row r="37" spans="1:19" x14ac:dyDescent="0.35">
      <c r="A37" s="187" t="s">
        <v>26</v>
      </c>
      <c r="B37" s="187" t="s">
        <v>28</v>
      </c>
      <c r="C37" s="180" t="s">
        <v>310</v>
      </c>
      <c r="D37" s="180"/>
      <c r="E37" s="180"/>
      <c r="F37" s="180" t="s">
        <v>306</v>
      </c>
      <c r="G37" s="180"/>
      <c r="H37" s="180"/>
    </row>
    <row r="38" spans="1:19" x14ac:dyDescent="0.35">
      <c r="A38" s="116" t="s">
        <v>274</v>
      </c>
      <c r="B38" s="116"/>
      <c r="C38" s="116"/>
      <c r="D38" s="116"/>
      <c r="E38" s="116"/>
      <c r="F38" s="116"/>
      <c r="G38" s="116"/>
      <c r="H38" s="116"/>
    </row>
    <row r="39" spans="1:19" ht="15.75" customHeight="1" x14ac:dyDescent="0.35">
      <c r="A39" s="116" t="s">
        <v>160</v>
      </c>
      <c r="B39" s="116"/>
      <c r="C39" s="194" t="s">
        <v>301</v>
      </c>
      <c r="D39" s="194"/>
      <c r="E39" s="194"/>
      <c r="F39" s="194"/>
      <c r="G39" s="194"/>
      <c r="H39" s="194"/>
    </row>
    <row r="40" spans="1:19" x14ac:dyDescent="0.35">
      <c r="A40" s="116" t="s">
        <v>156</v>
      </c>
      <c r="B40" s="116"/>
      <c r="C40" s="213" t="s">
        <v>302</v>
      </c>
      <c r="D40" s="106"/>
      <c r="E40" s="106"/>
      <c r="F40" s="106"/>
      <c r="G40" s="106"/>
      <c r="H40" s="106"/>
    </row>
    <row r="41" spans="1:19" x14ac:dyDescent="0.35">
      <c r="A41" s="194" t="s">
        <v>32</v>
      </c>
      <c r="B41" s="194"/>
      <c r="C41" s="194"/>
      <c r="D41" s="194"/>
      <c r="E41" s="194"/>
      <c r="F41" s="194"/>
      <c r="G41" s="194"/>
      <c r="H41" s="194"/>
    </row>
    <row r="42" spans="1:19" x14ac:dyDescent="0.35">
      <c r="A42" s="116" t="s">
        <v>33</v>
      </c>
      <c r="B42" s="116"/>
      <c r="C42" s="116"/>
      <c r="D42" s="116"/>
      <c r="E42" s="193" t="s">
        <v>345</v>
      </c>
      <c r="F42" s="193"/>
      <c r="G42" s="193"/>
      <c r="H42" s="193"/>
      <c r="K42" s="117">
        <v>0</v>
      </c>
      <c r="L42" s="117"/>
      <c r="M42" s="117"/>
      <c r="N42" s="117"/>
    </row>
    <row r="43" spans="1:19" x14ac:dyDescent="0.35">
      <c r="A43" s="116" t="s">
        <v>34</v>
      </c>
      <c r="B43" s="116"/>
      <c r="C43" s="116"/>
      <c r="D43" s="116"/>
      <c r="E43" s="115" t="s">
        <v>28</v>
      </c>
      <c r="F43" s="115"/>
      <c r="G43" s="115"/>
      <c r="H43" s="115"/>
      <c r="K43" s="97">
        <v>0</v>
      </c>
      <c r="L43" s="97"/>
      <c r="M43" s="97"/>
      <c r="N43" s="97"/>
    </row>
    <row r="44" spans="1:19" x14ac:dyDescent="0.35">
      <c r="A44" s="116" t="s">
        <v>35</v>
      </c>
      <c r="B44" s="116"/>
      <c r="C44" s="116"/>
      <c r="D44" s="116"/>
      <c r="E44" s="115" t="s">
        <v>28</v>
      </c>
      <c r="F44" s="115"/>
      <c r="G44" s="115"/>
      <c r="H44" s="115"/>
      <c r="K44" s="97" t="e">
        <f>K46/K42-K43</f>
        <v>#DIV/0!</v>
      </c>
      <c r="L44" s="97"/>
      <c r="M44" s="97"/>
      <c r="N44" s="97"/>
    </row>
    <row r="45" spans="1:19" x14ac:dyDescent="0.35">
      <c r="A45" s="116" t="s">
        <v>36</v>
      </c>
      <c r="B45" s="116"/>
      <c r="C45" s="116"/>
      <c r="D45" s="116"/>
      <c r="E45" s="115" t="s">
        <v>28</v>
      </c>
      <c r="F45" s="115"/>
      <c r="G45" s="115"/>
      <c r="H45" s="115"/>
      <c r="K45" s="97" t="e">
        <f>K43+K44</f>
        <v>#DIV/0!</v>
      </c>
      <c r="L45" s="97"/>
      <c r="M45" s="97"/>
      <c r="N45" s="97"/>
    </row>
    <row r="46" spans="1:19" ht="34.5" customHeight="1" x14ac:dyDescent="0.35">
      <c r="A46" s="105" t="s">
        <v>354</v>
      </c>
      <c r="B46" s="116"/>
      <c r="C46" s="116"/>
      <c r="D46" s="116"/>
      <c r="E46" s="115">
        <v>42290.75</v>
      </c>
      <c r="F46" s="115"/>
      <c r="G46" s="115"/>
      <c r="H46" s="115"/>
      <c r="K46" s="98">
        <v>0</v>
      </c>
      <c r="L46" s="98"/>
      <c r="M46" s="98"/>
      <c r="N46" s="98"/>
    </row>
    <row r="47" spans="1:19" x14ac:dyDescent="0.35">
      <c r="A47" s="99" t="s">
        <v>37</v>
      </c>
      <c r="B47" s="99"/>
      <c r="C47" s="99"/>
      <c r="D47" s="99"/>
      <c r="E47" s="99" t="s">
        <v>312</v>
      </c>
      <c r="F47" s="99"/>
      <c r="G47" s="99"/>
      <c r="H47" s="99"/>
      <c r="K47" s="99" t="s">
        <v>312</v>
      </c>
      <c r="L47" s="99"/>
      <c r="M47" s="99"/>
      <c r="N47" s="99"/>
    </row>
    <row r="48" spans="1:19" x14ac:dyDescent="0.35">
      <c r="A48" s="194" t="s">
        <v>38</v>
      </c>
      <c r="B48" s="194"/>
      <c r="C48" s="194"/>
      <c r="D48" s="194"/>
      <c r="E48" s="194"/>
      <c r="F48" s="194"/>
      <c r="G48" s="194"/>
      <c r="H48" s="194"/>
    </row>
    <row r="49" spans="1:24" ht="33.75" customHeight="1" x14ac:dyDescent="0.35">
      <c r="A49" s="100" t="s">
        <v>145</v>
      </c>
      <c r="B49" s="102"/>
      <c r="C49" s="218" t="s">
        <v>248</v>
      </c>
      <c r="D49" s="219"/>
      <c r="E49" s="219"/>
      <c r="F49" s="219"/>
      <c r="G49" s="219"/>
      <c r="H49" s="220"/>
      <c r="R49" t="s">
        <v>247</v>
      </c>
      <c r="S49" t="s">
        <v>167</v>
      </c>
      <c r="T49" t="s">
        <v>173</v>
      </c>
      <c r="U49" t="s">
        <v>188</v>
      </c>
      <c r="V49" t="s">
        <v>183</v>
      </c>
    </row>
    <row r="50" spans="1:24" ht="15.75" customHeight="1" x14ac:dyDescent="0.35">
      <c r="A50" s="100" t="s">
        <v>39</v>
      </c>
      <c r="B50" s="102"/>
      <c r="C50" s="100" t="s">
        <v>345</v>
      </c>
      <c r="D50" s="101"/>
      <c r="E50" s="102"/>
      <c r="F50" s="18" t="s">
        <v>40</v>
      </c>
      <c r="G50" s="100" t="s">
        <v>28</v>
      </c>
      <c r="H50" s="102"/>
      <c r="R50"/>
      <c r="S50" t="s">
        <v>248</v>
      </c>
      <c r="T50" t="s">
        <v>253</v>
      </c>
      <c r="U50" t="s">
        <v>264</v>
      </c>
      <c r="V50" t="s">
        <v>269</v>
      </c>
    </row>
    <row r="51" spans="1:24" x14ac:dyDescent="0.35">
      <c r="A51" s="100" t="s">
        <v>41</v>
      </c>
      <c r="B51" s="102"/>
      <c r="C51" s="100" t="s">
        <v>313</v>
      </c>
      <c r="D51" s="101"/>
      <c r="E51" s="102"/>
      <c r="F51" s="18" t="s">
        <v>40</v>
      </c>
      <c r="G51" s="103">
        <v>44886</v>
      </c>
      <c r="H51" s="102"/>
      <c r="R51"/>
      <c r="S51" t="s">
        <v>249</v>
      </c>
      <c r="T51" t="s">
        <v>254</v>
      </c>
      <c r="U51" t="s">
        <v>262</v>
      </c>
      <c r="V51" t="s">
        <v>270</v>
      </c>
    </row>
    <row r="52" spans="1:24" s="23" customFormat="1" ht="15.75" customHeight="1" x14ac:dyDescent="0.35">
      <c r="A52" s="118" t="s">
        <v>149</v>
      </c>
      <c r="B52" s="119"/>
      <c r="C52" s="100" t="str">
        <f>C51</f>
        <v>SRA/DDTP/0524/T/PL/AP</v>
      </c>
      <c r="D52" s="101"/>
      <c r="E52" s="102"/>
      <c r="F52" s="18" t="s">
        <v>40</v>
      </c>
      <c r="G52" s="103">
        <f>G51</f>
        <v>44886</v>
      </c>
      <c r="H52" s="102"/>
      <c r="R52"/>
      <c r="S52" t="s">
        <v>250</v>
      </c>
      <c r="T52" t="s">
        <v>255</v>
      </c>
      <c r="U52" t="s">
        <v>252</v>
      </c>
      <c r="V52" t="s">
        <v>271</v>
      </c>
    </row>
    <row r="53" spans="1:24" s="23" customFormat="1" ht="34.5" customHeight="1" x14ac:dyDescent="0.35">
      <c r="A53" s="120"/>
      <c r="B53" s="121"/>
      <c r="C53" s="100" t="s">
        <v>314</v>
      </c>
      <c r="D53" s="101"/>
      <c r="E53" s="101"/>
      <c r="F53" s="101"/>
      <c r="G53" s="101"/>
      <c r="H53" s="102"/>
      <c r="R53"/>
      <c r="S53" t="s">
        <v>251</v>
      </c>
      <c r="T53" t="s">
        <v>258</v>
      </c>
      <c r="U53" t="s">
        <v>265</v>
      </c>
    </row>
    <row r="54" spans="1:24" s="23" customFormat="1" hidden="1" x14ac:dyDescent="0.35">
      <c r="A54" s="108" t="s">
        <v>275</v>
      </c>
      <c r="B54" s="109"/>
      <c r="C54" s="100" t="str">
        <f>C53</f>
        <v xml:space="preserve">This further CC is re -endorsed as per approved approved amended plans dated 21/11/2022.
</v>
      </c>
      <c r="D54" s="101"/>
      <c r="E54" s="102"/>
      <c r="F54" s="18" t="s">
        <v>40</v>
      </c>
      <c r="G54" s="100"/>
      <c r="H54" s="102"/>
      <c r="R54"/>
      <c r="S54" t="s">
        <v>250</v>
      </c>
      <c r="T54" t="s">
        <v>255</v>
      </c>
      <c r="U54" t="s">
        <v>252</v>
      </c>
      <c r="V54" t="s">
        <v>271</v>
      </c>
    </row>
    <row r="55" spans="1:24" s="23" customFormat="1" ht="32.25" hidden="1" customHeight="1" x14ac:dyDescent="0.35">
      <c r="A55" s="110"/>
      <c r="B55" s="111"/>
      <c r="C55" s="198"/>
      <c r="D55" s="199"/>
      <c r="E55" s="199"/>
      <c r="F55" s="199"/>
      <c r="G55" s="199"/>
      <c r="H55" s="200"/>
      <c r="R55"/>
      <c r="S55" t="s">
        <v>252</v>
      </c>
      <c r="T55" t="s">
        <v>256</v>
      </c>
      <c r="U55" t="s">
        <v>266</v>
      </c>
      <c r="V55" s="21"/>
      <c r="W55" s="21"/>
      <c r="X55" s="21"/>
    </row>
    <row r="56" spans="1:24" s="23" customFormat="1" ht="34.5" hidden="1" customHeight="1" x14ac:dyDescent="0.35">
      <c r="A56" s="108" t="s">
        <v>276</v>
      </c>
      <c r="B56" s="109"/>
      <c r="C56" s="100">
        <f>C55</f>
        <v>0</v>
      </c>
      <c r="D56" s="101"/>
      <c r="E56" s="102"/>
      <c r="F56" s="18" t="s">
        <v>40</v>
      </c>
      <c r="G56" s="100">
        <f>G55</f>
        <v>0</v>
      </c>
      <c r="H56" s="102"/>
      <c r="R56"/>
      <c r="S56" s="21"/>
      <c r="T56" t="s">
        <v>257</v>
      </c>
      <c r="U56" t="s">
        <v>267</v>
      </c>
      <c r="V56" s="21"/>
      <c r="W56" s="21"/>
      <c r="X56" s="21"/>
    </row>
    <row r="57" spans="1:24" s="23" customFormat="1" ht="41.25" hidden="1" customHeight="1" x14ac:dyDescent="0.35">
      <c r="A57" s="110"/>
      <c r="B57" s="111"/>
      <c r="C57" s="100"/>
      <c r="D57" s="101"/>
      <c r="E57" s="101"/>
      <c r="F57" s="101"/>
      <c r="G57" s="101"/>
      <c r="H57" s="102"/>
      <c r="R57"/>
      <c r="S57" s="21"/>
      <c r="T57" t="s">
        <v>259</v>
      </c>
      <c r="U57" t="s">
        <v>268</v>
      </c>
      <c r="V57" s="21"/>
      <c r="W57" s="21"/>
      <c r="X57" s="21"/>
    </row>
    <row r="58" spans="1:24" s="23" customFormat="1" ht="15.75" hidden="1" customHeight="1" x14ac:dyDescent="0.35">
      <c r="A58" s="108" t="s">
        <v>277</v>
      </c>
      <c r="B58" s="109"/>
      <c r="C58" s="100">
        <f>C57</f>
        <v>0</v>
      </c>
      <c r="D58" s="101"/>
      <c r="E58" s="102"/>
      <c r="F58" s="18" t="s">
        <v>40</v>
      </c>
      <c r="G58" s="100">
        <f>G57</f>
        <v>0</v>
      </c>
      <c r="H58" s="102"/>
      <c r="R58"/>
      <c r="S58" s="21"/>
      <c r="T58" t="s">
        <v>260</v>
      </c>
      <c r="U58" s="21" t="s">
        <v>291</v>
      </c>
      <c r="V58" s="21"/>
      <c r="W58" s="21"/>
      <c r="X58" s="21"/>
    </row>
    <row r="59" spans="1:24" s="23" customFormat="1" ht="33.75" hidden="1" customHeight="1" x14ac:dyDescent="0.35">
      <c r="A59" s="110"/>
      <c r="B59" s="111"/>
      <c r="C59" s="100"/>
      <c r="D59" s="101"/>
      <c r="E59" s="101"/>
      <c r="F59" s="101"/>
      <c r="G59" s="101"/>
      <c r="H59" s="102"/>
      <c r="R59"/>
      <c r="S59" s="21"/>
      <c r="T59" t="s">
        <v>261</v>
      </c>
      <c r="U59" s="21"/>
      <c r="V59" s="21"/>
      <c r="W59" s="21"/>
      <c r="X59" s="21"/>
    </row>
    <row r="60" spans="1:24" ht="52.5" customHeight="1" x14ac:dyDescent="0.35">
      <c r="A60" s="122" t="s">
        <v>42</v>
      </c>
      <c r="B60" s="123"/>
      <c r="C60" s="122" t="s">
        <v>366</v>
      </c>
      <c r="D60" s="124"/>
      <c r="E60" s="123"/>
      <c r="F60" s="45" t="s">
        <v>40</v>
      </c>
      <c r="G60" s="229">
        <v>45777</v>
      </c>
      <c r="H60" s="107"/>
      <c r="R60"/>
      <c r="T60" t="s">
        <v>263</v>
      </c>
    </row>
    <row r="61" spans="1:24" x14ac:dyDescent="0.35">
      <c r="A61" s="104" t="s">
        <v>44</v>
      </c>
      <c r="B61" s="104"/>
      <c r="C61" s="104"/>
      <c r="D61" s="104"/>
      <c r="E61" s="104"/>
      <c r="F61" s="104"/>
      <c r="G61" s="104"/>
      <c r="H61" s="104"/>
      <c r="T61" t="s">
        <v>272</v>
      </c>
    </row>
    <row r="62" spans="1:24" x14ac:dyDescent="0.35">
      <c r="A62" s="105" t="s">
        <v>88</v>
      </c>
      <c r="B62" s="105"/>
      <c r="C62" s="105"/>
      <c r="D62" s="116">
        <f>E46</f>
        <v>42290.75</v>
      </c>
      <c r="E62" s="116"/>
      <c r="F62" s="116"/>
      <c r="G62" s="116"/>
      <c r="H62" s="116"/>
      <c r="R62"/>
    </row>
    <row r="63" spans="1:24" x14ac:dyDescent="0.35">
      <c r="A63" s="106" t="s">
        <v>45</v>
      </c>
      <c r="B63" s="99"/>
      <c r="C63" s="99"/>
      <c r="D63" s="99" t="s">
        <v>346</v>
      </c>
      <c r="E63" s="99"/>
      <c r="F63" s="99"/>
      <c r="G63" s="99"/>
      <c r="H63" s="99"/>
      <c r="I63" s="24"/>
      <c r="R63"/>
    </row>
    <row r="64" spans="1:24" ht="34.5" customHeight="1" x14ac:dyDescent="0.35">
      <c r="A64" s="131" t="s">
        <v>46</v>
      </c>
      <c r="B64" s="132"/>
      <c r="C64" s="212"/>
      <c r="D64" s="133" t="s">
        <v>315</v>
      </c>
      <c r="E64" s="134"/>
      <c r="F64" s="134"/>
      <c r="G64" s="134"/>
      <c r="H64" s="134"/>
      <c r="R64"/>
    </row>
    <row r="65" spans="1:19" ht="35.25" customHeight="1" x14ac:dyDescent="0.35">
      <c r="A65" s="131" t="s">
        <v>86</v>
      </c>
      <c r="B65" s="132"/>
      <c r="C65" s="132"/>
      <c r="D65" s="133" t="s">
        <v>315</v>
      </c>
      <c r="E65" s="134"/>
      <c r="F65" s="134"/>
      <c r="G65" s="134"/>
      <c r="H65" s="134"/>
      <c r="R65"/>
    </row>
    <row r="66" spans="1:19" ht="15.75" customHeight="1" x14ac:dyDescent="0.35">
      <c r="A66" s="116" t="s">
        <v>43</v>
      </c>
      <c r="B66" s="116"/>
      <c r="C66" s="116"/>
      <c r="D66" s="105" t="s">
        <v>365</v>
      </c>
      <c r="E66" s="105"/>
      <c r="F66" s="105"/>
      <c r="G66" s="105"/>
      <c r="H66" s="105"/>
      <c r="J66" s="25"/>
      <c r="K66" s="24"/>
      <c r="N66" s="24"/>
      <c r="S66"/>
    </row>
    <row r="67" spans="1:19" ht="15.75" customHeight="1" x14ac:dyDescent="0.35">
      <c r="A67" s="116" t="s">
        <v>84</v>
      </c>
      <c r="B67" s="116"/>
      <c r="C67" s="116"/>
      <c r="D67" s="197" t="str">
        <f ca="1">(IF(G60="NA","60 Years After Completion",IF(G60&lt;&gt;"NA",""&amp;60-ROUNDDOWN((E3-G60)/360,0)&amp;" Years"," ")))</f>
        <v>60 Years</v>
      </c>
      <c r="E67" s="197"/>
      <c r="F67" s="197"/>
      <c r="G67" s="197"/>
      <c r="H67" s="197"/>
      <c r="N67" s="24"/>
      <c r="S67"/>
    </row>
    <row r="68" spans="1:19" ht="15.75" customHeight="1" x14ac:dyDescent="0.35">
      <c r="A68" s="116" t="s">
        <v>85</v>
      </c>
      <c r="B68" s="116"/>
      <c r="C68" s="116"/>
      <c r="D68" s="105" t="s">
        <v>23</v>
      </c>
      <c r="E68" s="105"/>
      <c r="F68" s="105"/>
      <c r="G68" s="105"/>
      <c r="H68" s="105"/>
      <c r="J68" s="26"/>
      <c r="K68" s="26"/>
      <c r="S68"/>
    </row>
    <row r="69" spans="1:19" ht="158.25" customHeight="1" x14ac:dyDescent="0.35">
      <c r="A69" s="99" t="s">
        <v>347</v>
      </c>
      <c r="B69" s="99"/>
      <c r="C69" s="99"/>
      <c r="D69" s="106" t="s">
        <v>348</v>
      </c>
      <c r="E69" s="106"/>
      <c r="F69" s="106"/>
      <c r="G69" s="106"/>
      <c r="H69" s="106"/>
      <c r="I69" s="81" t="s">
        <v>349</v>
      </c>
      <c r="S69"/>
    </row>
    <row r="70" spans="1:19" x14ac:dyDescent="0.35">
      <c r="A70" s="105" t="s">
        <v>142</v>
      </c>
      <c r="B70" s="105"/>
      <c r="C70" s="105"/>
      <c r="D70" s="105" t="s">
        <v>28</v>
      </c>
      <c r="E70" s="105"/>
      <c r="F70" s="105"/>
      <c r="G70" s="105"/>
      <c r="H70" s="105"/>
      <c r="I70" s="27"/>
      <c r="J70" s="27"/>
      <c r="K70" s="27"/>
      <c r="L70" s="27"/>
      <c r="M70" s="27"/>
      <c r="N70" s="27"/>
    </row>
    <row r="71" spans="1:19" ht="15.75" customHeight="1" x14ac:dyDescent="0.35">
      <c r="A71" s="116" t="s">
        <v>83</v>
      </c>
      <c r="B71" s="116"/>
      <c r="C71" s="116"/>
      <c r="D71" s="106" t="str">
        <f ca="1">(IF(G77&gt;95%,"Nothing",IF(G77&gt;0%,"Cement, Aggregate, Steel, etc",IF(G77=0%,"Work not yet Started"))))</f>
        <v>Nothing</v>
      </c>
      <c r="E71" s="106"/>
      <c r="F71" s="106"/>
      <c r="G71" s="106"/>
      <c r="H71" s="106"/>
      <c r="J71" s="26"/>
      <c r="S71"/>
    </row>
    <row r="72" spans="1:19" ht="33.75" customHeight="1" thickBot="1" x14ac:dyDescent="0.4">
      <c r="A72" s="105" t="s">
        <v>112</v>
      </c>
      <c r="B72" s="105"/>
      <c r="C72" s="105"/>
      <c r="D72" s="106" t="str">
        <f ca="1">(IF(D71="Nothing","Yes",IF(D71="Cement, Aggregate, Steel, etc","Under Construction",IF(D71="Work not yet Started","Work not yet Started"))))</f>
        <v>Yes</v>
      </c>
      <c r="E72" s="106"/>
      <c r="F72" s="106" t="str">
        <f ca="1">(IF(D71="Nothing","Yes",IF(D71="Cement, Aggregate, Steel, etc","Under Construction",IF(D71="Work not yet Started","Work not yet Started"))))</f>
        <v>Yes</v>
      </c>
      <c r="G72" s="106"/>
      <c r="H72" s="106"/>
      <c r="S72"/>
    </row>
    <row r="73" spans="1:19" ht="33.75" customHeight="1" x14ac:dyDescent="0.35">
      <c r="A73" s="189" t="s">
        <v>134</v>
      </c>
      <c r="B73" s="189"/>
      <c r="C73" s="144" t="str">
        <f>D65</f>
        <v>Wing A &amp; B  = B + Gr + P1 to P9 + 10th &amp; 11th Eco-Deck + 12th Service Floor + 13th to 54th Floor</v>
      </c>
      <c r="D73" s="144"/>
      <c r="E73" s="144"/>
      <c r="F73" s="144"/>
      <c r="G73" s="144"/>
      <c r="H73" s="144"/>
      <c r="I73" s="85" t="str">
        <f ca="1">IF(D86=100%,"All work Completed. Possession granted to the Building.",IF(D85=100%,"All work Completed, Waiting for OC",I74&amp;""&amp;I75&amp;""&amp;J74&amp;""&amp;J73&amp;" "&amp;J75))</f>
        <v>All work Completed. Possession granted to the Building.</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c>
      <c r="S73"/>
    </row>
    <row r="74" spans="1:19" x14ac:dyDescent="0.35">
      <c r="A74" s="16" t="s">
        <v>136</v>
      </c>
      <c r="B74" s="52">
        <f>IF(AND(ISNUMBER(SEARCH("1B",C73))),1,IF(AND(ISNUMBER(SEARCH("2B",C73))),2,IF(AND(ISNUMBER(SEARCH("3B",C73))),3,IF(AND(ISNUMBER(SEARCH("4B",C73))),4,IF(ISNUMBER(SEARCH("5B",C73)),5,0)))))</f>
        <v>0</v>
      </c>
      <c r="C74" s="75" t="s">
        <v>69</v>
      </c>
      <c r="D74" s="75">
        <v>1</v>
      </c>
      <c r="E74" s="75" t="s">
        <v>68</v>
      </c>
      <c r="F74" s="75">
        <v>0</v>
      </c>
      <c r="G74" s="75" t="s">
        <v>77</v>
      </c>
      <c r="H74" s="76">
        <f ca="1">--TRIM(RIGHT(SUBSTITUTE(LEFT(C73,_xlfn.AGGREGATE(16,6,FIND({0,1,2,3,4,5,6,7,8,9},C73,ROW(INDIRECT("1:"&amp;LEN(C73)))),1))," ",REPT(" ",LEN(C73))),LEN(C73)))</f>
        <v>54</v>
      </c>
      <c r="I74" s="50"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 Flooring, Painting, Building common Amenities</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35">
      <c r="A75" s="181" t="s">
        <v>87</v>
      </c>
      <c r="B75" s="174"/>
      <c r="C75" s="144" t="str">
        <f ca="1">I73</f>
        <v>All work Completed. Possession granted to the Building.</v>
      </c>
      <c r="D75" s="144"/>
      <c r="E75" s="144"/>
      <c r="F75" s="144"/>
      <c r="G75" s="144"/>
      <c r="H75" s="201"/>
      <c r="I75" s="50" t="str">
        <f ca="1">IF(I74&lt;&gt;""," Completed","")</f>
        <v xml:space="preserve"> Completed</v>
      </c>
      <c r="J75" s="51" t="str">
        <f ca="1">IF(J73&lt;&gt;"","Completed","")</f>
        <v/>
      </c>
      <c r="S75"/>
    </row>
    <row r="76" spans="1:19" ht="15.75" customHeight="1" x14ac:dyDescent="0.35">
      <c r="A76" s="129" t="s">
        <v>47</v>
      </c>
      <c r="B76" s="130"/>
      <c r="C76" s="68" t="s">
        <v>133</v>
      </c>
      <c r="D76" s="68" t="s">
        <v>80</v>
      </c>
      <c r="E76" s="130" t="s">
        <v>82</v>
      </c>
      <c r="F76" s="130"/>
      <c r="G76" s="130" t="s">
        <v>81</v>
      </c>
      <c r="H76" s="141"/>
      <c r="I76" s="13" t="s">
        <v>135</v>
      </c>
      <c r="J76" s="28">
        <f ca="1">H74*25%</f>
        <v>13.5</v>
      </c>
      <c r="S76"/>
    </row>
    <row r="77" spans="1:19" x14ac:dyDescent="0.35">
      <c r="A77" s="129" t="s">
        <v>122</v>
      </c>
      <c r="B77" s="130"/>
      <c r="C77" s="68">
        <f ca="1">J78</f>
        <v>54</v>
      </c>
      <c r="D77" s="19">
        <f ca="1">((100/H74)*C77)/100</f>
        <v>1</v>
      </c>
      <c r="E77" s="135">
        <f ca="1">(((C78/H74*10)+(40/(D74+F74+H74)*C79)+(7.5/(H74)*C80)+(7.5/(H74)*C81)+(10/H74*C82)+(10/H74*C83)+(5/H74*C84)+(5/H74*C85)+(5/H74*C86))/100)</f>
        <v>1</v>
      </c>
      <c r="F77" s="136"/>
      <c r="G77" s="135">
        <f ca="1">((((C77/H74)*20)+((C78/H74)*25)+(30/(H74+F74+D74)*C79)+(5/H74*C80)+(5/H74*C81)+(5/H74*C82)+(5/H74*C83)+(0/H74*C84)+(0/H74*C85)+(5/H74*C86))/100)</f>
        <v>1</v>
      </c>
      <c r="H77" s="190"/>
      <c r="I77" s="13" t="s">
        <v>95</v>
      </c>
      <c r="J77" s="29">
        <f ca="1">H74*50%</f>
        <v>27</v>
      </c>
    </row>
    <row r="78" spans="1:19" x14ac:dyDescent="0.35">
      <c r="A78" s="129" t="s">
        <v>48</v>
      </c>
      <c r="B78" s="130"/>
      <c r="C78" s="68">
        <f ca="1">J86</f>
        <v>54</v>
      </c>
      <c r="D78" s="19">
        <f ca="1">((100/H74)*C78)/100</f>
        <v>1</v>
      </c>
      <c r="E78" s="137"/>
      <c r="F78" s="138"/>
      <c r="G78" s="137"/>
      <c r="H78" s="191"/>
      <c r="I78" s="13" t="s">
        <v>96</v>
      </c>
      <c r="J78" s="29">
        <f ca="1">H74</f>
        <v>54</v>
      </c>
      <c r="S78"/>
    </row>
    <row r="79" spans="1:19" ht="15.75" customHeight="1" x14ac:dyDescent="0.35">
      <c r="A79" s="129" t="s">
        <v>123</v>
      </c>
      <c r="B79" s="130"/>
      <c r="C79" s="68">
        <v>55</v>
      </c>
      <c r="D79" s="19">
        <f ca="1">((100/(D74+F74+H74))*C79)/100</f>
        <v>1</v>
      </c>
      <c r="E79" s="137"/>
      <c r="F79" s="138"/>
      <c r="G79" s="137"/>
      <c r="H79" s="191"/>
      <c r="I79" s="13" t="s">
        <v>97</v>
      </c>
      <c r="J79" s="30">
        <f ca="1">(IF(B74&gt;1,(H74/(B74+2)),H74/4))</f>
        <v>13.5</v>
      </c>
      <c r="S79"/>
    </row>
    <row r="80" spans="1:19" ht="15.75" customHeight="1" x14ac:dyDescent="0.35">
      <c r="A80" s="129" t="s">
        <v>130</v>
      </c>
      <c r="B80" s="130" t="s">
        <v>124</v>
      </c>
      <c r="C80" s="68">
        <v>54</v>
      </c>
      <c r="D80" s="19">
        <f ca="1">((100/H74)*C80)/100</f>
        <v>1</v>
      </c>
      <c r="E80" s="137"/>
      <c r="F80" s="138"/>
      <c r="G80" s="137"/>
      <c r="H80" s="191"/>
      <c r="I80" s="13" t="s">
        <v>98</v>
      </c>
      <c r="J80" s="30">
        <f ca="1">(IF(B74&gt;1,(H74/(B74+2)+J79),H74/4+J79))</f>
        <v>27</v>
      </c>
    </row>
    <row r="81" spans="1:10" ht="15.75" customHeight="1" x14ac:dyDescent="0.35">
      <c r="A81" s="129" t="s">
        <v>131</v>
      </c>
      <c r="B81" s="130" t="s">
        <v>124</v>
      </c>
      <c r="C81" s="68">
        <v>54</v>
      </c>
      <c r="D81" s="19">
        <f ca="1">((100/H74)*C81)/100</f>
        <v>1</v>
      </c>
      <c r="E81" s="137"/>
      <c r="F81" s="138"/>
      <c r="G81" s="137"/>
      <c r="H81" s="191"/>
      <c r="I81" s="13" t="s">
        <v>140</v>
      </c>
      <c r="J81" s="30">
        <f>(IF(B74&gt;1,(H74/(B74+2)+J80),0))</f>
        <v>0</v>
      </c>
    </row>
    <row r="82" spans="1:10" ht="15" customHeight="1" x14ac:dyDescent="0.35">
      <c r="A82" s="129" t="s">
        <v>129</v>
      </c>
      <c r="B82" s="130" t="s">
        <v>126</v>
      </c>
      <c r="C82" s="68">
        <v>54</v>
      </c>
      <c r="D82" s="19">
        <f ca="1">((100/(H74))*C82)/100</f>
        <v>1</v>
      </c>
      <c r="E82" s="137"/>
      <c r="F82" s="138"/>
      <c r="G82" s="137"/>
      <c r="H82" s="191"/>
      <c r="I82" s="13" t="s">
        <v>137</v>
      </c>
      <c r="J82" s="30">
        <f>(IF(B74&gt;2,(H74/(B74+2)+J81),0))</f>
        <v>0</v>
      </c>
    </row>
    <row r="83" spans="1:10" ht="15.75" customHeight="1" x14ac:dyDescent="0.35">
      <c r="A83" s="129" t="s">
        <v>125</v>
      </c>
      <c r="B83" s="130" t="s">
        <v>125</v>
      </c>
      <c r="C83" s="68">
        <v>54</v>
      </c>
      <c r="D83" s="19">
        <f ca="1">((100/H74)*C83)/100</f>
        <v>1</v>
      </c>
      <c r="E83" s="137"/>
      <c r="F83" s="138"/>
      <c r="G83" s="137"/>
      <c r="H83" s="191"/>
      <c r="I83" s="13" t="s">
        <v>138</v>
      </c>
      <c r="J83" s="31">
        <f>(IF(B74&gt;3,(H74/(B74+2)+J82),0))</f>
        <v>0</v>
      </c>
    </row>
    <row r="84" spans="1:10" ht="15.75" customHeight="1" x14ac:dyDescent="0.35">
      <c r="A84" s="129" t="s">
        <v>132</v>
      </c>
      <c r="B84" s="130"/>
      <c r="C84" s="68">
        <v>54</v>
      </c>
      <c r="D84" s="19">
        <f ca="1">((100/H74)*C84)/100</f>
        <v>1</v>
      </c>
      <c r="E84" s="137"/>
      <c r="F84" s="138"/>
      <c r="G84" s="137"/>
      <c r="H84" s="191"/>
      <c r="I84" s="13" t="s">
        <v>139</v>
      </c>
      <c r="J84" s="30">
        <f>(IF(B74&gt;4,(H74/(B74+2)+J83),0))</f>
        <v>0</v>
      </c>
    </row>
    <row r="85" spans="1:10" ht="15.75" customHeight="1" x14ac:dyDescent="0.35">
      <c r="A85" s="129" t="s">
        <v>127</v>
      </c>
      <c r="B85" s="130" t="s">
        <v>127</v>
      </c>
      <c r="C85" s="68">
        <v>54</v>
      </c>
      <c r="D85" s="19">
        <f ca="1">((100/(H74))*C85)/100</f>
        <v>1</v>
      </c>
      <c r="E85" s="137"/>
      <c r="F85" s="138"/>
      <c r="G85" s="137"/>
      <c r="H85" s="191"/>
      <c r="I85" s="13" t="s">
        <v>141</v>
      </c>
      <c r="J85" s="30">
        <f ca="1">(IF(B74=1,(H74/(B74+3)+J80),IF(B74=0,(H74/4+J80),IF(B74&gt;1,0))))</f>
        <v>40.5</v>
      </c>
    </row>
    <row r="86" spans="1:10" ht="16" thickBot="1" x14ac:dyDescent="0.4">
      <c r="A86" s="195" t="s">
        <v>128</v>
      </c>
      <c r="B86" s="196"/>
      <c r="C86" s="70">
        <v>54</v>
      </c>
      <c r="D86" s="20">
        <f ca="1">((100/(H74))*C86)/100</f>
        <v>1</v>
      </c>
      <c r="E86" s="139"/>
      <c r="F86" s="140"/>
      <c r="G86" s="139"/>
      <c r="H86" s="192"/>
      <c r="I86" s="15" t="s">
        <v>99</v>
      </c>
      <c r="J86" s="32">
        <f ca="1">(IF(B74&gt;1.5,(H74/(B74+2)+J80+MAX(0,J81-J80)+MAX(0,J82-J81)+MAX(0,J83-J82)+MAX(0,J84-J83)+MAX(0,J85-J84)),IF(B74=1,(H74/(B74+3)+J85),IF(B74=0,H74/4+J85))))</f>
        <v>54</v>
      </c>
    </row>
    <row r="87" spans="1:10" ht="15.75" hidden="1" customHeight="1" x14ac:dyDescent="0.35">
      <c r="A87" s="205" t="s">
        <v>134</v>
      </c>
      <c r="B87" s="206"/>
      <c r="C87" s="207" t="e">
        <f>#REF!</f>
        <v>#REF!</v>
      </c>
      <c r="D87" s="208"/>
      <c r="E87" s="208"/>
      <c r="F87" s="208"/>
      <c r="G87" s="208"/>
      <c r="H87" s="209"/>
      <c r="I87" s="48" t="e">
        <f ca="1">IF(D100=100%,"All work Completed. Possession granted to the Building.",IF(D99=100%,"All work Completed, Waiting for OC",I88&amp;""&amp;I89&amp;""&amp;J88&amp;""&amp;J87&amp;" "&amp;J89))</f>
        <v>#REF!</v>
      </c>
      <c r="J87" s="49"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35">
      <c r="A88" s="16" t="s">
        <v>136</v>
      </c>
      <c r="B88" s="53">
        <f>IF(AND(ISNUMBER(SEARCH("1B",C87))),1,IF(AND(ISNUMBER(SEARCH("2B",C87))),2,IF(AND(ISNUMBER(SEARCH("3B",C87))),3,IF(AND(ISNUMBER(SEARCH("4B",C87))),4,IF(ISNUMBER(SEARCH("5B",C87)),5,0)))))</f>
        <v>0</v>
      </c>
      <c r="C88" s="46" t="s">
        <v>69</v>
      </c>
      <c r="D88" s="46">
        <v>1</v>
      </c>
      <c r="E88" s="46" t="s">
        <v>68</v>
      </c>
      <c r="F88" s="14">
        <v>0</v>
      </c>
      <c r="G88" s="47" t="s">
        <v>77</v>
      </c>
      <c r="H88" s="17" t="e">
        <f ca="1">--TRIM(RIGHT(SUBSTITUTE(LEFT(C87,_xlfn.AGGREGATE(16,6,FIND({0,1,2,3,4,5,6,7,8,9},C87,ROW(INDIRECT("1:"&amp;LEN(C87)))),1))," ",REPT(" ",LEN(C87))),LEN(C87)))</f>
        <v>#REF!</v>
      </c>
      <c r="I88" s="50" t="e">
        <f ca="1">IF(D91=100%,"Excavation","")&amp;IF(D92=100%,", Plinth","")&amp;IF(D93=100%,", RCC Slab","")&amp;IF(D94=100%,", Brickwork","")&amp;IF(D95=100%,", Internal Plaster","")&amp;IF(D96=100%,", External Plaster","")&amp;IF(D97=100%,", Flooring","")&amp;IF(D98=100%,", Painting","")&amp;IF(D99=100%,", Building common Amenities","")</f>
        <v>#REF!</v>
      </c>
      <c r="J88" s="51"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35">
      <c r="A89" s="181" t="s">
        <v>87</v>
      </c>
      <c r="B89" s="174"/>
      <c r="C89" s="142" t="str">
        <f>(IF($G$60="NA",I87,"All work Completed. OC Received."))</f>
        <v>All work Completed. OC Received.</v>
      </c>
      <c r="D89" s="142"/>
      <c r="E89" s="142"/>
      <c r="F89" s="142"/>
      <c r="G89" s="142"/>
      <c r="H89" s="143"/>
      <c r="I89" s="50" t="e">
        <f ca="1">IF(I88&lt;&gt;""," Completed","")</f>
        <v>#REF!</v>
      </c>
      <c r="J89" s="51" t="e">
        <f ca="1">IF(J87&lt;&gt;"","Completed","")</f>
        <v>#REF!</v>
      </c>
    </row>
    <row r="90" spans="1:10" ht="15.75" hidden="1" customHeight="1" x14ac:dyDescent="0.35">
      <c r="A90" s="129" t="s">
        <v>47</v>
      </c>
      <c r="B90" s="130"/>
      <c r="C90" s="43" t="s">
        <v>133</v>
      </c>
      <c r="D90" s="43" t="s">
        <v>80</v>
      </c>
      <c r="E90" s="130" t="s">
        <v>82</v>
      </c>
      <c r="F90" s="130"/>
      <c r="G90" s="130" t="s">
        <v>81</v>
      </c>
      <c r="H90" s="141"/>
      <c r="I90" s="13" t="s">
        <v>135</v>
      </c>
      <c r="J90" s="28" t="e">
        <f ca="1">H88*25%</f>
        <v>#REF!</v>
      </c>
    </row>
    <row r="91" spans="1:10" hidden="1" x14ac:dyDescent="0.35">
      <c r="A91" s="129" t="s">
        <v>122</v>
      </c>
      <c r="B91" s="130"/>
      <c r="C91" s="43" t="e">
        <f ca="1">J92</f>
        <v>#REF!</v>
      </c>
      <c r="D91" s="19" t="e">
        <f ca="1">((100/H88)*C91)/100</f>
        <v>#REF!</v>
      </c>
      <c r="E91" s="135" t="e">
        <f ca="1">(((C92/H88*10)+(40/(D88+F88+H88)*C93)+(7.5/(H88)*C94)+(7.5/(H88)*C95)+(10/H88*C96)+(10/H88*C97)+(5/H88*C98)+(5/H88*C99)+(5/H88*C100))/100)</f>
        <v>#REF!</v>
      </c>
      <c r="F91" s="136"/>
      <c r="G91" s="135" t="e">
        <f ca="1">((((C91/H88)*20)+((C92/H88)*25)+(30/(H88+F88+D88)*C93)+(5/H88*C94)+(5/H88*C95)+(5/H88*C96)+(5/H88*C97)+(0/H88*C98)+(0/H88*C99)+(5/H88*C100))/100)</f>
        <v>#REF!</v>
      </c>
      <c r="H91" s="190"/>
      <c r="I91" s="13" t="s">
        <v>95</v>
      </c>
      <c r="J91" s="29" t="e">
        <f ca="1">H88*50%</f>
        <v>#REF!</v>
      </c>
    </row>
    <row r="92" spans="1:10" hidden="1" x14ac:dyDescent="0.35">
      <c r="A92" s="129" t="s">
        <v>48</v>
      </c>
      <c r="B92" s="130"/>
      <c r="C92" s="43" t="e">
        <f ca="1">J100</f>
        <v>#REF!</v>
      </c>
      <c r="D92" s="19" t="e">
        <f ca="1">((100/H88)*C92)/100</f>
        <v>#REF!</v>
      </c>
      <c r="E92" s="137"/>
      <c r="F92" s="138"/>
      <c r="G92" s="137"/>
      <c r="H92" s="191"/>
      <c r="I92" s="13" t="s">
        <v>96</v>
      </c>
      <c r="J92" s="29" t="e">
        <f ca="1">H88</f>
        <v>#REF!</v>
      </c>
    </row>
    <row r="93" spans="1:10" ht="15.75" hidden="1" customHeight="1" x14ac:dyDescent="0.35">
      <c r="A93" s="129" t="s">
        <v>123</v>
      </c>
      <c r="B93" s="130"/>
      <c r="C93" s="43" t="e">
        <f ca="1">D88+H88</f>
        <v>#REF!</v>
      </c>
      <c r="D93" s="19" t="e">
        <f ca="1">((100/(D88+F88+H88))*C93)/100</f>
        <v>#REF!</v>
      </c>
      <c r="E93" s="137"/>
      <c r="F93" s="138"/>
      <c r="G93" s="137"/>
      <c r="H93" s="191"/>
      <c r="I93" s="13" t="s">
        <v>97</v>
      </c>
      <c r="J93" s="30" t="e">
        <f ca="1">(IF(B88&gt;1,(H88/(B88+2)),H88/4))</f>
        <v>#REF!</v>
      </c>
    </row>
    <row r="94" spans="1:10" ht="15.75" hidden="1" customHeight="1" x14ac:dyDescent="0.35">
      <c r="A94" s="129" t="s">
        <v>130</v>
      </c>
      <c r="B94" s="130" t="s">
        <v>124</v>
      </c>
      <c r="C94" s="43">
        <v>0</v>
      </c>
      <c r="D94" s="19" t="e">
        <f ca="1">((100/H88)*C94)/100</f>
        <v>#REF!</v>
      </c>
      <c r="E94" s="137"/>
      <c r="F94" s="138"/>
      <c r="G94" s="137"/>
      <c r="H94" s="191"/>
      <c r="I94" s="13" t="s">
        <v>98</v>
      </c>
      <c r="J94" s="30" t="e">
        <f ca="1">(IF(B88&gt;1,(H88/(B88+2)+J93),H88/4+J93))</f>
        <v>#REF!</v>
      </c>
    </row>
    <row r="95" spans="1:10" ht="15.75" hidden="1" customHeight="1" x14ac:dyDescent="0.35">
      <c r="A95" s="129" t="s">
        <v>131</v>
      </c>
      <c r="B95" s="130" t="s">
        <v>124</v>
      </c>
      <c r="C95" s="43">
        <v>0</v>
      </c>
      <c r="D95" s="19" t="e">
        <f ca="1">((100/H88)*C95)/100</f>
        <v>#REF!</v>
      </c>
      <c r="E95" s="137"/>
      <c r="F95" s="138"/>
      <c r="G95" s="137"/>
      <c r="H95" s="191"/>
      <c r="I95" s="13" t="s">
        <v>140</v>
      </c>
      <c r="J95" s="30">
        <f>(IF(B88&gt;1,(H88/(B88+2)+J94),0))</f>
        <v>0</v>
      </c>
    </row>
    <row r="96" spans="1:10" ht="15" hidden="1" customHeight="1" x14ac:dyDescent="0.35">
      <c r="A96" s="129" t="s">
        <v>129</v>
      </c>
      <c r="B96" s="130" t="s">
        <v>126</v>
      </c>
      <c r="C96" s="43">
        <v>0</v>
      </c>
      <c r="D96" s="19" t="e">
        <f ca="1">((100/(H88))*C96)/100</f>
        <v>#REF!</v>
      </c>
      <c r="E96" s="137"/>
      <c r="F96" s="138"/>
      <c r="G96" s="137"/>
      <c r="H96" s="191"/>
      <c r="I96" s="13" t="s">
        <v>137</v>
      </c>
      <c r="J96" s="30">
        <f>(IF(B88&gt;2,(H88/(B88+2)+J95),0))</f>
        <v>0</v>
      </c>
    </row>
    <row r="97" spans="1:22" ht="15.75" hidden="1" customHeight="1" x14ac:dyDescent="0.35">
      <c r="A97" s="129" t="s">
        <v>125</v>
      </c>
      <c r="B97" s="130" t="s">
        <v>125</v>
      </c>
      <c r="C97" s="43">
        <v>0</v>
      </c>
      <c r="D97" s="19" t="e">
        <f ca="1">((100/H88)*C97)/100</f>
        <v>#REF!</v>
      </c>
      <c r="E97" s="137"/>
      <c r="F97" s="138"/>
      <c r="G97" s="137"/>
      <c r="H97" s="191"/>
      <c r="I97" s="13" t="s">
        <v>138</v>
      </c>
      <c r="J97" s="31">
        <f>(IF(B88&gt;3,(H88/(B88+2)+J96),0))</f>
        <v>0</v>
      </c>
    </row>
    <row r="98" spans="1:22" ht="15.75" hidden="1" customHeight="1" x14ac:dyDescent="0.35">
      <c r="A98" s="129" t="s">
        <v>132</v>
      </c>
      <c r="B98" s="130"/>
      <c r="C98" s="43">
        <v>0</v>
      </c>
      <c r="D98" s="19" t="e">
        <f ca="1">((100/H88)*C98)/100</f>
        <v>#REF!</v>
      </c>
      <c r="E98" s="137"/>
      <c r="F98" s="138"/>
      <c r="G98" s="137"/>
      <c r="H98" s="191"/>
      <c r="I98" s="13" t="s">
        <v>139</v>
      </c>
      <c r="J98" s="30">
        <f>(IF(B88&gt;4,(H88/(B88+2)+J97),0))</f>
        <v>0</v>
      </c>
    </row>
    <row r="99" spans="1:22" ht="15.75" hidden="1" customHeight="1" x14ac:dyDescent="0.35">
      <c r="A99" s="129" t="s">
        <v>127</v>
      </c>
      <c r="B99" s="130" t="s">
        <v>127</v>
      </c>
      <c r="C99" s="43">
        <v>0</v>
      </c>
      <c r="D99" s="19" t="e">
        <f ca="1">((100/(H88))*C99)/100</f>
        <v>#REF!</v>
      </c>
      <c r="E99" s="137"/>
      <c r="F99" s="138"/>
      <c r="G99" s="137"/>
      <c r="H99" s="191"/>
      <c r="I99" s="13" t="s">
        <v>141</v>
      </c>
      <c r="J99" s="30" t="e">
        <f ca="1">(IF(B88=1,(H88/(B88+3)+J94),IF(B88=0,(H88/4+J94),IF(B88&gt;1,0))))</f>
        <v>#REF!</v>
      </c>
    </row>
    <row r="100" spans="1:22" ht="16" hidden="1" thickBot="1" x14ac:dyDescent="0.4">
      <c r="A100" s="195" t="s">
        <v>128</v>
      </c>
      <c r="B100" s="196"/>
      <c r="C100" s="44">
        <v>0</v>
      </c>
      <c r="D100" s="20" t="e">
        <f ca="1">((100/(H88))*C100)/100</f>
        <v>#REF!</v>
      </c>
      <c r="E100" s="139"/>
      <c r="F100" s="140"/>
      <c r="G100" s="139"/>
      <c r="H100" s="192"/>
      <c r="I100" s="15" t="s">
        <v>99</v>
      </c>
      <c r="J100" s="32" t="e">
        <f ca="1">(IF(B88&gt;1.5,(H88/(B88+2)+J94+MAX(0,J95-J94)+MAX(0,J96-J95)+MAX(0,J97-J96)+MAX(0,J98-J97)+MAX(0,J99-J98)),IF(B88=1,(H88/(B88+3)+J99),IF(B88=0,H88/4+J99))))</f>
        <v>#REF!</v>
      </c>
    </row>
    <row r="101" spans="1:22" x14ac:dyDescent="0.35">
      <c r="A101" s="221" t="s">
        <v>151</v>
      </c>
      <c r="B101" s="221"/>
      <c r="C101" s="221"/>
      <c r="D101" s="221"/>
      <c r="E101" s="221"/>
      <c r="F101" s="217" t="s">
        <v>155</v>
      </c>
      <c r="G101" s="217"/>
      <c r="H101" s="217"/>
      <c r="R101" t="s">
        <v>247</v>
      </c>
      <c r="S101" t="s">
        <v>167</v>
      </c>
      <c r="T101" t="s">
        <v>173</v>
      </c>
      <c r="U101" t="s">
        <v>188</v>
      </c>
      <c r="V101" t="s">
        <v>183</v>
      </c>
    </row>
    <row r="102" spans="1:22" x14ac:dyDescent="0.35">
      <c r="A102" s="116" t="s">
        <v>153</v>
      </c>
      <c r="B102" s="116"/>
      <c r="C102" s="116"/>
      <c r="D102" s="116"/>
      <c r="E102" s="116"/>
      <c r="F102" s="114">
        <v>17000</v>
      </c>
      <c r="G102" s="114"/>
      <c r="H102" s="114"/>
      <c r="K102" s="25" t="s">
        <v>360</v>
      </c>
      <c r="R102"/>
      <c r="S102">
        <v>800000</v>
      </c>
      <c r="T102">
        <v>300000</v>
      </c>
      <c r="U102">
        <v>100000</v>
      </c>
      <c r="V102">
        <v>100000</v>
      </c>
    </row>
    <row r="103" spans="1:22" hidden="1" x14ac:dyDescent="0.35">
      <c r="A103" s="116" t="s">
        <v>152</v>
      </c>
      <c r="B103" s="116"/>
      <c r="C103" s="116"/>
      <c r="D103" s="116"/>
      <c r="E103" s="116"/>
      <c r="F103" s="114"/>
      <c r="G103" s="114"/>
      <c r="H103" s="114"/>
      <c r="R103"/>
      <c r="S103">
        <v>900000</v>
      </c>
      <c r="T103">
        <v>350000</v>
      </c>
      <c r="U103">
        <v>150000</v>
      </c>
      <c r="V103">
        <v>150000</v>
      </c>
    </row>
    <row r="104" spans="1:22" hidden="1" x14ac:dyDescent="0.35">
      <c r="A104" s="116" t="s">
        <v>154</v>
      </c>
      <c r="B104" s="116"/>
      <c r="C104" s="116"/>
      <c r="D104" s="116"/>
      <c r="E104" s="116"/>
      <c r="F104" s="114"/>
      <c r="G104" s="114"/>
      <c r="H104" s="114"/>
      <c r="R104"/>
      <c r="S104">
        <v>1000000</v>
      </c>
      <c r="T104">
        <v>400000</v>
      </c>
      <c r="U104">
        <v>200000</v>
      </c>
      <c r="V104">
        <v>200000</v>
      </c>
    </row>
    <row r="105" spans="1:22" s="33" customFormat="1" x14ac:dyDescent="0.35">
      <c r="A105" s="116" t="s">
        <v>361</v>
      </c>
      <c r="B105" s="116"/>
      <c r="C105" s="116"/>
      <c r="D105" s="116"/>
      <c r="E105" s="116"/>
      <c r="F105" s="114">
        <v>100</v>
      </c>
      <c r="G105" s="114"/>
      <c r="H105" s="114"/>
      <c r="R105"/>
      <c r="S105">
        <v>1100000</v>
      </c>
      <c r="T105">
        <v>500000</v>
      </c>
      <c r="U105">
        <v>250000</v>
      </c>
      <c r="V105" s="23">
        <v>250000</v>
      </c>
    </row>
    <row r="106" spans="1:22" s="33" customFormat="1" x14ac:dyDescent="0.35">
      <c r="A106" s="116" t="s">
        <v>362</v>
      </c>
      <c r="B106" s="116"/>
      <c r="C106" s="116"/>
      <c r="D106" s="116"/>
      <c r="E106" s="116"/>
      <c r="F106" s="114">
        <v>512000</v>
      </c>
      <c r="G106" s="114"/>
      <c r="H106" s="114"/>
      <c r="R106"/>
      <c r="S106">
        <v>1200000</v>
      </c>
      <c r="T106">
        <v>600000</v>
      </c>
      <c r="U106">
        <v>300000</v>
      </c>
      <c r="V106">
        <v>300000</v>
      </c>
    </row>
    <row r="107" spans="1:22" s="33" customFormat="1" x14ac:dyDescent="0.35">
      <c r="A107" s="116" t="s">
        <v>92</v>
      </c>
      <c r="B107" s="116"/>
      <c r="C107" s="116"/>
      <c r="D107" s="116"/>
      <c r="E107" s="116"/>
      <c r="F107" s="114">
        <v>75000</v>
      </c>
      <c r="G107" s="114"/>
      <c r="H107" s="114"/>
      <c r="R107"/>
      <c r="S107">
        <v>1300000</v>
      </c>
      <c r="T107">
        <v>700000</v>
      </c>
      <c r="U107">
        <v>350000</v>
      </c>
      <c r="V107" s="23">
        <v>400000</v>
      </c>
    </row>
    <row r="108" spans="1:22" s="33" customFormat="1" hidden="1" x14ac:dyDescent="0.35">
      <c r="A108" s="116" t="s">
        <v>91</v>
      </c>
      <c r="B108" s="116"/>
      <c r="C108" s="116"/>
      <c r="D108" s="116"/>
      <c r="E108" s="116"/>
      <c r="F108" s="114"/>
      <c r="G108" s="114"/>
      <c r="H108" s="114"/>
      <c r="R108"/>
      <c r="S108">
        <v>1400000</v>
      </c>
      <c r="T108">
        <v>800000</v>
      </c>
      <c r="U108">
        <v>400000</v>
      </c>
      <c r="V108"/>
    </row>
    <row r="109" spans="1:22" s="33" customFormat="1" hidden="1" x14ac:dyDescent="0.35">
      <c r="A109" s="116" t="s">
        <v>92</v>
      </c>
      <c r="B109" s="116"/>
      <c r="C109" s="116"/>
      <c r="D109" s="116"/>
      <c r="E109" s="116"/>
      <c r="F109" s="114"/>
      <c r="G109" s="114"/>
      <c r="H109" s="114"/>
      <c r="R109"/>
      <c r="S109">
        <v>1500000</v>
      </c>
      <c r="T109">
        <v>900000</v>
      </c>
      <c r="U109">
        <v>500000</v>
      </c>
      <c r="V109" s="23"/>
    </row>
    <row r="110" spans="1:22" s="33" customFormat="1" hidden="1" x14ac:dyDescent="0.35">
      <c r="A110" s="116" t="s">
        <v>93</v>
      </c>
      <c r="B110" s="116"/>
      <c r="C110" s="116"/>
      <c r="D110" s="116"/>
      <c r="E110" s="116"/>
      <c r="F110" s="114"/>
      <c r="G110" s="114"/>
      <c r="H110" s="114"/>
      <c r="R110"/>
      <c r="S110">
        <v>1600000</v>
      </c>
      <c r="T110">
        <v>1000000</v>
      </c>
      <c r="U110">
        <v>600000</v>
      </c>
      <c r="V110"/>
    </row>
    <row r="111" spans="1:22" s="33" customFormat="1" hidden="1" x14ac:dyDescent="0.35">
      <c r="A111" s="116" t="s">
        <v>94</v>
      </c>
      <c r="B111" s="116"/>
      <c r="C111" s="116"/>
      <c r="D111" s="116"/>
      <c r="E111" s="116"/>
      <c r="F111" s="114"/>
      <c r="G111" s="114"/>
      <c r="H111" s="114"/>
      <c r="R111"/>
      <c r="S111">
        <v>1700000</v>
      </c>
      <c r="T111"/>
      <c r="U111"/>
      <c r="V111" s="23"/>
    </row>
    <row r="112" spans="1:22" x14ac:dyDescent="0.35">
      <c r="A112" s="116" t="s">
        <v>49</v>
      </c>
      <c r="B112" s="116"/>
      <c r="C112" s="116"/>
      <c r="D112" s="116"/>
      <c r="E112" s="116"/>
      <c r="F112" s="114">
        <v>800000</v>
      </c>
      <c r="G112" s="114"/>
      <c r="H112" s="114"/>
      <c r="R112"/>
      <c r="S112">
        <v>1800000</v>
      </c>
      <c r="T112"/>
      <c r="U112"/>
    </row>
    <row r="113" spans="1:22" s="34" customFormat="1" x14ac:dyDescent="0.35">
      <c r="A113" s="194" t="s">
        <v>50</v>
      </c>
      <c r="B113" s="194"/>
      <c r="C113" s="194"/>
      <c r="D113" s="194"/>
      <c r="E113" s="194"/>
      <c r="F113" s="114">
        <f>F102*0.8</f>
        <v>13600</v>
      </c>
      <c r="G113" s="114"/>
      <c r="H113" s="114"/>
      <c r="R113" s="21"/>
      <c r="S113" s="21"/>
      <c r="T113"/>
      <c r="U113"/>
      <c r="V113" s="21"/>
    </row>
    <row r="114" spans="1:22" s="35" customFormat="1" ht="15.75" hidden="1" customHeight="1" x14ac:dyDescent="0.35">
      <c r="A114" s="160" t="s">
        <v>72</v>
      </c>
      <c r="B114" s="160"/>
      <c r="C114" s="160"/>
      <c r="D114" s="160"/>
      <c r="E114" s="160"/>
      <c r="F114" s="160"/>
      <c r="G114" s="160"/>
      <c r="H114" s="160"/>
      <c r="R114"/>
      <c r="S114" s="21"/>
      <c r="T114"/>
      <c r="U114"/>
      <c r="V114" s="21"/>
    </row>
    <row r="115" spans="1:22" s="35" customFormat="1" ht="15.75" hidden="1" customHeight="1" x14ac:dyDescent="0.35">
      <c r="A115" s="126" t="s">
        <v>51</v>
      </c>
      <c r="B115" s="126"/>
      <c r="C115" s="128" t="s">
        <v>75</v>
      </c>
      <c r="D115" s="128"/>
      <c r="E115" s="125" t="s">
        <v>52</v>
      </c>
      <c r="F115" s="125"/>
      <c r="G115" s="126" t="s">
        <v>53</v>
      </c>
      <c r="H115" s="126"/>
      <c r="R115"/>
      <c r="S115" s="21"/>
      <c r="T115"/>
      <c r="U115" s="21"/>
      <c r="V115" s="21"/>
    </row>
    <row r="116" spans="1:22" s="35" customFormat="1" hidden="1" x14ac:dyDescent="0.35">
      <c r="A116" s="127"/>
      <c r="B116" s="127"/>
      <c r="C116" s="203"/>
      <c r="D116" s="203"/>
      <c r="E116" s="214"/>
      <c r="F116" s="214"/>
      <c r="G116" s="223"/>
      <c r="H116" s="223"/>
      <c r="R116"/>
      <c r="S116" s="21"/>
      <c r="T116"/>
      <c r="U116" s="21"/>
      <c r="V116" s="21"/>
    </row>
    <row r="117" spans="1:22" s="35" customFormat="1" hidden="1" x14ac:dyDescent="0.35">
      <c r="A117" s="127"/>
      <c r="B117" s="127"/>
      <c r="C117" s="203"/>
      <c r="D117" s="203"/>
      <c r="E117" s="214"/>
      <c r="F117" s="214"/>
      <c r="G117" s="223"/>
      <c r="H117" s="223"/>
      <c r="R117"/>
      <c r="S117" s="21"/>
      <c r="T117"/>
      <c r="U117" s="21"/>
      <c r="V117" s="21"/>
    </row>
    <row r="118" spans="1:22" s="35" customFormat="1" hidden="1" x14ac:dyDescent="0.35">
      <c r="A118" s="160" t="s">
        <v>144</v>
      </c>
      <c r="B118" s="160"/>
      <c r="C118" s="128"/>
      <c r="D118" s="128"/>
      <c r="E118" s="125"/>
      <c r="F118" s="125"/>
      <c r="G118" s="126"/>
      <c r="H118" s="126"/>
      <c r="R118"/>
      <c r="S118" s="21"/>
      <c r="T118"/>
      <c r="U118" s="21"/>
      <c r="V118" s="21"/>
    </row>
    <row r="119" spans="1:22" s="35" customFormat="1" x14ac:dyDescent="0.35">
      <c r="A119" s="160" t="s">
        <v>67</v>
      </c>
      <c r="B119" s="160"/>
      <c r="C119" s="160"/>
      <c r="D119" s="160"/>
      <c r="E119" s="160"/>
      <c r="F119" s="160"/>
      <c r="G119" s="160"/>
      <c r="H119" s="160"/>
      <c r="T119"/>
    </row>
    <row r="120" spans="1:22" s="35" customFormat="1" ht="15.75" customHeight="1" x14ac:dyDescent="0.35">
      <c r="A120" s="126" t="s">
        <v>51</v>
      </c>
      <c r="B120" s="126"/>
      <c r="C120" s="128" t="s">
        <v>75</v>
      </c>
      <c r="D120" s="128"/>
      <c r="E120" s="125" t="s">
        <v>52</v>
      </c>
      <c r="F120" s="125"/>
      <c r="G120" s="126" t="s">
        <v>53</v>
      </c>
      <c r="H120" s="126"/>
      <c r="T120"/>
    </row>
    <row r="121" spans="1:22" s="35" customFormat="1" x14ac:dyDescent="0.35">
      <c r="A121" s="224" t="s">
        <v>344</v>
      </c>
      <c r="B121" s="72" t="s">
        <v>317</v>
      </c>
      <c r="C121" s="203">
        <f>COUNT(F148:F153)*17+COUNT(F155:F160)*16+COUNT(F164:F168)*3+COUNT(F171:F175)*2+COUNT(F178:F181)+COUNT(F183:F184)+COUNT(F188:F189)</f>
        <v>231</v>
      </c>
      <c r="D121" s="203"/>
      <c r="E121" s="204">
        <f>SUM(F148:F153)*17+SUM(F155:F160)*16+SUM(F164:F168)*3+SUM(F171:F175)*2+SUM(F178:F181)+SUM(F183:F184)+SUM(F188:F189)</f>
        <v>287469.71430839994</v>
      </c>
      <c r="F121" s="204"/>
      <c r="G121" s="204">
        <f>SUM(H148:H153)*17+SUM(H155:H160)*16+SUM(H164:H168)*3+SUM(H171:H175)*2+SUM(H178:H181)+SUM(H183:H184)+SUM(H188:H189)</f>
        <v>431204.57146259997</v>
      </c>
      <c r="H121" s="204"/>
      <c r="T121"/>
    </row>
    <row r="122" spans="1:22" s="35" customFormat="1" x14ac:dyDescent="0.35">
      <c r="A122" s="225"/>
      <c r="B122" s="72" t="s">
        <v>340</v>
      </c>
      <c r="C122" s="203">
        <f>COUNT(F202:F207)*17+COUNT(F209:F214)*16+COUNT(F218:F222)*3+COUNT(F225:F229)*2+COUNT(F232:F235)+COUNT(F237:F238)+COUNT(F242:F243)</f>
        <v>231</v>
      </c>
      <c r="D122" s="203"/>
      <c r="E122" s="204">
        <f>SUM(F202:F207)*17+SUM(F209:F214)*16+SUM(F218:F222)*3+SUM(F225:F229)*2+SUM(F232:F235)+SUM(F237:F238)+SUM(F242:F243)</f>
        <v>287277.74913239997</v>
      </c>
      <c r="F122" s="204"/>
      <c r="G122" s="204">
        <f>SUM(H202:H207)*17+SUM(H209:H214)*16+SUM(H218:H222)*3+SUM(H225:H229)*2+SUM(H232:H235)+SUM(H237:H238)+SUM(H242:H243)</f>
        <v>430916.62369859999</v>
      </c>
      <c r="H122" s="204"/>
    </row>
    <row r="123" spans="1:22" s="35" customFormat="1" x14ac:dyDescent="0.35">
      <c r="A123" s="156" t="s">
        <v>144</v>
      </c>
      <c r="B123" s="156"/>
      <c r="C123" s="150">
        <f>SUM(C121:D122)</f>
        <v>462</v>
      </c>
      <c r="D123" s="150"/>
      <c r="E123" s="157">
        <f t="shared" ref="E123:G123" si="0">SUM(E121:F122)</f>
        <v>574747.46344079985</v>
      </c>
      <c r="F123" s="157"/>
      <c r="G123" s="222">
        <f t="shared" si="0"/>
        <v>862121.1951611999</v>
      </c>
      <c r="H123" s="222"/>
    </row>
    <row r="124" spans="1:22" s="35" customFormat="1" hidden="1" x14ac:dyDescent="0.35">
      <c r="A124" s="151" t="s">
        <v>161</v>
      </c>
      <c r="B124" s="152"/>
      <c r="C124" s="153">
        <f>C118+C123</f>
        <v>462</v>
      </c>
      <c r="D124" s="153"/>
      <c r="E124" s="154">
        <f>E118+E123</f>
        <v>574747.46344079985</v>
      </c>
      <c r="F124" s="154"/>
      <c r="G124" s="215">
        <f>G118+G123</f>
        <v>862121.1951611999</v>
      </c>
      <c r="H124" s="216"/>
    </row>
    <row r="125" spans="1:22" s="34" customFormat="1" x14ac:dyDescent="0.35">
      <c r="A125" s="166" t="s">
        <v>54</v>
      </c>
      <c r="B125" s="166"/>
      <c r="C125" s="166"/>
      <c r="D125" s="166"/>
      <c r="E125" s="166"/>
      <c r="F125" s="166"/>
      <c r="G125" s="166"/>
      <c r="H125" s="166"/>
      <c r="T125" s="35"/>
    </row>
    <row r="126" spans="1:22" x14ac:dyDescent="0.35">
      <c r="A126" s="155" t="s">
        <v>343</v>
      </c>
      <c r="B126" s="155"/>
      <c r="C126" s="155"/>
      <c r="D126" s="155"/>
      <c r="E126" s="155"/>
      <c r="F126" s="155"/>
      <c r="G126" s="155"/>
      <c r="H126" s="155"/>
      <c r="T126" s="35"/>
    </row>
    <row r="127" spans="1:22" ht="47.25" hidden="1" customHeight="1" x14ac:dyDescent="0.35">
      <c r="A127" s="146" t="s">
        <v>114</v>
      </c>
      <c r="B127" s="146" t="s">
        <v>170</v>
      </c>
      <c r="C127" s="146" t="s">
        <v>55</v>
      </c>
      <c r="D127" s="146" t="s">
        <v>226</v>
      </c>
      <c r="E127" s="210" t="s">
        <v>150</v>
      </c>
      <c r="F127" s="146" t="s">
        <v>56</v>
      </c>
      <c r="G127" s="210" t="s">
        <v>57</v>
      </c>
      <c r="H127" s="58" t="s">
        <v>143</v>
      </c>
      <c r="T127" s="35"/>
    </row>
    <row r="128" spans="1:22" s="37" customFormat="1" hidden="1" x14ac:dyDescent="0.35">
      <c r="A128" s="147"/>
      <c r="B128" s="147"/>
      <c r="C128" s="147"/>
      <c r="D128" s="147"/>
      <c r="E128" s="211"/>
      <c r="F128" s="147"/>
      <c r="G128" s="211"/>
      <c r="H128" s="60">
        <v>0.45</v>
      </c>
      <c r="T128" s="34"/>
    </row>
    <row r="129" spans="1:20" s="37" customFormat="1" hidden="1" x14ac:dyDescent="0.35">
      <c r="A129" s="93" t="s">
        <v>113</v>
      </c>
      <c r="B129" s="94"/>
      <c r="C129" s="94"/>
      <c r="D129" s="94"/>
      <c r="E129" s="94"/>
      <c r="F129" s="94"/>
      <c r="G129" s="94"/>
      <c r="H129" s="95"/>
      <c r="J129" s="36"/>
      <c r="T129" s="21"/>
    </row>
    <row r="130" spans="1:20" s="37" customFormat="1" ht="15.75" hidden="1" customHeight="1" x14ac:dyDescent="0.35">
      <c r="A130" s="87">
        <v>1</v>
      </c>
      <c r="B130" s="89"/>
      <c r="C130" s="42"/>
      <c r="D130" s="42">
        <v>0</v>
      </c>
      <c r="E130" s="42">
        <v>0</v>
      </c>
      <c r="F130" s="66">
        <f>D130+(IF(E130&lt;201,E130,IF(E130&lt;301,E130/2,E130/3)))</f>
        <v>0</v>
      </c>
      <c r="G130" s="67">
        <v>0</v>
      </c>
      <c r="H130" s="66">
        <f>(F130+(IF(G130&lt;101,G130,IF(G130&lt;201,G130/2,IF(G130&lt;=301,G130/3,G130/4)))))*(($H$128)+1)</f>
        <v>0</v>
      </c>
      <c r="I130" s="36"/>
      <c r="L130" s="202"/>
      <c r="M130" s="202"/>
      <c r="N130" s="36"/>
      <c r="T130" s="21"/>
    </row>
    <row r="131" spans="1:20" s="37" customFormat="1" ht="15.75" hidden="1" customHeight="1" x14ac:dyDescent="0.35">
      <c r="A131" s="87">
        <f>A130+1</f>
        <v>2</v>
      </c>
      <c r="B131" s="89"/>
      <c r="C131" s="42"/>
      <c r="D131" s="42"/>
      <c r="E131" s="42">
        <v>0</v>
      </c>
      <c r="F131" s="66">
        <f t="shared" ref="F131:F133" si="1">D131+(IF(E131&lt;201,E131,IF(E131&lt;301,E131/2,E131/3)))</f>
        <v>0</v>
      </c>
      <c r="G131" s="57">
        <v>0</v>
      </c>
      <c r="H131" s="66">
        <f t="shared" ref="H131:H133" si="2">(F131+(IF(G131&lt;101,G131,IF(G131&lt;201,G131/2,IF(G131&lt;=301,G131/3,G131/4)))))*(($H$128)+1)</f>
        <v>0</v>
      </c>
      <c r="I131" s="36"/>
      <c r="L131" s="202"/>
      <c r="M131" s="202"/>
      <c r="N131" s="36"/>
    </row>
    <row r="132" spans="1:20" s="37" customFormat="1" ht="15.75" hidden="1" customHeight="1" x14ac:dyDescent="0.35">
      <c r="A132" s="87">
        <f>A131+1</f>
        <v>3</v>
      </c>
      <c r="B132" s="89"/>
      <c r="C132" s="42"/>
      <c r="D132" s="42"/>
      <c r="E132" s="42">
        <v>0</v>
      </c>
      <c r="F132" s="66">
        <f t="shared" si="1"/>
        <v>0</v>
      </c>
      <c r="G132" s="57">
        <v>0</v>
      </c>
      <c r="H132" s="66">
        <f t="shared" si="2"/>
        <v>0</v>
      </c>
      <c r="I132" s="36"/>
      <c r="L132" s="202"/>
      <c r="M132" s="202"/>
      <c r="N132" s="36"/>
    </row>
    <row r="133" spans="1:20" s="37" customFormat="1" ht="15.75" hidden="1" customHeight="1" x14ac:dyDescent="0.35">
      <c r="A133" s="87">
        <f>A132+1</f>
        <v>4</v>
      </c>
      <c r="B133" s="89"/>
      <c r="C133" s="42"/>
      <c r="D133" s="42"/>
      <c r="E133" s="42">
        <v>0</v>
      </c>
      <c r="F133" s="66">
        <f t="shared" si="1"/>
        <v>0</v>
      </c>
      <c r="G133" s="57">
        <v>0</v>
      </c>
      <c r="H133" s="66">
        <f t="shared" si="2"/>
        <v>0</v>
      </c>
      <c r="I133" s="36"/>
      <c r="L133" s="202"/>
      <c r="M133" s="202"/>
      <c r="N133" s="36"/>
    </row>
    <row r="134" spans="1:20" s="37" customFormat="1" x14ac:dyDescent="0.35">
      <c r="A134" s="87"/>
      <c r="B134" s="88"/>
      <c r="C134" s="88"/>
      <c r="D134" s="88"/>
      <c r="E134" s="88"/>
      <c r="F134" s="88"/>
      <c r="G134" s="88"/>
      <c r="H134" s="89"/>
      <c r="I134" s="36"/>
      <c r="N134" s="36"/>
    </row>
    <row r="135" spans="1:20" ht="47.25" customHeight="1" x14ac:dyDescent="0.35">
      <c r="A135" s="167" t="s">
        <v>115</v>
      </c>
      <c r="B135" s="146" t="s">
        <v>171</v>
      </c>
      <c r="C135" s="146" t="s">
        <v>55</v>
      </c>
      <c r="D135" s="146" t="s">
        <v>342</v>
      </c>
      <c r="E135" s="148" t="s">
        <v>341</v>
      </c>
      <c r="F135" s="146" t="s">
        <v>56</v>
      </c>
      <c r="G135" s="210" t="s">
        <v>57</v>
      </c>
      <c r="H135" s="58" t="s">
        <v>143</v>
      </c>
      <c r="I135" s="36"/>
      <c r="T135" s="37"/>
    </row>
    <row r="136" spans="1:20" s="37" customFormat="1" x14ac:dyDescent="0.35">
      <c r="A136" s="168"/>
      <c r="B136" s="147"/>
      <c r="C136" s="147"/>
      <c r="D136" s="147"/>
      <c r="E136" s="149"/>
      <c r="F136" s="147"/>
      <c r="G136" s="211"/>
      <c r="H136" s="80">
        <v>0.5</v>
      </c>
      <c r="I136" s="36"/>
    </row>
    <row r="137" spans="1:20" s="71" customFormat="1" x14ac:dyDescent="0.35">
      <c r="A137" s="96" t="s">
        <v>316</v>
      </c>
      <c r="B137" s="96"/>
      <c r="C137" s="96"/>
      <c r="D137" s="96"/>
      <c r="E137" s="96"/>
      <c r="F137" s="96"/>
      <c r="G137" s="96"/>
      <c r="H137" s="96"/>
      <c r="I137" s="36"/>
    </row>
    <row r="138" spans="1:20" s="37" customFormat="1" x14ac:dyDescent="0.35">
      <c r="A138" s="96" t="s">
        <v>317</v>
      </c>
      <c r="B138" s="96"/>
      <c r="C138" s="96"/>
      <c r="D138" s="96"/>
      <c r="E138" s="96"/>
      <c r="F138" s="96"/>
      <c r="G138" s="96"/>
      <c r="H138" s="96"/>
      <c r="J138" s="36"/>
    </row>
    <row r="139" spans="1:20" s="37" customFormat="1" ht="15.75" customHeight="1" x14ac:dyDescent="0.35">
      <c r="A139" s="96" t="s">
        <v>318</v>
      </c>
      <c r="B139" s="96"/>
      <c r="C139" s="96"/>
      <c r="D139" s="96"/>
      <c r="E139" s="96"/>
      <c r="F139" s="96"/>
      <c r="G139" s="96"/>
      <c r="H139" s="96"/>
      <c r="I139" s="36"/>
      <c r="L139" s="202"/>
      <c r="M139" s="202"/>
      <c r="N139" s="36"/>
      <c r="T139" s="21"/>
    </row>
    <row r="140" spans="1:20" s="37" customFormat="1" ht="15.75" customHeight="1" x14ac:dyDescent="0.35">
      <c r="A140" s="96" t="s">
        <v>319</v>
      </c>
      <c r="B140" s="96"/>
      <c r="C140" s="96"/>
      <c r="D140" s="96"/>
      <c r="E140" s="96"/>
      <c r="F140" s="96"/>
      <c r="G140" s="96"/>
      <c r="H140" s="96"/>
      <c r="I140" s="36"/>
      <c r="L140" s="202"/>
      <c r="M140" s="202"/>
      <c r="N140" s="36"/>
    </row>
    <row r="141" spans="1:20" s="37" customFormat="1" ht="15.75" customHeight="1" x14ac:dyDescent="0.35">
      <c r="A141" s="96" t="s">
        <v>320</v>
      </c>
      <c r="B141" s="96"/>
      <c r="C141" s="96"/>
      <c r="D141" s="96"/>
      <c r="E141" s="96"/>
      <c r="F141" s="96"/>
      <c r="G141" s="96"/>
      <c r="H141" s="96"/>
      <c r="I141" s="36"/>
      <c r="L141" s="202"/>
      <c r="M141" s="202"/>
      <c r="N141" s="36"/>
    </row>
    <row r="142" spans="1:20" s="37" customFormat="1" ht="15.75" customHeight="1" x14ac:dyDescent="0.35">
      <c r="A142" s="96" t="s">
        <v>321</v>
      </c>
      <c r="B142" s="96"/>
      <c r="C142" s="96"/>
      <c r="D142" s="96"/>
      <c r="E142" s="96"/>
      <c r="F142" s="96"/>
      <c r="G142" s="96"/>
      <c r="H142" s="96"/>
      <c r="I142" s="36"/>
      <c r="L142" s="202"/>
      <c r="M142" s="202"/>
      <c r="N142" s="36"/>
    </row>
    <row r="143" spans="1:20" s="37" customFormat="1" ht="36" customHeight="1" x14ac:dyDescent="0.35">
      <c r="A143" s="96" t="s">
        <v>356</v>
      </c>
      <c r="B143" s="96"/>
      <c r="C143" s="96"/>
      <c r="D143" s="96"/>
      <c r="E143" s="96"/>
      <c r="F143" s="96"/>
      <c r="G143" s="96"/>
      <c r="H143" s="96"/>
      <c r="I143" s="36"/>
      <c r="L143" s="202"/>
      <c r="M143" s="202"/>
    </row>
    <row r="144" spans="1:20" s="37" customFormat="1" ht="29.25" customHeight="1" x14ac:dyDescent="0.35">
      <c r="A144" s="96" t="s">
        <v>322</v>
      </c>
      <c r="B144" s="96"/>
      <c r="C144" s="96"/>
      <c r="D144" s="96"/>
      <c r="E144" s="96"/>
      <c r="F144" s="96"/>
      <c r="G144" s="96"/>
      <c r="H144" s="96"/>
      <c r="I144" s="36"/>
      <c r="N144" s="36"/>
    </row>
    <row r="145" spans="1:14" s="37" customFormat="1" x14ac:dyDescent="0.35">
      <c r="A145" s="96" t="s">
        <v>353</v>
      </c>
      <c r="B145" s="96"/>
      <c r="C145" s="96"/>
      <c r="D145" s="96"/>
      <c r="E145" s="96"/>
      <c r="F145" s="96"/>
      <c r="G145" s="96"/>
      <c r="H145" s="96"/>
      <c r="I145" s="36"/>
      <c r="L145" s="78"/>
      <c r="M145" s="78"/>
      <c r="N145" s="36"/>
    </row>
    <row r="146" spans="1:14" s="37" customFormat="1" x14ac:dyDescent="0.35">
      <c r="A146" s="96" t="s">
        <v>324</v>
      </c>
      <c r="B146" s="96"/>
      <c r="C146" s="96"/>
      <c r="D146" s="96"/>
      <c r="E146" s="96"/>
      <c r="F146" s="96"/>
      <c r="G146" s="96"/>
      <c r="H146" s="96"/>
      <c r="I146" s="36"/>
      <c r="L146" s="78"/>
      <c r="M146" s="78"/>
      <c r="N146" s="36"/>
    </row>
    <row r="147" spans="1:14" s="37" customFormat="1" ht="31.5" customHeight="1" x14ac:dyDescent="0.35">
      <c r="A147" s="96" t="s">
        <v>325</v>
      </c>
      <c r="B147" s="96"/>
      <c r="C147" s="96"/>
      <c r="D147" s="96"/>
      <c r="E147" s="96"/>
      <c r="F147" s="96"/>
      <c r="G147" s="96"/>
      <c r="H147" s="96"/>
      <c r="I147" s="36"/>
      <c r="L147" s="78"/>
      <c r="M147" s="78"/>
      <c r="N147" s="36"/>
    </row>
    <row r="148" spans="1:14" s="37" customFormat="1" x14ac:dyDescent="0.35">
      <c r="A148" s="87">
        <v>1</v>
      </c>
      <c r="B148" s="89"/>
      <c r="C148" s="77" t="s">
        <v>334</v>
      </c>
      <c r="D148" s="77">
        <f>(3.05*1.21+2.45*2.96+3.15*4.32+0.88*3.71+3.05*3.76+3.15*3.95+2.45*1.55+1.25*2.5+0.71*0.15+1.5*1.05+1.17*1.05+3.15*1.6)*(10.764)</f>
        <v>716.86410119999994</v>
      </c>
      <c r="E148" s="77">
        <f>(3.15*1.6+2*1.4+3.2*1.1+3.15*2.8)*(10.764)</f>
        <v>217.21751999999998</v>
      </c>
      <c r="F148" s="42">
        <f t="shared" ref="F148:F153" si="3">D148+E148</f>
        <v>934.08162119999997</v>
      </c>
      <c r="G148" s="57">
        <v>0</v>
      </c>
      <c r="H148" s="57">
        <f t="shared" ref="H148:H153" si="4">F148*(($H$136)+1)+(IF(G148&lt;101,G148,IF(G148&lt;201,G148/2,IF(G148&lt;=301,G148/3,G148/4))))</f>
        <v>1401.1224318</v>
      </c>
      <c r="I148" s="36"/>
      <c r="K148" s="37">
        <f>18900000/H148</f>
        <v>13489.185221108384</v>
      </c>
      <c r="L148" s="78"/>
      <c r="M148" s="78"/>
      <c r="N148" s="36"/>
    </row>
    <row r="149" spans="1:14" s="37" customFormat="1" ht="15.75" customHeight="1" x14ac:dyDescent="0.35">
      <c r="A149" s="87">
        <f>A148+1</f>
        <v>2</v>
      </c>
      <c r="B149" s="89"/>
      <c r="C149" s="77" t="s">
        <v>334</v>
      </c>
      <c r="D149" s="77">
        <f>(3.05*1.21+2.45*2.96+3.15*4.32+0.88*3.71+3.05*3.76+3.15*3.95+2.45*1.55+1.25*2.5+0.71*0.15+1.5*1.05+1.17*1.05+3.15*1.6)*(10.764)</f>
        <v>716.86410119999994</v>
      </c>
      <c r="E149" s="77">
        <f>(3.15*1.6+2*1.4+3.2*1.1+3.15*2.8)*(10.764)</f>
        <v>217.21751999999998</v>
      </c>
      <c r="F149" s="57">
        <f t="shared" si="3"/>
        <v>934.08162119999997</v>
      </c>
      <c r="G149" s="57">
        <v>0</v>
      </c>
      <c r="H149" s="57">
        <f t="shared" si="4"/>
        <v>1401.1224318</v>
      </c>
      <c r="I149" s="36"/>
      <c r="L149" s="78"/>
      <c r="M149" s="78"/>
    </row>
    <row r="150" spans="1:14" s="37" customFormat="1" ht="15.75" customHeight="1" x14ac:dyDescent="0.35">
      <c r="A150" s="87">
        <f>A149+1</f>
        <v>3</v>
      </c>
      <c r="B150" s="89"/>
      <c r="C150" s="77" t="s">
        <v>335</v>
      </c>
      <c r="D150" s="77">
        <f>(1.23*2.85+3.23*5.15+3.01*2.45+1.01*3.55+0.15*1+2.9*2.7+3.35*3.06+1.55*1.75+1.25*1+2.49*3.55+0.64*2.4+0.1*1.05+2.45*1.25+3.44*1.05+3.23*0.65+2.9*0.36+3.35*1.2+3.55*0.82)*(10.764)</f>
        <v>866.74957199999994</v>
      </c>
      <c r="E150" s="77">
        <f>(3.23*2+3.1*1.8+3.6*1.7+2.7*3+1.5*3.55+1.4*3)*(10.764)</f>
        <v>385.18973999999992</v>
      </c>
      <c r="F150" s="57">
        <f t="shared" si="3"/>
        <v>1251.939312</v>
      </c>
      <c r="G150" s="57">
        <v>0</v>
      </c>
      <c r="H150" s="57">
        <f t="shared" si="4"/>
        <v>1877.908968</v>
      </c>
      <c r="I150" s="36"/>
      <c r="L150" s="78"/>
      <c r="M150" s="78"/>
    </row>
    <row r="151" spans="1:14" s="37" customFormat="1" ht="15.75" customHeight="1" x14ac:dyDescent="0.35">
      <c r="A151" s="87">
        <f>A150+1</f>
        <v>4</v>
      </c>
      <c r="B151" s="89"/>
      <c r="C151" s="77" t="s">
        <v>335</v>
      </c>
      <c r="D151" s="77">
        <f>(1.23*2.85+3.23*5.15+3.01*2.45+1.01*3.55+0.15*1+2.9*2.7+3.35*3.06+1.55*1.75+1.25*1+2.49*3.55+0.64*2.4+0.1*1.05+2.45*1.25+3.44*1.05+3.23*0.65+2.9*0.36+3.35*1.2+3.55*0.82)*(10.764)</f>
        <v>866.74957199999994</v>
      </c>
      <c r="E151" s="77">
        <f>(3.23*3.9+3.1*2.8+3.6*1.8+1.7*3+3.55*1.5+3*1.4)*(10.764)</f>
        <v>456.19984800000003</v>
      </c>
      <c r="F151" s="57">
        <f t="shared" si="3"/>
        <v>1322.9494199999999</v>
      </c>
      <c r="G151" s="57">
        <v>0</v>
      </c>
      <c r="H151" s="57">
        <f t="shared" si="4"/>
        <v>1984.4241299999999</v>
      </c>
      <c r="I151" s="36"/>
    </row>
    <row r="152" spans="1:14" s="37" customFormat="1" ht="15.75" customHeight="1" x14ac:dyDescent="0.35">
      <c r="A152" s="87">
        <f>A151+1</f>
        <v>5</v>
      </c>
      <c r="B152" s="89"/>
      <c r="C152" s="77" t="s">
        <v>335</v>
      </c>
      <c r="D152" s="77">
        <f>(1.23*3+3.23*6.05+1.01*3.6+0.15*1.05+3.01*2.6+2.9*2.61+3.35*3+1.75*1.25+1.65*1.4+1.25*1.25+1.12*1.05+3.31*3.6+1.55*2.45+2.46*1.25+3.44*1.05+2.9*0.75+1.26*3.35+3.6*0.49)*(10.764)</f>
        <v>971.62860599999988</v>
      </c>
      <c r="E152" s="77">
        <f>(3.23*2+3.1*1.8+3.6*1.7+2.7*3+5*0.6+0.38*3.6+1.4*3.2)*(10.764)</f>
        <v>377.90251199999994</v>
      </c>
      <c r="F152" s="69">
        <f t="shared" si="3"/>
        <v>1349.5311179999999</v>
      </c>
      <c r="G152" s="69">
        <v>0</v>
      </c>
      <c r="H152" s="69">
        <f t="shared" si="4"/>
        <v>2024.2966769999998</v>
      </c>
      <c r="I152" s="36"/>
    </row>
    <row r="153" spans="1:14" s="37" customFormat="1" ht="15.75" customHeight="1" x14ac:dyDescent="0.35">
      <c r="A153" s="145">
        <v>6</v>
      </c>
      <c r="B153" s="145"/>
      <c r="C153" s="77" t="s">
        <v>335</v>
      </c>
      <c r="D153" s="77">
        <f>(1.23*3+3.23*6.05+1.01*3.6+0.15*1.05+3.01*2.6+2.9*2.61+3.35*3+1.75*1.25+1.65*1.4+1.25*1.25+1.12*1.05+3.31*3.6+1.55*2.45+2.46*1.25+3.44*1.05+2.9*0.75+1.26*3.35+3.6*0.49)*(10.764)</f>
        <v>971.62860599999988</v>
      </c>
      <c r="E153" s="77">
        <f>(3.23*3.9+3.1*2.7+3.6*1.8+1.7*3+5*0.6+0.38*3.6+3*1.5+3.2*1.4)*(10.764)</f>
        <v>494.01377999999994</v>
      </c>
      <c r="F153" s="57">
        <f t="shared" si="3"/>
        <v>1465.6423859999998</v>
      </c>
      <c r="G153" s="57">
        <v>0</v>
      </c>
      <c r="H153" s="57">
        <f t="shared" si="4"/>
        <v>2198.4635789999998</v>
      </c>
      <c r="I153" s="36"/>
    </row>
    <row r="154" spans="1:14" s="37" customFormat="1" x14ac:dyDescent="0.35">
      <c r="A154" s="93" t="s">
        <v>326</v>
      </c>
      <c r="B154" s="94"/>
      <c r="C154" s="94"/>
      <c r="D154" s="94"/>
      <c r="E154" s="94"/>
      <c r="F154" s="94"/>
      <c r="G154" s="94"/>
      <c r="H154" s="95"/>
      <c r="I154" s="36"/>
    </row>
    <row r="155" spans="1:14" s="37" customFormat="1" x14ac:dyDescent="0.35">
      <c r="A155" s="87">
        <v>1</v>
      </c>
      <c r="B155" s="89"/>
      <c r="C155" s="77" t="s">
        <v>334</v>
      </c>
      <c r="D155" s="77">
        <f>(3.05*1.21+2.45*2.96+3.15*4.32+0.88*3.71+3.05*3.76+3.15*3.95+2.45*1.55+1.25*2.5+0.71*0.15+1.5*1.05+1.17*1.05+3.15*1.6)*(10.764)</f>
        <v>716.86410119999994</v>
      </c>
      <c r="E155" s="77">
        <f>(3.15*2.6+2*1.4+3.2*1.7+3.15*1.5)*(10.764)</f>
        <v>227.71242000000001</v>
      </c>
      <c r="F155" s="57">
        <f t="shared" ref="F155:F160" si="5">D155+E155</f>
        <v>944.57652119999989</v>
      </c>
      <c r="G155" s="57">
        <v>0</v>
      </c>
      <c r="H155" s="57">
        <f t="shared" ref="H155:H160" si="6">F155*(($H$136)+1)+(IF(G155&lt;101,G155,IF(G155&lt;201,G155/2,IF(G155&lt;=301,G155/3,G155/4))))</f>
        <v>1416.8647817999999</v>
      </c>
      <c r="I155" s="36"/>
    </row>
    <row r="156" spans="1:14" s="37" customFormat="1" ht="15.75" customHeight="1" x14ac:dyDescent="0.35">
      <c r="A156" s="87">
        <f>A155+1</f>
        <v>2</v>
      </c>
      <c r="B156" s="89"/>
      <c r="C156" s="77" t="s">
        <v>334</v>
      </c>
      <c r="D156" s="77">
        <f>(3.05*1.21+2.45*2.96+3.15*4.32+0.88*3.71+3.05*3.76+3.15*3.95+2.45*1.55+1.25*2.5+0.71*0.15+1.5*1.05+1.17*1.05+3.15*1.6)*(10.764)</f>
        <v>716.86410119999994</v>
      </c>
      <c r="E156" s="77">
        <f>(3.15*2.6+2*1.4+3.2*1.7+3.15*1.5)*(10.764)</f>
        <v>227.71242000000001</v>
      </c>
      <c r="F156" s="57">
        <f t="shared" si="5"/>
        <v>944.57652119999989</v>
      </c>
      <c r="G156" s="57">
        <v>0</v>
      </c>
      <c r="H156" s="57">
        <f t="shared" si="6"/>
        <v>1416.8647817999999</v>
      </c>
      <c r="I156" s="36"/>
    </row>
    <row r="157" spans="1:14" s="37" customFormat="1" ht="15.75" customHeight="1" x14ac:dyDescent="0.35">
      <c r="A157" s="87">
        <f>A156+1</f>
        <v>3</v>
      </c>
      <c r="B157" s="89"/>
      <c r="C157" s="77" t="s">
        <v>335</v>
      </c>
      <c r="D157" s="77">
        <f>(1.2*2.85+3.23*5.15+3.01*2.45+1.01*3.55+0.15*1+2.9*2.7+3.35*3.06+1.55*1.75+1.25*1+2.49*3.55+0.64*2.4+0.1*1.05+2.45*1.25+3.44*1.05+3.23*0.65+2.9*0.36+3.35*1.2+3.55*0.82)*(10.764)</f>
        <v>865.82925</v>
      </c>
      <c r="E157" s="77">
        <f>(3.23*3.8+3.1*2.8+3.6*1.7+1.7*2.9+1.5*3.55+1.4*3)*(10.764)</f>
        <v>447.01815600000009</v>
      </c>
      <c r="F157" s="57">
        <f t="shared" si="5"/>
        <v>1312.8474060000001</v>
      </c>
      <c r="G157" s="57">
        <v>0</v>
      </c>
      <c r="H157" s="57">
        <f t="shared" si="6"/>
        <v>1969.2711090000003</v>
      </c>
      <c r="I157" s="36"/>
    </row>
    <row r="158" spans="1:14" s="37" customFormat="1" ht="15.75" customHeight="1" x14ac:dyDescent="0.35">
      <c r="A158" s="87">
        <f>A157+1</f>
        <v>4</v>
      </c>
      <c r="B158" s="89"/>
      <c r="C158" s="77" t="s">
        <v>335</v>
      </c>
      <c r="D158" s="77">
        <f>(1.2*2.85+3.23*5.15+3.01*2.45+1.01*3.55+0.15*1+2.9*2.7+3.35*3.06+1.55*1.75+1.25*1+2.49*3.55+0.64*2.4+0.1*1.05+2.45*1.25+3.44*1.05+3.23*0.65+2.9*0.36+3.35*1.2+3.55*0.82)*(10.764)</f>
        <v>865.82925</v>
      </c>
      <c r="E158" s="77">
        <f>(3.23*1.9+3.1*1.7+3.6*1.8+2.7*2.9+3.55*1.5+3*1.4)*(10.764)</f>
        <v>379.34488799999997</v>
      </c>
      <c r="F158" s="57">
        <f t="shared" si="5"/>
        <v>1245.1741379999999</v>
      </c>
      <c r="G158" s="57">
        <v>0</v>
      </c>
      <c r="H158" s="57">
        <f t="shared" si="6"/>
        <v>1867.7612069999998</v>
      </c>
      <c r="I158" s="36"/>
    </row>
    <row r="159" spans="1:14" s="37" customFormat="1" ht="15.75" customHeight="1" x14ac:dyDescent="0.35">
      <c r="A159" s="87">
        <f>A158+1</f>
        <v>5</v>
      </c>
      <c r="B159" s="89"/>
      <c r="C159" s="77" t="s">
        <v>335</v>
      </c>
      <c r="D159" s="77">
        <f>(1.23*3+3.23*6.05+1.01*3.6+0.15*1.05+3.01*2.6+2.9*2.61+3.35*3+1.75*1.25+1.65*1.4+1.25*1.25+1.12*1.05+3.31*3.6+1.55*2.45+2.46*1.25+3.44*1.05+2.9*0.75+1.26*3.35+3.6*0.49)*(10.764)</f>
        <v>971.62860599999988</v>
      </c>
      <c r="E159" s="77">
        <f>(3.23*3.8+3.1*2.8+3.6*1.7+1.7*2.9+1.5*3.55+5*0.6+0.38*3.6+1.4*3.2)*(10.764)</f>
        <v>497.04922800000003</v>
      </c>
      <c r="F159" s="69">
        <f t="shared" si="5"/>
        <v>1468.6778339999998</v>
      </c>
      <c r="G159" s="69">
        <v>0</v>
      </c>
      <c r="H159" s="69">
        <f t="shared" si="6"/>
        <v>2203.0167509999997</v>
      </c>
      <c r="I159" s="36"/>
    </row>
    <row r="160" spans="1:14" s="37" customFormat="1" ht="15.75" customHeight="1" x14ac:dyDescent="0.35">
      <c r="A160" s="145">
        <v>6</v>
      </c>
      <c r="B160" s="145"/>
      <c r="C160" s="77" t="s">
        <v>335</v>
      </c>
      <c r="D160" s="77">
        <f>(1.23*3+3.23*6.05+1.01*3.6+0.15*1.05+3.01*2.6+2.9*2.61+3.35*3+1.75*1.25+1.65*1.4+1.25*1.25+1.12*1.05+3.31*3.6+1.55*2.45+2.46*1.25+3.44*1.05+2.9*0.75+1.26*3.35+3.6*0.49)*(10.764)</f>
        <v>971.62860599999988</v>
      </c>
      <c r="E160" s="77">
        <f>(3.23*1.9+3.1*1.7+3.6*1.8+2.7*3+5.2*0.6+0.38*3.6+3*1.5+3.2*1.4)*(10.764)</f>
        <v>424.69361999999995</v>
      </c>
      <c r="F160" s="57">
        <f t="shared" si="5"/>
        <v>1396.3222259999998</v>
      </c>
      <c r="G160" s="57">
        <v>0</v>
      </c>
      <c r="H160" s="57">
        <f t="shared" si="6"/>
        <v>2094.4833389999994</v>
      </c>
      <c r="I160" s="36"/>
    </row>
    <row r="161" spans="1:20" s="37" customFormat="1" x14ac:dyDescent="0.35">
      <c r="A161" s="93" t="s">
        <v>327</v>
      </c>
      <c r="B161" s="94"/>
      <c r="C161" s="94"/>
      <c r="D161" s="94"/>
      <c r="E161" s="94"/>
      <c r="F161" s="94"/>
      <c r="G161" s="94"/>
      <c r="H161" s="95"/>
      <c r="I161" s="36"/>
    </row>
    <row r="162" spans="1:20" s="37" customFormat="1" ht="15.75" customHeight="1" x14ac:dyDescent="0.35">
      <c r="A162" s="93" t="s">
        <v>328</v>
      </c>
      <c r="B162" s="94"/>
      <c r="C162" s="94"/>
      <c r="D162" s="94"/>
      <c r="E162" s="94"/>
      <c r="F162" s="94"/>
      <c r="G162" s="94"/>
      <c r="H162" s="95"/>
      <c r="I162" s="36"/>
    </row>
    <row r="163" spans="1:20" s="37" customFormat="1" ht="15.75" customHeight="1" x14ac:dyDescent="0.35">
      <c r="A163" s="93" t="s">
        <v>329</v>
      </c>
      <c r="B163" s="94"/>
      <c r="C163" s="94"/>
      <c r="D163" s="94"/>
      <c r="E163" s="94"/>
      <c r="F163" s="94"/>
      <c r="G163" s="94"/>
      <c r="H163" s="95"/>
      <c r="I163" s="36"/>
    </row>
    <row r="164" spans="1:20" s="71" customFormat="1" x14ac:dyDescent="0.35">
      <c r="A164" s="87">
        <v>1</v>
      </c>
      <c r="B164" s="89"/>
      <c r="C164" s="77" t="s">
        <v>334</v>
      </c>
      <c r="D164" s="77">
        <f>(3.05*1.21+2.45*2.96+3.15*4.32+0.88*3.71+3.05*3.76+3.15*3.95+2.45*1.55+1.25*2.5+0.71*0.15+1.5*1.05+1.17*1.05+3.15*1.6)*(10.764)</f>
        <v>716.86410119999994</v>
      </c>
      <c r="E164" s="77">
        <f>(3.15*2.6+2*1.4+3.2*1.7+3.15*1.5)*(10.764)</f>
        <v>227.71242000000001</v>
      </c>
      <c r="F164" s="69">
        <f>D164+E164</f>
        <v>944.57652119999989</v>
      </c>
      <c r="G164" s="69">
        <v>0</v>
      </c>
      <c r="H164" s="69">
        <f>F164*(($H$136)+1)+(IF(G164&lt;101,G164,IF(G164&lt;201,G164/2,IF(G164&lt;=301,G164/3,G164/4))))</f>
        <v>1416.8647817999999</v>
      </c>
      <c r="I164" s="36"/>
    </row>
    <row r="165" spans="1:20" s="71" customFormat="1" ht="15.75" customHeight="1" x14ac:dyDescent="0.35">
      <c r="A165" s="87">
        <f>A164+1</f>
        <v>2</v>
      </c>
      <c r="B165" s="89"/>
      <c r="C165" s="77" t="s">
        <v>334</v>
      </c>
      <c r="D165" s="77">
        <f>(3.05*1.21+2.45*2.96+3.15*4.32+0.88*3.71+3.05*3.76+3.15*3.95+2.45*1.55+1.25*2.5+0.71*0.15+1.5*1.05+1.17*1.05+3.15*1.6)*(10.764)</f>
        <v>716.86410119999994</v>
      </c>
      <c r="E165" s="77">
        <f>(3.15*2.6+2*1.4+3.2*1.7+3.15*1.5)*(10.764)</f>
        <v>227.71242000000001</v>
      </c>
      <c r="F165" s="69">
        <f>D165+E165</f>
        <v>944.57652119999989</v>
      </c>
      <c r="G165" s="69">
        <v>0</v>
      </c>
      <c r="H165" s="69">
        <f>F165*(($H$136)+1)+(IF(G165&lt;101,G165,IF(G165&lt;201,G165/2,IF(G165&lt;=301,G165/3,G165/4))))</f>
        <v>1416.8647817999999</v>
      </c>
      <c r="I165" s="36"/>
    </row>
    <row r="166" spans="1:20" s="71" customFormat="1" ht="15.75" customHeight="1" x14ac:dyDescent="0.35">
      <c r="A166" s="87">
        <f>A165+1</f>
        <v>3</v>
      </c>
      <c r="B166" s="89"/>
      <c r="C166" s="77" t="s">
        <v>335</v>
      </c>
      <c r="D166" s="77">
        <f>(1.23*2.85+3.23*5.15+3.01*2.45+1.01*3.55+0.15*1+2.9*2.7+3.35*3.06+1.55*1.75+1.25*1+2.49*3.55+0.64*2.4+0.1*1.05+2.45*1.25+3.44*1.05+3.23*0.65+2.9*0.36+3.35*1.2+3.55*0.82)*(10.764)</f>
        <v>866.74957199999994</v>
      </c>
      <c r="E166" s="77">
        <f>(3.23*3.8+3.1*2.8+3.6*1.7+1.7*2.9+1.5*3.55+1.4*3)*(10.764)</f>
        <v>447.01815600000009</v>
      </c>
      <c r="F166" s="69">
        <f>D166+E166</f>
        <v>1313.767728</v>
      </c>
      <c r="G166" s="69">
        <v>0</v>
      </c>
      <c r="H166" s="69">
        <f>F166*(($H$136)+1)+(IF(G166&lt;101,G166,IF(G166&lt;201,G166/2,IF(G166&lt;=301,G166/3,G166/4))))</f>
        <v>1970.6515920000002</v>
      </c>
      <c r="I166" s="36"/>
    </row>
    <row r="167" spans="1:20" s="71" customFormat="1" ht="15.75" customHeight="1" x14ac:dyDescent="0.35">
      <c r="A167" s="87">
        <f>A166+1</f>
        <v>4</v>
      </c>
      <c r="B167" s="89"/>
      <c r="C167" s="77" t="s">
        <v>335</v>
      </c>
      <c r="D167" s="77">
        <f>(1.23*2.85+3.23*5.15+3.01*2.45+1.01*3.55+0.15*1+2.9*2.7+3.35*3.06+1.55*1.75+1.25*1+2.49*3.55+0.64*2.4+0.1*1.05+2.45*1.25+3.44*1.05+3.23*0.65+2.9*0.36+3.35*1.2+3.55*0.82)*(10.764)</f>
        <v>866.74957199999994</v>
      </c>
      <c r="E167" s="77">
        <f>(3.23*1.9+3.1*1.7+3.6*1.8+2.7*2.9+3.55*1.5+3*1.4)*(10.764)</f>
        <v>379.34488799999997</v>
      </c>
      <c r="F167" s="69">
        <f>D167+E167</f>
        <v>1246.0944599999998</v>
      </c>
      <c r="G167" s="69">
        <v>0</v>
      </c>
      <c r="H167" s="69">
        <f>F167*(($H$136)+1)+(IF(G167&lt;101,G167,IF(G167&lt;201,G167/2,IF(G167&lt;=301,G167/3,G167/4))))</f>
        <v>1869.1416899999997</v>
      </c>
      <c r="I167" s="36"/>
    </row>
    <row r="168" spans="1:20" s="71" customFormat="1" ht="15.75" customHeight="1" x14ac:dyDescent="0.35">
      <c r="A168" s="87">
        <f>A167+1</f>
        <v>5</v>
      </c>
      <c r="B168" s="89"/>
      <c r="C168" s="77" t="s">
        <v>335</v>
      </c>
      <c r="D168" s="77">
        <f>(1.23*3+3.23*6.05+1.01*3.6+0.15*1.05+3.01*2.6+2.9*2.61+3.35*3+1.75*1.25+1.65*1.4+1.25*1.25+1.12*1.05+3.31*3.6+1.55*2.45+2.46*1.25+3.44*1.05+2.9*0.75+1.26*3.35+3.6*0.49)*(10.764)</f>
        <v>971.62860599999988</v>
      </c>
      <c r="E168" s="77">
        <f>(3.23*3.8+3.1*2.8+3.6*1.7+1.7*2.9+1.5*3.55+5*0.6+0.38*3.6+1.4*3.2)*(10.764)</f>
        <v>497.04922800000003</v>
      </c>
      <c r="F168" s="69">
        <f>D168+E168</f>
        <v>1468.6778339999998</v>
      </c>
      <c r="G168" s="69">
        <v>0</v>
      </c>
      <c r="H168" s="69">
        <f>F168*(($H$136)+1)+(IF(G168&lt;101,G168,IF(G168&lt;201,G168/2,IF(G168&lt;=301,G168/3,G168/4))))</f>
        <v>2203.0167509999997</v>
      </c>
      <c r="I168" s="36"/>
    </row>
    <row r="169" spans="1:20" s="71" customFormat="1" ht="15.75" customHeight="1" x14ac:dyDescent="0.35">
      <c r="A169" s="145">
        <v>6</v>
      </c>
      <c r="B169" s="145"/>
      <c r="C169" s="87" t="s">
        <v>336</v>
      </c>
      <c r="D169" s="88"/>
      <c r="E169" s="88"/>
      <c r="F169" s="88"/>
      <c r="G169" s="88"/>
      <c r="H169" s="89"/>
      <c r="I169" s="36"/>
    </row>
    <row r="170" spans="1:20" s="37" customFormat="1" ht="15.75" customHeight="1" x14ac:dyDescent="0.35">
      <c r="A170" s="93" t="s">
        <v>330</v>
      </c>
      <c r="B170" s="94"/>
      <c r="C170" s="94"/>
      <c r="D170" s="94"/>
      <c r="E170" s="94"/>
      <c r="F170" s="94"/>
      <c r="G170" s="94"/>
      <c r="H170" s="95"/>
      <c r="I170" s="36"/>
    </row>
    <row r="171" spans="1:20" s="37" customFormat="1" ht="15.75" customHeight="1" x14ac:dyDescent="0.35">
      <c r="A171" s="87">
        <v>1</v>
      </c>
      <c r="B171" s="89"/>
      <c r="C171" s="77" t="s">
        <v>334</v>
      </c>
      <c r="D171" s="77">
        <f>(3.05*1.21+2.45*2.96+3.15*4.32+0.88*3.71+3.05*3.76+3.15*3.95+2.45*1.55+1.25*2.5+0.71*0.15+1.5*1.05+1.17*1.05+3.15*1.6)*(10.764)</f>
        <v>716.86410119999994</v>
      </c>
      <c r="E171" s="77">
        <f>(3.15*1.6+2*1.4+3.2*1.1+3.15*2.8)*(10.764)</f>
        <v>217.21751999999998</v>
      </c>
      <c r="F171" s="69">
        <f>D171+E171</f>
        <v>934.08162119999997</v>
      </c>
      <c r="G171" s="69">
        <v>0</v>
      </c>
      <c r="H171" s="69">
        <f>F171*(($H$136)+1)+(IF(G171&lt;101,G171,IF(G171&lt;201,G171/2,IF(G171&lt;=301,G171/3,G171/4))))</f>
        <v>1401.1224318</v>
      </c>
      <c r="I171" s="36"/>
    </row>
    <row r="172" spans="1:20" s="37" customFormat="1" ht="15.75" customHeight="1" x14ac:dyDescent="0.35">
      <c r="A172" s="87">
        <f>A171+1</f>
        <v>2</v>
      </c>
      <c r="B172" s="89"/>
      <c r="C172" s="77" t="s">
        <v>334</v>
      </c>
      <c r="D172" s="77">
        <f>(3.05*1.21+2.45*2.96+3.15*4.32+0.88*3.71+3.05*3.76+3.15*3.95+2.45*1.55+1.25*2.5+0.71*0.15+1.5*1.05+1.17*1.05+3.15*1.6)*(10.764)</f>
        <v>716.86410119999994</v>
      </c>
      <c r="E172" s="77">
        <f>(3.15*1.6+2*1.4+3.2*1.1+3.15*2.8)*(10.764)</f>
        <v>217.21751999999998</v>
      </c>
      <c r="F172" s="69">
        <f>D172+E172</f>
        <v>934.08162119999997</v>
      </c>
      <c r="G172" s="69">
        <v>0</v>
      </c>
      <c r="H172" s="69">
        <f>F172*(($H$136)+1)+(IF(G172&lt;101,G172,IF(G172&lt;201,G172/2,IF(G172&lt;=301,G172/3,G172/4))))</f>
        <v>1401.1224318</v>
      </c>
      <c r="I172" s="36"/>
    </row>
    <row r="173" spans="1:20" s="35" customFormat="1" x14ac:dyDescent="0.35">
      <c r="A173" s="87">
        <f>A172+1</f>
        <v>3</v>
      </c>
      <c r="B173" s="89"/>
      <c r="C173" s="77" t="s">
        <v>335</v>
      </c>
      <c r="D173" s="77">
        <f>(1.23*2.85+3.23*5.15+3.01*2.45+1.01*3.55+0.15*1+2.9*2.7+3.35*3.06+1.55*1.75+1.25*1+2.49*3.55+0.64*2.4+0.1*1.05+2.45*1.25+3.44*1.05+3.23*0.65+2.9*0.36+3.35*1.2+3.55*0.82)*(10.764)</f>
        <v>866.74957199999994</v>
      </c>
      <c r="E173" s="77">
        <f>(3.23*2+3.1*1.8+3.6*1.7+2.7*3+1.5*3.55+1.4*3)*(10.764)</f>
        <v>385.18973999999992</v>
      </c>
      <c r="F173" s="69">
        <f>D173+E173</f>
        <v>1251.939312</v>
      </c>
      <c r="G173" s="69">
        <v>0</v>
      </c>
      <c r="H173" s="69">
        <f>F173*(($H$136)+1)+(IF(G173&lt;101,G173,IF(G173&lt;201,G173/2,IF(G173&lt;=301,G173/3,G173/4))))</f>
        <v>1877.908968</v>
      </c>
      <c r="T173" s="37"/>
    </row>
    <row r="174" spans="1:20" s="71" customFormat="1" ht="15.75" customHeight="1" x14ac:dyDescent="0.35">
      <c r="A174" s="87">
        <f>A173+1</f>
        <v>4</v>
      </c>
      <c r="B174" s="89"/>
      <c r="C174" s="77" t="s">
        <v>335</v>
      </c>
      <c r="D174" s="77">
        <f>(1.23*2.85+3.23*5.15+3.01*2.45+1.01*3.55+0.15*1+2.9*2.7+3.35*3.06+1.55*1.75+1.25*1+2.49*3.55+0.64*2.4+0.1*1.05+2.45*1.25+3.44*1.05+3.23*0.65+2.9*0.36+3.35*1.2+3.55*0.82)*(10.764)</f>
        <v>866.74957199999994</v>
      </c>
      <c r="E174" s="77">
        <f>(3.23*3.9+3.1*2.8+3.6*1.8+1.7*3+3.55*1.5+3*1.4)*(10.764)</f>
        <v>456.19984800000003</v>
      </c>
      <c r="F174" s="69">
        <f>D174+E174</f>
        <v>1322.9494199999999</v>
      </c>
      <c r="G174" s="69">
        <v>0</v>
      </c>
      <c r="H174" s="69">
        <f>F174*(($H$136)+1)+(IF(G174&lt;101,G174,IF(G174&lt;201,G174/2,IF(G174&lt;=301,G174/3,G174/4))))</f>
        <v>1984.4241299999999</v>
      </c>
      <c r="I174" s="36"/>
    </row>
    <row r="175" spans="1:20" s="71" customFormat="1" ht="15.75" customHeight="1" x14ac:dyDescent="0.35">
      <c r="A175" s="87">
        <f>A174+1</f>
        <v>5</v>
      </c>
      <c r="B175" s="89"/>
      <c r="C175" s="77" t="s">
        <v>335</v>
      </c>
      <c r="D175" s="77">
        <f>(1.23*3+3.23*6.05+1.01*3.6+0.15*1.05+3.01*2.6+2.9*2.61+3.35*3+1.75*1.25+1.65*1.4+1.25*1.25+1.12*1.05+3.31*3.6+1.55*2.45+2.46*1.25+3.44*1.05+2.9*0.75+1.26*3.35+3.6*0.49)*(10.764)</f>
        <v>971.62860599999988</v>
      </c>
      <c r="E175" s="77">
        <f>(3.23*2+3.1*1.8+3.6*1.7+2.7*3+5*0.6+0.38*3.6+1.4*3.2)*(10.764)</f>
        <v>377.90251199999994</v>
      </c>
      <c r="F175" s="69">
        <f>D175+E175</f>
        <v>1349.5311179999999</v>
      </c>
      <c r="G175" s="69">
        <v>0</v>
      </c>
      <c r="H175" s="69">
        <f>F175*(($H$136)+1)+(IF(G175&lt;101,G175,IF(G175&lt;201,G175/2,IF(G175&lt;=301,G175/3,G175/4))))</f>
        <v>2024.2966769999998</v>
      </c>
      <c r="I175" s="36"/>
    </row>
    <row r="176" spans="1:20" s="35" customFormat="1" x14ac:dyDescent="0.35">
      <c r="A176" s="87">
        <f>A175+1</f>
        <v>6</v>
      </c>
      <c r="B176" s="89"/>
      <c r="C176" s="87" t="s">
        <v>336</v>
      </c>
      <c r="D176" s="88"/>
      <c r="E176" s="88"/>
      <c r="F176" s="88"/>
      <c r="G176" s="88"/>
      <c r="H176" s="89"/>
      <c r="T176" s="37"/>
    </row>
    <row r="177" spans="1:20" s="35" customFormat="1" x14ac:dyDescent="0.35">
      <c r="A177" s="96" t="s">
        <v>331</v>
      </c>
      <c r="B177" s="96"/>
      <c r="C177" s="96"/>
      <c r="D177" s="96"/>
      <c r="E177" s="96"/>
      <c r="F177" s="96"/>
      <c r="G177" s="96"/>
      <c r="H177" s="96"/>
      <c r="T177" s="37"/>
    </row>
    <row r="178" spans="1:20" s="35" customFormat="1" x14ac:dyDescent="0.35">
      <c r="A178" s="145">
        <v>1</v>
      </c>
      <c r="B178" s="145"/>
      <c r="C178" s="77" t="s">
        <v>334</v>
      </c>
      <c r="D178" s="77">
        <f>(3.05*1.21+2.45*2.96+3.2*4.32+0.88*3.71+3.05*3.76+3.15*3.95+2.45*1.55+1.25*2.5+0.71*0.15+1.5*1.05+1.17*1.05+3.15*1.6)*(10.764)</f>
        <v>719.18912520000003</v>
      </c>
      <c r="E178" s="77">
        <f>(3.2*1.6+2*1.4+3.2*1.1+3.15*2.8)*(10.764)</f>
        <v>218.07863999999998</v>
      </c>
      <c r="F178" s="84">
        <f>D178+E178</f>
        <v>937.26776519999999</v>
      </c>
      <c r="G178" s="84">
        <v>0</v>
      </c>
      <c r="H178" s="84">
        <f>F178*(($H$136)+1)+(IF(G178&lt;101,G178,IF(G178&lt;201,G178/2,IF(G178&lt;=301,G178/3,G178/4))))</f>
        <v>1405.9016477999999</v>
      </c>
    </row>
    <row r="179" spans="1:20" s="35" customFormat="1" x14ac:dyDescent="0.35">
      <c r="A179" s="145">
        <f>A178+1</f>
        <v>2</v>
      </c>
      <c r="B179" s="145"/>
      <c r="C179" s="77" t="s">
        <v>334</v>
      </c>
      <c r="D179" s="77">
        <f>(3.05*1.21+2.45*2.96+3.2*4.32+0.88*3.71+3.05*3.76+3.15*3.95+2.45*1.55+1.25*2.5+0.71*0.15+1.5*1.05+1.17*1.05+3.15*1.6)*(10.764)</f>
        <v>719.18912520000003</v>
      </c>
      <c r="E179" s="77">
        <f>(3.2*1.6+2*1.4+3.2*1.1+3.15*2.8)*(10.764)</f>
        <v>218.07863999999998</v>
      </c>
      <c r="F179" s="84">
        <f>D179+E179</f>
        <v>937.26776519999999</v>
      </c>
      <c r="G179" s="84">
        <v>0</v>
      </c>
      <c r="H179" s="84">
        <f>F179*(($H$136)+1)+(IF(G179&lt;101,G179,IF(G179&lt;201,G179/2,IF(G179&lt;=301,G179/3,G179/4))))</f>
        <v>1405.9016477999999</v>
      </c>
    </row>
    <row r="180" spans="1:20" s="35" customFormat="1" ht="77.5" x14ac:dyDescent="0.35">
      <c r="A180" s="145">
        <f>A179+1</f>
        <v>3</v>
      </c>
      <c r="B180" s="145"/>
      <c r="C180" s="77" t="s">
        <v>337</v>
      </c>
      <c r="D180" s="77">
        <f>(354.93+4*(0.82*3.55+4.7*1.2+0.36*0.15))*(10.764)</f>
        <v>4190.9633999999996</v>
      </c>
      <c r="E180" s="77">
        <f>(4*(5*1.7+4.5*2.9+3.55*1.5+3*1.4)+6.6*2.9+3*1.4)*(10.764)</f>
        <v>1589.1969599999995</v>
      </c>
      <c r="F180" s="84">
        <f>D180+E180</f>
        <v>5780.1603599999989</v>
      </c>
      <c r="G180" s="84">
        <v>0</v>
      </c>
      <c r="H180" s="84">
        <f>F180*(($H$136)+1)+(IF(G180&lt;101,G180,IF(G180&lt;201,G180/2,IF(G180&lt;=301,G180/3,G180/4))))</f>
        <v>8670.2405399999989</v>
      </c>
      <c r="I180" s="35">
        <f>(2.35*1.29+2.35*1.16+1.9*2.45+4.42*2.45+6.55*6.91+2*(1.01*3.55+4.7*2.9+1.65*0.36+1.7*2.49+1.56*1.75+1.25*1+3.13*3.55+2.45*1.25+2.55*1.05+4.7*1.2+0.15*2.9+3.55*0.82)+8.57*6.25+2*(4.7*2.9+1.65*0.36+1.7*3+1.25*2.75+0.3*1.75+3.13*3.55+2.45*1.25+2.55*1.05+4.7*1.2+0.15*2.9+3.55*0.82)+5.72*6.31+1.49*5.81+2.15*5.31+1*2.31+2.01*1.31+1.5*1.2+0.9*1.3)</f>
        <v>386.11220000000009</v>
      </c>
      <c r="J180" s="35">
        <f>4*(0.82*3.55+4.7*1.2)</f>
        <v>34.203999999999994</v>
      </c>
      <c r="K180" s="35">
        <f>I180-J180</f>
        <v>351.90820000000008</v>
      </c>
      <c r="L180" s="35">
        <f>155.65+135.2+64.08</f>
        <v>354.93</v>
      </c>
    </row>
    <row r="181" spans="1:20" s="35" customFormat="1" ht="77.5" x14ac:dyDescent="0.35">
      <c r="A181" s="87">
        <f>A180+1</f>
        <v>4</v>
      </c>
      <c r="B181" s="89"/>
      <c r="C181" s="77" t="s">
        <v>337</v>
      </c>
      <c r="D181" s="77">
        <f>(393.87+4*(4.75*1.2+0.39*1.5+0.49*3.6))*(10.764)</f>
        <v>4586.1744239999998</v>
      </c>
      <c r="E181" s="77">
        <f>(4*(5.1*1.7+4.9*2.95+0.6*5+0.75*3.6+3.8*1.5)+6.6*2.7+3.5*1.5)*(10.764)</f>
        <v>1734.8338799999997</v>
      </c>
      <c r="F181" s="69">
        <f>D181+E181</f>
        <v>6321.008303999999</v>
      </c>
      <c r="G181" s="69">
        <v>0</v>
      </c>
      <c r="H181" s="69">
        <f>F181*(($H$136)+1)+(IF(G181&lt;101,G181,IF(G181&lt;201,G181/2,IF(G181&lt;=301,G181/3,G181/4))))</f>
        <v>9481.5124559999986</v>
      </c>
      <c r="I181" s="35">
        <f>2.4*1.34+4.42*2.6+1.85*2.6+2.4*1.3+6.55*7.26+2*(1.01*3.6+4.75*2.61+1.7*0.39+1.65*3+1.65*2.75+1.25*1.25+3.31*3.6+1.55*2.45+2.46*1.25+0.97*1.05+3.44*1.05+4.75*1.2+2.9*0.3+3.6*0.49)+8.57*6.3+2*(4.75*2.61+1.7*0.39+1.65*3+1.65*2.75+1.25*1.25+3.31*3.6+1.55*1.2+4.16*1.25+1.3*1.3+0.97*1.05+3.44*1.05+4.75*1.2+2.9*0.3+3.6*0.49)+5.72*6.58+1.45*4.13+1.49*1.95+2.15*5.58+1*2.58+1.97*1.51+1.4*1.27+1.01*1.37</f>
        <v>425.90800000000002</v>
      </c>
      <c r="J181" s="35">
        <f>4*(4.75*1.2+0.39*1.5+0.49*3.6)</f>
        <v>32.195999999999998</v>
      </c>
      <c r="K181" s="35">
        <f>I181-J181</f>
        <v>393.71199999999999</v>
      </c>
    </row>
    <row r="182" spans="1:20" s="35" customFormat="1" x14ac:dyDescent="0.35">
      <c r="A182" s="93" t="s">
        <v>332</v>
      </c>
      <c r="B182" s="94"/>
      <c r="C182" s="94"/>
      <c r="D182" s="94"/>
      <c r="E182" s="94"/>
      <c r="F182" s="94"/>
      <c r="G182" s="94"/>
      <c r="H182" s="95"/>
    </row>
    <row r="183" spans="1:20" s="35" customFormat="1" x14ac:dyDescent="0.35">
      <c r="A183" s="87">
        <v>1</v>
      </c>
      <c r="B183" s="89"/>
      <c r="C183" s="77" t="s">
        <v>334</v>
      </c>
      <c r="D183" s="77">
        <f>(3.05*1.21+2.45*2.96+3.2*4.32+0.88*3.71+3.05*3.76+3.15*3.95+2.45*1.55+1.25*2.5+0.71*0.15+1.5*1.05+1.17*1.05+3.15*1.6)*(10.764)</f>
        <v>719.18912520000003</v>
      </c>
      <c r="E183" s="77">
        <f>(3.2*2.6+2*1.4+3.2*1.7+3.15*1.5)*(10.764)</f>
        <v>229.11174000000003</v>
      </c>
      <c r="F183" s="69">
        <f>D183+E183</f>
        <v>948.30086520000009</v>
      </c>
      <c r="G183" s="69">
        <v>0</v>
      </c>
      <c r="H183" s="69">
        <f>F183*(($H$136)+1)+(IF(G183&lt;101,G183,IF(G183&lt;201,G183/2,IF(G183&lt;=301,G183/3,G183/4))))</f>
        <v>1422.4512978000002</v>
      </c>
    </row>
    <row r="184" spans="1:20" s="35" customFormat="1" x14ac:dyDescent="0.35">
      <c r="A184" s="87">
        <f>A183+1</f>
        <v>2</v>
      </c>
      <c r="B184" s="89"/>
      <c r="C184" s="77" t="s">
        <v>334</v>
      </c>
      <c r="D184" s="77">
        <f>(3.05*1.21+2.45*2.96+3.2*4.32+0.88*3.71+3.05*3.76+3.15*3.95+2.45*1.55+1.25*2.5+0.71*0.15+1.5*1.05+1.17*1.05+3.15*1.6)*(10.764)</f>
        <v>719.18912520000003</v>
      </c>
      <c r="E184" s="77">
        <f>(3.2*2.6+2*1.4+3.2*1.7+3.15*1.5)*(10.764)</f>
        <v>229.11174000000003</v>
      </c>
      <c r="F184" s="69">
        <f>D184+E184</f>
        <v>948.30086520000009</v>
      </c>
      <c r="G184" s="69">
        <v>0</v>
      </c>
      <c r="H184" s="69">
        <f>F184*(($H$136)+1)+(IF(G184&lt;101,G184,IF(G184&lt;201,G184/2,IF(G184&lt;=301,G184/3,G184/4))))</f>
        <v>1422.4512978000002</v>
      </c>
    </row>
    <row r="185" spans="1:20" s="35" customFormat="1" x14ac:dyDescent="0.35">
      <c r="A185" s="87">
        <f>A184+1</f>
        <v>3</v>
      </c>
      <c r="B185" s="89"/>
      <c r="C185" s="90" t="s">
        <v>338</v>
      </c>
      <c r="D185" s="91"/>
      <c r="E185" s="91"/>
      <c r="F185" s="91"/>
      <c r="G185" s="91"/>
      <c r="H185" s="92"/>
    </row>
    <row r="186" spans="1:20" s="35" customFormat="1" x14ac:dyDescent="0.35">
      <c r="A186" s="87">
        <f>A185+1</f>
        <v>4</v>
      </c>
      <c r="B186" s="89"/>
      <c r="C186" s="90" t="s">
        <v>338</v>
      </c>
      <c r="D186" s="91"/>
      <c r="E186" s="91"/>
      <c r="F186" s="91"/>
      <c r="G186" s="91"/>
      <c r="H186" s="92"/>
    </row>
    <row r="187" spans="1:20" x14ac:dyDescent="0.35">
      <c r="A187" s="93" t="s">
        <v>333</v>
      </c>
      <c r="B187" s="94"/>
      <c r="C187" s="94"/>
      <c r="D187" s="94"/>
      <c r="E187" s="94"/>
      <c r="F187" s="94"/>
      <c r="G187" s="94"/>
      <c r="H187" s="95"/>
      <c r="T187" s="35"/>
    </row>
    <row r="188" spans="1:20" x14ac:dyDescent="0.35">
      <c r="A188" s="87">
        <v>1</v>
      </c>
      <c r="B188" s="89"/>
      <c r="C188" s="77" t="s">
        <v>334</v>
      </c>
      <c r="D188" s="77">
        <f>(3.05*1.21+2.45*2.96+3.2*4.32+0.88*3.71+3.05*3.76+3.15*3.95+2.45*1.55+1.25*2.5+0.71*0.15+1.5*1.05+1.17*1.05+3.15*1.6)*(10.764)</f>
        <v>719.18912520000003</v>
      </c>
      <c r="E188" s="77">
        <f>(3.2*1.6+2*1.4+3.2*1.1+3.15*2.8)*(10.764)</f>
        <v>218.07863999999998</v>
      </c>
      <c r="F188" s="69">
        <f>D188+E188</f>
        <v>937.26776519999999</v>
      </c>
      <c r="G188" s="69">
        <v>0</v>
      </c>
      <c r="H188" s="69">
        <f>F188*(($H$136)+1)+(IF(G188&lt;101,G188,IF(G188&lt;201,G188/2,IF(G188&lt;=301,G188/3,G188/4))))</f>
        <v>1405.9016477999999</v>
      </c>
      <c r="T188" s="35"/>
    </row>
    <row r="189" spans="1:20" ht="15.75" customHeight="1" x14ac:dyDescent="0.35">
      <c r="A189" s="87">
        <f>A188+1</f>
        <v>2</v>
      </c>
      <c r="B189" s="89"/>
      <c r="C189" s="77" t="s">
        <v>334</v>
      </c>
      <c r="D189" s="77">
        <f>(3.05*1.21+2.45*2.96+3.2*4.32+0.88*3.71+3.05*3.76+3.15*3.95+2.45*1.55+1.25*2.5+0.71*0.15+1.5*1.05+1.17*1.05+3.15*1.6)*(10.764)</f>
        <v>719.18912520000003</v>
      </c>
      <c r="E189" s="77">
        <f>(3.2*1.6+2*1.4+3.2*1.1+3.15*2.8)*(10.764)</f>
        <v>218.07863999999998</v>
      </c>
      <c r="F189" s="69">
        <f>D189+E189</f>
        <v>937.26776519999999</v>
      </c>
      <c r="G189" s="69">
        <v>0</v>
      </c>
      <c r="H189" s="69">
        <f>F189*(($H$136)+1)+(IF(G189&lt;101,G189,IF(G189&lt;201,G189/2,IF(G189&lt;=301,G189/3,G189/4))))</f>
        <v>1405.9016477999999</v>
      </c>
      <c r="T189" s="35"/>
    </row>
    <row r="190" spans="1:20" x14ac:dyDescent="0.35">
      <c r="A190" s="87">
        <f>A189+1</f>
        <v>3</v>
      </c>
      <c r="B190" s="89"/>
      <c r="C190" s="90" t="s">
        <v>339</v>
      </c>
      <c r="D190" s="91"/>
      <c r="E190" s="91"/>
      <c r="F190" s="91"/>
      <c r="G190" s="91"/>
      <c r="H190" s="92"/>
    </row>
    <row r="191" spans="1:20" ht="15.75" customHeight="1" x14ac:dyDescent="0.35">
      <c r="A191" s="87">
        <f>A190+1</f>
        <v>4</v>
      </c>
      <c r="B191" s="89"/>
      <c r="C191" s="90" t="s">
        <v>339</v>
      </c>
      <c r="D191" s="91"/>
      <c r="E191" s="91"/>
      <c r="F191" s="91"/>
      <c r="G191" s="91"/>
      <c r="H191" s="92"/>
    </row>
    <row r="192" spans="1:20" x14ac:dyDescent="0.35">
      <c r="A192" s="93" t="s">
        <v>340</v>
      </c>
      <c r="B192" s="94"/>
      <c r="C192" s="94"/>
      <c r="D192" s="94"/>
      <c r="E192" s="94"/>
      <c r="F192" s="94"/>
      <c r="G192" s="94"/>
      <c r="H192" s="95"/>
    </row>
    <row r="193" spans="1:8" x14ac:dyDescent="0.35">
      <c r="A193" s="93" t="s">
        <v>318</v>
      </c>
      <c r="B193" s="94"/>
      <c r="C193" s="94"/>
      <c r="D193" s="94"/>
      <c r="E193" s="94"/>
      <c r="F193" s="94"/>
      <c r="G193" s="94"/>
      <c r="H193" s="95"/>
    </row>
    <row r="194" spans="1:8" x14ac:dyDescent="0.35">
      <c r="A194" s="93" t="s">
        <v>319</v>
      </c>
      <c r="B194" s="94"/>
      <c r="C194" s="94"/>
      <c r="D194" s="94"/>
      <c r="E194" s="94"/>
      <c r="F194" s="94"/>
      <c r="G194" s="94"/>
      <c r="H194" s="95"/>
    </row>
    <row r="195" spans="1:8" x14ac:dyDescent="0.35">
      <c r="A195" s="93" t="s">
        <v>320</v>
      </c>
      <c r="B195" s="94"/>
      <c r="C195" s="94"/>
      <c r="D195" s="94"/>
      <c r="E195" s="94"/>
      <c r="F195" s="94"/>
      <c r="G195" s="94"/>
      <c r="H195" s="95"/>
    </row>
    <row r="196" spans="1:8" x14ac:dyDescent="0.35">
      <c r="A196" s="93" t="s">
        <v>321</v>
      </c>
      <c r="B196" s="94"/>
      <c r="C196" s="94"/>
      <c r="D196" s="94"/>
      <c r="E196" s="94"/>
      <c r="F196" s="94"/>
      <c r="G196" s="94"/>
      <c r="H196" s="95"/>
    </row>
    <row r="197" spans="1:8" ht="30" customHeight="1" x14ac:dyDescent="0.35">
      <c r="A197" s="93" t="s">
        <v>356</v>
      </c>
      <c r="B197" s="94"/>
      <c r="C197" s="94"/>
      <c r="D197" s="94"/>
      <c r="E197" s="94"/>
      <c r="F197" s="94"/>
      <c r="G197" s="94"/>
      <c r="H197" s="95"/>
    </row>
    <row r="198" spans="1:8" ht="27.75" customHeight="1" x14ac:dyDescent="0.35">
      <c r="A198" s="93" t="s">
        <v>322</v>
      </c>
      <c r="B198" s="94"/>
      <c r="C198" s="94"/>
      <c r="D198" s="94"/>
      <c r="E198" s="94"/>
      <c r="F198" s="94"/>
      <c r="G198" s="94"/>
      <c r="H198" s="95"/>
    </row>
    <row r="199" spans="1:8" x14ac:dyDescent="0.35">
      <c r="A199" s="93" t="s">
        <v>323</v>
      </c>
      <c r="B199" s="94"/>
      <c r="C199" s="94"/>
      <c r="D199" s="94"/>
      <c r="E199" s="94"/>
      <c r="F199" s="94"/>
      <c r="G199" s="94"/>
      <c r="H199" s="95"/>
    </row>
    <row r="200" spans="1:8" x14ac:dyDescent="0.35">
      <c r="A200" s="93" t="s">
        <v>324</v>
      </c>
      <c r="B200" s="94"/>
      <c r="C200" s="94"/>
      <c r="D200" s="94"/>
      <c r="E200" s="94"/>
      <c r="F200" s="94"/>
      <c r="G200" s="94"/>
      <c r="H200" s="95"/>
    </row>
    <row r="201" spans="1:8" ht="31.5" customHeight="1" x14ac:dyDescent="0.35">
      <c r="A201" s="93" t="s">
        <v>325</v>
      </c>
      <c r="B201" s="94"/>
      <c r="C201" s="94"/>
      <c r="D201" s="94"/>
      <c r="E201" s="94"/>
      <c r="F201" s="94"/>
      <c r="G201" s="94"/>
      <c r="H201" s="95"/>
    </row>
    <row r="202" spans="1:8" ht="15" customHeight="1" x14ac:dyDescent="0.35">
      <c r="A202" s="87">
        <v>1</v>
      </c>
      <c r="B202" s="89"/>
      <c r="C202" s="77" t="s">
        <v>334</v>
      </c>
      <c r="D202" s="77">
        <f>(3.05*1.21+2.45*2.96+3.15*4.32+0.88*3.71+3.05*3.76+3.15*3.95+2.45*1.55+1.25*2.5+0.71*0.15+1.5*1.05+1.17*1.05+3.15*1.6)*(10.764)</f>
        <v>716.86410119999994</v>
      </c>
      <c r="E202" s="77">
        <f>(3.15*2.6+2*1.4+3.2*1.7+3.15*1.5)*(10.764)</f>
        <v>227.71242000000001</v>
      </c>
      <c r="F202" s="74">
        <f t="shared" ref="F202:F207" si="7">D202+E202</f>
        <v>944.57652119999989</v>
      </c>
      <c r="G202" s="74">
        <v>0</v>
      </c>
      <c r="H202" s="74">
        <f t="shared" ref="H202:H207" si="8">F202*(($H$136)+1)+(IF(G202&lt;101,G202,IF(G202&lt;201,G202/2,IF(G202&lt;=301,G202/3,G202/4))))</f>
        <v>1416.8647817999999</v>
      </c>
    </row>
    <row r="203" spans="1:8" x14ac:dyDescent="0.35">
      <c r="A203" s="87">
        <f>A202+1</f>
        <v>2</v>
      </c>
      <c r="B203" s="89"/>
      <c r="C203" s="77" t="s">
        <v>334</v>
      </c>
      <c r="D203" s="77">
        <f>(3.05*1.21+2.45*2.96+3.15*4.32+0.88*3.71+3.05*3.76+3.15*3.95+2.45*1.55+1.25*2.5+0.71*0.15+1.5*1.05+1.17*1.05+3.15*1.6)*(10.764)</f>
        <v>716.86410119999994</v>
      </c>
      <c r="E203" s="77">
        <f>(3.15*2.6+2*1.4+3.2*1.7+3.15*1.5)*(10.764)</f>
        <v>227.71242000000001</v>
      </c>
      <c r="F203" s="74">
        <f t="shared" si="7"/>
        <v>944.57652119999989</v>
      </c>
      <c r="G203" s="74">
        <v>0</v>
      </c>
      <c r="H203" s="74">
        <f t="shared" si="8"/>
        <v>1416.8647817999999</v>
      </c>
    </row>
    <row r="204" spans="1:8" x14ac:dyDescent="0.35">
      <c r="A204" s="87">
        <f>A203+1</f>
        <v>3</v>
      </c>
      <c r="B204" s="89"/>
      <c r="C204" s="77" t="s">
        <v>335</v>
      </c>
      <c r="D204" s="77">
        <f>(1.23*2.85+3.23*5.15+3.01*2.45+1.01*3.55+0.15*1+2.9*2.7+3.35*3.06+1.55*1.75+1.25*1+2.49*3.55+0.64*2.4+0.1*1.05+2.45*1.25+3.44*1.05+3.23*0.65+2.9*0.36+3.35*1.2+3.55*0.82)*(10.764)</f>
        <v>866.74957199999994</v>
      </c>
      <c r="E204" s="77">
        <f>(3.23*1.9+3.1*1.7+3.6*1.8+2.7*2.9+3.55*1.5+3*1.4)*(10.764)</f>
        <v>379.34488799999997</v>
      </c>
      <c r="F204" s="74">
        <f t="shared" si="7"/>
        <v>1246.0944599999998</v>
      </c>
      <c r="G204" s="74">
        <v>0</v>
      </c>
      <c r="H204" s="74">
        <f t="shared" si="8"/>
        <v>1869.1416899999997</v>
      </c>
    </row>
    <row r="205" spans="1:8" x14ac:dyDescent="0.35">
      <c r="A205" s="87">
        <f>A204+1</f>
        <v>4</v>
      </c>
      <c r="B205" s="89"/>
      <c r="C205" s="77" t="s">
        <v>335</v>
      </c>
      <c r="D205" s="77">
        <f>(1.23*2.85+3.23*5.15+3.01*2.45+1.01*3.55+0.15*1+2.9*2.7+3.35*3.06+1.55*1.75+1.25*1+2.49*3.55+0.64*2.4+0.1*1.05+2.45*1.25+3.44*1.05+3.23*0.65+2.9*0.36+3.35*1.2+3.55*0.82)*(10.764)</f>
        <v>866.74957199999994</v>
      </c>
      <c r="E205" s="77">
        <f>(3.23*3.8+3.1*2.8+3.6*1.7+1.7*2.9+1.5*3.55+1.4*3)*(10.764)</f>
        <v>447.01815600000009</v>
      </c>
      <c r="F205" s="74">
        <f t="shared" si="7"/>
        <v>1313.767728</v>
      </c>
      <c r="G205" s="74">
        <v>0</v>
      </c>
      <c r="H205" s="74">
        <f t="shared" si="8"/>
        <v>1970.6515920000002</v>
      </c>
    </row>
    <row r="206" spans="1:8" x14ac:dyDescent="0.35">
      <c r="A206" s="87">
        <f>A205+1</f>
        <v>5</v>
      </c>
      <c r="B206" s="89"/>
      <c r="C206" s="77" t="s">
        <v>335</v>
      </c>
      <c r="D206" s="77">
        <f>(1.23*3+3.23*6.05+1.01*3.6+0.15*1.05+3.01*2.6+2.9*2.61+3.35*3+1.75*1.25+1.65*1.4+1.25*1.25+1.12*1.05+3.31*3.6+1.55*2.45+2.46*1.25+3.44*1.05+2.9*0.75+1.26*3.35+3.6*0.49)*(10.764)</f>
        <v>971.62860599999988</v>
      </c>
      <c r="E206" s="77">
        <f>(3.23*1.9+3.1*1.7+3.6*1.8+2.7*3+5.2*0.6+0.38*3.6+3*1.5+3.2*1.4)*(10.764)</f>
        <v>424.69361999999995</v>
      </c>
      <c r="F206" s="74">
        <f t="shared" si="7"/>
        <v>1396.3222259999998</v>
      </c>
      <c r="G206" s="74">
        <v>0</v>
      </c>
      <c r="H206" s="74">
        <f t="shared" si="8"/>
        <v>2094.4833389999994</v>
      </c>
    </row>
    <row r="207" spans="1:8" x14ac:dyDescent="0.35">
      <c r="A207" s="145">
        <v>6</v>
      </c>
      <c r="B207" s="145"/>
      <c r="C207" s="77" t="s">
        <v>335</v>
      </c>
      <c r="D207" s="77">
        <f>(1.23*3+3.23*6.05+1.01*3.6+0.15*1.05+3.01*2.6+2.9*2.61+3.35*3+1.75*1.25+1.65*1.4+1.25*1.25+1.12*1.05+3.31*3.6+1.55*2.45+2.46*1.25+3.44*1.05+2.9*0.75+1.26*3.35+3.6*0.49)*(10.764)</f>
        <v>971.62860599999988</v>
      </c>
      <c r="E207" s="77">
        <f>(3.23*3.8+3.1*2.8+3.6*1.7+1.7*2.9+1.5*3.55+5*0.6+0.38*3.6+1.4*3.2)*(10.764)</f>
        <v>497.04922800000003</v>
      </c>
      <c r="F207" s="74">
        <f t="shared" si="7"/>
        <v>1468.6778339999998</v>
      </c>
      <c r="G207" s="74">
        <v>0</v>
      </c>
      <c r="H207" s="74">
        <f t="shared" si="8"/>
        <v>2203.0167509999997</v>
      </c>
    </row>
    <row r="208" spans="1:8" x14ac:dyDescent="0.35">
      <c r="A208" s="96" t="s">
        <v>326</v>
      </c>
      <c r="B208" s="96"/>
      <c r="C208" s="96"/>
      <c r="D208" s="96"/>
      <c r="E208" s="96"/>
      <c r="F208" s="96"/>
      <c r="G208" s="96"/>
      <c r="H208" s="96"/>
    </row>
    <row r="209" spans="1:8" x14ac:dyDescent="0.35">
      <c r="A209" s="145">
        <v>1</v>
      </c>
      <c r="B209" s="145"/>
      <c r="C209" s="77" t="s">
        <v>334</v>
      </c>
      <c r="D209" s="77">
        <f>(3.05*1.21+2.45*2.96+3.15*4.32+0.88*3.71+3.05*3.76+3.15*3.95+2.45*1.55+1.25*2.5+0.71*0.15+1.5*1.05+1.17*1.05+3.15*1.6)*(10.764)</f>
        <v>716.86410119999994</v>
      </c>
      <c r="E209" s="77">
        <f>(3.15*1.6+2*1.4+3.2*1.1+3.15*2.8)*(10.764)</f>
        <v>217.21751999999998</v>
      </c>
      <c r="F209" s="82">
        <f t="shared" ref="F209:F214" si="9">D209+E209</f>
        <v>934.08162119999997</v>
      </c>
      <c r="G209" s="82">
        <v>0</v>
      </c>
      <c r="H209" s="82">
        <f t="shared" ref="H209:H214" si="10">F209*(($H$136)+1)+(IF(G209&lt;101,G209,IF(G209&lt;201,G209/2,IF(G209&lt;=301,G209/3,G209/4))))</f>
        <v>1401.1224318</v>
      </c>
    </row>
    <row r="210" spans="1:8" x14ac:dyDescent="0.35">
      <c r="A210" s="145">
        <f>A209+1</f>
        <v>2</v>
      </c>
      <c r="B210" s="145"/>
      <c r="C210" s="77" t="s">
        <v>334</v>
      </c>
      <c r="D210" s="77">
        <f>(3.05*1.21+2.45*2.96+3.15*4.32+0.88*3.71+3.05*3.76+3.15*3.95+2.45*1.55+1.25*2.5+0.71*0.15+1.5*1.05+1.17*1.05+3.15*1.6)*(10.764)</f>
        <v>716.86410119999994</v>
      </c>
      <c r="E210" s="77">
        <f>(3.15*1.6+2*1.4+3.2*1.1+3.15*2.8)*(10.764)</f>
        <v>217.21751999999998</v>
      </c>
      <c r="F210" s="82">
        <f t="shared" si="9"/>
        <v>934.08162119999997</v>
      </c>
      <c r="G210" s="82">
        <v>0</v>
      </c>
      <c r="H210" s="82">
        <f t="shared" si="10"/>
        <v>1401.1224318</v>
      </c>
    </row>
    <row r="211" spans="1:8" x14ac:dyDescent="0.35">
      <c r="A211" s="145">
        <f>A210+1</f>
        <v>3</v>
      </c>
      <c r="B211" s="145"/>
      <c r="C211" s="77" t="s">
        <v>335</v>
      </c>
      <c r="D211" s="77">
        <f>(1.2*2.85+3.23*5.15+3.01*2.45+1.01*3.55+0.15*1+2.9*2.7+3.35*3.06+1.55*1.75+1.25*1+2.49*3.55+0.64*2.4+0.1*1.05+2.45*1.25+3.44*1.05+3.23*0.65+2.9*0.36+3.35*1.2+3.55*0.82)*(10.764)</f>
        <v>865.82925</v>
      </c>
      <c r="E211" s="77">
        <f>(3.23*3.9+3.1*2.8+3.6*1.8+1.7*3+3.55*1.5+3*1.4)*(10.764)</f>
        <v>456.19984800000003</v>
      </c>
      <c r="F211" s="82">
        <f t="shared" si="9"/>
        <v>1322.029098</v>
      </c>
      <c r="G211" s="82">
        <v>0</v>
      </c>
      <c r="H211" s="82">
        <f t="shared" si="10"/>
        <v>1983.043647</v>
      </c>
    </row>
    <row r="212" spans="1:8" x14ac:dyDescent="0.35">
      <c r="A212" s="145">
        <f>A211+1</f>
        <v>4</v>
      </c>
      <c r="B212" s="145"/>
      <c r="C212" s="77" t="s">
        <v>335</v>
      </c>
      <c r="D212" s="77">
        <f>(1.2*2.85+3.23*5.15+3.01*2.45+1.01*3.55+0.15*1+2.9*2.7+3.35*3.06+1.55*1.75+1.25*1+2.49*3.55+0.64*2.4+0.1*1.05+2.45*1.25+3.44*1.05+3.23*0.65+2.9*0.36+3.35*1.2+3.55*0.82)*(10.764)</f>
        <v>865.82925</v>
      </c>
      <c r="E212" s="77">
        <f>(3.23*2+3.1*1.8+3.6*1.7+2.7*3+1.5*3.55+1.4*3)*(10.764)</f>
        <v>385.18973999999992</v>
      </c>
      <c r="F212" s="82">
        <f t="shared" si="9"/>
        <v>1251.01899</v>
      </c>
      <c r="G212" s="82">
        <v>0</v>
      </c>
      <c r="H212" s="82">
        <f t="shared" si="10"/>
        <v>1876.528485</v>
      </c>
    </row>
    <row r="213" spans="1:8" x14ac:dyDescent="0.35">
      <c r="A213" s="145">
        <f>A212+1</f>
        <v>5</v>
      </c>
      <c r="B213" s="145"/>
      <c r="C213" s="77" t="s">
        <v>335</v>
      </c>
      <c r="D213" s="77">
        <f>(1.23*3+3.23*6.05+1.01*3.6+0.15*1.05+3.01*2.6+2.9*2.61+3.35*3+1.75*1.25+1.65*1.4+1.25*1.25+1.12*1.05+3.31*3.6+1.55*2.45+2.46*1.25+3.44*1.05+2.9*0.75+1.26*3.35+3.6*0.49)*(10.764)</f>
        <v>971.62860599999988</v>
      </c>
      <c r="E213" s="77">
        <f>(3.23*3.9+3.1*2.7+3.6*1.8+1.7*3+5*0.6+0.38*3.6+3*1.5+3.2*1.4)*(10.764)</f>
        <v>494.01377999999994</v>
      </c>
      <c r="F213" s="82">
        <f t="shared" si="9"/>
        <v>1465.6423859999998</v>
      </c>
      <c r="G213" s="82">
        <v>0</v>
      </c>
      <c r="H213" s="82">
        <f t="shared" si="10"/>
        <v>2198.4635789999998</v>
      </c>
    </row>
    <row r="214" spans="1:8" x14ac:dyDescent="0.35">
      <c r="A214" s="145">
        <v>6</v>
      </c>
      <c r="B214" s="145"/>
      <c r="C214" s="77" t="s">
        <v>335</v>
      </c>
      <c r="D214" s="77">
        <f>(1.23*3+3.23*6.05+1.01*3.6+0.15*1.05+3.01*2.6+2.9*2.61+3.35*3+1.75*1.25+1.65*1.4+1.25*1.25+1.12*1.05+3.31*3.6+1.55*2.45+2.46*1.25+3.44*1.05+2.9*0.75+1.26*3.35+3.6*0.49)*(10.764)</f>
        <v>971.62860599999988</v>
      </c>
      <c r="E214" s="77">
        <f>(3.23*2+3.1*1.8+3.6*1.7+2.7*3+5*0.6+0.38*3.6+1.4*3.2)*(10.764)</f>
        <v>377.90251199999994</v>
      </c>
      <c r="F214" s="82">
        <f t="shared" si="9"/>
        <v>1349.5311179999999</v>
      </c>
      <c r="G214" s="82">
        <v>0</v>
      </c>
      <c r="H214" s="82">
        <f t="shared" si="10"/>
        <v>2024.2966769999998</v>
      </c>
    </row>
    <row r="215" spans="1:8" x14ac:dyDescent="0.35">
      <c r="A215" s="96" t="s">
        <v>327</v>
      </c>
      <c r="B215" s="96"/>
      <c r="C215" s="96"/>
      <c r="D215" s="96"/>
      <c r="E215" s="96"/>
      <c r="F215" s="96"/>
      <c r="G215" s="96"/>
      <c r="H215" s="96"/>
    </row>
    <row r="216" spans="1:8" x14ac:dyDescent="0.35">
      <c r="A216" s="96" t="s">
        <v>328</v>
      </c>
      <c r="B216" s="96"/>
      <c r="C216" s="96"/>
      <c r="D216" s="96"/>
      <c r="E216" s="96"/>
      <c r="F216" s="96"/>
      <c r="G216" s="96"/>
      <c r="H216" s="96"/>
    </row>
    <row r="217" spans="1:8" x14ac:dyDescent="0.35">
      <c r="A217" s="96" t="s">
        <v>329</v>
      </c>
      <c r="B217" s="96"/>
      <c r="C217" s="96"/>
      <c r="D217" s="96"/>
      <c r="E217" s="96"/>
      <c r="F217" s="96"/>
      <c r="G217" s="96"/>
      <c r="H217" s="96"/>
    </row>
    <row r="218" spans="1:8" x14ac:dyDescent="0.35">
      <c r="A218" s="145">
        <v>1</v>
      </c>
      <c r="B218" s="145"/>
      <c r="C218" s="77" t="s">
        <v>334</v>
      </c>
      <c r="D218" s="77">
        <f>(3.05*1.21+2.45*2.96+3.15*4.32+0.88*3.71+3.05*3.76+3.15*3.95+2.45*1.55+1.25*2.5+0.71*0.15+1.5*1.05+1.17*1.05+3.15*1.6)*(10.764)</f>
        <v>716.86410119999994</v>
      </c>
      <c r="E218" s="77">
        <f>(3.15*1.6+2*1.4+3.2*1.1+3.15*2.8)*(10.764)</f>
        <v>217.21751999999998</v>
      </c>
      <c r="F218" s="82">
        <f>D218+E218</f>
        <v>934.08162119999997</v>
      </c>
      <c r="G218" s="82">
        <v>0</v>
      </c>
      <c r="H218" s="82">
        <f>F218*(($H$136)+1)+(IF(G218&lt;101,G218,IF(G218&lt;201,G218/2,IF(G218&lt;=301,G218/3,G218/4))))</f>
        <v>1401.1224318</v>
      </c>
    </row>
    <row r="219" spans="1:8" x14ac:dyDescent="0.35">
      <c r="A219" s="87">
        <f>A218+1</f>
        <v>2</v>
      </c>
      <c r="B219" s="89"/>
      <c r="C219" s="77" t="s">
        <v>334</v>
      </c>
      <c r="D219" s="77">
        <f>(3.05*1.21+2.45*2.96+3.15*4.32+0.88*3.71+3.05*3.76+3.15*3.95+2.45*1.55+1.25*2.5+0.71*0.15+1.5*1.05+1.17*1.05+3.15*1.6)*(10.764)</f>
        <v>716.86410119999994</v>
      </c>
      <c r="E219" s="77">
        <f>(3.15*1.6+2*1.4+3.2*1.1+3.15*2.8)*(10.764)</f>
        <v>217.21751999999998</v>
      </c>
      <c r="F219" s="74">
        <f>D219+E219</f>
        <v>934.08162119999997</v>
      </c>
      <c r="G219" s="74">
        <v>0</v>
      </c>
      <c r="H219" s="74">
        <f>F219*(($H$136)+1)+(IF(G219&lt;101,G219,IF(G219&lt;201,G219/2,IF(G219&lt;=301,G219/3,G219/4))))</f>
        <v>1401.1224318</v>
      </c>
    </row>
    <row r="220" spans="1:8" x14ac:dyDescent="0.35">
      <c r="A220" s="87">
        <f>A219+1</f>
        <v>3</v>
      </c>
      <c r="B220" s="89"/>
      <c r="C220" s="77" t="s">
        <v>335</v>
      </c>
      <c r="D220" s="77">
        <f>(1.23*2.85+3.23*5.15+3.01*2.45+1.01*3.55+0.15*1+2.9*2.7+3.35*3.06+1.55*1.75+1.25*1+2.49*3.55+0.64*2.4+0.1*1.05+2.45*1.25+3.44*1.05+3.23*0.65+2.9*0.36+3.35*1.2+3.55*0.82)*(10.764)</f>
        <v>866.74957199999994</v>
      </c>
      <c r="E220" s="77">
        <f>(3.23*2+3.1*1.8+3.6*1.7+2.7*3+1.5*3.55+1.4*3)*(10.764)</f>
        <v>385.18973999999992</v>
      </c>
      <c r="F220" s="74">
        <f>D220+E220</f>
        <v>1251.939312</v>
      </c>
      <c r="G220" s="74">
        <v>0</v>
      </c>
      <c r="H220" s="74">
        <f>F220*(($H$136)+1)+(IF(G220&lt;101,G220,IF(G220&lt;201,G220/2,IF(G220&lt;=301,G220/3,G220/4))))</f>
        <v>1877.908968</v>
      </c>
    </row>
    <row r="221" spans="1:8" x14ac:dyDescent="0.35">
      <c r="A221" s="87">
        <f>A220+1</f>
        <v>4</v>
      </c>
      <c r="B221" s="89"/>
      <c r="C221" s="77" t="s">
        <v>335</v>
      </c>
      <c r="D221" s="77">
        <f>(1.23*2.85+3.23*5.15+3.01*2.45+1.01*3.55+0.15*1+2.9*2.7+3.35*3.06+1.55*1.75+1.25*1+2.49*3.55+0.64*2.4+0.1*1.05+2.45*1.25+3.44*1.05+3.23*0.65+2.9*0.36+3.35*1.2+3.55*0.82)*(10.764)</f>
        <v>866.74957199999994</v>
      </c>
      <c r="E221" s="77">
        <f>(3.23*3.9+3.1*2.8+3.6*1.8+1.7*3+3.55*1.5+3*1.4)*(10.764)</f>
        <v>456.19984800000003</v>
      </c>
      <c r="F221" s="74">
        <f>D221+E221</f>
        <v>1322.9494199999999</v>
      </c>
      <c r="G221" s="74">
        <v>0</v>
      </c>
      <c r="H221" s="74">
        <f>F221*(($H$136)+1)+(IF(G221&lt;101,G221,IF(G221&lt;201,G221/2,IF(G221&lt;=301,G221/3,G221/4))))</f>
        <v>1984.4241299999999</v>
      </c>
    </row>
    <row r="222" spans="1:8" x14ac:dyDescent="0.35">
      <c r="A222" s="87">
        <f>A221+1</f>
        <v>5</v>
      </c>
      <c r="B222" s="89"/>
      <c r="C222" s="77" t="s">
        <v>335</v>
      </c>
      <c r="D222" s="77">
        <f>(1.23*3+3.23*6.05+1.01*3.6+0.15*1.05+3.01*2.6+2.9*2.61+3.35*3+1.75*1.25+1.65*1.4+1.25*1.25+1.12*1.05+3.31*3.6+1.55*2.45+2.46*1.25+3.44*1.05+2.9*0.75+1.26*3.35+3.6*0.49)*(10.764)</f>
        <v>971.62860599999988</v>
      </c>
      <c r="E222" s="77">
        <f>(3.23*2+3.1*1.8+3.6*1.7+2.7*3+5*0.6+0.38*3.6+1.4*3.2)*(10.764)</f>
        <v>377.90251199999994</v>
      </c>
      <c r="F222" s="74">
        <f>D222+E222</f>
        <v>1349.5311179999999</v>
      </c>
      <c r="G222" s="74">
        <v>0</v>
      </c>
      <c r="H222" s="74">
        <f>F222*(($H$136)+1)+(IF(G222&lt;101,G222,IF(G222&lt;201,G222/2,IF(G222&lt;=301,G222/3,G222/4))))</f>
        <v>2024.2966769999998</v>
      </c>
    </row>
    <row r="223" spans="1:8" x14ac:dyDescent="0.35">
      <c r="A223" s="145">
        <v>6</v>
      </c>
      <c r="B223" s="145"/>
      <c r="C223" s="87" t="s">
        <v>336</v>
      </c>
      <c r="D223" s="88"/>
      <c r="E223" s="88"/>
      <c r="F223" s="88"/>
      <c r="G223" s="88"/>
      <c r="H223" s="89"/>
    </row>
    <row r="224" spans="1:8" x14ac:dyDescent="0.35">
      <c r="A224" s="93" t="s">
        <v>330</v>
      </c>
      <c r="B224" s="94"/>
      <c r="C224" s="94"/>
      <c r="D224" s="94"/>
      <c r="E224" s="94"/>
      <c r="F224" s="94"/>
      <c r="G224" s="94"/>
      <c r="H224" s="95"/>
    </row>
    <row r="225" spans="1:9" x14ac:dyDescent="0.35">
      <c r="A225" s="87">
        <v>1</v>
      </c>
      <c r="B225" s="89"/>
      <c r="C225" s="77" t="s">
        <v>334</v>
      </c>
      <c r="D225" s="77">
        <f>(3.05*1.21+2.45*2.96+3.15*4.32+0.88*3.71+3.05*3.76+3.15*3.95+2.45*1.55+1.25*2.5+0.71*0.15+1.5*1.05+1.17*1.05+3.15*1.6)*(10.764)</f>
        <v>716.86410119999994</v>
      </c>
      <c r="E225" s="77">
        <f>(3.15*2.6+2*1.4+3.2*1.7+3.15*1.5)*(10.764)</f>
        <v>227.71242000000001</v>
      </c>
      <c r="F225" s="74">
        <f>D225+E225</f>
        <v>944.57652119999989</v>
      </c>
      <c r="G225" s="74">
        <v>0</v>
      </c>
      <c r="H225" s="74">
        <f>F225*(($H$136)+1)+(IF(G225&lt;101,G225,IF(G225&lt;201,G225/2,IF(G225&lt;=301,G225/3,G225/4))))</f>
        <v>1416.8647817999999</v>
      </c>
    </row>
    <row r="226" spans="1:9" x14ac:dyDescent="0.35">
      <c r="A226" s="87">
        <f>A225+1</f>
        <v>2</v>
      </c>
      <c r="B226" s="89"/>
      <c r="C226" s="77" t="s">
        <v>334</v>
      </c>
      <c r="D226" s="77">
        <f>(3.05*1.21+2.45*2.96+3.15*4.32+0.88*3.71+3.05*3.76+3.15*3.95+2.45*1.55+1.25*2.5+0.71*0.15+1.5*1.05+1.17*1.05+3.15*1.6)*(10.764)</f>
        <v>716.86410119999994</v>
      </c>
      <c r="E226" s="77">
        <f>(3.15*2.6+2*1.4+3.2*1.7+3.15*1.5)*(10.764)</f>
        <v>227.71242000000001</v>
      </c>
      <c r="F226" s="74">
        <f>D226+E226</f>
        <v>944.57652119999989</v>
      </c>
      <c r="G226" s="74">
        <v>0</v>
      </c>
      <c r="H226" s="74">
        <f>F226*(($H$136)+1)+(IF(G226&lt;101,G226,IF(G226&lt;201,G226/2,IF(G226&lt;=301,G226/3,G226/4))))</f>
        <v>1416.8647817999999</v>
      </c>
    </row>
    <row r="227" spans="1:9" x14ac:dyDescent="0.35">
      <c r="A227" s="87">
        <f>A226+1</f>
        <v>3</v>
      </c>
      <c r="B227" s="89"/>
      <c r="C227" s="77" t="s">
        <v>335</v>
      </c>
      <c r="D227" s="77">
        <f>(1.23*2.85+3.23*5.15+3.01*2.45+1.01*3.55+0.15*1+2.9*2.7+3.35*3.06+1.55*1.75+1.25*1+2.49*3.55+0.64*2.4+0.1*1.05+2.45*1.25+3.44*1.05+3.23*0.65+2.9*0.36+3.35*1.2+3.55*0.82)*(10.764)</f>
        <v>866.74957199999994</v>
      </c>
      <c r="E227" s="77">
        <f>(3.23*1.9+3.1*1.7+3.6*1.8+2.7*2.9+3.55*1.5+3*1.4)*(10.764)</f>
        <v>379.34488799999997</v>
      </c>
      <c r="F227" s="74">
        <f>D227+E227</f>
        <v>1246.0944599999998</v>
      </c>
      <c r="G227" s="74">
        <v>0</v>
      </c>
      <c r="H227" s="74">
        <f>F227*(($H$136)+1)+(IF(G227&lt;101,G227,IF(G227&lt;201,G227/2,IF(G227&lt;=301,G227/3,G227/4))))</f>
        <v>1869.1416899999997</v>
      </c>
    </row>
    <row r="228" spans="1:9" x14ac:dyDescent="0.35">
      <c r="A228" s="87">
        <f>A227+1</f>
        <v>4</v>
      </c>
      <c r="B228" s="89"/>
      <c r="C228" s="77" t="s">
        <v>335</v>
      </c>
      <c r="D228" s="77">
        <f>(1.23*2.85+3.23*5.15+3.01*2.45+1.01*3.55+0.15*1+2.9*2.7+3.35*3.06+1.55*1.75+1.25*1+2.49*3.55+0.64*2.4+0.1*1.05+2.45*1.25+3.44*1.05+3.23*0.65+2.9*0.36+3.35*1.2+3.55*0.82)*(10.764)</f>
        <v>866.74957199999994</v>
      </c>
      <c r="E228" s="77">
        <f>(3.23*3.8+3.1*2.8+3.6*1.7+1.7*2.9+1.5*3.55+1.4*3)*(10.764)</f>
        <v>447.01815600000009</v>
      </c>
      <c r="F228" s="74">
        <f>D228+E228</f>
        <v>1313.767728</v>
      </c>
      <c r="G228" s="74">
        <v>0</v>
      </c>
      <c r="H228" s="73">
        <f>F228*(($H$136)+1)+(IF(G228&lt;101,G228,IF(G228&lt;201,G228/2,IF(G228&lt;=301,G228/3,G228/4))))</f>
        <v>1970.6515920000002</v>
      </c>
      <c r="I228" s="79"/>
    </row>
    <row r="229" spans="1:9" x14ac:dyDescent="0.35">
      <c r="A229" s="87">
        <f>A228+1</f>
        <v>5</v>
      </c>
      <c r="B229" s="89"/>
      <c r="C229" s="77" t="s">
        <v>335</v>
      </c>
      <c r="D229" s="77">
        <f>(1.23*3+3.23*6.05+1.01*3.6+0.15*1.05+3.01*2.6+2.9*2.61+3.35*3+1.75*1.25+1.65*1.4+1.25*1.25+1.12*1.05+3.31*3.6+1.55*2.45+2.46*1.25+3.44*1.05+2.9*0.75+1.26*3.35+3.6*0.49)*(10.764)</f>
        <v>971.62860599999988</v>
      </c>
      <c r="E229" s="77">
        <f>(3.23*1.9+3.1*1.7+3.6*1.8+2.7*3+5.2*0.6+0.38*3.6+3*1.5+3.2*1.4)*(10.764)</f>
        <v>424.69361999999995</v>
      </c>
      <c r="F229" s="74">
        <f>D229+E229</f>
        <v>1396.3222259999998</v>
      </c>
      <c r="G229" s="74">
        <v>0</v>
      </c>
      <c r="H229" s="74">
        <f>F229*(($H$136)+1)+(IF(G229&lt;101,G229,IF(G229&lt;201,G229/2,IF(G229&lt;=301,G229/3,G229/4))))</f>
        <v>2094.4833389999994</v>
      </c>
    </row>
    <row r="230" spans="1:9" x14ac:dyDescent="0.35">
      <c r="A230" s="87">
        <f>A229+1</f>
        <v>6</v>
      </c>
      <c r="B230" s="89"/>
      <c r="C230" s="87" t="s">
        <v>336</v>
      </c>
      <c r="D230" s="88"/>
      <c r="E230" s="88"/>
      <c r="F230" s="88"/>
      <c r="G230" s="88"/>
      <c r="H230" s="89"/>
    </row>
    <row r="231" spans="1:9" x14ac:dyDescent="0.35">
      <c r="A231" s="93" t="s">
        <v>331</v>
      </c>
      <c r="B231" s="94"/>
      <c r="C231" s="94"/>
      <c r="D231" s="94"/>
      <c r="E231" s="94"/>
      <c r="F231" s="94"/>
      <c r="G231" s="94"/>
      <c r="H231" s="95"/>
    </row>
    <row r="232" spans="1:9" x14ac:dyDescent="0.35">
      <c r="A232" s="87">
        <v>1</v>
      </c>
      <c r="B232" s="89"/>
      <c r="C232" s="77" t="s">
        <v>334</v>
      </c>
      <c r="D232" s="77">
        <f>(3.05*1.21+2.45*2.96+3.2*4.32+0.88*3.71+3.05*3.76+3.15*3.95+2.45*1.55+1.25*2.5+0.71*0.15+1.5*1.05+1.17*1.05+3.15*1.6)*(10.764)</f>
        <v>719.18912520000003</v>
      </c>
      <c r="E232" s="77">
        <f>(3.2*2.6+2*1.4+3.2*1.7+3.15*1.5)*(10.764)</f>
        <v>229.11174000000003</v>
      </c>
      <c r="F232" s="74">
        <f>D232+E232</f>
        <v>948.30086520000009</v>
      </c>
      <c r="G232" s="74">
        <v>0</v>
      </c>
      <c r="H232" s="74">
        <f>F232*(($H$136)+1)+(IF(G232&lt;101,G232,IF(G232&lt;201,G232/2,IF(G232&lt;=301,G232/3,G232/4))))</f>
        <v>1422.4512978000002</v>
      </c>
    </row>
    <row r="233" spans="1:9" x14ac:dyDescent="0.35">
      <c r="A233" s="87">
        <f>A232+1</f>
        <v>2</v>
      </c>
      <c r="B233" s="89"/>
      <c r="C233" s="77" t="s">
        <v>334</v>
      </c>
      <c r="D233" s="77">
        <f>(3.05*1.21+2.45*2.96+3.2*4.32+0.88*3.71+3.05*3.76+3.15*3.95+2.45*1.55+1.25*2.5+0.71*0.15+1.5*1.05+1.17*1.05+3.15*1.6)*(10.764)</f>
        <v>719.18912520000003</v>
      </c>
      <c r="E233" s="77">
        <f>(3.2*2.6+2*1.4+3.2*1.7+3.15*1.5)*(10.764)</f>
        <v>229.11174000000003</v>
      </c>
      <c r="F233" s="74">
        <f>D233+E233</f>
        <v>948.30086520000009</v>
      </c>
      <c r="G233" s="74">
        <v>0</v>
      </c>
      <c r="H233" s="74">
        <f>F233*(($H$136)+1)+(IF(G233&lt;101,G233,IF(G233&lt;201,G233/2,IF(G233&lt;=301,G233/3,G233/4))))</f>
        <v>1422.4512978000002</v>
      </c>
    </row>
    <row r="234" spans="1:9" ht="77.5" x14ac:dyDescent="0.35">
      <c r="A234" s="87">
        <f>A233+1</f>
        <v>3</v>
      </c>
      <c r="B234" s="89"/>
      <c r="C234" s="77" t="s">
        <v>337</v>
      </c>
      <c r="D234" s="77">
        <f>(354.93+4*(0.82*3.55+4.7*1.2+0.36*0.15))*(10.764)</f>
        <v>4190.9633999999996</v>
      </c>
      <c r="E234" s="77">
        <f>(4*(5*1.7+4.5*2.9+3.55*1.5+3*1.4)+6.6*2.9+3*1.4)*(10.764)</f>
        <v>1589.1969599999995</v>
      </c>
      <c r="F234" s="74">
        <f>D234+E234</f>
        <v>5780.1603599999989</v>
      </c>
      <c r="G234" s="74">
        <v>0</v>
      </c>
      <c r="H234" s="74">
        <f>F234*(($H$136)+1)+(IF(G234&lt;101,G234,IF(G234&lt;201,G234/2,IF(G234&lt;=301,G234/3,G234/4))))</f>
        <v>8670.2405399999989</v>
      </c>
    </row>
    <row r="235" spans="1:9" ht="77.5" x14ac:dyDescent="0.35">
      <c r="A235" s="87">
        <f>A234+1</f>
        <v>4</v>
      </c>
      <c r="B235" s="89"/>
      <c r="C235" s="77" t="s">
        <v>337</v>
      </c>
      <c r="D235" s="77">
        <f>(393.87+4*(4.75*1.2+0.39*1.5+0.49*3.6))*(10.764)</f>
        <v>4586.1744239999998</v>
      </c>
      <c r="E235" s="77">
        <f>(4*(5.1*1.7+4.9*2.95+0.6*5+0.75*3.6+3.8*1.5)+6.6*2.7+3.5*1.5)*(10.764)</f>
        <v>1734.8338799999997</v>
      </c>
      <c r="F235" s="74">
        <f>D235+E235</f>
        <v>6321.008303999999</v>
      </c>
      <c r="G235" s="74">
        <v>0</v>
      </c>
      <c r="H235" s="74">
        <f>F235*(($H$136)+1)+(IF(G235&lt;101,G235,IF(G235&lt;201,G235/2,IF(G235&lt;=301,G235/3,G235/4))))</f>
        <v>9481.5124559999986</v>
      </c>
    </row>
    <row r="236" spans="1:9" x14ac:dyDescent="0.35">
      <c r="A236" s="93" t="s">
        <v>332</v>
      </c>
      <c r="B236" s="94"/>
      <c r="C236" s="94"/>
      <c r="D236" s="94"/>
      <c r="E236" s="94"/>
      <c r="F236" s="94"/>
      <c r="G236" s="94"/>
      <c r="H236" s="95"/>
    </row>
    <row r="237" spans="1:9" x14ac:dyDescent="0.35">
      <c r="A237" s="87">
        <v>1</v>
      </c>
      <c r="B237" s="89"/>
      <c r="C237" s="77" t="s">
        <v>334</v>
      </c>
      <c r="D237" s="77">
        <f>(3.05*1.21+2.45*2.96+3.2*4.32+0.88*3.71+3.05*3.76+3.15*3.95+2.45*1.55+1.25*2.5+0.71*0.15+1.5*1.05+1.17*1.05+3.15*1.6)*(10.764)</f>
        <v>719.18912520000003</v>
      </c>
      <c r="E237" s="77">
        <f>(3.2*1.6+2*1.4+3.2*1.1+3.15*2.8)*(10.764)</f>
        <v>218.07863999999998</v>
      </c>
      <c r="F237" s="74">
        <f>D237+E237</f>
        <v>937.26776519999999</v>
      </c>
      <c r="G237" s="74">
        <v>0</v>
      </c>
      <c r="H237" s="74">
        <f>F237*(($H$136)+1)+(IF(G237&lt;101,G237,IF(G237&lt;201,G237/2,IF(G237&lt;=301,G237/3,G237/4))))</f>
        <v>1405.9016477999999</v>
      </c>
    </row>
    <row r="238" spans="1:9" x14ac:dyDescent="0.35">
      <c r="A238" s="87">
        <f>A237+1</f>
        <v>2</v>
      </c>
      <c r="B238" s="89"/>
      <c r="C238" s="77" t="s">
        <v>334</v>
      </c>
      <c r="D238" s="77">
        <f>(3.05*1.21+2.45*2.96+3.2*4.32+0.88*3.71+3.05*3.76+3.15*3.95+2.45*1.55+1.25*2.5+0.71*0.15+1.5*1.05+1.17*1.05+3.15*1.6)*(10.764)</f>
        <v>719.18912520000003</v>
      </c>
      <c r="E238" s="77">
        <f>(3.2*1.6+2*1.4+3.2*1.1+3.15*2.8)*(10.764)</f>
        <v>218.07863999999998</v>
      </c>
      <c r="F238" s="74">
        <f>D238+E238</f>
        <v>937.26776519999999</v>
      </c>
      <c r="G238" s="74">
        <v>0</v>
      </c>
      <c r="H238" s="74">
        <f>F238*(($H$136)+1)+(IF(G238&lt;101,G238,IF(G238&lt;201,G238/2,IF(G238&lt;=301,G238/3,G238/4))))</f>
        <v>1405.9016477999999</v>
      </c>
    </row>
    <row r="239" spans="1:9" x14ac:dyDescent="0.35">
      <c r="A239" s="87">
        <f>A238+1</f>
        <v>3</v>
      </c>
      <c r="B239" s="89"/>
      <c r="C239" s="90" t="s">
        <v>338</v>
      </c>
      <c r="D239" s="91"/>
      <c r="E239" s="91"/>
      <c r="F239" s="91"/>
      <c r="G239" s="91"/>
      <c r="H239" s="92"/>
    </row>
    <row r="240" spans="1:9" x14ac:dyDescent="0.35">
      <c r="A240" s="87">
        <f>A239+1</f>
        <v>4</v>
      </c>
      <c r="B240" s="89"/>
      <c r="C240" s="90" t="s">
        <v>338</v>
      </c>
      <c r="D240" s="91"/>
      <c r="E240" s="91"/>
      <c r="F240" s="91"/>
      <c r="G240" s="91"/>
      <c r="H240" s="92"/>
    </row>
    <row r="241" spans="1:8" x14ac:dyDescent="0.35">
      <c r="A241" s="93" t="s">
        <v>333</v>
      </c>
      <c r="B241" s="94"/>
      <c r="C241" s="94"/>
      <c r="D241" s="94"/>
      <c r="E241" s="94"/>
      <c r="F241" s="94"/>
      <c r="G241" s="94"/>
      <c r="H241" s="95"/>
    </row>
    <row r="242" spans="1:8" x14ac:dyDescent="0.35">
      <c r="A242" s="87">
        <v>1</v>
      </c>
      <c r="B242" s="89"/>
      <c r="C242" s="77" t="s">
        <v>334</v>
      </c>
      <c r="D242" s="77">
        <f>(3.05*1.21+2.45*2.96+3.2*4.32+0.88*3.71+3.05*3.76+3.15*3.95+2.45*1.55+1.25*2.5+0.71*0.15+1.5*1.05+1.17*1.05+3.15*1.6)*(10.764)</f>
        <v>719.18912520000003</v>
      </c>
      <c r="E242" s="77">
        <f>(3.2*2.6+2*1.4+3.2*1.7+3.15*1.5)*(10.764)</f>
        <v>229.11174000000003</v>
      </c>
      <c r="F242" s="74">
        <f>D242+E242</f>
        <v>948.30086520000009</v>
      </c>
      <c r="G242" s="74">
        <v>0</v>
      </c>
      <c r="H242" s="74">
        <f>F242*(($H$136)+1)+(IF(G242&lt;101,G242,IF(G242&lt;201,G242/2,IF(G242&lt;=301,G242/3,G242/4))))</f>
        <v>1422.4512978000002</v>
      </c>
    </row>
    <row r="243" spans="1:8" x14ac:dyDescent="0.35">
      <c r="A243" s="87">
        <f>A242+1</f>
        <v>2</v>
      </c>
      <c r="B243" s="89"/>
      <c r="C243" s="77" t="s">
        <v>334</v>
      </c>
      <c r="D243" s="77">
        <f>(3.05*1.21+2.45*2.96+3.2*4.32+0.88*3.71+3.05*3.76+3.15*3.95+2.45*1.55+1.25*2.5+0.71*0.15+1.5*1.05+1.17*1.05+3.15*1.6)*(10.764)</f>
        <v>719.18912520000003</v>
      </c>
      <c r="E243" s="77">
        <f>(3.2*2.6+2*1.4+3.2*1.7+3.15*1.5)*(10.764)</f>
        <v>229.11174000000003</v>
      </c>
      <c r="F243" s="74">
        <f>D243+E243</f>
        <v>948.30086520000009</v>
      </c>
      <c r="G243" s="74">
        <v>0</v>
      </c>
      <c r="H243" s="74">
        <f>F243*(($H$136)+1)+(IF(G243&lt;101,G243,IF(G243&lt;201,G243/2,IF(G243&lt;=301,G243/3,G243/4))))</f>
        <v>1422.4512978000002</v>
      </c>
    </row>
    <row r="244" spans="1:8" x14ac:dyDescent="0.35">
      <c r="A244" s="87">
        <f>A243+1</f>
        <v>3</v>
      </c>
      <c r="B244" s="89"/>
      <c r="C244" s="90" t="s">
        <v>339</v>
      </c>
      <c r="D244" s="91"/>
      <c r="E244" s="91"/>
      <c r="F244" s="91"/>
      <c r="G244" s="91"/>
      <c r="H244" s="92"/>
    </row>
    <row r="245" spans="1:8" x14ac:dyDescent="0.35">
      <c r="A245" s="87">
        <f>A244+1</f>
        <v>4</v>
      </c>
      <c r="B245" s="89"/>
      <c r="C245" s="90" t="s">
        <v>339</v>
      </c>
      <c r="D245" s="91"/>
      <c r="E245" s="91"/>
      <c r="F245" s="91"/>
      <c r="G245" s="91"/>
      <c r="H245" s="92"/>
    </row>
    <row r="246" spans="1:8" x14ac:dyDescent="0.35">
      <c r="A246" s="227" t="s">
        <v>65</v>
      </c>
      <c r="B246" s="227"/>
      <c r="C246" s="227"/>
      <c r="D246" s="227"/>
      <c r="E246" s="227"/>
      <c r="F246" s="227"/>
      <c r="G246" s="227"/>
      <c r="H246" s="227"/>
    </row>
    <row r="247" spans="1:8" ht="32.5" customHeight="1" x14ac:dyDescent="0.35">
      <c r="A247" s="83" t="s">
        <v>147</v>
      </c>
      <c r="B247" s="226" t="s">
        <v>363</v>
      </c>
      <c r="C247" s="226"/>
      <c r="D247" s="226"/>
      <c r="E247" s="226"/>
      <c r="F247" s="226"/>
      <c r="G247" s="226"/>
      <c r="H247" s="226"/>
    </row>
    <row r="248" spans="1:8" x14ac:dyDescent="0.35">
      <c r="A248" s="83" t="s">
        <v>147</v>
      </c>
      <c r="B248" s="226" t="str">
        <f>(IF(H135="Saleable area Loading :","We have considered Saleable area of Flats as per our Calculation.","We considered Saleable area of Flat as per Builder area Sheet."))</f>
        <v>We have considered Saleable area of Flats as per our Calculation.</v>
      </c>
      <c r="C248" s="226"/>
      <c r="D248" s="226"/>
      <c r="E248" s="226"/>
      <c r="F248" s="226"/>
      <c r="G248" s="226"/>
      <c r="H248" s="226"/>
    </row>
    <row r="249" spans="1:8" hidden="1" x14ac:dyDescent="0.35">
      <c r="A249" s="83" t="s">
        <v>147</v>
      </c>
      <c r="B249" s="226" t="str">
        <f>(IF(H127="Saleable area Loading :","We have considered Saleable area of Commercial as per our Calculation.","We considered Saleable area of Commercial as per Builder area Sheet."))</f>
        <v>We have considered Saleable area of Commercial as per our Calculation.</v>
      </c>
      <c r="C249" s="226"/>
      <c r="D249" s="226"/>
      <c r="E249" s="226"/>
      <c r="F249" s="226"/>
      <c r="G249" s="226"/>
      <c r="H249" s="226"/>
    </row>
    <row r="250" spans="1:8" x14ac:dyDescent="0.35">
      <c r="A250" s="83" t="s">
        <v>147</v>
      </c>
      <c r="B250" s="165" t="s">
        <v>117</v>
      </c>
      <c r="C250" s="165"/>
      <c r="D250" s="165"/>
      <c r="E250" s="165"/>
      <c r="F250" s="165"/>
      <c r="G250" s="165"/>
      <c r="H250" s="165"/>
    </row>
    <row r="251" spans="1:8" x14ac:dyDescent="0.35">
      <c r="A251" s="83" t="s">
        <v>147</v>
      </c>
      <c r="B251" s="165" t="s">
        <v>350</v>
      </c>
      <c r="C251" s="165"/>
      <c r="D251" s="165"/>
      <c r="E251" s="165"/>
      <c r="F251" s="165"/>
      <c r="G251" s="165"/>
      <c r="H251" s="165"/>
    </row>
    <row r="252" spans="1:8" x14ac:dyDescent="0.35">
      <c r="A252" s="83" t="s">
        <v>147</v>
      </c>
      <c r="B252" s="165" t="s">
        <v>146</v>
      </c>
      <c r="C252" s="165"/>
      <c r="D252" s="165"/>
      <c r="E252" s="165"/>
      <c r="F252" s="165"/>
      <c r="G252" s="165"/>
      <c r="H252" s="165"/>
    </row>
    <row r="253" spans="1:8" x14ac:dyDescent="0.35">
      <c r="A253" s="83" t="s">
        <v>147</v>
      </c>
      <c r="B253" s="165" t="s">
        <v>118</v>
      </c>
      <c r="C253" s="165"/>
      <c r="D253" s="165"/>
      <c r="E253" s="165"/>
      <c r="F253" s="165"/>
      <c r="G253" s="165"/>
      <c r="H253" s="165"/>
    </row>
    <row r="254" spans="1:8" x14ac:dyDescent="0.35">
      <c r="A254" s="83" t="s">
        <v>147</v>
      </c>
      <c r="B254" s="165" t="s">
        <v>148</v>
      </c>
      <c r="C254" s="165"/>
      <c r="D254" s="165"/>
      <c r="E254" s="165"/>
      <c r="F254" s="165"/>
      <c r="G254" s="165"/>
      <c r="H254" s="165"/>
    </row>
    <row r="255" spans="1:8" x14ac:dyDescent="0.35">
      <c r="A255" s="83" t="s">
        <v>147</v>
      </c>
      <c r="B255" s="165" t="s">
        <v>119</v>
      </c>
      <c r="C255" s="165"/>
      <c r="D255" s="165"/>
      <c r="E255" s="165"/>
      <c r="F255" s="165"/>
      <c r="G255" s="165"/>
      <c r="H255" s="165"/>
    </row>
    <row r="256" spans="1:8" ht="29.25" hidden="1" customHeight="1" x14ac:dyDescent="0.35">
      <c r="A256" s="54" t="s">
        <v>147</v>
      </c>
      <c r="B256" s="169" t="s">
        <v>172</v>
      </c>
      <c r="C256" s="170"/>
      <c r="D256" s="170"/>
      <c r="E256" s="170"/>
      <c r="F256" s="170"/>
      <c r="G256" s="170"/>
      <c r="H256" s="171"/>
    </row>
    <row r="257" spans="1:8" ht="33" customHeight="1" x14ac:dyDescent="0.35">
      <c r="A257" s="59" t="s">
        <v>147</v>
      </c>
      <c r="B257" s="162" t="s">
        <v>351</v>
      </c>
      <c r="C257" s="163"/>
      <c r="D257" s="163"/>
      <c r="E257" s="163"/>
      <c r="F257" s="163"/>
      <c r="G257" s="163"/>
      <c r="H257" s="164"/>
    </row>
    <row r="258" spans="1:8" x14ac:dyDescent="0.35">
      <c r="A258" s="72" t="s">
        <v>147</v>
      </c>
      <c r="B258" s="169" t="s">
        <v>352</v>
      </c>
      <c r="C258" s="170"/>
      <c r="D258" s="170"/>
      <c r="E258" s="170"/>
      <c r="F258" s="170"/>
      <c r="G258" s="170"/>
      <c r="H258" s="171"/>
    </row>
    <row r="259" spans="1:8" x14ac:dyDescent="0.35">
      <c r="A259" s="86" t="s">
        <v>147</v>
      </c>
      <c r="B259" s="162" t="s">
        <v>364</v>
      </c>
      <c r="C259" s="163"/>
      <c r="D259" s="163"/>
      <c r="E259" s="163"/>
      <c r="F259" s="163"/>
      <c r="G259" s="163"/>
      <c r="H259" s="164"/>
    </row>
    <row r="260" spans="1:8" x14ac:dyDescent="0.35">
      <c r="A260" s="104" t="s">
        <v>58</v>
      </c>
      <c r="B260" s="104"/>
      <c r="C260" s="104"/>
      <c r="D260" s="104"/>
      <c r="E260" s="104"/>
      <c r="F260" s="104"/>
      <c r="G260" s="104"/>
      <c r="H260" s="104"/>
    </row>
    <row r="261" spans="1:8" x14ac:dyDescent="0.35">
      <c r="A261" s="116" t="s">
        <v>59</v>
      </c>
      <c r="B261" s="116"/>
      <c r="C261" s="116"/>
      <c r="D261" s="116"/>
      <c r="E261" s="116"/>
      <c r="F261" s="116"/>
      <c r="G261" s="116"/>
      <c r="H261" s="116"/>
    </row>
    <row r="262" spans="1:8" x14ac:dyDescent="0.35">
      <c r="A262" s="161" t="s">
        <v>60</v>
      </c>
      <c r="B262" s="161"/>
      <c r="C262" s="161"/>
      <c r="D262" s="161"/>
      <c r="E262" s="161"/>
      <c r="F262" s="161"/>
      <c r="G262" s="161"/>
      <c r="H262" s="161"/>
    </row>
    <row r="263" spans="1:8" x14ac:dyDescent="0.35">
      <c r="A263" s="116" t="s">
        <v>61</v>
      </c>
      <c r="B263" s="116"/>
      <c r="C263" s="116"/>
      <c r="D263" s="116"/>
      <c r="E263" s="116"/>
      <c r="F263" s="116"/>
      <c r="G263" s="116"/>
      <c r="H263" s="116"/>
    </row>
    <row r="264" spans="1:8" x14ac:dyDescent="0.35">
      <c r="A264" s="116" t="s">
        <v>62</v>
      </c>
      <c r="B264" s="116"/>
      <c r="C264" s="116"/>
      <c r="D264" s="116"/>
      <c r="E264" s="116"/>
      <c r="F264" s="116"/>
      <c r="G264" s="116"/>
      <c r="H264" s="116"/>
    </row>
    <row r="265" spans="1:8" x14ac:dyDescent="0.35">
      <c r="A265" s="116" t="s">
        <v>120</v>
      </c>
      <c r="B265" s="116"/>
      <c r="C265" s="116"/>
      <c r="D265" s="116"/>
      <c r="E265" s="116"/>
      <c r="F265" s="116"/>
      <c r="G265" s="116"/>
      <c r="H265" s="116"/>
    </row>
    <row r="266" spans="1:8" x14ac:dyDescent="0.35">
      <c r="A266" s="105" t="s">
        <v>121</v>
      </c>
      <c r="B266" s="105"/>
      <c r="C266" s="105"/>
      <c r="D266" s="105"/>
      <c r="E266" s="105"/>
      <c r="F266" s="105"/>
      <c r="G266" s="105"/>
      <c r="H266" s="105"/>
    </row>
    <row r="267" spans="1:8" x14ac:dyDescent="0.35">
      <c r="A267" s="159" t="s">
        <v>74</v>
      </c>
      <c r="B267" s="159"/>
      <c r="C267" s="159" t="s">
        <v>355</v>
      </c>
      <c r="D267" s="159"/>
      <c r="E267" s="159" t="s">
        <v>100</v>
      </c>
      <c r="F267" s="159"/>
      <c r="G267" s="159" t="s">
        <v>359</v>
      </c>
      <c r="H267" s="159"/>
    </row>
    <row r="268" spans="1:8" x14ac:dyDescent="0.35">
      <c r="A268" s="158" t="s">
        <v>76</v>
      </c>
      <c r="B268" s="158"/>
      <c r="C268" s="158"/>
      <c r="D268" s="158"/>
      <c r="E268" s="158"/>
      <c r="F268" s="158"/>
      <c r="G268" s="158"/>
      <c r="H268" s="158"/>
    </row>
    <row r="269" spans="1:8" x14ac:dyDescent="0.35">
      <c r="A269" s="158"/>
      <c r="B269" s="158"/>
      <c r="C269" s="158"/>
      <c r="D269" s="158"/>
      <c r="E269" s="158"/>
      <c r="F269" s="158"/>
      <c r="G269" s="158"/>
      <c r="H269" s="158"/>
    </row>
    <row r="270" spans="1:8" x14ac:dyDescent="0.35">
      <c r="A270" s="158"/>
      <c r="B270" s="158"/>
      <c r="C270" s="158"/>
      <c r="D270" s="158"/>
      <c r="E270" s="158"/>
      <c r="F270" s="158"/>
      <c r="G270" s="158"/>
      <c r="H270" s="158"/>
    </row>
    <row r="271" spans="1:8" x14ac:dyDescent="0.35">
      <c r="A271" s="158"/>
      <c r="B271" s="158"/>
      <c r="C271" s="158"/>
      <c r="D271" s="158"/>
      <c r="E271" s="158"/>
      <c r="F271" s="158"/>
      <c r="G271" s="158"/>
      <c r="H271" s="158"/>
    </row>
    <row r="272" spans="1:8" x14ac:dyDescent="0.35">
      <c r="A272" s="38" t="s">
        <v>63</v>
      </c>
      <c r="B272" s="39"/>
      <c r="C272" s="39"/>
      <c r="D272" s="38" t="str">
        <f>E9</f>
        <v>Siesta</v>
      </c>
      <c r="F272" s="39"/>
      <c r="G272" s="39"/>
      <c r="H272" s="39"/>
    </row>
    <row r="273" spans="1:8" x14ac:dyDescent="0.35">
      <c r="A273" s="39"/>
      <c r="B273" s="39"/>
      <c r="C273" s="39"/>
      <c r="D273" s="39"/>
      <c r="E273" s="39"/>
      <c r="F273" s="39"/>
      <c r="G273" s="39"/>
      <c r="H273" s="39"/>
    </row>
    <row r="274" spans="1:8" x14ac:dyDescent="0.35">
      <c r="A274" s="39"/>
      <c r="B274" s="39"/>
      <c r="C274" s="39"/>
      <c r="D274" s="39"/>
      <c r="E274" s="39"/>
      <c r="F274" s="39"/>
      <c r="G274" s="39"/>
      <c r="H274" s="39"/>
    </row>
    <row r="316" spans="1:1" x14ac:dyDescent="0.35">
      <c r="A316" s="41" t="s">
        <v>158</v>
      </c>
    </row>
    <row r="360" spans="1:1" x14ac:dyDescent="0.35">
      <c r="A360" s="41" t="s">
        <v>64</v>
      </c>
    </row>
  </sheetData>
  <mergeCells count="438">
    <mergeCell ref="B259:H259"/>
    <mergeCell ref="A228:B228"/>
    <mergeCell ref="A229:B229"/>
    <mergeCell ref="A230:B230"/>
    <mergeCell ref="C230:H230"/>
    <mergeCell ref="A231:H231"/>
    <mergeCell ref="A232:B232"/>
    <mergeCell ref="A233:B233"/>
    <mergeCell ref="A234:B234"/>
    <mergeCell ref="A224:H224"/>
    <mergeCell ref="A225:B225"/>
    <mergeCell ref="A226:B226"/>
    <mergeCell ref="A227:B227"/>
    <mergeCell ref="B258:H258"/>
    <mergeCell ref="A236:H236"/>
    <mergeCell ref="A237:B237"/>
    <mergeCell ref="A238:B238"/>
    <mergeCell ref="A239:B239"/>
    <mergeCell ref="C239:H239"/>
    <mergeCell ref="A240:B240"/>
    <mergeCell ref="C240:H240"/>
    <mergeCell ref="A241:H241"/>
    <mergeCell ref="A242:B242"/>
    <mergeCell ref="A243:B243"/>
    <mergeCell ref="B255:H255"/>
    <mergeCell ref="B253:H253"/>
    <mergeCell ref="B249:H249"/>
    <mergeCell ref="B247:H247"/>
    <mergeCell ref="B248:H248"/>
    <mergeCell ref="B250:H250"/>
    <mergeCell ref="B251:H251"/>
    <mergeCell ref="A246:H246"/>
    <mergeCell ref="A90:B90"/>
    <mergeCell ref="A111:E111"/>
    <mergeCell ref="G123:H123"/>
    <mergeCell ref="C117:D117"/>
    <mergeCell ref="E117:F117"/>
    <mergeCell ref="G117:H117"/>
    <mergeCell ref="A118:B118"/>
    <mergeCell ref="C118:D118"/>
    <mergeCell ref="E118:F118"/>
    <mergeCell ref="G118:H118"/>
    <mergeCell ref="C122:D122"/>
    <mergeCell ref="E122:F122"/>
    <mergeCell ref="G122:H122"/>
    <mergeCell ref="A112:E112"/>
    <mergeCell ref="F112:H112"/>
    <mergeCell ref="A121:A122"/>
    <mergeCell ref="F102:H102"/>
    <mergeCell ref="G116:H116"/>
    <mergeCell ref="A100:B100"/>
    <mergeCell ref="F104:H104"/>
    <mergeCell ref="A49:B49"/>
    <mergeCell ref="C49:H49"/>
    <mergeCell ref="B252:H252"/>
    <mergeCell ref="A92:B92"/>
    <mergeCell ref="A93:B93"/>
    <mergeCell ref="F103:H103"/>
    <mergeCell ref="A103:E103"/>
    <mergeCell ref="D127:D128"/>
    <mergeCell ref="A105:E105"/>
    <mergeCell ref="A96:B96"/>
    <mergeCell ref="A98:B98"/>
    <mergeCell ref="A99:B99"/>
    <mergeCell ref="A104:E104"/>
    <mergeCell ref="A101:E101"/>
    <mergeCell ref="F105:H105"/>
    <mergeCell ref="G90:H90"/>
    <mergeCell ref="A89:B89"/>
    <mergeCell ref="G127:G128"/>
    <mergeCell ref="A79:B79"/>
    <mergeCell ref="A68:C68"/>
    <mergeCell ref="A244:B244"/>
    <mergeCell ref="C244:H244"/>
    <mergeCell ref="A245:B245"/>
    <mergeCell ref="C245:H245"/>
    <mergeCell ref="L143:M143"/>
    <mergeCell ref="A158:B158"/>
    <mergeCell ref="A155:B155"/>
    <mergeCell ref="A156:B156"/>
    <mergeCell ref="A40:B40"/>
    <mergeCell ref="C40:H40"/>
    <mergeCell ref="F127:F128"/>
    <mergeCell ref="C116:D116"/>
    <mergeCell ref="E116:F116"/>
    <mergeCell ref="B127:B128"/>
    <mergeCell ref="A127:A128"/>
    <mergeCell ref="C135:C136"/>
    <mergeCell ref="G135:G136"/>
    <mergeCell ref="L142:M142"/>
    <mergeCell ref="L139:M139"/>
    <mergeCell ref="A149:B149"/>
    <mergeCell ref="G124:H124"/>
    <mergeCell ref="L140:M140"/>
    <mergeCell ref="A150:B150"/>
    <mergeCell ref="L141:M141"/>
    <mergeCell ref="A113:E113"/>
    <mergeCell ref="F113:H113"/>
    <mergeCell ref="A116:B116"/>
    <mergeCell ref="F101:H101"/>
    <mergeCell ref="A151:B151"/>
    <mergeCell ref="A76:B76"/>
    <mergeCell ref="A81:B81"/>
    <mergeCell ref="A39:B39"/>
    <mergeCell ref="C39:H39"/>
    <mergeCell ref="A46:D46"/>
    <mergeCell ref="L133:M133"/>
    <mergeCell ref="L132:M132"/>
    <mergeCell ref="L131:M131"/>
    <mergeCell ref="L130:M130"/>
    <mergeCell ref="A84:B84"/>
    <mergeCell ref="C121:D121"/>
    <mergeCell ref="E121:F121"/>
    <mergeCell ref="G121:H121"/>
    <mergeCell ref="A102:E102"/>
    <mergeCell ref="A87:B87"/>
    <mergeCell ref="C87:H87"/>
    <mergeCell ref="A129:H129"/>
    <mergeCell ref="E127:E128"/>
    <mergeCell ref="A47:D47"/>
    <mergeCell ref="A48:H48"/>
    <mergeCell ref="D64:H64"/>
    <mergeCell ref="A64:C64"/>
    <mergeCell ref="D68:H68"/>
    <mergeCell ref="A38:H38"/>
    <mergeCell ref="A37:B37"/>
    <mergeCell ref="C37:E37"/>
    <mergeCell ref="G91:H100"/>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E47:H47"/>
    <mergeCell ref="C55:H55"/>
    <mergeCell ref="C75:H75"/>
    <mergeCell ref="A78:B78"/>
    <mergeCell ref="A80:B80"/>
    <mergeCell ref="F37:H37"/>
    <mergeCell ref="A75:B7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A45:D45"/>
    <mergeCell ref="A73:B73"/>
    <mergeCell ref="A22:B22"/>
    <mergeCell ref="C22:D22"/>
    <mergeCell ref="E22:F22"/>
    <mergeCell ref="G22:H22"/>
    <mergeCell ref="E27:H27"/>
    <mergeCell ref="A29:D29"/>
    <mergeCell ref="E29:H29"/>
    <mergeCell ref="A26:D26"/>
    <mergeCell ref="E26:H26"/>
    <mergeCell ref="G19:H19"/>
    <mergeCell ref="A20:B20"/>
    <mergeCell ref="C20:D20"/>
    <mergeCell ref="E20:F20"/>
    <mergeCell ref="G20:H20"/>
    <mergeCell ref="A21:B21"/>
    <mergeCell ref="C21:D21"/>
    <mergeCell ref="E21:F21"/>
    <mergeCell ref="G21:H21"/>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63:H263"/>
    <mergeCell ref="A119:H119"/>
    <mergeCell ref="A260:H260"/>
    <mergeCell ref="G120:H120"/>
    <mergeCell ref="C127:C128"/>
    <mergeCell ref="B135:B136"/>
    <mergeCell ref="A261:H261"/>
    <mergeCell ref="B257:H257"/>
    <mergeCell ref="B254:H254"/>
    <mergeCell ref="A157:B157"/>
    <mergeCell ref="A202:B202"/>
    <mergeCell ref="A203:B203"/>
    <mergeCell ref="A204:B204"/>
    <mergeCell ref="A205:B205"/>
    <mergeCell ref="A206:B206"/>
    <mergeCell ref="A125:H125"/>
    <mergeCell ref="A135:A136"/>
    <mergeCell ref="F135:F136"/>
    <mergeCell ref="B256:H256"/>
    <mergeCell ref="A152:B152"/>
    <mergeCell ref="A154:H154"/>
    <mergeCell ref="A159:B159"/>
    <mergeCell ref="A161:H161"/>
    <mergeCell ref="A162:H162"/>
    <mergeCell ref="A268:H271"/>
    <mergeCell ref="A267:B267"/>
    <mergeCell ref="E267:F267"/>
    <mergeCell ref="C267:D267"/>
    <mergeCell ref="G267:H267"/>
    <mergeCell ref="A114:H114"/>
    <mergeCell ref="A266:H266"/>
    <mergeCell ref="A264:H264"/>
    <mergeCell ref="A207:B207"/>
    <mergeCell ref="A208:H208"/>
    <mergeCell ref="A209:B209"/>
    <mergeCell ref="A210:B210"/>
    <mergeCell ref="A211:B211"/>
    <mergeCell ref="A212:B212"/>
    <mergeCell ref="A213:B213"/>
    <mergeCell ref="A214:B214"/>
    <mergeCell ref="A215:H215"/>
    <mergeCell ref="A216:H216"/>
    <mergeCell ref="A217:H217"/>
    <mergeCell ref="A218:B218"/>
    <mergeCell ref="A219:B219"/>
    <mergeCell ref="A265:H265"/>
    <mergeCell ref="A262:H262"/>
    <mergeCell ref="A160:B160"/>
    <mergeCell ref="A124:B124"/>
    <mergeCell ref="C124:D124"/>
    <mergeCell ref="E124:F124"/>
    <mergeCell ref="A140:H140"/>
    <mergeCell ref="A134:H134"/>
    <mergeCell ref="E120:F120"/>
    <mergeCell ref="F108:H108"/>
    <mergeCell ref="C115:D115"/>
    <mergeCell ref="A126:H126"/>
    <mergeCell ref="G115:H115"/>
    <mergeCell ref="A110:E110"/>
    <mergeCell ref="A131:B131"/>
    <mergeCell ref="A123:B123"/>
    <mergeCell ref="E123:F123"/>
    <mergeCell ref="A180:B180"/>
    <mergeCell ref="F106:H106"/>
    <mergeCell ref="A106:E106"/>
    <mergeCell ref="A153:B153"/>
    <mergeCell ref="A120:B120"/>
    <mergeCell ref="D135:D136"/>
    <mergeCell ref="E135:E136"/>
    <mergeCell ref="A144:H144"/>
    <mergeCell ref="A145:H145"/>
    <mergeCell ref="A146:H146"/>
    <mergeCell ref="A147:H147"/>
    <mergeCell ref="A148:B148"/>
    <mergeCell ref="A133:B133"/>
    <mergeCell ref="A132:B132"/>
    <mergeCell ref="A107:E107"/>
    <mergeCell ref="F107:H107"/>
    <mergeCell ref="A109:E109"/>
    <mergeCell ref="A141:H141"/>
    <mergeCell ref="A142:H142"/>
    <mergeCell ref="A143:H143"/>
    <mergeCell ref="A108:E108"/>
    <mergeCell ref="C123:D123"/>
    <mergeCell ref="A138:H138"/>
    <mergeCell ref="A130:B130"/>
    <mergeCell ref="C57:H57"/>
    <mergeCell ref="C59:H59"/>
    <mergeCell ref="A83:B83"/>
    <mergeCell ref="C73:H73"/>
    <mergeCell ref="A235:B235"/>
    <mergeCell ref="A220:B220"/>
    <mergeCell ref="A221:B221"/>
    <mergeCell ref="A222:B222"/>
    <mergeCell ref="A223:B223"/>
    <mergeCell ref="C223:H223"/>
    <mergeCell ref="A163:H163"/>
    <mergeCell ref="A164:B164"/>
    <mergeCell ref="A165:B165"/>
    <mergeCell ref="A166:B166"/>
    <mergeCell ref="A167:B167"/>
    <mergeCell ref="A168:B168"/>
    <mergeCell ref="A169:B169"/>
    <mergeCell ref="A170:H170"/>
    <mergeCell ref="A171:B171"/>
    <mergeCell ref="A189:B189"/>
    <mergeCell ref="A195:H195"/>
    <mergeCell ref="A172:B172"/>
    <mergeCell ref="A178:B178"/>
    <mergeCell ref="A179:B179"/>
    <mergeCell ref="A60:B60"/>
    <mergeCell ref="C60:E60"/>
    <mergeCell ref="D62:H62"/>
    <mergeCell ref="F110:H110"/>
    <mergeCell ref="E115:F115"/>
    <mergeCell ref="A115:B115"/>
    <mergeCell ref="A117:B117"/>
    <mergeCell ref="C120:D120"/>
    <mergeCell ref="D70:H70"/>
    <mergeCell ref="A71:C71"/>
    <mergeCell ref="A82:B82"/>
    <mergeCell ref="A65:C65"/>
    <mergeCell ref="D65:H65"/>
    <mergeCell ref="A94:B94"/>
    <mergeCell ref="A95:B95"/>
    <mergeCell ref="E90:F90"/>
    <mergeCell ref="E91:F100"/>
    <mergeCell ref="A97:B97"/>
    <mergeCell ref="E76:F76"/>
    <mergeCell ref="A69:C69"/>
    <mergeCell ref="A77:B77"/>
    <mergeCell ref="G76:H76"/>
    <mergeCell ref="A91:B91"/>
    <mergeCell ref="C89:H89"/>
    <mergeCell ref="A56:B57"/>
    <mergeCell ref="C56:E56"/>
    <mergeCell ref="G56:H56"/>
    <mergeCell ref="A58:B59"/>
    <mergeCell ref="C58:E58"/>
    <mergeCell ref="G58:H58"/>
    <mergeCell ref="I15:P15"/>
    <mergeCell ref="F111:H111"/>
    <mergeCell ref="F109:H109"/>
    <mergeCell ref="E43:H43"/>
    <mergeCell ref="A43:D43"/>
    <mergeCell ref="A50:B50"/>
    <mergeCell ref="K42:N42"/>
    <mergeCell ref="K43:N43"/>
    <mergeCell ref="K44:N44"/>
    <mergeCell ref="G51:H51"/>
    <mergeCell ref="A52:B53"/>
    <mergeCell ref="C52:E52"/>
    <mergeCell ref="C51:E51"/>
    <mergeCell ref="D69:H69"/>
    <mergeCell ref="A72:C72"/>
    <mergeCell ref="D72:H72"/>
    <mergeCell ref="A70:C70"/>
    <mergeCell ref="D71:H71"/>
    <mergeCell ref="A196:H196"/>
    <mergeCell ref="A197:H197"/>
    <mergeCell ref="A198:H198"/>
    <mergeCell ref="A199:H199"/>
    <mergeCell ref="A200:H200"/>
    <mergeCell ref="A201:H201"/>
    <mergeCell ref="K45:N45"/>
    <mergeCell ref="K46:N46"/>
    <mergeCell ref="K47:N47"/>
    <mergeCell ref="C53:H53"/>
    <mergeCell ref="A137:H137"/>
    <mergeCell ref="A139:H139"/>
    <mergeCell ref="C50:E50"/>
    <mergeCell ref="G50:H50"/>
    <mergeCell ref="G52:H52"/>
    <mergeCell ref="A51:B51"/>
    <mergeCell ref="A61:H61"/>
    <mergeCell ref="A62:C62"/>
    <mergeCell ref="A63:C63"/>
    <mergeCell ref="D63:H63"/>
    <mergeCell ref="G60:H60"/>
    <mergeCell ref="A54:B55"/>
    <mergeCell ref="C54:E54"/>
    <mergeCell ref="G54:H54"/>
    <mergeCell ref="C169:H169"/>
    <mergeCell ref="C176:H176"/>
    <mergeCell ref="C185:H185"/>
    <mergeCell ref="C186:H186"/>
    <mergeCell ref="C190:H190"/>
    <mergeCell ref="C191:H191"/>
    <mergeCell ref="A192:H192"/>
    <mergeCell ref="A193:H193"/>
    <mergeCell ref="A194:H194"/>
    <mergeCell ref="A190:B190"/>
    <mergeCell ref="A191:B191"/>
    <mergeCell ref="A182:H182"/>
    <mergeCell ref="A183:B183"/>
    <mergeCell ref="A184:B184"/>
    <mergeCell ref="A185:B185"/>
    <mergeCell ref="A186:B186"/>
    <mergeCell ref="A187:H187"/>
    <mergeCell ref="A188:B188"/>
    <mergeCell ref="A181:B181"/>
    <mergeCell ref="A174:B174"/>
    <mergeCell ref="A175:B175"/>
    <mergeCell ref="A173:B173"/>
    <mergeCell ref="A176:B176"/>
    <mergeCell ref="A177:H177"/>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7:E128">
      <formula1>"Attached Loft area,Attached Otla area,Attached Mezzanine area"</formula1>
    </dataValidation>
    <dataValidation type="list" allowBlank="1" showInputMessage="1" showErrorMessage="1" sqref="G267:H267">
      <formula1>"Kunal Kadam,Pranita Mhatre,Shruti Fule,Pooja Kawale,Mansee Mohite,Anjali Kamble, Hitakshi Mhatre, Sachin Sawant"</formula1>
    </dataValidation>
    <dataValidation type="list" allowBlank="1" showInputMessage="1" showErrorMessage="1" sqref="F101:H101">
      <formula1>"On Saleable Area,On Builtup Area,On Carpet Area,On Plot Area"</formula1>
    </dataValidation>
    <dataValidation type="list" allowBlank="1" showInputMessage="1" showErrorMessage="1" sqref="F112:H112">
      <formula1>OFFSET($S$101,1,MATCH($G20,$S$101:$W$101,0)-1,15,1)</formula1>
    </dataValidation>
    <dataValidation type="list" allowBlank="1" showInputMessage="1" showErrorMessage="1" sqref="B127:B128">
      <formula1>"Shop No. (Sale Plan),Sale / Rehab,Sale / Mhada"</formula1>
    </dataValidation>
    <dataValidation type="list" allowBlank="1" showInputMessage="1" showErrorMessage="1" sqref="B135:B13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5:E136">
      <formula1>"ELEV. Proj.,Fungible area,Balcony Area,Chajja Area,Cornice Area,AP Area,WS Area"</formula1>
    </dataValidation>
    <dataValidation type="list" allowBlank="1" showInputMessage="1" showErrorMessage="1" sqref="H128 H136">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 ref="I69" r:id="rId2"/>
  </hyperlinks>
  <printOptions horizontalCentered="1"/>
  <pageMargins left="0.39370078740157483" right="0.39370078740157483" top="0.82677165354330717" bottom="0.78740157480314965" header="0.15748031496062992" footer="0.19685039370078741"/>
  <pageSetup paperSize="2" scale="98" orientation="portrait" r:id="rId3"/>
  <headerFooter>
    <oddHeader>&amp;C&amp;G</oddHeader>
    <oddFooter>&amp;L&amp;"Times New Roman,Bold"&amp;12Ref No: &amp;F&amp;C&amp;G&amp;R&amp;"Times New Roman,Bold"&amp;12&amp;P</oddFooter>
  </headerFooter>
  <rowBreaks count="3" manualBreakCount="3">
    <brk id="271" max="7" man="1"/>
    <brk id="315" max="7" man="1"/>
    <brk id="359"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6" sqref="B16"/>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28" t="s">
        <v>101</v>
      </c>
      <c r="C3" s="228"/>
      <c r="D3" s="228"/>
      <c r="E3" s="228"/>
      <c r="F3" s="228"/>
      <c r="G3" s="228"/>
      <c r="H3" s="228"/>
    </row>
    <row r="4" spans="1:9" x14ac:dyDescent="0.35">
      <c r="A4" s="2"/>
      <c r="B4" s="3" t="s">
        <v>102</v>
      </c>
      <c r="C4" s="3" t="s">
        <v>103</v>
      </c>
      <c r="D4" s="3" t="s">
        <v>66</v>
      </c>
      <c r="E4" s="3" t="s">
        <v>104</v>
      </c>
      <c r="F4" s="3" t="s">
        <v>110</v>
      </c>
      <c r="G4" s="3" t="s">
        <v>111</v>
      </c>
      <c r="H4" s="3" t="s">
        <v>105</v>
      </c>
    </row>
    <row r="5" spans="1:9" ht="15" customHeight="1" x14ac:dyDescent="0.35">
      <c r="A5" s="2"/>
      <c r="B5" s="5" t="s">
        <v>106</v>
      </c>
      <c r="C5" s="6"/>
      <c r="D5" s="5"/>
      <c r="E5" s="5"/>
      <c r="F5" s="7">
        <f>E5*1.6</f>
        <v>0</v>
      </c>
      <c r="G5" s="7" t="e">
        <f>H5/F5</f>
        <v>#DIV/0!</v>
      </c>
      <c r="H5" s="8"/>
    </row>
    <row r="6" spans="1:9" x14ac:dyDescent="0.35">
      <c r="A6" s="2"/>
      <c r="B6" s="5" t="s">
        <v>106</v>
      </c>
      <c r="C6" s="9"/>
      <c r="D6" s="5"/>
      <c r="E6" s="5"/>
      <c r="F6" s="7">
        <f t="shared" ref="F6:F11" si="0">E6*1.6</f>
        <v>0</v>
      </c>
      <c r="G6" s="7" t="e">
        <f t="shared" ref="G6:G11" si="1">H6/F6</f>
        <v>#DIV/0!</v>
      </c>
      <c r="H6" s="8"/>
    </row>
    <row r="7" spans="1:9" ht="15" customHeight="1" x14ac:dyDescent="0.35">
      <c r="A7" s="2"/>
      <c r="B7" s="5" t="s">
        <v>106</v>
      </c>
      <c r="C7" s="6"/>
      <c r="D7" s="5"/>
      <c r="E7" s="5"/>
      <c r="F7" s="7">
        <f t="shared" si="0"/>
        <v>0</v>
      </c>
      <c r="G7" s="7" t="e">
        <f t="shared" si="1"/>
        <v>#DIV/0!</v>
      </c>
      <c r="H7" s="8"/>
    </row>
    <row r="8" spans="1:9" x14ac:dyDescent="0.35">
      <c r="A8" s="2"/>
      <c r="B8" s="5" t="s">
        <v>106</v>
      </c>
      <c r="C8" s="9"/>
      <c r="D8" s="5"/>
      <c r="E8" s="5"/>
      <c r="F8" s="7">
        <f t="shared" si="0"/>
        <v>0</v>
      </c>
      <c r="G8" s="7" t="e">
        <f t="shared" si="1"/>
        <v>#DIV/0!</v>
      </c>
      <c r="H8" s="8"/>
    </row>
    <row r="9" spans="1:9" ht="15" customHeight="1" x14ac:dyDescent="0.35">
      <c r="A9" s="2"/>
      <c r="B9" s="5" t="s">
        <v>106</v>
      </c>
      <c r="C9" s="9"/>
      <c r="D9" s="5"/>
      <c r="E9" s="5"/>
      <c r="F9" s="7">
        <f t="shared" si="0"/>
        <v>0</v>
      </c>
      <c r="G9" s="7" t="e">
        <f t="shared" si="1"/>
        <v>#DIV/0!</v>
      </c>
      <c r="H9" s="8"/>
    </row>
    <row r="10" spans="1:9" ht="15" customHeight="1" x14ac:dyDescent="0.35">
      <c r="A10" s="2"/>
      <c r="B10" s="5" t="s">
        <v>107</v>
      </c>
      <c r="C10" s="6"/>
      <c r="D10" s="5"/>
      <c r="E10" s="5"/>
      <c r="F10" s="7">
        <f t="shared" si="0"/>
        <v>0</v>
      </c>
      <c r="G10" s="7" t="e">
        <f t="shared" si="1"/>
        <v>#DIV/0!</v>
      </c>
      <c r="H10" s="8"/>
    </row>
    <row r="11" spans="1:9" ht="15" customHeight="1" x14ac:dyDescent="0.35">
      <c r="A11" s="2"/>
      <c r="B11" s="5" t="s">
        <v>107</v>
      </c>
      <c r="C11" s="6"/>
      <c r="D11" s="5"/>
      <c r="E11" s="5"/>
      <c r="F11" s="7">
        <f t="shared" si="0"/>
        <v>0</v>
      </c>
      <c r="G11" s="7" t="e">
        <f t="shared" si="1"/>
        <v>#DIV/0!</v>
      </c>
      <c r="H11" s="8"/>
    </row>
    <row r="12" spans="1:9" ht="15" customHeight="1" x14ac:dyDescent="0.35">
      <c r="A12" s="2"/>
      <c r="B12" s="10" t="s">
        <v>108</v>
      </c>
      <c r="C12" s="5"/>
      <c r="D12" s="5"/>
      <c r="E12" s="5"/>
      <c r="F12" s="5"/>
      <c r="G12" s="11" t="e">
        <f>AVERAGE(G5:G11)</f>
        <v>#DIV/0!</v>
      </c>
      <c r="H12" s="5"/>
    </row>
    <row r="13" spans="1:9" ht="15" customHeight="1" x14ac:dyDescent="0.35">
      <c r="B13" s="10" t="s">
        <v>109</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173</v>
      </c>
      <c r="E4" s="56" t="s">
        <v>183</v>
      </c>
      <c r="F4" s="56" t="s">
        <v>167</v>
      </c>
      <c r="G4" s="56" t="s">
        <v>188</v>
      </c>
      <c r="H4" s="56" t="s">
        <v>206</v>
      </c>
      <c r="J4" t="s">
        <v>188</v>
      </c>
      <c r="K4" t="s">
        <v>204</v>
      </c>
    </row>
    <row r="5" spans="2:11" x14ac:dyDescent="0.35">
      <c r="B5" s="55"/>
      <c r="C5" s="55"/>
      <c r="D5" s="56" t="s">
        <v>174</v>
      </c>
      <c r="E5" s="56" t="s">
        <v>181</v>
      </c>
      <c r="F5" s="56" t="s">
        <v>203</v>
      </c>
      <c r="G5" s="56" t="s">
        <v>189</v>
      </c>
      <c r="H5" s="56" t="s">
        <v>207</v>
      </c>
    </row>
    <row r="6" spans="2:11" x14ac:dyDescent="0.35">
      <c r="B6" s="55"/>
      <c r="C6" s="55"/>
      <c r="D6" s="56" t="s">
        <v>175</v>
      </c>
      <c r="E6" s="56" t="s">
        <v>182</v>
      </c>
      <c r="F6" s="56" t="s">
        <v>204</v>
      </c>
      <c r="G6" s="56" t="s">
        <v>190</v>
      </c>
      <c r="H6" s="56" t="s">
        <v>220</v>
      </c>
    </row>
    <row r="7" spans="2:11" x14ac:dyDescent="0.35">
      <c r="B7" s="55"/>
      <c r="C7" s="55"/>
      <c r="D7" s="56" t="s">
        <v>176</v>
      </c>
      <c r="E7" s="56" t="s">
        <v>184</v>
      </c>
      <c r="F7" s="56" t="s">
        <v>205</v>
      </c>
      <c r="G7" s="56" t="s">
        <v>191</v>
      </c>
      <c r="H7" s="56" t="s">
        <v>208</v>
      </c>
    </row>
    <row r="8" spans="2:11" x14ac:dyDescent="0.35">
      <c r="B8" s="55"/>
      <c r="C8" s="55"/>
      <c r="D8" s="56" t="s">
        <v>177</v>
      </c>
      <c r="E8" s="56" t="s">
        <v>185</v>
      </c>
      <c r="F8" s="56"/>
      <c r="G8" s="56" t="s">
        <v>192</v>
      </c>
      <c r="H8" s="56" t="s">
        <v>209</v>
      </c>
    </row>
    <row r="9" spans="2:11" x14ac:dyDescent="0.35">
      <c r="B9" s="55"/>
      <c r="C9" s="55"/>
      <c r="D9" s="56" t="s">
        <v>178</v>
      </c>
      <c r="E9" s="56" t="s">
        <v>183</v>
      </c>
      <c r="F9" s="56"/>
      <c r="G9" s="56" t="s">
        <v>193</v>
      </c>
      <c r="H9" s="56" t="s">
        <v>210</v>
      </c>
    </row>
    <row r="10" spans="2:11" x14ac:dyDescent="0.35">
      <c r="B10" s="55"/>
      <c r="C10" s="55"/>
      <c r="D10" s="56" t="s">
        <v>179</v>
      </c>
      <c r="E10" s="56" t="s">
        <v>186</v>
      </c>
      <c r="F10" s="56"/>
      <c r="G10" s="56" t="s">
        <v>194</v>
      </c>
      <c r="H10" s="56" t="s">
        <v>211</v>
      </c>
    </row>
    <row r="11" spans="2:11" x14ac:dyDescent="0.35">
      <c r="B11" s="55"/>
      <c r="C11" s="55"/>
      <c r="D11" s="56" t="s">
        <v>180</v>
      </c>
      <c r="E11" s="56" t="s">
        <v>187</v>
      </c>
      <c r="F11" s="56"/>
      <c r="G11" s="56" t="s">
        <v>195</v>
      </c>
      <c r="H11" s="56" t="s">
        <v>212</v>
      </c>
    </row>
    <row r="12" spans="2:11" x14ac:dyDescent="0.35">
      <c r="B12" s="55"/>
      <c r="C12" s="55"/>
      <c r="D12" s="56"/>
      <c r="E12" s="56"/>
      <c r="F12" s="56"/>
      <c r="G12" s="56" t="s">
        <v>196</v>
      </c>
      <c r="H12" s="56" t="s">
        <v>213</v>
      </c>
    </row>
    <row r="13" spans="2:11" x14ac:dyDescent="0.35">
      <c r="B13" s="55"/>
      <c r="C13" s="55"/>
      <c r="D13" s="56"/>
      <c r="E13" s="56"/>
      <c r="F13" s="56"/>
      <c r="G13" s="56" t="s">
        <v>197</v>
      </c>
      <c r="H13" s="56" t="s">
        <v>214</v>
      </c>
    </row>
    <row r="14" spans="2:11" x14ac:dyDescent="0.35">
      <c r="B14" s="55"/>
      <c r="C14" s="55"/>
      <c r="D14" s="56"/>
      <c r="E14" s="56"/>
      <c r="F14" s="56"/>
      <c r="G14" s="56" t="s">
        <v>198</v>
      </c>
      <c r="H14" s="56" t="s">
        <v>215</v>
      </c>
    </row>
    <row r="15" spans="2:11" x14ac:dyDescent="0.35">
      <c r="B15" s="55"/>
      <c r="C15" s="55"/>
      <c r="D15" s="56"/>
      <c r="E15" s="56"/>
      <c r="F15" s="56"/>
      <c r="G15" s="56" t="s">
        <v>199</v>
      </c>
      <c r="H15" s="56" t="s">
        <v>216</v>
      </c>
    </row>
    <row r="16" spans="2:11" x14ac:dyDescent="0.35">
      <c r="B16" s="55"/>
      <c r="C16" s="55"/>
      <c r="D16" s="56"/>
      <c r="E16" s="56"/>
      <c r="F16" s="56"/>
      <c r="G16" s="56" t="s">
        <v>200</v>
      </c>
      <c r="H16" s="56" t="s">
        <v>217</v>
      </c>
    </row>
    <row r="17" spans="2:8" x14ac:dyDescent="0.35">
      <c r="B17" s="55"/>
      <c r="C17" s="55"/>
      <c r="D17" s="56"/>
      <c r="E17" s="56"/>
      <c r="F17" s="56"/>
      <c r="G17" s="56" t="s">
        <v>201</v>
      </c>
      <c r="H17" s="56" t="s">
        <v>218</v>
      </c>
    </row>
    <row r="18" spans="2:8" x14ac:dyDescent="0.35">
      <c r="B18" s="55"/>
      <c r="C18" s="55"/>
      <c r="D18" s="56"/>
      <c r="E18" s="56"/>
      <c r="F18" s="56"/>
      <c r="G18" s="56" t="s">
        <v>202</v>
      </c>
      <c r="H18" s="56" t="s">
        <v>219</v>
      </c>
    </row>
    <row r="24" spans="2:8" x14ac:dyDescent="0.35">
      <c r="C24" t="s">
        <v>164</v>
      </c>
    </row>
    <row r="25" spans="2:8" x14ac:dyDescent="0.35">
      <c r="C25" t="s">
        <v>221</v>
      </c>
    </row>
    <row r="26" spans="2:8" x14ac:dyDescent="0.35">
      <c r="C26" t="s">
        <v>222</v>
      </c>
    </row>
    <row r="27" spans="2:8" x14ac:dyDescent="0.35">
      <c r="C27" t="s">
        <v>223</v>
      </c>
    </row>
    <row r="28" spans="2:8" x14ac:dyDescent="0.35">
      <c r="C28" t="s">
        <v>224</v>
      </c>
    </row>
    <row r="29" spans="2:8" x14ac:dyDescent="0.35">
      <c r="C29" t="s">
        <v>225</v>
      </c>
    </row>
    <row r="30" spans="2:8" x14ac:dyDescent="0.35">
      <c r="C30" t="s">
        <v>164</v>
      </c>
    </row>
    <row r="33" spans="3:11" x14ac:dyDescent="0.35">
      <c r="J33">
        <v>1</v>
      </c>
      <c r="K33">
        <v>2</v>
      </c>
    </row>
    <row r="34" spans="3:11" x14ac:dyDescent="0.35">
      <c r="C34" s="61" t="s">
        <v>230</v>
      </c>
      <c r="D34" s="56" t="s">
        <v>228</v>
      </c>
      <c r="E34" s="56" t="s">
        <v>233</v>
      </c>
      <c r="F34" s="56" t="s">
        <v>231</v>
      </c>
      <c r="G34" s="56" t="s">
        <v>232</v>
      </c>
      <c r="H34" s="56" t="s">
        <v>234</v>
      </c>
      <c r="J34" t="s">
        <v>188</v>
      </c>
      <c r="K34" t="s">
        <v>204</v>
      </c>
    </row>
    <row r="35" spans="3:11" x14ac:dyDescent="0.35">
      <c r="C35" s="55" t="s">
        <v>229</v>
      </c>
      <c r="D35" s="56" t="s">
        <v>165</v>
      </c>
      <c r="E35" s="56" t="s">
        <v>238</v>
      </c>
      <c r="F35" s="56" t="s">
        <v>240</v>
      </c>
      <c r="G35" s="56" t="s">
        <v>242</v>
      </c>
      <c r="H35" s="56"/>
    </row>
    <row r="36" spans="3:11" x14ac:dyDescent="0.35">
      <c r="C36" s="55"/>
      <c r="D36" s="56" t="s">
        <v>235</v>
      </c>
      <c r="E36" s="56" t="s">
        <v>239</v>
      </c>
      <c r="F36" s="56" t="s">
        <v>241</v>
      </c>
      <c r="G36" s="56" t="s">
        <v>243</v>
      </c>
      <c r="H36" s="56"/>
    </row>
    <row r="37" spans="3:11" x14ac:dyDescent="0.35">
      <c r="C37" s="55"/>
      <c r="D37" s="56" t="s">
        <v>236</v>
      </c>
      <c r="E37" s="56"/>
      <c r="F37" s="56"/>
      <c r="G37" s="56" t="s">
        <v>244</v>
      </c>
      <c r="H37" s="56"/>
    </row>
    <row r="38" spans="3:11" x14ac:dyDescent="0.35">
      <c r="C38" s="55"/>
      <c r="D38" s="56" t="s">
        <v>237</v>
      </c>
      <c r="E38" s="56"/>
      <c r="F38" s="56"/>
      <c r="G38" s="56" t="s">
        <v>244</v>
      </c>
      <c r="H38" s="56"/>
    </row>
    <row r="39" spans="3:11" x14ac:dyDescent="0.35">
      <c r="C39" s="55"/>
      <c r="D39" s="56"/>
      <c r="E39" s="56"/>
      <c r="F39" s="56"/>
      <c r="G39" s="56" t="s">
        <v>245</v>
      </c>
      <c r="H39" s="56"/>
    </row>
    <row r="40" spans="3:11" x14ac:dyDescent="0.35">
      <c r="C40" s="55"/>
      <c r="D40" s="56"/>
      <c r="E40" s="56"/>
      <c r="F40" s="56"/>
      <c r="G40" s="56" t="s">
        <v>246</v>
      </c>
      <c r="H40" s="56"/>
    </row>
    <row r="41" spans="3:11" x14ac:dyDescent="0.35">
      <c r="C41" s="55"/>
      <c r="D41" s="56"/>
      <c r="E41" s="56"/>
      <c r="F41" s="56"/>
      <c r="G41" s="56"/>
      <c r="H41" s="56"/>
    </row>
    <row r="43" spans="3:11" x14ac:dyDescent="0.35">
      <c r="C43" t="s">
        <v>247</v>
      </c>
    </row>
    <row r="44" spans="3:11" x14ac:dyDescent="0.35">
      <c r="C44" t="s">
        <v>167</v>
      </c>
      <c r="D44" t="s">
        <v>248</v>
      </c>
    </row>
    <row r="45" spans="3:11" x14ac:dyDescent="0.35">
      <c r="D45" t="s">
        <v>249</v>
      </c>
    </row>
    <row r="46" spans="3:11" x14ac:dyDescent="0.35">
      <c r="D46" t="s">
        <v>250</v>
      </c>
    </row>
    <row r="47" spans="3:11" x14ac:dyDescent="0.35">
      <c r="D47" t="s">
        <v>251</v>
      </c>
    </row>
    <row r="48" spans="3:11" x14ac:dyDescent="0.35">
      <c r="D48" t="s">
        <v>252</v>
      </c>
    </row>
    <row r="49" spans="3:4" x14ac:dyDescent="0.35">
      <c r="C49" t="s">
        <v>173</v>
      </c>
      <c r="D49" t="s">
        <v>253</v>
      </c>
    </row>
    <row r="50" spans="3:4" x14ac:dyDescent="0.35">
      <c r="D50" t="s">
        <v>254</v>
      </c>
    </row>
    <row r="51" spans="3:4" x14ac:dyDescent="0.35">
      <c r="D51" t="s">
        <v>255</v>
      </c>
    </row>
    <row r="52" spans="3:4" x14ac:dyDescent="0.35">
      <c r="D52" t="s">
        <v>258</v>
      </c>
    </row>
    <row r="53" spans="3:4" x14ac:dyDescent="0.35">
      <c r="D53" t="s">
        <v>256</v>
      </c>
    </row>
    <row r="54" spans="3:4" x14ac:dyDescent="0.35">
      <c r="D54" t="s">
        <v>257</v>
      </c>
    </row>
    <row r="55" spans="3:4" x14ac:dyDescent="0.35">
      <c r="D55" t="s">
        <v>259</v>
      </c>
    </row>
    <row r="56" spans="3:4" x14ac:dyDescent="0.35">
      <c r="D56" t="s">
        <v>260</v>
      </c>
    </row>
    <row r="57" spans="3:4" x14ac:dyDescent="0.35">
      <c r="D57" t="s">
        <v>261</v>
      </c>
    </row>
    <row r="58" spans="3:4" x14ac:dyDescent="0.35">
      <c r="D58" t="s">
        <v>263</v>
      </c>
    </row>
    <row r="59" spans="3:4" x14ac:dyDescent="0.35">
      <c r="D59" t="s">
        <v>272</v>
      </c>
    </row>
    <row r="60" spans="3:4" x14ac:dyDescent="0.35">
      <c r="C60" t="s">
        <v>188</v>
      </c>
      <c r="D60" t="s">
        <v>264</v>
      </c>
    </row>
    <row r="61" spans="3:4" x14ac:dyDescent="0.35">
      <c r="D61" t="s">
        <v>262</v>
      </c>
    </row>
    <row r="62" spans="3:4" x14ac:dyDescent="0.35">
      <c r="D62" t="s">
        <v>252</v>
      </c>
    </row>
    <row r="63" spans="3:4" x14ac:dyDescent="0.35">
      <c r="D63" t="s">
        <v>265</v>
      </c>
    </row>
    <row r="64" spans="3:4" x14ac:dyDescent="0.35">
      <c r="D64" t="s">
        <v>266</v>
      </c>
    </row>
    <row r="65" spans="3:4" x14ac:dyDescent="0.35">
      <c r="D65" t="s">
        <v>267</v>
      </c>
    </row>
    <row r="66" spans="3:4" x14ac:dyDescent="0.35">
      <c r="D66" t="s">
        <v>268</v>
      </c>
    </row>
    <row r="67" spans="3:4" x14ac:dyDescent="0.35">
      <c r="C67" t="s">
        <v>183</v>
      </c>
      <c r="D67" t="s">
        <v>269</v>
      </c>
    </row>
    <row r="68" spans="3:4" x14ac:dyDescent="0.35">
      <c r="D68" t="s">
        <v>270</v>
      </c>
    </row>
    <row r="69" spans="3:4" x14ac:dyDescent="0.35">
      <c r="D69" t="s">
        <v>271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62">
        <v>1</v>
      </c>
      <c r="C2" s="65" t="s">
        <v>278</v>
      </c>
    </row>
    <row r="3" spans="2:3" x14ac:dyDescent="0.35">
      <c r="B3" s="62">
        <v>2</v>
      </c>
      <c r="C3" s="63" t="s">
        <v>279</v>
      </c>
    </row>
    <row r="4" spans="2:3" x14ac:dyDescent="0.35">
      <c r="B4" s="62">
        <v>3</v>
      </c>
      <c r="C4" s="64" t="s">
        <v>280</v>
      </c>
    </row>
    <row r="5" spans="2:3" x14ac:dyDescent="0.35">
      <c r="B5" s="62">
        <v>4</v>
      </c>
      <c r="C5" s="63" t="s">
        <v>281</v>
      </c>
    </row>
    <row r="6" spans="2:3" x14ac:dyDescent="0.35">
      <c r="B6" s="62">
        <v>5</v>
      </c>
      <c r="C6" s="64" t="s">
        <v>282</v>
      </c>
    </row>
    <row r="7" spans="2:3" ht="29" x14ac:dyDescent="0.35">
      <c r="B7" s="62">
        <v>6</v>
      </c>
      <c r="C7" s="63" t="s">
        <v>283</v>
      </c>
    </row>
    <row r="8" spans="2:3" ht="72.5" x14ac:dyDescent="0.35">
      <c r="B8" s="62">
        <v>7</v>
      </c>
      <c r="C8" s="63" t="s">
        <v>284</v>
      </c>
    </row>
    <row r="9" spans="2:3" x14ac:dyDescent="0.35">
      <c r="B9" s="62">
        <v>8</v>
      </c>
      <c r="C9" s="64" t="s">
        <v>285</v>
      </c>
    </row>
    <row r="10" spans="2:3" x14ac:dyDescent="0.35">
      <c r="B10" s="62">
        <v>9</v>
      </c>
      <c r="C10" s="64" t="s">
        <v>286</v>
      </c>
    </row>
    <row r="11" spans="2:3" x14ac:dyDescent="0.35">
      <c r="B11" s="62">
        <v>10</v>
      </c>
      <c r="C11" s="64" t="s">
        <v>287</v>
      </c>
    </row>
    <row r="12" spans="2:3" x14ac:dyDescent="0.35">
      <c r="B12" s="62">
        <v>11</v>
      </c>
      <c r="C12" s="64" t="s">
        <v>288</v>
      </c>
    </row>
    <row r="13" spans="2:3" x14ac:dyDescent="0.35">
      <c r="B13" s="62">
        <v>12</v>
      </c>
      <c r="C13" s="64" t="s">
        <v>289</v>
      </c>
    </row>
    <row r="14" spans="2:3" x14ac:dyDescent="0.35">
      <c r="B14" s="62">
        <v>13</v>
      </c>
      <c r="C14" s="64" t="s">
        <v>290</v>
      </c>
    </row>
    <row r="15" spans="2:3" x14ac:dyDescent="0.35">
      <c r="B15" s="62">
        <v>14</v>
      </c>
      <c r="C15" s="64"/>
    </row>
    <row r="16" spans="2:3" x14ac:dyDescent="0.35">
      <c r="B16" s="62">
        <v>15</v>
      </c>
      <c r="C16" s="64"/>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2025-09-25T08:17:41Z</cp:lastPrinted>
  <dcterms:created xsi:type="dcterms:W3CDTF">2019-07-16T09:29:46Z</dcterms:created>
  <dcterms:modified xsi:type="dcterms:W3CDTF">2025-09-25T08:18:44Z</dcterms:modified>
</cp:coreProperties>
</file>