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9-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54" i="1" l="1"/>
  <c r="L155" i="1"/>
  <c r="L156" i="1"/>
  <c r="L152" i="1"/>
  <c r="L153" i="1"/>
  <c r="C16" i="1" l="1"/>
  <c r="G133" i="1"/>
  <c r="E161" i="1"/>
  <c r="D161" i="1"/>
  <c r="E160" i="1"/>
  <c r="D160" i="1"/>
  <c r="E162" i="1"/>
  <c r="D162" i="1"/>
  <c r="E163" i="1"/>
  <c r="D163" i="1"/>
  <c r="E164" i="1"/>
  <c r="D164" i="1"/>
  <c r="D156" i="1"/>
  <c r="D155" i="1"/>
  <c r="D154" i="1"/>
  <c r="D153" i="1"/>
  <c r="E152" i="1"/>
  <c r="D152" i="1"/>
  <c r="E11" i="1" l="1"/>
  <c r="C134" i="1" l="1"/>
  <c r="F163" i="1"/>
  <c r="J163" i="1" s="1"/>
  <c r="E153" i="1"/>
  <c r="F164" i="1"/>
  <c r="J164" i="1" s="1"/>
  <c r="F162" i="1"/>
  <c r="J162" i="1" s="1"/>
  <c r="F161" i="1"/>
  <c r="J161" i="1" s="1"/>
  <c r="A161" i="1"/>
  <c r="A162" i="1" s="1"/>
  <c r="A163" i="1" s="1"/>
  <c r="A164" i="1" s="1"/>
  <c r="F160" i="1"/>
  <c r="J160" i="1" s="1"/>
  <c r="E156" i="1"/>
  <c r="F156" i="1" s="1"/>
  <c r="K156" i="1" s="1"/>
  <c r="E155" i="1"/>
  <c r="E154" i="1"/>
  <c r="F170" i="1"/>
  <c r="H170" i="1" s="1"/>
  <c r="F169" i="1"/>
  <c r="H169" i="1" s="1"/>
  <c r="F168" i="1"/>
  <c r="H168" i="1" s="1"/>
  <c r="F167" i="1"/>
  <c r="H167" i="1" s="1"/>
  <c r="A167" i="1"/>
  <c r="A168" i="1" s="1"/>
  <c r="A169" i="1" s="1"/>
  <c r="A170" i="1" s="1"/>
  <c r="F166" i="1"/>
  <c r="H166" i="1" s="1"/>
  <c r="E46" i="1"/>
  <c r="E43" i="1"/>
  <c r="G134" i="1" l="1"/>
  <c r="G136" i="1" s="1"/>
  <c r="E134" i="1"/>
  <c r="C133" i="1"/>
  <c r="C103" i="1"/>
  <c r="C89" i="1"/>
  <c r="C135" i="1" l="1"/>
  <c r="C136" i="1"/>
  <c r="F142" i="1"/>
  <c r="H142" i="1" s="1"/>
  <c r="E31" i="1" l="1"/>
  <c r="E26" i="1"/>
  <c r="F152" i="1" l="1"/>
  <c r="K152"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L42" i="7"/>
  <c r="K42" i="7" s="1"/>
  <c r="I42" i="7"/>
  <c r="H42" i="7" s="1"/>
  <c r="D42" i="7"/>
  <c r="D44" i="7" s="1"/>
  <c r="E44" i="7"/>
  <c r="B197" i="1" l="1"/>
  <c r="F143" i="1" l="1"/>
  <c r="H143" i="1" s="1"/>
  <c r="F144" i="1"/>
  <c r="H144" i="1" s="1"/>
  <c r="F145" i="1"/>
  <c r="H145" i="1" s="1"/>
  <c r="G58" i="1" l="1"/>
  <c r="C58" i="1"/>
  <c r="G56" i="1"/>
  <c r="C56" i="1"/>
  <c r="C54" i="1"/>
  <c r="S33" i="1" l="1"/>
  <c r="F11" i="5" l="1"/>
  <c r="G11" i="5" s="1"/>
  <c r="F10" i="5"/>
  <c r="G10" i="5" s="1"/>
  <c r="F9" i="5"/>
  <c r="G9" i="5" s="1"/>
  <c r="G8" i="5"/>
  <c r="F8" i="5"/>
  <c r="F7" i="5"/>
  <c r="G7" i="5" s="1"/>
  <c r="F6" i="5"/>
  <c r="G6" i="5" s="1"/>
  <c r="F5" i="5"/>
  <c r="G5" i="5" s="1"/>
  <c r="D221" i="1"/>
  <c r="B198" i="1"/>
  <c r="F194" i="1"/>
  <c r="H194" i="1" s="1"/>
  <c r="F193" i="1"/>
  <c r="H193" i="1" s="1"/>
  <c r="F192" i="1"/>
  <c r="H192" i="1" s="1"/>
  <c r="F191" i="1"/>
  <c r="H191" i="1" s="1"/>
  <c r="F190" i="1"/>
  <c r="H190" i="1" s="1"/>
  <c r="F188" i="1"/>
  <c r="H188" i="1" s="1"/>
  <c r="F187" i="1"/>
  <c r="H187" i="1" s="1"/>
  <c r="F186" i="1"/>
  <c r="H186" i="1" s="1"/>
  <c r="F185" i="1"/>
  <c r="H185" i="1" s="1"/>
  <c r="F184" i="1"/>
  <c r="H184" i="1" s="1"/>
  <c r="F182" i="1"/>
  <c r="H182" i="1" s="1"/>
  <c r="F181" i="1"/>
  <c r="H181" i="1" s="1"/>
  <c r="F180" i="1"/>
  <c r="H180" i="1" s="1"/>
  <c r="F179" i="1"/>
  <c r="H179" i="1" s="1"/>
  <c r="F178" i="1"/>
  <c r="H178" i="1" s="1"/>
  <c r="F176" i="1"/>
  <c r="H176" i="1" s="1"/>
  <c r="F175" i="1"/>
  <c r="H175" i="1" s="1"/>
  <c r="F174" i="1"/>
  <c r="H174" i="1" s="1"/>
  <c r="F173" i="1"/>
  <c r="H173" i="1" s="1"/>
  <c r="F172" i="1"/>
  <c r="H172" i="1" s="1"/>
  <c r="A172" i="1"/>
  <c r="A173" i="1" s="1"/>
  <c r="A174" i="1" s="1"/>
  <c r="A175" i="1" s="1"/>
  <c r="A176" i="1" s="1"/>
  <c r="F155" i="1"/>
  <c r="K155" i="1" s="1"/>
  <c r="F154" i="1"/>
  <c r="K154" i="1" s="1"/>
  <c r="F153" i="1"/>
  <c r="K153" i="1" s="1"/>
  <c r="A153" i="1"/>
  <c r="A154" i="1" s="1"/>
  <c r="A155" i="1" s="1"/>
  <c r="A156" i="1" s="1"/>
  <c r="A143" i="1"/>
  <c r="A144" i="1" s="1"/>
  <c r="A145" i="1" s="1"/>
  <c r="F130" i="1"/>
  <c r="C75" i="1"/>
  <c r="B76" i="1" s="1"/>
  <c r="D62" i="1"/>
  <c r="G51" i="1"/>
  <c r="G52" i="1" s="1"/>
  <c r="C51" i="1"/>
  <c r="E44" i="1"/>
  <c r="E45" i="1" s="1"/>
  <c r="E28" i="1"/>
  <c r="I15" i="1"/>
  <c r="Z13" i="1"/>
  <c r="E8" i="1"/>
  <c r="E3" i="1"/>
  <c r="D69" i="1" s="1"/>
  <c r="H76" i="1"/>
  <c r="A178" i="1"/>
  <c r="A190" i="1"/>
  <c r="A184" i="1"/>
  <c r="G12" i="5" l="1"/>
  <c r="G135" i="1"/>
  <c r="E133" i="1"/>
  <c r="E136" i="1" s="1"/>
  <c r="J75" i="1"/>
  <c r="J77" i="1" s="1"/>
  <c r="J78" i="1"/>
  <c r="J79" i="1"/>
  <c r="J80" i="1"/>
  <c r="C79" i="1" s="1"/>
  <c r="D83" i="1"/>
  <c r="D85" i="1"/>
  <c r="D84" i="1"/>
  <c r="D88" i="1"/>
  <c r="D82" i="1"/>
  <c r="D87" i="1"/>
  <c r="D81" i="1"/>
  <c r="D86" i="1"/>
  <c r="J81" i="1"/>
  <c r="A185" i="1"/>
  <c r="A179" i="1"/>
  <c r="A191" i="1"/>
  <c r="E135" i="1" l="1"/>
  <c r="D79" i="1"/>
  <c r="J85" i="1"/>
  <c r="J83" i="1"/>
  <c r="J84" i="1"/>
  <c r="J82" i="1"/>
  <c r="J87" i="1" s="1"/>
  <c r="J88" i="1" s="1"/>
  <c r="C80" i="1" s="1"/>
  <c r="E79" i="1" s="1"/>
  <c r="J86" i="1"/>
  <c r="A186" i="1"/>
  <c r="A192" i="1"/>
  <c r="A180" i="1"/>
  <c r="B90" i="1" l="1"/>
  <c r="J76" i="1"/>
  <c r="D80" i="1"/>
  <c r="G79" i="1"/>
  <c r="D73" i="1" s="1"/>
  <c r="A181" i="1"/>
  <c r="H90" i="1"/>
  <c r="A193" i="1"/>
  <c r="A187"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188" i="1"/>
  <c r="A182" i="1"/>
  <c r="A194" i="1"/>
  <c r="B104" i="1" l="1"/>
  <c r="E93" i="1"/>
  <c r="D94" i="1"/>
  <c r="G93" i="1"/>
  <c r="D93" i="1"/>
  <c r="H104" i="1"/>
  <c r="J106" i="1" l="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<sst xmlns="http://schemas.openxmlformats.org/spreadsheetml/2006/main" count="684" uniqueCount="408">
  <si>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</si>
  <si>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</si>
  <si>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</si>
  <si>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</si>
  <si>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</si>
  <si>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</si>
  <si>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</si>
  <si>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</si>
  <si>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</si>
  <si>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</si>
  <si>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</si>
  <si>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</si>
  <si>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</si>
  <si>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</si>
  <si>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</si>
  <si>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</si>
  <si>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</si>
  <si>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</si>
  <si>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</si>
  <si>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</si>
  <si>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</si>
  <si>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</si>
  <si>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</si>
  <si>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</si>
  <si>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</si>
  <si>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</si>
  <si>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</si>
  <si>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</si>
  <si>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</si>
  <si>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</si>
  <si>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</si>
  <si>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</si>
  <si>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</si>
  <si>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</si>
  <si>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</si>
  <si>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</si>
  <si>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</si>
  <si>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</si>
  <si>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</si>
  <si>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</si>
  <si>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</si>
  <si>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</si>
  <si>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</si>
  <si>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</si>
  <si>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</si>
  <si>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</si>
  <si>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</si>
  <si>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</si>
  <si>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</si>
  <si>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</si>
  <si>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</si>
  <si>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</si>
  <si>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</si>
  <si>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</si>
  <si>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</si>
  <si>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</si>
  <si>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</si>
  <si>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</si>
  <si>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</si>
  <si>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</si>
  <si>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</si>
  <si>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</si>
  <si>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</si>
  <si>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</si>
  <si>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</si>
  <si>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</si>
  <si>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</si>
  <si>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</si>
  <si>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</si>
  <si>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</si>
  <si>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</si>
  <si>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</si>
  <si>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</si>
  <si>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</si>
  <si>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</si>
  <si>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</si>
  <si>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</si>
  <si>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</si>
  <si>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</si>
  <si>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</si>
  <si>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</si>
  <si>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</si>
  <si>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</si>
  <si>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</si>
  <si>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</si>
  <si>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</si>
  <si>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</si>
  <si>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</si>
  <si>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</si>
  <si>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</si>
  <si>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</si>
  <si>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</si>
  <si>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</si>
  <si>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</si>
  <si>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</si>
  <si>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</si>
  <si>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</si>
  <si>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</si>
  <si>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</si>
  <si>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</si>
  <si>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</si>
  <si>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</si>
  <si>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</si>
  <si>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</si>
  <si>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</si>
  <si>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</si>
  <si>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</si>
  <si>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</si>
  <si>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</si>
  <si>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</si>
  <si>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</si>
  <si>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</si>
  <si>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</si>
  <si>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</si>
  <si>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</si>
  <si>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</si>
  <si>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</si>
  <si>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</si>
  <si>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</si>
  <si>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</si>
  <si>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</si>
  <si>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</si>
  <si>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</si>
  <si>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</si>
  <si>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</si>
  <si>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</si>
  <si>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</si>
  <si>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</si>
  <si>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</si>
  <si>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</si>
  <si>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</si>
  <si>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</si>
  <si>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</si>
  <si>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</si>
  <si>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</si>
  <si>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</si>
  <si>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</si>
  <si>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</si>
  <si>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</si>
  <si>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</si>
  <si>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</si>
  <si>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</si>
  <si>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</si>
  <si>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</si>
  <si>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</si>
  <si>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</si>
  <si>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</si>
  <si>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</si>
  <si>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</si>
  <si>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</si>
  <si>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</si>
  <si>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</si>
  <si>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</si>
  <si>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</si>
  <si>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</si>
  <si>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</si>
  <si>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</si>
  <si>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</si>
  <si>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</si>
  <si>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</si>
  <si>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</si>
  <si>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</si>
  <si>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</si>
  <si>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</si>
  <si>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</si>
  <si>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</si>
  <si>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</si>
  <si>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</si>
  <si>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</si>
  <si>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</si>
  <si>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</si>
  <si>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</si>
  <si>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</si>
  <si>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</si>
  <si>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</si>
  <si>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</si>
  <si>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</si>
  <si>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</si>
  <si>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</si>
  <si>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</si>
  <si>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</si>
  <si>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</si>
  <si>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</si>
  <si>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</si>
  <si>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</si>
  <si>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</si>
  <si>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</si>
  <si>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</si>
  <si>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</si>
  <si>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</si>
  <si>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</si>
  <si>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</si>
  <si>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</si>
  <si>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</si>
  <si>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</si>
  <si>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</si>
  <si>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</si>
  <si>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</si>
  <si>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</si>
  <si>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</si>
  <si>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</si>
  <si>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</si>
  <si>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</si>
  <si>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</si>
  <si>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</si>
  <si>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</si>
  <si>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</si>
  <si>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</si>
  <si>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</si>
  <si>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</si>
  <si>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</si>
  <si>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</si>
  <si>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</si>
  <si>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</si>
  <si>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</si>
  <si>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</si>
  <si>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</si>
  <si>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</si>
  <si>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</si>
  <si>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</si>
  <si>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</si>
  <si>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</si>
  <si>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</si>
  <si>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</si>
  <si>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</si>
  <si>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</si>
  <si>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</si>
  <si>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</si>
  <si>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</si>
  <si>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</si>
  <si>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</si>
  <si>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</si>
  <si>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</si>
  <si>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</si>
  <si>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</si>
  <si>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</si>
  <si>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</si>
  <si>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</si>
  <si>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</si>
  <si>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</si>
  <si>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</si>
  <si>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</si>
  <si>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</si>
  <si>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</si>
  <si>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</si>
  <si>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</si>
  <si>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</si>
  <si>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</si>
  <si>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</si>
  <si>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</si>
  <si>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</si>
  <si>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</si>
  <si>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</si>
  <si>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</si>
  <si>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</si>
  <si>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</si>
  <si>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</si>
  <si>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</si>
  <si>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</si>
  <si>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</si>
  <si>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</si>
  <si>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</si>
  <si>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</si>
  <si>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</si>
  <si>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</si>
  <si>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</si>
  <si>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</si>
  <si>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</si>
  <si>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</si>
  <si>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</si>
  <si>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</si>
  <si>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</si>
  <si>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</si>
  <si>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</si>
  <si>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</si>
  <si>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</si>
  <si>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</si>
  <si>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</si>
  <si>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</si>
  <si>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</si>
  <si>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</si>
  <si>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</si>
  <si>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</si>
  <si>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</si>
  <si>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</si>
  <si>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</si>
  <si>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</si>
  <si>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</si>
  <si>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</si>
  <si>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</si>
  <si>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</si>
  <si>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</si>
  <si>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</si>
  <si>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</si>
  <si>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</si>
  <si>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</si>
  <si>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</si>
  <si>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</si>
  <si>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</si>
  <si>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</si>
  <si>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</si>
  <si>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</si>
  <si>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</si>
  <si>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</si>
  <si>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</si>
  <si>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</si>
  <si>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</si>
  <si>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</si>
  <si>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</si>
  <si>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</si>
  <si>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</si>
  <si>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</si>
  <si>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</si>
  <si>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</si>
  <si>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</si>
  <si>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</si>
  <si>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</si>
  <si>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</si>
  <si>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</si>
  <si>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</si>
  <si>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</si>
  <si>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</si>
  <si>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</si>
  <si>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</si>
  <si>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</si>
  <si>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</si>
  <si>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</si>
  <si>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</si>
  <si>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</si>
  <si>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</si>
  <si>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</si>
  <si>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</si>
  <si>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</si>
  <si>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</si>
  <si>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</si>
  <si>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</si>
  <si>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</si>
  <si>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</si>
  <si>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</si>
  <si>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</si>
  <si>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</si>
  <si>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</si>
  <si>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</si>
  <si>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</si>
  <si>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</si>
  <si>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</si>
  <si>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</si>
  <si>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</si>
  <si>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</si>
  <si>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</si>
  <si>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</si>
  <si>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</si>
  <si>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</si>
  <si>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P51700056372</t>
  </si>
  <si>
    <t>Ghude Enterprises</t>
  </si>
  <si>
    <t>Wing A &amp; B</t>
  </si>
  <si>
    <t>Survey No</t>
  </si>
  <si>
    <t>Chikholi</t>
  </si>
  <si>
    <t>Wing A &amp; B = Gr(Pt)/Stilt + 1st to 7th Floor</t>
  </si>
  <si>
    <t>As per RERA - 31/12/2025</t>
  </si>
  <si>
    <t>19.192104,73.221320</t>
  </si>
  <si>
    <t>https://maps.app.goo.gl/3fbcLMbqcmqVa3GU6</t>
  </si>
  <si>
    <t>Dattanagar</t>
  </si>
  <si>
    <t>Jambhul Road</t>
  </si>
  <si>
    <t>127, H No.1/B, Plot No. A</t>
  </si>
  <si>
    <t>Wing A</t>
  </si>
  <si>
    <t>1st to 7th Floor For Residential</t>
  </si>
  <si>
    <t>2BHK</t>
  </si>
  <si>
    <t>EP Area</t>
  </si>
  <si>
    <t>1BHK</t>
  </si>
  <si>
    <t>Wing B</t>
  </si>
  <si>
    <t>Sudhir Bhosale</t>
  </si>
  <si>
    <t>We considered Gross carpet area = Net carpet + EP Area.</t>
  </si>
  <si>
    <t>Flats - 70</t>
  </si>
  <si>
    <t>As per vistors photos</t>
  </si>
  <si>
    <t>Other Plot</t>
  </si>
  <si>
    <t>Internal Road</t>
  </si>
  <si>
    <t>Open Plot</t>
  </si>
  <si>
    <t>Swastik Paradise</t>
  </si>
  <si>
    <t>02 Wings</t>
  </si>
  <si>
    <t xml:space="preserve">Details of Residential in Building   </t>
  </si>
  <si>
    <t>Mr. Jagdish 9049308693</t>
  </si>
  <si>
    <t>Badlapur West</t>
  </si>
  <si>
    <t>6.00M Wide Road/Other Plot</t>
  </si>
  <si>
    <t>Shrishti Hill CHS</t>
  </si>
  <si>
    <t>Building</t>
  </si>
  <si>
    <t>A.N.P/NRV/BP/2021-22/1027/9237/113</t>
  </si>
  <si>
    <t>ANP/NRV/B.P./2021-22/1027/9237/113</t>
  </si>
  <si>
    <t>Wing A &amp; B = Gr(Pt)/Stilt(Pt) + 1st to 7th Floor (B.U.A = 2933.23Sq.Mt)</t>
  </si>
  <si>
    <r>
      <t xml:space="preserve">Proposed Amenities :                                                                                                                                                                                                                         </t>
    </r>
    <r>
      <rPr>
        <b/>
        <sz val="12"/>
        <rFont val="Times New Roman"/>
        <family val="1"/>
      </rPr>
      <t xml:space="preserve">                                               </t>
    </r>
  </si>
  <si>
    <t>Vitrified tiles flooring, Granite Kitchen Platform, Decorative Entrance, Landscaping &amp; Garden, Children Play Area, etc.</t>
  </si>
  <si>
    <t>Since the Flat Nos. is not mentioned on approved plans, We have considered Flat Nos. from sale plan.</t>
  </si>
  <si>
    <t>Ground Floor For Entrance Lobby, Society Office, Drivers Room &amp; Parking</t>
  </si>
  <si>
    <t>Builder Saleable Area</t>
  </si>
  <si>
    <t>Grill Charges</t>
  </si>
  <si>
    <t xml:space="preserve">Builder </t>
  </si>
  <si>
    <t xml:space="preserve">Visitor </t>
  </si>
  <si>
    <t>Nearby Project</t>
  </si>
  <si>
    <t>Pro Tiger</t>
  </si>
  <si>
    <t xml:space="preserve">Pro Tiger </t>
  </si>
  <si>
    <t>Approved Plans, CC, Cost Sheet, Builder Saleable Area.</t>
  </si>
  <si>
    <t>Tulsi Sarnam</t>
  </si>
  <si>
    <t>4.70KM from Badlapur Railway Station</t>
  </si>
  <si>
    <t>Pooja Kawale</t>
  </si>
  <si>
    <t>RATE 5000 TOTAL OC 3L PARK 3L on 27/05/2025</t>
  </si>
  <si>
    <t>Other Charges</t>
  </si>
  <si>
    <t>Recommended Rates &amp; Other charges of the Property have been revised on 27/05/2025.</t>
  </si>
  <si>
    <t>Construction work is in process at the time of Visit (Labour found).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</si>
</sst>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43" fontId="23" fillId="0" borderId="0" applyFont="0" applyFill="0" applyBorder="0" applyAlignment="0" applyProtection="0"/>
    <xf numFmtId="0" fontId="28" fillId="0" borderId="0" applyNumberFormat="0" applyFill="0" applyBorder="0" applyAlignment="0" applyProtection="0"/>
  </cellStyleXfs>
  <cellXfs count="257">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0" fontId="19" fillId="0" borderId="0" xfId="0" applyFont="1" applyProtection="1">
      <protection hidden="1"/>
    </xf>
    <xf numFmtId="0" fontId="16" fillId="0" borderId="1" xfId="1" applyFont="1" applyBorder="1" applyAlignment="1" applyProtection="1">
      <alignment horizontal="center" vertical="top"/>
      <protection locked="0"/>
    </xf>
    <xf numFmtId="0" fontId="19" fillId="0" borderId="11" xfId="0" applyFont="1" applyBorder="1" applyProtection="1">
      <protection hidden="1"/>
    </xf>
    <xf numFmtId="0" fontId="13" fillId="0" borderId="4" xfId="1" applyFont="1" applyBorder="1" applyAlignment="1" applyProtection="1">
      <alignment horizontal="center" vertical="top"/>
      <protection locked="0"/>
    </xf>
    <xf numFmtId="0" fontId="13" fillId="0" borderId="5" xfId="1" applyFont="1" applyBorder="1" applyAlignment="1" applyProtection="1">
      <alignment horizontal="center" vertical="top"/>
      <protection locked="0"/>
    </xf>
    <xf numFmtId="0" fontId="7" fillId="0" borderId="1" xfId="1" applyFont="1" applyBorder="1" applyAlignment="1" applyProtection="1">
      <alignment vertical="top" wrapText="1"/>
      <protection locked="0"/>
    </xf>
    <xf numFmtId="9" fontId="8" fillId="0" borderId="1" xfId="8" applyFont="1" applyFill="1" applyBorder="1" applyAlignment="1" applyProtection="1">
      <alignment horizontal="center" vertical="top" wrapText="1"/>
      <protection locked="0"/>
    </xf>
    <xf numFmtId="9" fontId="8" fillId="0" borderId="7" xfId="8" applyFont="1" applyFill="1" applyBorder="1" applyAlignment="1" applyProtection="1">
      <alignment horizontal="center"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5" fillId="0" borderId="0" xfId="1" applyFont="1"/>
    <xf numFmtId="0" fontId="8" fillId="0" borderId="10" xfId="1" applyFont="1" applyBorder="1"/>
    <xf numFmtId="0" fontId="19"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8" fillId="0" borderId="0" xfId="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protection locked="0"/>
    </xf>
    <xf numFmtId="0" fontId="26" fillId="2" borderId="30" xfId="0" applyFont="1" applyFill="1" applyBorder="1"/>
    <xf numFmtId="0" fontId="27" fillId="0" borderId="31" xfId="0" applyFont="1" applyBorder="1"/>
    <xf numFmtId="0" fontId="27" fillId="0" borderId="1" xfId="0" applyFont="1" applyBorder="1"/>
    <xf numFmtId="0" fontId="27" fillId="0" borderId="5" xfId="0" applyFont="1" applyBorder="1"/>
    <xf numFmtId="0" fontId="13"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9" fontId="18"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6" fillId="0" borderId="1" xfId="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7"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9" fillId="0" borderId="3" xfId="1" applyNumberFormat="1" applyFont="1" applyBorder="1" applyAlignment="1" applyProtection="1">
      <alignment horizontal="center" vertical="top" wrapText="1"/>
      <protection locked="0"/>
    </xf>
    <xf numFmtId="1" fontId="1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10"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3" fillId="0" borderId="1" xfId="1" applyFont="1" applyBorder="1"/>
    <xf numFmtId="0" fontId="8" fillId="0" borderId="1" xfId="1" applyFont="1" applyBorder="1"/>
    <xf numFmtId="0" fontId="8" fillId="0" borderId="7"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7"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0" fontId="8" fillId="0" borderId="0" xfId="1" applyFont="1" applyAlignment="1">
      <alignment horizontal="center" vertical="center"/>
    </xf>
    <xf numFmtId="1" fontId="7" fillId="0" borderId="1" xfId="1" applyNumberFormat="1" applyFont="1" applyBorder="1" applyAlignment="1" applyProtection="1">
      <alignment horizontal="center" vertical="center" wrapText="1"/>
      <protection locked="0"/>
    </xf>
    <xf numFmtId="0" fontId="8" fillId="0" borderId="0" xfId="1" applyFont="1" applyAlignment="1">
      <alignment horizontal="center"/>
    </xf>
    <xf numFmtId="9" fontId="13" fillId="0" borderId="1" xfId="8" applyFont="1" applyFill="1" applyBorder="1" applyAlignment="1" applyProtection="1">
      <alignment horizontal="center" vertical="top" wrapText="1"/>
      <protection locked="0"/>
    </xf>
    <xf numFmtId="9" fontId="14" fillId="0" borderId="16" xfId="8" applyFont="1" applyFill="1" applyBorder="1" applyAlignment="1" applyProtection="1">
      <alignment horizontal="center" vertical="top" wrapText="1"/>
      <protection locked="0"/>
    </xf>
    <xf numFmtId="0" fontId="17" fillId="0" borderId="0" xfId="1" applyFont="1" applyAlignment="1">
      <alignment horizontal="center"/>
    </xf>
    <xf numFmtId="0" fontId="1" fillId="0" borderId="1" xfId="5" applyFont="1" applyBorder="1" applyAlignment="1">
      <alignment horizontal="center" vertical="center"/>
    </xf>
    <xf numFmtId="2" fontId="8" fillId="0" borderId="0" xfId="1" applyNumberFormat="1" applyFont="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26" fillId="2" borderId="15" xfId="0" applyFont="1" applyFill="1" applyBorder="1"/>
    <xf numFmtId="0" fontId="27" fillId="0" borderId="9" xfId="0" applyFont="1" applyBorder="1"/>
    <xf numFmtId="0" fontId="13"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67" fontId="13" fillId="0" borderId="1" xfId="9" applyNumberFormat="1" applyFont="1" applyFill="1" applyBorder="1" applyAlignment="1" applyProtection="1">
      <alignment horizontal="left" vertical="top"/>
      <protection locked="0"/>
    </xf>
    <xf numFmtId="1" fontId="14" fillId="0" borderId="8" xfId="0" applyNumberFormat="1" applyFont="1" applyBorder="1" applyAlignment="1" applyProtection="1">
      <alignment vertical="top" wrapText="1"/>
      <protection locked="0"/>
    </xf>
    <xf numFmtId="1" fontId="14" fillId="0" borderId="21" xfId="0" applyNumberFormat="1" applyFont="1" applyBorder="1" applyAlignment="1" applyProtection="1">
      <alignment vertical="top" wrapText="1"/>
      <protection locked="0"/>
    </xf>
    <xf numFmtId="1" fontId="14" fillId="0" borderId="9" xfId="0" applyNumberFormat="1" applyFont="1" applyBorder="1" applyAlignment="1" applyProtection="1">
      <alignment vertical="top" wrapText="1"/>
      <protection locked="0"/>
    </xf>
    <xf numFmtId="0" fontId="8" fillId="0" borderId="4"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9" fontId="8" fillId="0" borderId="17" xfId="8" applyFont="1" applyFill="1" applyBorder="1" applyAlignment="1" applyProtection="1">
      <alignment horizontal="center" vertical="center" wrapText="1"/>
      <protection locked="0"/>
    </xf>
    <xf numFmtId="9" fontId="8" fillId="0" borderId="18" xfId="8" applyFont="1" applyFill="1" applyBorder="1" applyAlignment="1" applyProtection="1">
      <alignment horizontal="center" vertical="center" wrapText="1"/>
      <protection locked="0"/>
    </xf>
    <xf numFmtId="9" fontId="8" fillId="0" borderId="25" xfId="8" applyFont="1" applyFill="1" applyBorder="1" applyAlignment="1" applyProtection="1">
      <alignment horizontal="center" vertical="center" wrapText="1"/>
      <protection locked="0"/>
    </xf>
    <xf numFmtId="9" fontId="8" fillId="0" borderId="26" xfId="8" applyFont="1" applyFill="1" applyBorder="1" applyAlignment="1" applyProtection="1">
      <alignment horizontal="center" vertical="center" wrapText="1"/>
      <protection locked="0"/>
    </xf>
    <xf numFmtId="9" fontId="8" fillId="0" borderId="28" xfId="8" applyFont="1" applyFill="1" applyBorder="1" applyAlignment="1" applyProtection="1">
      <alignment horizontal="center" vertical="center" wrapText="1"/>
      <protection locked="0"/>
    </xf>
    <xf numFmtId="9" fontId="8" fillId="0" borderId="29" xfId="8" applyFont="1" applyFill="1" applyBorder="1" applyAlignment="1" applyProtection="1">
      <alignment horizontal="center" vertical="center" wrapText="1"/>
      <protection locked="0"/>
    </xf>
    <xf numFmtId="0" fontId="9" fillId="0" borderId="22" xfId="1" applyFont="1" applyBorder="1" applyAlignment="1" applyProtection="1">
      <alignment horizontal="left" vertical="top" wrapText="1"/>
      <protection locked="0"/>
    </xf>
    <xf numFmtId="0" fontId="9" fillId="0" borderId="15"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23" xfId="1" applyFont="1" applyBorder="1" applyAlignment="1" applyProtection="1">
      <alignment horizontal="left" vertical="top" wrapText="1"/>
      <protection locked="0"/>
    </xf>
    <xf numFmtId="0" fontId="14" fillId="0" borderId="4"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wrapText="1"/>
      <protection locked="0"/>
    </xf>
    <xf numFmtId="0" fontId="14" fillId="0" borderId="5" xfId="1" applyFont="1" applyBorder="1" applyAlignment="1" applyProtection="1">
      <alignment horizontal="left" vertical="top" wrapText="1"/>
      <protection locked="0"/>
    </xf>
    <xf numFmtId="0" fontId="8" fillId="0" borderId="5" xfId="1" applyFont="1" applyBorder="1" applyAlignment="1" applyProtection="1">
      <alignment horizontal="center" vertical="top" wrapText="1"/>
      <protection locked="0"/>
    </xf>
    <xf numFmtId="9" fontId="8" fillId="0" borderId="27" xfId="8" applyFont="1" applyFill="1" applyBorder="1" applyAlignment="1" applyProtection="1">
      <alignment horizontal="center" vertical="center" wrapText="1"/>
      <protection locked="0"/>
    </xf>
    <xf numFmtId="9" fontId="8" fillId="0" borderId="10" xfId="8" applyFont="1" applyFill="1" applyBorder="1" applyAlignment="1" applyProtection="1">
      <alignment horizontal="center" vertical="center" wrapText="1"/>
      <protection locked="0"/>
    </xf>
    <xf numFmtId="9" fontId="8" fillId="0" borderId="12" xfId="8" applyFont="1" applyFill="1" applyBorder="1" applyAlignment="1" applyProtection="1">
      <alignment horizontal="center" vertical="center" wrapText="1"/>
      <protection locked="0"/>
    </xf>
    <xf numFmtId="1" fontId="18" fillId="0" borderId="8" xfId="0" applyNumberFormat="1" applyFont="1" applyBorder="1" applyAlignment="1" applyProtection="1">
      <alignment vertical="top" wrapText="1"/>
      <protection locked="0"/>
    </xf>
    <xf numFmtId="1" fontId="18" fillId="0" borderId="21" xfId="0" applyNumberFormat="1" applyFont="1" applyBorder="1" applyAlignment="1" applyProtection="1">
      <alignment vertical="top" wrapText="1"/>
      <protection locked="0"/>
    </xf>
    <xf numFmtId="1" fontId="18" fillId="0" borderId="9" xfId="0" applyNumberFormat="1" applyFont="1" applyBorder="1" applyAlignment="1" applyProtection="1">
      <alignment vertical="top" wrapText="1"/>
      <protection locked="0"/>
    </xf>
    <xf numFmtId="1" fontId="9" fillId="0" borderId="3"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top" wrapText="1"/>
      <protection locked="0"/>
    </xf>
    <xf numFmtId="0" fontId="9" fillId="0" borderId="16" xfId="1" applyFont="1" applyBorder="1" applyAlignment="1" applyProtection="1">
      <alignment horizontal="center" vertical="top"/>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9" fillId="0" borderId="32"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wrapText="1"/>
      <protection locked="0"/>
    </xf>
    <xf numFmtId="1" fontId="11" fillId="0" borderId="33" xfId="0" applyNumberFormat="1" applyFont="1" applyBorder="1" applyAlignment="1" applyProtection="1">
      <alignment horizontal="center" vertical="top" wrapText="1"/>
      <protection locked="0"/>
    </xf>
    <xf numFmtId="0" fontId="28" fillId="0" borderId="1" xfId="10" applyFill="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 fontId="5" fillId="0" borderId="3" xfId="1" applyNumberFormat="1" applyFont="1" applyBorder="1" applyAlignment="1" applyProtection="1">
      <alignment horizontal="center" vertical="top" wrapText="1"/>
      <protection locked="0"/>
    </xf>
    <xf numFmtId="1" fontId="5" fillId="0" borderId="16" xfId="1" applyNumberFormat="1" applyFont="1" applyBorder="1" applyAlignment="1" applyProtection="1">
      <alignment horizontal="center" vertical="top" wrapText="1"/>
      <protection locked="0"/>
    </xf>
    <xf numFmtId="1" fontId="8" fillId="0" borderId="0" xfId="1" applyNumberFormat="1" applyFont="1" applyAlignment="1">
      <alignment horizontal="center" vertical="center"/>
    </xf>
    <xf numFmtId="1" fontId="9" fillId="0" borderId="33" xfId="0" applyNumberFormat="1" applyFont="1" applyBorder="1" applyAlignment="1" applyProtection="1">
      <alignment horizontal="center" vertical="top" wrapText="1"/>
      <protection locked="0"/>
    </xf>
    <xf numFmtId="1" fontId="9" fillId="0" borderId="34" xfId="0" applyNumberFormat="1" applyFont="1" applyBorder="1" applyAlignment="1" applyProtection="1">
      <alignment horizontal="center" vertical="top" wrapText="1"/>
      <protection locked="0"/>
    </xf>
    <xf numFmtId="0" fontId="7" fillId="0" borderId="8" xfId="1" applyFont="1" applyBorder="1" applyAlignment="1" applyProtection="1">
      <alignment vertical="top" wrapText="1"/>
      <protection locked="0"/>
    </xf>
    <xf numFmtId="0" fontId="7" fillId="0" borderId="21" xfId="1" applyFont="1" applyBorder="1" applyAlignment="1" applyProtection="1">
      <alignment vertical="top" wrapText="1"/>
      <protection locked="0"/>
    </xf>
    <xf numFmtId="0" fontId="7" fillId="0" borderId="9" xfId="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164" fontId="7" fillId="0" borderId="1" xfId="1" applyNumberFormat="1" applyFont="1" applyBorder="1" applyAlignment="1" applyProtection="1">
      <alignment horizontal="left" vertical="top"/>
      <protection locked="0"/>
    </xf>
    <xf numFmtId="0" fontId="8" fillId="0" borderId="0" xfId="1" applyFont="1" applyAlignment="1">
      <alignment horizontal="center" vertical="center"/>
    </xf>
    <xf numFmtId="9" fontId="13" fillId="0" borderId="1"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protection locked="0"/>
    </xf>
    <xf numFmtId="2" fontId="7" fillId="0" borderId="1" xfId="1" applyNumberFormat="1" applyFont="1" applyBorder="1" applyAlignment="1" applyProtection="1">
      <alignment horizontal="left" vertical="top" wrapText="1"/>
      <protection locked="0"/>
    </xf>
    <xf numFmtId="0" fontId="9"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wrapText="1"/>
      <protection locked="0"/>
    </xf>
    <xf numFmtId="0" fontId="16" fillId="0" borderId="17" xfId="1" applyFont="1" applyBorder="1" applyAlignment="1" applyProtection="1">
      <alignment horizontal="left" vertical="top" wrapText="1"/>
      <protection locked="0"/>
    </xf>
    <xf numFmtId="0" fontId="16" fillId="0" borderId="18" xfId="1" applyFont="1" applyBorder="1" applyAlignment="1" applyProtection="1">
      <alignment horizontal="left" vertical="top" wrapText="1"/>
      <protection locked="0"/>
    </xf>
    <xf numFmtId="0" fontId="16" fillId="0" borderId="19" xfId="1" applyFont="1" applyBorder="1" applyAlignment="1" applyProtection="1">
      <alignment horizontal="left" vertical="top" wrapText="1"/>
      <protection locked="0"/>
    </xf>
    <xf numFmtId="0" fontId="16" fillId="0" borderId="20" xfId="1" applyFont="1" applyBorder="1" applyAlignment="1" applyProtection="1">
      <alignment horizontal="left" vertical="top" wrapText="1"/>
      <protection locked="0"/>
    </xf>
    <xf numFmtId="14" fontId="7" fillId="0" borderId="9" xfId="1" applyNumberFormat="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4"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0" xfId="1" applyFont="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3" xfId="1" applyFont="1" applyBorder="1" applyAlignment="1" applyProtection="1">
      <alignment horizontal="left" vertical="top" wrapText="1"/>
      <protection locked="0"/>
    </xf>
    <xf numFmtId="0" fontId="13" fillId="0" borderId="3" xfId="1" applyFont="1" applyBorder="1" applyAlignment="1" applyProtection="1">
      <alignment horizontal="left" vertical="top"/>
      <protection locked="0"/>
    </xf>
    <xf numFmtId="0" fontId="16" fillId="0" borderId="25" xfId="1" applyFont="1" applyBorder="1" applyAlignment="1" applyProtection="1">
      <alignment horizontal="left" vertical="top"/>
      <protection locked="0"/>
    </xf>
    <xf numFmtId="0" fontId="16" fillId="0" borderId="0" xfId="1" applyFont="1" applyAlignment="1" applyProtection="1">
      <alignment horizontal="left" vertical="top"/>
      <protection locked="0"/>
    </xf>
    <xf numFmtId="0" fontId="16" fillId="0" borderId="26" xfId="1" applyFont="1" applyBorder="1" applyAlignment="1" applyProtection="1">
      <alignment horizontal="left" vertical="top"/>
      <protection locked="0"/>
    </xf>
    <xf numFmtId="0" fontId="9" fillId="0" borderId="1" xfId="1" applyFont="1" applyBorder="1" applyAlignment="1" applyProtection="1">
      <alignment vertical="top"/>
      <protection locked="0"/>
    </xf>
    <xf numFmtId="0" fontId="13" fillId="0" borderId="1" xfId="1" applyFont="1" applyBorder="1" applyAlignment="1" applyProtection="1">
      <alignment horizontal="center"/>
      <protection locked="0"/>
    </xf>
    <xf numFmtId="0" fontId="16" fillId="0" borderId="19" xfId="1" applyFont="1" applyBorder="1" applyAlignment="1" applyProtection="1">
      <alignment horizontal="left" vertical="top"/>
      <protection locked="0"/>
    </xf>
    <xf numFmtId="0" fontId="16" fillId="0" borderId="2" xfId="1" applyFont="1" applyBorder="1" applyAlignment="1" applyProtection="1">
      <alignment horizontal="left" vertical="top"/>
      <protection locked="0"/>
    </xf>
    <xf numFmtId="0" fontId="16" fillId="0" borderId="20" xfId="1" applyFont="1" applyBorder="1" applyAlignment="1" applyProtection="1">
      <alignment horizontal="left" vertical="top"/>
      <protection locked="0"/>
    </xf>
    <xf numFmtId="2" fontId="7" fillId="0" borderId="1" xfId="1" applyNumberFormat="1" applyFont="1" applyBorder="1" applyAlignment="1" applyProtection="1">
      <alignment horizontal="left" vertical="top"/>
      <protection locked="0"/>
    </xf>
    <xf numFmtId="0" fontId="13" fillId="0" borderId="18" xfId="1" applyFont="1" applyBorder="1" applyAlignment="1" applyProtection="1">
      <alignment horizontal="left" vertical="top" wrapText="1"/>
      <protection locked="0"/>
    </xf>
    <xf numFmtId="0" fontId="14" fillId="0" borderId="8" xfId="1" applyFont="1" applyBorder="1" applyAlignment="1" applyProtection="1">
      <alignment horizontal="left" vertical="top"/>
      <protection locked="0"/>
    </xf>
    <xf numFmtId="0" fontId="14" fillId="0" borderId="21" xfId="1" applyFont="1" applyBorder="1" applyAlignment="1" applyProtection="1">
      <alignment horizontal="left" vertical="top"/>
      <protection locked="0"/>
    </xf>
    <xf numFmtId="0" fontId="14" fillId="0" borderId="9" xfId="1" applyFont="1" applyBorder="1" applyAlignment="1" applyProtection="1">
      <alignment horizontal="left" vertical="top"/>
      <protection locked="0"/>
    </xf>
    <xf numFmtId="0" fontId="14" fillId="0" borderId="1"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0" fontId="8" fillId="0" borderId="1" xfId="1" applyFont="1" applyBorder="1" applyAlignment="1" applyProtection="1">
      <alignment horizontal="left"/>
      <protection locked="0"/>
    </xf>
    <xf numFmtId="0" fontId="8" fillId="0" borderId="1" xfId="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4" fontId="13" fillId="0" borderId="1" xfId="1" applyNumberFormat="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17" fillId="0" borderId="1" xfId="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14" fillId="0" borderId="3" xfId="1" applyNumberFormat="1" applyFont="1" applyBorder="1" applyAlignment="1" applyProtection="1">
      <alignment horizontal="center" vertical="top" wrapText="1"/>
      <protection locked="0"/>
    </xf>
    <xf numFmtId="1" fontId="14" fillId="0" borderId="16" xfId="1" applyNumberFormat="1" applyFont="1" applyBorder="1" applyAlignment="1" applyProtection="1">
      <alignment horizontal="center" vertical="top" wrapText="1"/>
      <protection locked="0"/>
    </xf>
    <xf numFmtId="0" fontId="8" fillId="0" borderId="6" xfId="1" applyFont="1" applyBorder="1" applyAlignment="1" applyProtection="1">
      <alignment horizontal="center" vertical="top" wrapText="1"/>
      <protection locked="0"/>
    </xf>
    <xf numFmtId="0" fontId="8" fillId="0" borderId="7" xfId="1" applyFont="1" applyBorder="1" applyAlignment="1" applyProtection="1">
      <alignment horizontal="center" vertical="top" wrapText="1"/>
      <protection locked="0"/>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0" fontId="8" fillId="0" borderId="25" xfId="1" applyFont="1" applyBorder="1" applyAlignment="1">
      <alignment horizontal="center"/>
    </xf>
    <xf numFmtId="0" fontId="8" fillId="0" borderId="0" xfId="1" applyFont="1" applyAlignment="1">
      <alignment horizontal="center"/>
    </xf>
    <xf numFmtId="0" fontId="11" fillId="0" borderId="1" xfId="1" applyFont="1" applyBorder="1" applyAlignment="1" applyProtection="1">
      <alignment horizontal="center" vertical="top"/>
      <protection locked="0"/>
    </xf>
    <xf numFmtId="0" fontId="9" fillId="0" borderId="8" xfId="1" applyFont="1" applyBorder="1" applyAlignment="1" applyProtection="1">
      <alignment horizontal="left" vertical="top" wrapText="1"/>
      <protection locked="0"/>
    </xf>
    <xf numFmtId="0" fontId="9" fillId="0" borderId="9" xfId="1" applyFont="1" applyBorder="1" applyAlignment="1" applyProtection="1">
      <alignment horizontal="left" vertical="top" wrapText="1"/>
      <protection locked="0"/>
    </xf>
    <xf numFmtId="0" fontId="9" fillId="0" borderId="21" xfId="1" applyFont="1" applyBorder="1" applyAlignment="1" applyProtection="1">
      <alignment horizontal="left" vertical="top" wrapText="1"/>
      <protection locked="0"/>
    </xf>
    <xf numFmtId="0" fontId="11" fillId="0" borderId="1" xfId="0" applyFont="1" applyBorder="1" applyAlignment="1" applyProtection="1">
      <alignment horizontal="center" vertical="center"/>
      <protection locked="0"/>
    </xf>
    <xf numFmtId="14" fontId="9" fillId="0" borderId="8" xfId="1" applyNumberFormat="1" applyFont="1" applyBorder="1" applyAlignment="1" applyProtection="1">
      <alignment horizontal="left" vertical="top"/>
      <protection locked="0"/>
    </xf>
    <xf numFmtId="14" fontId="9" fillId="0" borderId="9"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wrapText="1"/>
      <protection locked="0"/>
    </xf>
    <xf numFmtId="1" fontId="11" fillId="0" borderId="33" xfId="0" applyNumberFormat="1"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9" fillId="0" borderId="16" xfId="1" applyFont="1" applyBorder="1" applyAlignment="1" applyProtection="1">
      <alignment horizontal="left" vertical="top"/>
      <protection locked="0"/>
    </xf>
    <xf numFmtId="1" fontId="18" fillId="0" borderId="3" xfId="1" applyNumberFormat="1" applyFont="1" applyBorder="1" applyAlignment="1" applyProtection="1">
      <alignment horizontal="center" vertical="top" wrapText="1"/>
      <protection locked="0"/>
    </xf>
    <xf numFmtId="1" fontId="18" fillId="0" borderId="16" xfId="1" applyNumberFormat="1" applyFont="1" applyBorder="1" applyAlignment="1" applyProtection="1">
      <alignment horizontal="center" vertical="top" wrapText="1"/>
      <protection locked="0"/>
    </xf>
    <xf numFmtId="0" fontId="9" fillId="0" borderId="35" xfId="1" applyFont="1" applyBorder="1" applyAlignment="1" applyProtection="1">
      <alignment horizontal="left" vertical="top" wrapText="1"/>
      <protection locked="0"/>
    </xf>
    <xf numFmtId="0" fontId="9" fillId="0" borderId="20" xfId="1" applyFont="1" applyBorder="1" applyAlignment="1" applyProtection="1">
      <alignment horizontal="left" vertical="top" wrapText="1"/>
      <protection locked="0"/>
    </xf>
    <xf numFmtId="0" fontId="9" fillId="0" borderId="19" xfId="1" applyFont="1" applyBorder="1" applyAlignment="1" applyProtection="1">
      <alignment horizontal="left" vertical="top" wrapText="1"/>
      <protection locked="0"/>
    </xf>
    <xf numFmtId="0" fontId="9" fillId="0" borderId="2" xfId="1" applyFont="1" applyBorder="1" applyAlignment="1" applyProtection="1">
      <alignment horizontal="left" vertical="top" wrapText="1"/>
      <protection locked="0"/>
    </xf>
    <xf numFmtId="0" fontId="9" fillId="0" borderId="36" xfId="1" applyFont="1" applyBorder="1" applyAlignment="1" applyProtection="1">
      <alignment horizontal="left" vertical="top" wrapText="1"/>
      <protection locked="0"/>
    </xf>
    <xf numFmtId="1" fontId="9" fillId="0" borderId="1" xfId="0" applyNumberFormat="1" applyFont="1" applyBorder="1" applyAlignment="1" applyProtection="1">
      <alignment horizontal="left" vertical="top" wrapText="1"/>
      <protection locked="0"/>
    </xf>
    <xf numFmtId="0" fontId="10" fillId="0" borderId="1" xfId="5" applyFont="1" applyBorder="1" applyAlignment="1">
      <alignment horizontal="left"/>
    </xf>
    <xf numFmtId="0" fontId="0" fillId="2" borderId="1" xfId="0" applyFill="1" applyBorder="1" applyAlignment="1">
      <alignment horizontal="center" vertical="center" wrapText="1"/>
    </xf>
    <xf numFmtId="0" fontId="10" fillId="4"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495300</xdr:colOff>
      <xdr:row>265</xdr:row>
      <xdr:rowOff>51977</xdr:rowOff>
    </xdr:from>
    <xdr:to>
      <xdr:col>6</xdr:col>
      <xdr:colOff>691127</xdr:colOff>
      <xdr:row>281</xdr:row>
      <xdr:rowOff>116258</xdr:rowOff>
    </xdr:to>
    <xdr:grpSp>
      <xdr:nvGrpSpPr>
        <xdr:cNvPr id="11" name="Group 10"/>
        <xdr:cNvGrpSpPr/>
      </xdr:nvGrpSpPr>
      <xdr:grpSpPr>
        <a:xfrm>
          <a:off x="495300" y="37777327"/>
          <a:ext cx="5282177" cy="3213881"/>
          <a:chOff x="762000" y="4358466"/>
          <a:chExt cx="5044052" cy="3264681"/>
        </a:xfrm>
      </xdr:grpSpPr>
      <xdr:pic>
        <xdr:nvPicPr>
          <xdr:cNvPr id="17" name="Picture 16"/>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6200000">
            <a:off x="1653711" y="3470807"/>
            <a:ext cx="3264681" cy="5040000"/>
          </a:xfrm>
          <a:prstGeom prst="rect">
            <a:avLst/>
          </a:prstGeom>
          <a:ln>
            <a:solidFill>
              <a:schemeClr val="tx1"/>
            </a:solidFill>
          </a:ln>
        </xdr:spPr>
      </xdr:pic>
      <xdr:sp macro="" textlink="">
        <xdr:nvSpPr>
          <xdr:cNvPr id="18" name="Freeform 17"/>
          <xdr:cNvSpPr/>
        </xdr:nvSpPr>
        <xdr:spPr>
          <a:xfrm>
            <a:off x="762000" y="4419600"/>
            <a:ext cx="2484120" cy="2910840"/>
          </a:xfrm>
          <a:custGeom>
            <a:avLst/>
            <a:gdLst>
              <a:gd name="connsiteX0" fmla="*/ 2484120 w 2484120"/>
              <a:gd name="connsiteY0" fmla="*/ 137160 h 2910840"/>
              <a:gd name="connsiteX1" fmla="*/ 2476500 w 2484120"/>
              <a:gd name="connsiteY1" fmla="*/ 990600 h 2910840"/>
              <a:gd name="connsiteX2" fmla="*/ 1577340 w 2484120"/>
              <a:gd name="connsiteY2" fmla="*/ 1028700 h 2910840"/>
              <a:gd name="connsiteX3" fmla="*/ 1562100 w 2484120"/>
              <a:gd name="connsiteY3" fmla="*/ 1257300 h 2910840"/>
              <a:gd name="connsiteX4" fmla="*/ 1775460 w 2484120"/>
              <a:gd name="connsiteY4" fmla="*/ 1234440 h 2910840"/>
              <a:gd name="connsiteX5" fmla="*/ 1760220 w 2484120"/>
              <a:gd name="connsiteY5" fmla="*/ 1577340 h 2910840"/>
              <a:gd name="connsiteX6" fmla="*/ 1264920 w 2484120"/>
              <a:gd name="connsiteY6" fmla="*/ 1584960 h 2910840"/>
              <a:gd name="connsiteX7" fmla="*/ 1264920 w 2484120"/>
              <a:gd name="connsiteY7" fmla="*/ 1783080 h 2910840"/>
              <a:gd name="connsiteX8" fmla="*/ 1699260 w 2484120"/>
              <a:gd name="connsiteY8" fmla="*/ 1790700 h 2910840"/>
              <a:gd name="connsiteX9" fmla="*/ 2438400 w 2484120"/>
              <a:gd name="connsiteY9" fmla="*/ 1744980 h 2910840"/>
              <a:gd name="connsiteX10" fmla="*/ 2415540 w 2484120"/>
              <a:gd name="connsiteY10" fmla="*/ 2773680 h 2910840"/>
              <a:gd name="connsiteX11" fmla="*/ 1981200 w 2484120"/>
              <a:gd name="connsiteY11" fmla="*/ 2758440 h 2910840"/>
              <a:gd name="connsiteX12" fmla="*/ 1973580 w 2484120"/>
              <a:gd name="connsiteY12" fmla="*/ 2910840 h 2910840"/>
              <a:gd name="connsiteX13" fmla="*/ 1577340 w 2484120"/>
              <a:gd name="connsiteY13" fmla="*/ 2903220 h 2910840"/>
              <a:gd name="connsiteX14" fmla="*/ 1615440 w 2484120"/>
              <a:gd name="connsiteY14" fmla="*/ 2537460 h 2910840"/>
              <a:gd name="connsiteX15" fmla="*/ 1173480 w 2484120"/>
              <a:gd name="connsiteY15" fmla="*/ 2545080 h 2910840"/>
              <a:gd name="connsiteX16" fmla="*/ 1158240 w 2484120"/>
              <a:gd name="connsiteY16" fmla="*/ 2781300 h 2910840"/>
              <a:gd name="connsiteX17" fmla="*/ 0 w 2484120"/>
              <a:gd name="connsiteY17" fmla="*/ 2781300 h 2910840"/>
              <a:gd name="connsiteX18" fmla="*/ 160020 w 2484120"/>
              <a:gd name="connsiteY18" fmla="*/ 1935480 h 2910840"/>
              <a:gd name="connsiteX19" fmla="*/ 38100 w 2484120"/>
              <a:gd name="connsiteY19" fmla="*/ 1897380 h 2910840"/>
              <a:gd name="connsiteX20" fmla="*/ 160020 w 2484120"/>
              <a:gd name="connsiteY20" fmla="*/ 1249680 h 2910840"/>
              <a:gd name="connsiteX21" fmla="*/ 297180 w 2484120"/>
              <a:gd name="connsiteY21" fmla="*/ 1234440 h 2910840"/>
              <a:gd name="connsiteX22" fmla="*/ 388620 w 2484120"/>
              <a:gd name="connsiteY22" fmla="*/ 502920 h 2910840"/>
              <a:gd name="connsiteX23" fmla="*/ 312420 w 2484120"/>
              <a:gd name="connsiteY23" fmla="*/ 495300 h 2910840"/>
              <a:gd name="connsiteX24" fmla="*/ 358140 w 2484120"/>
              <a:gd name="connsiteY24" fmla="*/ 38100 h 2910840"/>
              <a:gd name="connsiteX25" fmla="*/ 678180 w 2484120"/>
              <a:gd name="connsiteY25" fmla="*/ 38100 h 2910840"/>
              <a:gd name="connsiteX26" fmla="*/ 678180 w 2484120"/>
              <a:gd name="connsiteY26" fmla="*/ 152400 h 2910840"/>
              <a:gd name="connsiteX27" fmla="*/ 990600 w 2484120"/>
              <a:gd name="connsiteY27" fmla="*/ 114300 h 2910840"/>
              <a:gd name="connsiteX28" fmla="*/ 990600 w 2484120"/>
              <a:gd name="connsiteY28" fmla="*/ 38100 h 2910840"/>
              <a:gd name="connsiteX29" fmla="*/ 1417320 w 2484120"/>
              <a:gd name="connsiteY29" fmla="*/ 45720 h 2910840"/>
              <a:gd name="connsiteX30" fmla="*/ 1379220 w 2484120"/>
              <a:gd name="connsiteY30" fmla="*/ 251460 h 2910840"/>
              <a:gd name="connsiteX31" fmla="*/ 1790700 w 2484120"/>
              <a:gd name="connsiteY31" fmla="*/ 266700 h 2910840"/>
              <a:gd name="connsiteX32" fmla="*/ 1790700 w 2484120"/>
              <a:gd name="connsiteY32" fmla="*/ 0 h 2910840"/>
              <a:gd name="connsiteX33" fmla="*/ 2164080 w 2484120"/>
              <a:gd name="connsiteY33" fmla="*/ 45720 h 2910840"/>
              <a:gd name="connsiteX34" fmla="*/ 2171700 w 2484120"/>
              <a:gd name="connsiteY34" fmla="*/ 175260 h 2910840"/>
              <a:gd name="connsiteX35" fmla="*/ 2484120 w 2484120"/>
              <a:gd name="connsiteY35" fmla="*/ 137160 h 2910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2484120" h="2910840">
                <a:moveTo>
                  <a:pt x="2484120" y="137160"/>
                </a:moveTo>
                <a:lnTo>
                  <a:pt x="2476500" y="990600"/>
                </a:lnTo>
                <a:lnTo>
                  <a:pt x="1577340" y="1028700"/>
                </a:lnTo>
                <a:lnTo>
                  <a:pt x="1562100" y="1257300"/>
                </a:lnTo>
                <a:lnTo>
                  <a:pt x="1775460" y="1234440"/>
                </a:lnTo>
                <a:lnTo>
                  <a:pt x="1760220" y="1577340"/>
                </a:lnTo>
                <a:lnTo>
                  <a:pt x="1264920" y="1584960"/>
                </a:lnTo>
                <a:lnTo>
                  <a:pt x="1264920" y="1783080"/>
                </a:lnTo>
                <a:lnTo>
                  <a:pt x="1699260" y="1790700"/>
                </a:lnTo>
                <a:lnTo>
                  <a:pt x="2438400" y="1744980"/>
                </a:lnTo>
                <a:lnTo>
                  <a:pt x="2415540" y="2773680"/>
                </a:lnTo>
                <a:lnTo>
                  <a:pt x="1981200" y="2758440"/>
                </a:lnTo>
                <a:lnTo>
                  <a:pt x="1973580" y="2910840"/>
                </a:lnTo>
                <a:lnTo>
                  <a:pt x="1577340" y="2903220"/>
                </a:lnTo>
                <a:lnTo>
                  <a:pt x="1615440" y="2537460"/>
                </a:lnTo>
                <a:lnTo>
                  <a:pt x="1173480" y="2545080"/>
                </a:lnTo>
                <a:lnTo>
                  <a:pt x="1158240" y="2781300"/>
                </a:lnTo>
                <a:lnTo>
                  <a:pt x="0" y="2781300"/>
                </a:lnTo>
                <a:lnTo>
                  <a:pt x="160020" y="1935480"/>
                </a:lnTo>
                <a:lnTo>
                  <a:pt x="38100" y="1897380"/>
                </a:lnTo>
                <a:lnTo>
                  <a:pt x="160020" y="1249680"/>
                </a:lnTo>
                <a:lnTo>
                  <a:pt x="297180" y="1234440"/>
                </a:lnTo>
                <a:lnTo>
                  <a:pt x="388620" y="502920"/>
                </a:lnTo>
                <a:lnTo>
                  <a:pt x="312420" y="495300"/>
                </a:lnTo>
                <a:lnTo>
                  <a:pt x="358140" y="38100"/>
                </a:lnTo>
                <a:lnTo>
                  <a:pt x="678180" y="38100"/>
                </a:lnTo>
                <a:lnTo>
                  <a:pt x="678180" y="152400"/>
                </a:lnTo>
                <a:lnTo>
                  <a:pt x="990600" y="114300"/>
                </a:lnTo>
                <a:lnTo>
                  <a:pt x="990600" y="38100"/>
                </a:lnTo>
                <a:lnTo>
                  <a:pt x="1417320" y="45720"/>
                </a:lnTo>
                <a:lnTo>
                  <a:pt x="1379220" y="251460"/>
                </a:lnTo>
                <a:lnTo>
                  <a:pt x="1790700" y="266700"/>
                </a:lnTo>
                <a:lnTo>
                  <a:pt x="1790700" y="0"/>
                </a:lnTo>
                <a:lnTo>
                  <a:pt x="2164080" y="45720"/>
                </a:lnTo>
                <a:lnTo>
                  <a:pt x="2171700" y="175260"/>
                </a:lnTo>
                <a:lnTo>
                  <a:pt x="2484120" y="13716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16"/>
          <xdr:cNvSpPr txBox="1"/>
        </xdr:nvSpPr>
        <xdr:spPr>
          <a:xfrm>
            <a:off x="1312652" y="5578178"/>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0" name="Freeform 19"/>
          <xdr:cNvSpPr/>
        </xdr:nvSpPr>
        <xdr:spPr>
          <a:xfrm>
            <a:off x="3177540" y="4442460"/>
            <a:ext cx="2499360" cy="2872740"/>
          </a:xfrm>
          <a:custGeom>
            <a:avLst/>
            <a:gdLst>
              <a:gd name="connsiteX0" fmla="*/ 99060 w 2499360"/>
              <a:gd name="connsiteY0" fmla="*/ 99060 h 2872740"/>
              <a:gd name="connsiteX1" fmla="*/ 441960 w 2499360"/>
              <a:gd name="connsiteY1" fmla="*/ 114300 h 2872740"/>
              <a:gd name="connsiteX2" fmla="*/ 441960 w 2499360"/>
              <a:gd name="connsiteY2" fmla="*/ 15240 h 2872740"/>
              <a:gd name="connsiteX3" fmla="*/ 800100 w 2499360"/>
              <a:gd name="connsiteY3" fmla="*/ 0 h 2872740"/>
              <a:gd name="connsiteX4" fmla="*/ 800100 w 2499360"/>
              <a:gd name="connsiteY4" fmla="*/ 243840 h 2872740"/>
              <a:gd name="connsiteX5" fmla="*/ 1127760 w 2499360"/>
              <a:gd name="connsiteY5" fmla="*/ 213360 h 2872740"/>
              <a:gd name="connsiteX6" fmla="*/ 1135380 w 2499360"/>
              <a:gd name="connsiteY6" fmla="*/ 45720 h 2872740"/>
              <a:gd name="connsiteX7" fmla="*/ 2263140 w 2499360"/>
              <a:gd name="connsiteY7" fmla="*/ 0 h 2872740"/>
              <a:gd name="connsiteX8" fmla="*/ 2286000 w 2499360"/>
              <a:gd name="connsiteY8" fmla="*/ 457200 h 2872740"/>
              <a:gd name="connsiteX9" fmla="*/ 2171700 w 2499360"/>
              <a:gd name="connsiteY9" fmla="*/ 480060 h 2872740"/>
              <a:gd name="connsiteX10" fmla="*/ 2186940 w 2499360"/>
              <a:gd name="connsiteY10" fmla="*/ 792480 h 2872740"/>
              <a:gd name="connsiteX11" fmla="*/ 2240280 w 2499360"/>
              <a:gd name="connsiteY11" fmla="*/ 792480 h 2872740"/>
              <a:gd name="connsiteX12" fmla="*/ 2263140 w 2499360"/>
              <a:gd name="connsiteY12" fmla="*/ 1112520 h 2872740"/>
              <a:gd name="connsiteX13" fmla="*/ 2415540 w 2499360"/>
              <a:gd name="connsiteY13" fmla="*/ 1097280 h 2872740"/>
              <a:gd name="connsiteX14" fmla="*/ 2499360 w 2499360"/>
              <a:gd name="connsiteY14" fmla="*/ 1927860 h 2872740"/>
              <a:gd name="connsiteX15" fmla="*/ 2339340 w 2499360"/>
              <a:gd name="connsiteY15" fmla="*/ 1927860 h 2872740"/>
              <a:gd name="connsiteX16" fmla="*/ 2377440 w 2499360"/>
              <a:gd name="connsiteY16" fmla="*/ 2293620 h 2872740"/>
              <a:gd name="connsiteX17" fmla="*/ 2446020 w 2499360"/>
              <a:gd name="connsiteY17" fmla="*/ 2857500 h 2872740"/>
              <a:gd name="connsiteX18" fmla="*/ 2095500 w 2499360"/>
              <a:gd name="connsiteY18" fmla="*/ 2872740 h 2872740"/>
              <a:gd name="connsiteX19" fmla="*/ 2095500 w 2499360"/>
              <a:gd name="connsiteY19" fmla="*/ 2735580 h 2872740"/>
              <a:gd name="connsiteX20" fmla="*/ 1775460 w 2499360"/>
              <a:gd name="connsiteY20" fmla="*/ 2788920 h 2872740"/>
              <a:gd name="connsiteX21" fmla="*/ 1287780 w 2499360"/>
              <a:gd name="connsiteY21" fmla="*/ 2796540 h 2872740"/>
              <a:gd name="connsiteX22" fmla="*/ 1257300 w 2499360"/>
              <a:gd name="connsiteY22" fmla="*/ 2537460 h 2872740"/>
              <a:gd name="connsiteX23" fmla="*/ 853440 w 2499360"/>
              <a:gd name="connsiteY23" fmla="*/ 2567940 h 2872740"/>
              <a:gd name="connsiteX24" fmla="*/ 845820 w 2499360"/>
              <a:gd name="connsiteY24" fmla="*/ 2857500 h 2872740"/>
              <a:gd name="connsiteX25" fmla="*/ 419100 w 2499360"/>
              <a:gd name="connsiteY25" fmla="*/ 2834640 h 2872740"/>
              <a:gd name="connsiteX26" fmla="*/ 411480 w 2499360"/>
              <a:gd name="connsiteY26" fmla="*/ 2743200 h 2872740"/>
              <a:gd name="connsiteX27" fmla="*/ 0 w 2499360"/>
              <a:gd name="connsiteY27" fmla="*/ 2735580 h 2872740"/>
              <a:gd name="connsiteX28" fmla="*/ 22860 w 2499360"/>
              <a:gd name="connsiteY28" fmla="*/ 1699260 h 2872740"/>
              <a:gd name="connsiteX29" fmla="*/ 1280160 w 2499360"/>
              <a:gd name="connsiteY29" fmla="*/ 1714500 h 2872740"/>
              <a:gd name="connsiteX30" fmla="*/ 1249680 w 2499360"/>
              <a:gd name="connsiteY30" fmla="*/ 1554480 h 2872740"/>
              <a:gd name="connsiteX31" fmla="*/ 792480 w 2499360"/>
              <a:gd name="connsiteY31" fmla="*/ 1569720 h 2872740"/>
              <a:gd name="connsiteX32" fmla="*/ 754380 w 2499360"/>
              <a:gd name="connsiteY32" fmla="*/ 1196340 h 2872740"/>
              <a:gd name="connsiteX33" fmla="*/ 1021080 w 2499360"/>
              <a:gd name="connsiteY33" fmla="*/ 1188720 h 2872740"/>
              <a:gd name="connsiteX34" fmla="*/ 967740 w 2499360"/>
              <a:gd name="connsiteY34" fmla="*/ 998220 h 2872740"/>
              <a:gd name="connsiteX35" fmla="*/ 99060 w 2499360"/>
              <a:gd name="connsiteY35" fmla="*/ 967740 h 2872740"/>
              <a:gd name="connsiteX36" fmla="*/ 99060 w 2499360"/>
              <a:gd name="connsiteY36" fmla="*/ 99060 h 2872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2499360" h="2872740">
                <a:moveTo>
                  <a:pt x="99060" y="99060"/>
                </a:moveTo>
                <a:lnTo>
                  <a:pt x="441960" y="114300"/>
                </a:lnTo>
                <a:lnTo>
                  <a:pt x="441960" y="15240"/>
                </a:lnTo>
                <a:lnTo>
                  <a:pt x="800100" y="0"/>
                </a:lnTo>
                <a:lnTo>
                  <a:pt x="800100" y="243840"/>
                </a:lnTo>
                <a:lnTo>
                  <a:pt x="1127760" y="213360"/>
                </a:lnTo>
                <a:lnTo>
                  <a:pt x="1135380" y="45720"/>
                </a:lnTo>
                <a:lnTo>
                  <a:pt x="2263140" y="0"/>
                </a:lnTo>
                <a:lnTo>
                  <a:pt x="2286000" y="457200"/>
                </a:lnTo>
                <a:lnTo>
                  <a:pt x="2171700" y="480060"/>
                </a:lnTo>
                <a:lnTo>
                  <a:pt x="2186940" y="792480"/>
                </a:lnTo>
                <a:lnTo>
                  <a:pt x="2240280" y="792480"/>
                </a:lnTo>
                <a:lnTo>
                  <a:pt x="2263140" y="1112520"/>
                </a:lnTo>
                <a:lnTo>
                  <a:pt x="2415540" y="1097280"/>
                </a:lnTo>
                <a:lnTo>
                  <a:pt x="2499360" y="1927860"/>
                </a:lnTo>
                <a:lnTo>
                  <a:pt x="2339340" y="1927860"/>
                </a:lnTo>
                <a:lnTo>
                  <a:pt x="2377440" y="2293620"/>
                </a:lnTo>
                <a:lnTo>
                  <a:pt x="2446020" y="2857500"/>
                </a:lnTo>
                <a:lnTo>
                  <a:pt x="2095500" y="2872740"/>
                </a:lnTo>
                <a:lnTo>
                  <a:pt x="2095500" y="2735580"/>
                </a:lnTo>
                <a:lnTo>
                  <a:pt x="1775460" y="2788920"/>
                </a:lnTo>
                <a:lnTo>
                  <a:pt x="1287780" y="2796540"/>
                </a:lnTo>
                <a:lnTo>
                  <a:pt x="1257300" y="2537460"/>
                </a:lnTo>
                <a:lnTo>
                  <a:pt x="853440" y="2567940"/>
                </a:lnTo>
                <a:lnTo>
                  <a:pt x="845820" y="2857500"/>
                </a:lnTo>
                <a:lnTo>
                  <a:pt x="419100" y="2834640"/>
                </a:lnTo>
                <a:lnTo>
                  <a:pt x="411480" y="2743200"/>
                </a:lnTo>
                <a:lnTo>
                  <a:pt x="0" y="2735580"/>
                </a:lnTo>
                <a:lnTo>
                  <a:pt x="22860" y="1699260"/>
                </a:lnTo>
                <a:lnTo>
                  <a:pt x="1280160" y="1714500"/>
                </a:lnTo>
                <a:lnTo>
                  <a:pt x="1249680" y="1554480"/>
                </a:lnTo>
                <a:lnTo>
                  <a:pt x="792480" y="1569720"/>
                </a:lnTo>
                <a:lnTo>
                  <a:pt x="754380" y="1196340"/>
                </a:lnTo>
                <a:lnTo>
                  <a:pt x="1021080" y="1188720"/>
                </a:lnTo>
                <a:lnTo>
                  <a:pt x="967740" y="998220"/>
                </a:lnTo>
                <a:lnTo>
                  <a:pt x="99060" y="967740"/>
                </a:lnTo>
                <a:lnTo>
                  <a:pt x="99060" y="9906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TextBox 18"/>
          <xdr:cNvSpPr txBox="1"/>
        </xdr:nvSpPr>
        <xdr:spPr>
          <a:xfrm>
            <a:off x="4398013" y="5626022"/>
            <a:ext cx="86594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xdr:from>
      <xdr:col>1</xdr:col>
      <xdr:colOff>731627</xdr:colOff>
      <xdr:row>282</xdr:row>
      <xdr:rowOff>123825</xdr:rowOff>
    </xdr:from>
    <xdr:to>
      <xdr:col>5</xdr:col>
      <xdr:colOff>268352</xdr:colOff>
      <xdr:row>300</xdr:row>
      <xdr:rowOff>98921</xdr:rowOff>
    </xdr:to>
    <xdr:grpSp>
      <xdr:nvGrpSpPr>
        <xdr:cNvPr id="12" name="Group 11"/>
        <xdr:cNvGrpSpPr/>
      </xdr:nvGrpSpPr>
      <xdr:grpSpPr>
        <a:xfrm>
          <a:off x="1531727" y="41195625"/>
          <a:ext cx="3041925" cy="3518396"/>
          <a:chOff x="1846052" y="448864"/>
          <a:chExt cx="2880000" cy="3575546"/>
        </a:xfrm>
      </xdr:grpSpPr>
      <xdr:pic>
        <xdr:nvPicPr>
          <xdr:cNvPr id="13" name="Picture 1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46052" y="448864"/>
            <a:ext cx="2880000" cy="3575546"/>
          </a:xfrm>
          <a:prstGeom prst="rect">
            <a:avLst/>
          </a:prstGeom>
          <a:ln>
            <a:solidFill>
              <a:schemeClr val="tx1"/>
            </a:solidFill>
          </a:ln>
        </xdr:spPr>
      </xdr:pic>
      <xdr:sp macro="" textlink="">
        <xdr:nvSpPr>
          <xdr:cNvPr id="14" name="Freeform 13"/>
          <xdr:cNvSpPr/>
        </xdr:nvSpPr>
        <xdr:spPr>
          <a:xfrm>
            <a:off x="3116580" y="731520"/>
            <a:ext cx="281940" cy="396240"/>
          </a:xfrm>
          <a:custGeom>
            <a:avLst/>
            <a:gdLst>
              <a:gd name="connsiteX0" fmla="*/ 38100 w 320040"/>
              <a:gd name="connsiteY0" fmla="*/ 38100 h 411480"/>
              <a:gd name="connsiteX1" fmla="*/ 0 w 320040"/>
              <a:gd name="connsiteY1" fmla="*/ 251460 h 411480"/>
              <a:gd name="connsiteX2" fmla="*/ 137160 w 320040"/>
              <a:gd name="connsiteY2" fmla="*/ 411480 h 411480"/>
              <a:gd name="connsiteX3" fmla="*/ 320040 w 320040"/>
              <a:gd name="connsiteY3" fmla="*/ 281940 h 411480"/>
              <a:gd name="connsiteX4" fmla="*/ 274320 w 320040"/>
              <a:gd name="connsiteY4" fmla="*/ 0 h 411480"/>
              <a:gd name="connsiteX5" fmla="*/ 38100 w 320040"/>
              <a:gd name="connsiteY5" fmla="*/ 38100 h 411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20040" h="411480">
                <a:moveTo>
                  <a:pt x="38100" y="38100"/>
                </a:moveTo>
                <a:lnTo>
                  <a:pt x="0" y="251460"/>
                </a:lnTo>
                <a:lnTo>
                  <a:pt x="137160" y="411480"/>
                </a:lnTo>
                <a:lnTo>
                  <a:pt x="320040" y="281940"/>
                </a:lnTo>
                <a:lnTo>
                  <a:pt x="274320" y="0"/>
                </a:lnTo>
                <a:lnTo>
                  <a:pt x="38100" y="3810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Right Arrow 14"/>
          <xdr:cNvSpPr/>
        </xdr:nvSpPr>
        <xdr:spPr>
          <a:xfrm rot="18191345">
            <a:off x="3514617" y="3475585"/>
            <a:ext cx="495300" cy="34290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6" name="TextBox 22"/>
          <xdr:cNvSpPr txBox="1"/>
        </xdr:nvSpPr>
        <xdr:spPr>
          <a:xfrm>
            <a:off x="3874441" y="3624386"/>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editAs="oneCell">
    <xdr:from>
      <xdr:col>1</xdr:col>
      <xdr:colOff>751399</xdr:colOff>
      <xdr:row>307</xdr:row>
      <xdr:rowOff>47625</xdr:rowOff>
    </xdr:from>
    <xdr:to>
      <xdr:col>5</xdr:col>
      <xdr:colOff>495299</xdr:colOff>
      <xdr:row>324</xdr:row>
      <xdr:rowOff>23799</xdr:rowOff>
    </xdr:to>
    <xdr:pic>
      <xdr:nvPicPr>
        <xdr:cNvPr id="22" name="Picture 21"/>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513399" y="49110900"/>
          <a:ext cx="3087175" cy="3376599"/>
        </a:xfrm>
        <a:prstGeom prst="rect">
          <a:avLst/>
        </a:prstGeom>
        <a:ln>
          <a:solidFill>
            <a:schemeClr val="tx1"/>
          </a:solidFill>
        </a:ln>
      </xdr:spPr>
    </xdr:pic>
    <xdr:clientData/>
  </xdr:twoCellAnchor>
  <xdr:twoCellAnchor>
    <xdr:from>
      <xdr:col>0</xdr:col>
      <xdr:colOff>571499</xdr:colOff>
      <xdr:row>325</xdr:row>
      <xdr:rowOff>14926</xdr:rowOff>
    </xdr:from>
    <xdr:to>
      <xdr:col>6</xdr:col>
      <xdr:colOff>647699</xdr:colOff>
      <xdr:row>342</xdr:row>
      <xdr:rowOff>28575</xdr:rowOff>
    </xdr:to>
    <xdr:grpSp>
      <xdr:nvGrpSpPr>
        <xdr:cNvPr id="23" name="Group 22"/>
        <xdr:cNvGrpSpPr/>
      </xdr:nvGrpSpPr>
      <xdr:grpSpPr>
        <a:xfrm>
          <a:off x="571499" y="49551276"/>
          <a:ext cx="5162550" cy="3360099"/>
          <a:chOff x="2133600" y="3810001"/>
          <a:chExt cx="3556000" cy="2982685"/>
        </a:xfrm>
      </xdr:grpSpPr>
      <xdr:pic>
        <xdr:nvPicPr>
          <xdr:cNvPr id="24" name="Picture 23"/>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15815" r="16063" b="2527"/>
          <a:stretch/>
        </xdr:blipFill>
        <xdr:spPr>
          <a:xfrm>
            <a:off x="2133600" y="3810001"/>
            <a:ext cx="3556000" cy="2982685"/>
          </a:xfrm>
          <a:prstGeom prst="rect">
            <a:avLst/>
          </a:prstGeom>
          <a:ln>
            <a:solidFill>
              <a:schemeClr val="tx1"/>
            </a:solidFill>
          </a:ln>
        </xdr:spPr>
      </xdr:pic>
      <xdr:sp macro="" textlink="">
        <xdr:nvSpPr>
          <xdr:cNvPr id="25" name="Freeform 24"/>
          <xdr:cNvSpPr/>
        </xdr:nvSpPr>
        <xdr:spPr>
          <a:xfrm>
            <a:off x="3239500" y="4459400"/>
            <a:ext cx="417600" cy="445400"/>
          </a:xfrm>
          <a:custGeom>
            <a:avLst/>
            <a:gdLst>
              <a:gd name="connsiteX0" fmla="*/ 3175 w 355600"/>
              <a:gd name="connsiteY0" fmla="*/ 142875 h 415925"/>
              <a:gd name="connsiteX1" fmla="*/ 0 w 355600"/>
              <a:gd name="connsiteY1" fmla="*/ 311150 h 415925"/>
              <a:gd name="connsiteX2" fmla="*/ 73025 w 355600"/>
              <a:gd name="connsiteY2" fmla="*/ 415925 h 415925"/>
              <a:gd name="connsiteX3" fmla="*/ 355600 w 355600"/>
              <a:gd name="connsiteY3" fmla="*/ 393700 h 415925"/>
              <a:gd name="connsiteX4" fmla="*/ 304800 w 355600"/>
              <a:gd name="connsiteY4" fmla="*/ 88900 h 415925"/>
              <a:gd name="connsiteX5" fmla="*/ 241300 w 355600"/>
              <a:gd name="connsiteY5" fmla="*/ 22225 h 415925"/>
              <a:gd name="connsiteX6" fmla="*/ 139700 w 355600"/>
              <a:gd name="connsiteY6" fmla="*/ 0 h 415925"/>
              <a:gd name="connsiteX7" fmla="*/ 3175 w 355600"/>
              <a:gd name="connsiteY7" fmla="*/ 142875 h 415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5600" h="415925">
                <a:moveTo>
                  <a:pt x="3175" y="142875"/>
                </a:moveTo>
                <a:cubicBezTo>
                  <a:pt x="2117" y="198967"/>
                  <a:pt x="1058" y="255058"/>
                  <a:pt x="0" y="311150"/>
                </a:cubicBezTo>
                <a:lnTo>
                  <a:pt x="73025" y="415925"/>
                </a:lnTo>
                <a:lnTo>
                  <a:pt x="355600" y="393700"/>
                </a:lnTo>
                <a:lnTo>
                  <a:pt x="304800" y="88900"/>
                </a:lnTo>
                <a:lnTo>
                  <a:pt x="241300" y="22225"/>
                </a:lnTo>
                <a:lnTo>
                  <a:pt x="139700" y="0"/>
                </a:lnTo>
                <a:lnTo>
                  <a:pt x="3175" y="142875"/>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800104</xdr:colOff>
      <xdr:row>39</xdr:row>
      <xdr:rowOff>195027</xdr:rowOff>
    </xdr:from>
    <xdr:to>
      <xdr:col>12</xdr:col>
      <xdr:colOff>667279</xdr:colOff>
      <xdr:row>50</xdr:row>
      <xdr:rowOff>172228</xdr:rowOff>
    </xdr:to>
    <xdr:pic>
      <xdr:nvPicPr>
        <xdr:cNvPr id="26" name="Picture 25"/>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16200000">
          <a:off x="7622141" y="8298665"/>
          <a:ext cx="2406075" cy="3420000"/>
        </a:xfrm>
        <a:prstGeom prst="rect">
          <a:avLst/>
        </a:prstGeom>
        <a:ln>
          <a:solidFill>
            <a:schemeClr val="tx1"/>
          </a:solidFill>
        </a:ln>
      </xdr:spPr>
    </xdr:pic>
    <xdr:clientData/>
  </xdr:twoCellAnchor>
  <xdr:twoCellAnchor editAs="oneCell">
    <xdr:from>
      <xdr:col>8</xdr:col>
      <xdr:colOff>847725</xdr:colOff>
      <xdr:row>51</xdr:row>
      <xdr:rowOff>104775</xdr:rowOff>
    </xdr:from>
    <xdr:to>
      <xdr:col>12</xdr:col>
      <xdr:colOff>714900</xdr:colOff>
      <xdr:row>62</xdr:row>
      <xdr:rowOff>33750</xdr:rowOff>
    </xdr:to>
    <xdr:pic>
      <xdr:nvPicPr>
        <xdr:cNvPr id="27" name="Picture 26"/>
        <xdr:cNvPicPr>
          <a:picLocks noChangeAspect="1"/>
        </xdr:cNvPicPr>
      </xdr:nvPicPr>
      <xdr:blipFill>
        <a:blip xmlns:r="http://schemas.openxmlformats.org/officeDocument/2006/relationships" r:embed="rId6"/>
        <a:stretch>
          <a:fillRect/>
        </a:stretch>
      </xdr:blipFill>
      <xdr:spPr>
        <a:xfrm>
          <a:off x="7162800" y="11344275"/>
          <a:ext cx="3420000" cy="929100"/>
        </a:xfrm>
        <a:prstGeom prst="rect">
          <a:avLst/>
        </a:prstGeom>
        <a:ln>
          <a:solidFill>
            <a:schemeClr val="tx1"/>
          </a:solidFill>
        </a:ln>
      </xdr:spPr>
    </xdr:pic>
    <xdr:clientData/>
  </xdr:twoCellAnchor>
  <xdr:twoCellAnchor editAs="oneCell">
    <xdr:from>
      <xdr:col>8</xdr:col>
      <xdr:colOff>841927</xdr:colOff>
      <xdr:row>62</xdr:row>
      <xdr:rowOff>75786</xdr:rowOff>
    </xdr:from>
    <xdr:to>
      <xdr:col>14</xdr:col>
      <xdr:colOff>603184</xdr:colOff>
      <xdr:row>70</xdr:row>
      <xdr:rowOff>247065</xdr:rowOff>
    </xdr:to>
    <xdr:pic>
      <xdr:nvPicPr>
        <xdr:cNvPr id="28" name="Picture 27"/>
        <xdr:cNvPicPr>
          <a:picLocks noChangeAspect="1"/>
        </xdr:cNvPicPr>
      </xdr:nvPicPr>
      <xdr:blipFill>
        <a:blip xmlns:r="http://schemas.openxmlformats.org/officeDocument/2006/relationships" r:embed="rId7"/>
        <a:stretch>
          <a:fillRect/>
        </a:stretch>
      </xdr:blipFill>
      <xdr:spPr>
        <a:xfrm>
          <a:off x="7161557" y="12499699"/>
          <a:ext cx="4937888" cy="1363975"/>
        </a:xfrm>
        <a:prstGeom prst="rect">
          <a:avLst/>
        </a:prstGeom>
        <a:ln>
          <a:solidFill>
            <a:schemeClr val="tx1"/>
          </a:solidFill>
        </a:ln>
      </xdr:spPr>
    </xdr:pic>
    <xdr:clientData/>
  </xdr:twoCellAnchor>
  <xdr:twoCellAnchor>
    <xdr:from>
      <xdr:col>11</xdr:col>
      <xdr:colOff>185057</xdr:colOff>
      <xdr:row>161</xdr:row>
      <xdr:rowOff>95250</xdr:rowOff>
    </xdr:from>
    <xdr:to>
      <xdr:col>18</xdr:col>
      <xdr:colOff>222482</xdr:colOff>
      <xdr:row>211</xdr:row>
      <xdr:rowOff>91873</xdr:rowOff>
    </xdr:to>
    <xdr:grpSp>
      <xdr:nvGrpSpPr>
        <xdr:cNvPr id="2" name="Group 1"/>
        <xdr:cNvGrpSpPr/>
      </xdr:nvGrpSpPr>
      <xdr:grpSpPr>
        <a:xfrm>
          <a:off x="9564007" y="23241000"/>
          <a:ext cx="5657175" cy="3717723"/>
          <a:chOff x="9301843" y="20315464"/>
          <a:chExt cx="5412246" cy="3724980"/>
        </a:xfrm>
      </xdr:grpSpPr>
      <xdr:pic>
        <xdr:nvPicPr>
          <xdr:cNvPr id="46" name="Picture 4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301843" y="20315464"/>
            <a:ext cx="5412246" cy="3724980"/>
          </a:xfrm>
          <a:prstGeom prst="rect">
            <a:avLst/>
          </a:prstGeom>
          <a:ln>
            <a:solidFill>
              <a:schemeClr val="tx1"/>
            </a:solidFill>
          </a:ln>
        </xdr:spPr>
      </xdr:pic>
      <xdr:sp macro="" textlink="">
        <xdr:nvSpPr>
          <xdr:cNvPr id="47" name="TextBox 47"/>
          <xdr:cNvSpPr txBox="1"/>
        </xdr:nvSpPr>
        <xdr:spPr>
          <a:xfrm>
            <a:off x="10842256" y="22596305"/>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101</a:t>
            </a:r>
            <a:endParaRPr lang="en-IN" b="1">
              <a:solidFill>
                <a:srgbClr val="FF0000"/>
              </a:solidFill>
            </a:endParaRPr>
          </a:p>
        </xdr:txBody>
      </xdr:sp>
      <xdr:sp macro="" textlink="">
        <xdr:nvSpPr>
          <xdr:cNvPr id="48" name="TextBox 48"/>
          <xdr:cNvSpPr txBox="1"/>
        </xdr:nvSpPr>
        <xdr:spPr>
          <a:xfrm>
            <a:off x="10181054" y="22765915"/>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102</a:t>
            </a:r>
            <a:endParaRPr lang="en-IN" b="1">
              <a:solidFill>
                <a:srgbClr val="FF0000"/>
              </a:solidFill>
            </a:endParaRPr>
          </a:p>
        </xdr:txBody>
      </xdr:sp>
      <xdr:sp macro="" textlink="">
        <xdr:nvSpPr>
          <xdr:cNvPr id="49" name="TextBox 49"/>
          <xdr:cNvSpPr txBox="1"/>
        </xdr:nvSpPr>
        <xdr:spPr>
          <a:xfrm>
            <a:off x="9876885" y="21448118"/>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103</a:t>
            </a:r>
            <a:endParaRPr lang="en-IN" b="1">
              <a:solidFill>
                <a:srgbClr val="FF0000"/>
              </a:solidFill>
            </a:endParaRPr>
          </a:p>
        </xdr:txBody>
      </xdr:sp>
      <xdr:sp macro="" textlink="">
        <xdr:nvSpPr>
          <xdr:cNvPr id="50" name="TextBox 50"/>
          <xdr:cNvSpPr txBox="1"/>
        </xdr:nvSpPr>
        <xdr:spPr>
          <a:xfrm>
            <a:off x="10145355" y="21031859"/>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104</a:t>
            </a:r>
            <a:endParaRPr lang="en-IN" b="1">
              <a:solidFill>
                <a:srgbClr val="FF0000"/>
              </a:solidFill>
            </a:endParaRPr>
          </a:p>
        </xdr:txBody>
      </xdr:sp>
      <xdr:sp macro="" textlink="">
        <xdr:nvSpPr>
          <xdr:cNvPr id="51" name="TextBox 51"/>
          <xdr:cNvSpPr txBox="1"/>
        </xdr:nvSpPr>
        <xdr:spPr>
          <a:xfrm>
            <a:off x="10862510" y="21134866"/>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104</a:t>
            </a:r>
            <a:endParaRPr lang="en-IN" b="1">
              <a:solidFill>
                <a:srgbClr val="FF0000"/>
              </a:solidFill>
            </a:endParaRPr>
          </a:p>
        </xdr:txBody>
      </xdr:sp>
      <xdr:sp macro="" textlink="">
        <xdr:nvSpPr>
          <xdr:cNvPr id="52" name="TextBox 52"/>
          <xdr:cNvSpPr txBox="1"/>
        </xdr:nvSpPr>
        <xdr:spPr>
          <a:xfrm>
            <a:off x="12919609" y="22477326"/>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101</a:t>
            </a:r>
            <a:endParaRPr lang="en-IN" b="1">
              <a:solidFill>
                <a:srgbClr val="FF0000"/>
              </a:solidFill>
            </a:endParaRPr>
          </a:p>
        </xdr:txBody>
      </xdr:sp>
      <xdr:sp macro="" textlink="">
        <xdr:nvSpPr>
          <xdr:cNvPr id="53" name="TextBox 53"/>
          <xdr:cNvSpPr txBox="1"/>
        </xdr:nvSpPr>
        <xdr:spPr>
          <a:xfrm>
            <a:off x="13511886" y="22630971"/>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102</a:t>
            </a:r>
            <a:endParaRPr lang="en-IN" b="1">
              <a:solidFill>
                <a:srgbClr val="FF0000"/>
              </a:solidFill>
            </a:endParaRPr>
          </a:p>
        </xdr:txBody>
      </xdr:sp>
      <xdr:sp macro="" textlink="">
        <xdr:nvSpPr>
          <xdr:cNvPr id="54" name="TextBox 54"/>
          <xdr:cNvSpPr txBox="1"/>
        </xdr:nvSpPr>
        <xdr:spPr>
          <a:xfrm>
            <a:off x="13706237" y="21642115"/>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103</a:t>
            </a:r>
            <a:endParaRPr lang="en-IN" b="1">
              <a:solidFill>
                <a:srgbClr val="FF0000"/>
              </a:solidFill>
            </a:endParaRPr>
          </a:p>
        </xdr:txBody>
      </xdr:sp>
      <xdr:sp macro="" textlink="">
        <xdr:nvSpPr>
          <xdr:cNvPr id="55" name="TextBox 55"/>
          <xdr:cNvSpPr txBox="1"/>
        </xdr:nvSpPr>
        <xdr:spPr>
          <a:xfrm>
            <a:off x="13456548" y="21042248"/>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104</a:t>
            </a:r>
            <a:endParaRPr lang="en-IN" b="1">
              <a:solidFill>
                <a:srgbClr val="FF0000"/>
              </a:solidFill>
            </a:endParaRPr>
          </a:p>
        </xdr:txBody>
      </xdr:sp>
      <xdr:sp macro="" textlink="">
        <xdr:nvSpPr>
          <xdr:cNvPr id="56" name="TextBox 56"/>
          <xdr:cNvSpPr txBox="1"/>
        </xdr:nvSpPr>
        <xdr:spPr>
          <a:xfrm>
            <a:off x="12914116" y="21304476"/>
            <a:ext cx="536939" cy="339221"/>
          </a:xfrm>
          <a:prstGeom prst="rect">
            <a:avLst/>
          </a:prstGeom>
          <a:no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105</a:t>
            </a:r>
          </a:p>
        </xdr:txBody>
      </xdr:sp>
    </xdr:grpSp>
    <xdr:clientData/>
  </xdr:twoCellAnchor>
  <xdr:twoCellAnchor editAs="oneCell">
    <xdr:from>
      <xdr:col>12</xdr:col>
      <xdr:colOff>98506</xdr:colOff>
      <xdr:row>69</xdr:row>
      <xdr:rowOff>52774</xdr:rowOff>
    </xdr:from>
    <xdr:to>
      <xdr:col>15</xdr:col>
      <xdr:colOff>164784</xdr:colOff>
      <xdr:row>75</xdr:row>
      <xdr:rowOff>138274</xdr:rowOff>
    </xdr:to>
    <xdr:pic>
      <xdr:nvPicPr>
        <xdr:cNvPr id="69" name="Picture 68"/>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rot="16200000">
          <a:off x="10322059" y="13119917"/>
          <a:ext cx="1800000" cy="2501365"/>
        </a:xfrm>
        <a:prstGeom prst="rect">
          <a:avLst/>
        </a:prstGeom>
        <a:ln>
          <a:solidFill>
            <a:schemeClr val="tx1"/>
          </a:solidFill>
        </a:ln>
      </xdr:spPr>
    </xdr:pic>
    <xdr:clientData/>
  </xdr:twoCellAnchor>
  <xdr:oneCellAnchor>
    <xdr:from>
      <xdr:col>9</xdr:col>
      <xdr:colOff>565150</xdr:colOff>
      <xdr:row>226</xdr:row>
      <xdr:rowOff>69850</xdr:rowOff>
    </xdr:from>
    <xdr:ext cx="596574" cy="264560"/>
    <xdr:sp macro="" textlink="">
      <xdr:nvSpPr>
        <xdr:cNvPr id="3" name="TextBox 2"/>
        <xdr:cNvSpPr txBox="1"/>
      </xdr:nvSpPr>
      <xdr:spPr>
        <a:xfrm>
          <a:off x="8407400" y="3031490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clientData/>
  </xdr:oneCellAnchor>
  <xdr:twoCellAnchor>
    <xdr:from>
      <xdr:col>0</xdr:col>
      <xdr:colOff>69850</xdr:colOff>
      <xdr:row>221</xdr:row>
      <xdr:rowOff>50800</xdr:rowOff>
    </xdr:from>
    <xdr:to>
      <xdr:col>7</xdr:col>
      <xdr:colOff>726459</xdr:colOff>
      <xdr:row>262</xdr:row>
      <xdr:rowOff>127000</xdr:rowOff>
    </xdr:to>
    <xdr:grpSp>
      <xdr:nvGrpSpPr>
        <xdr:cNvPr id="5" name="Group 4"/>
        <xdr:cNvGrpSpPr/>
      </xdr:nvGrpSpPr>
      <xdr:grpSpPr>
        <a:xfrm>
          <a:off x="69850" y="29121100"/>
          <a:ext cx="6511309" cy="8140700"/>
          <a:chOff x="69850" y="29121100"/>
          <a:chExt cx="6511309" cy="8140700"/>
        </a:xfrm>
      </xdr:grpSpPr>
      <xdr:pic>
        <xdr:nvPicPr>
          <xdr:cNvPr id="57" name="Picture 5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81860" y="36097294"/>
            <a:ext cx="1671477" cy="1164506"/>
          </a:xfrm>
          <a:prstGeom prst="rect">
            <a:avLst/>
          </a:prstGeom>
          <a:ln>
            <a:solidFill>
              <a:schemeClr val="tx1"/>
            </a:solidFill>
          </a:ln>
        </xdr:spPr>
      </xdr:pic>
      <xdr:pic>
        <xdr:nvPicPr>
          <xdr:cNvPr id="58" name="Picture 5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91027" y="29121100"/>
            <a:ext cx="2057724" cy="2736000"/>
          </a:xfrm>
          <a:prstGeom prst="rect">
            <a:avLst/>
          </a:prstGeom>
          <a:ln>
            <a:solidFill>
              <a:schemeClr val="tx1"/>
            </a:solidFill>
          </a:ln>
        </xdr:spPr>
      </xdr:pic>
      <xdr:pic>
        <xdr:nvPicPr>
          <xdr:cNvPr id="59" name="Picture 5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725855" y="34116436"/>
            <a:ext cx="1543294" cy="1877190"/>
          </a:xfrm>
          <a:prstGeom prst="rect">
            <a:avLst/>
          </a:prstGeom>
          <a:ln>
            <a:solidFill>
              <a:schemeClr val="tx1"/>
            </a:solidFill>
          </a:ln>
        </xdr:spPr>
      </xdr:pic>
      <xdr:pic>
        <xdr:nvPicPr>
          <xdr:cNvPr id="60" name="Picture 5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381860" y="34116436"/>
            <a:ext cx="1543294" cy="187719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589789" y="36097294"/>
            <a:ext cx="1671477" cy="1164506"/>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69850" y="34116436"/>
            <a:ext cx="1543294" cy="1877190"/>
          </a:xfrm>
          <a:prstGeom prst="rect">
            <a:avLst/>
          </a:prstGeom>
          <a:ln>
            <a:solidFill>
              <a:schemeClr val="tx1"/>
            </a:solidFill>
          </a:ln>
        </xdr:spPr>
      </xdr:pic>
      <xdr:pic>
        <xdr:nvPicPr>
          <xdr:cNvPr id="63" name="Picture 6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5037865" y="31960768"/>
            <a:ext cx="1543294" cy="2052000"/>
          </a:xfrm>
          <a:prstGeom prst="rect">
            <a:avLst/>
          </a:prstGeom>
          <a:ln>
            <a:solidFill>
              <a:schemeClr val="tx1"/>
            </a:solidFill>
          </a:ln>
        </xdr:spPr>
      </xdr:pic>
      <xdr:pic>
        <xdr:nvPicPr>
          <xdr:cNvPr id="72" name="Picture 7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489755" y="29121100"/>
            <a:ext cx="2057724" cy="2736000"/>
          </a:xfrm>
          <a:prstGeom prst="rect">
            <a:avLst/>
          </a:prstGeom>
          <a:ln>
            <a:solidFill>
              <a:schemeClr val="tx1"/>
            </a:solidFill>
          </a:ln>
        </xdr:spPr>
      </xdr:pic>
      <xdr:pic>
        <xdr:nvPicPr>
          <xdr:cNvPr id="73" name="Picture 7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3381860" y="31960768"/>
            <a:ext cx="1543294" cy="2052000"/>
          </a:xfrm>
          <a:prstGeom prst="rect">
            <a:avLst/>
          </a:prstGeom>
          <a:ln>
            <a:solidFill>
              <a:schemeClr val="tx1"/>
            </a:solidFill>
          </a:ln>
        </xdr:spPr>
      </xdr:pic>
      <xdr:pic>
        <xdr:nvPicPr>
          <xdr:cNvPr id="74" name="Picture 7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725855" y="31960768"/>
            <a:ext cx="1543294" cy="2052000"/>
          </a:xfrm>
          <a:prstGeom prst="rect">
            <a:avLst/>
          </a:prstGeom>
          <a:ln>
            <a:solidFill>
              <a:schemeClr val="tx1"/>
            </a:solidFill>
          </a:ln>
        </xdr:spPr>
      </xdr:pic>
      <xdr:pic>
        <xdr:nvPicPr>
          <xdr:cNvPr id="75" name="Picture 7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2314563" y="29121100"/>
            <a:ext cx="2009380" cy="2736000"/>
          </a:xfrm>
          <a:prstGeom prst="rect">
            <a:avLst/>
          </a:prstGeom>
          <a:ln>
            <a:solidFill>
              <a:schemeClr val="tx1"/>
            </a:solidFill>
          </a:ln>
        </xdr:spPr>
      </xdr:pic>
      <xdr:pic>
        <xdr:nvPicPr>
          <xdr:cNvPr id="76" name="Picture 7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5037865" y="34116436"/>
            <a:ext cx="1536863" cy="1877190"/>
          </a:xfrm>
          <a:prstGeom prst="rect">
            <a:avLst/>
          </a:prstGeom>
          <a:ln>
            <a:solidFill>
              <a:schemeClr val="tx1"/>
            </a:solidFill>
          </a:ln>
        </xdr:spPr>
      </xdr:pic>
      <xdr:pic>
        <xdr:nvPicPr>
          <xdr:cNvPr id="77" name="Picture 7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69850" y="31960768"/>
            <a:ext cx="1543294" cy="2052000"/>
          </a:xfrm>
          <a:prstGeom prst="rect">
            <a:avLst/>
          </a:prstGeom>
          <a:ln>
            <a:solidFill>
              <a:schemeClr val="tx1"/>
            </a:solidFill>
          </a:ln>
        </xdr:spPr>
      </xdr:pic>
      <xdr:sp macro="" textlink="">
        <xdr:nvSpPr>
          <xdr:cNvPr id="78" name="TextBox 77"/>
          <xdr:cNvSpPr txBox="1"/>
        </xdr:nvSpPr>
        <xdr:spPr>
          <a:xfrm>
            <a:off x="2314563" y="2912110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79" name="TextBox 78"/>
          <xdr:cNvSpPr txBox="1"/>
        </xdr:nvSpPr>
        <xdr:spPr>
          <a:xfrm>
            <a:off x="5562905" y="29210000"/>
            <a:ext cx="5917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B Wing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15</xdr:row>
      <xdr:rowOff>0</xdr:rowOff>
    </xdr:from>
    <xdr:to>
      <xdr:col>6</xdr:col>
      <xdr:colOff>1230012</xdr:colOff>
      <xdr:row>32</xdr:row>
      <xdr:rowOff>85309</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6" y="2868706"/>
          <a:ext cx="7628571" cy="3323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3fbcLMbqcmqVa3GU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07"/>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10" t="s">
        <v>165</v>
      </c>
      <c r="B1" s="210"/>
      <c r="C1" s="210"/>
      <c r="D1" s="210"/>
      <c r="E1" s="210"/>
      <c r="F1" s="210"/>
      <c r="G1" s="210"/>
      <c r="H1" s="210"/>
    </row>
    <row r="2" spans="1:26" ht="16.5" customHeight="1" x14ac:dyDescent="0.35">
      <c r="A2" s="211" t="s">
        <v>0</v>
      </c>
      <c r="B2" s="211"/>
      <c r="C2" s="211"/>
      <c r="D2" s="211"/>
      <c r="E2" s="211"/>
      <c r="F2" s="211"/>
      <c r="G2" s="211"/>
      <c r="H2" s="211"/>
    </row>
    <row r="3" spans="1:26" x14ac:dyDescent="0.35">
      <c r="A3" s="182" t="s">
        <v>1</v>
      </c>
      <c r="B3" s="182"/>
      <c r="C3" s="182"/>
      <c r="D3" s="182"/>
      <c r="E3" s="182" t="str">
        <f ca="1">TEXT(TODAY(),"DD/MM/YYYY")</f>
        <v>19/08/2025</v>
      </c>
      <c r="F3" s="182"/>
      <c r="G3" s="182"/>
      <c r="H3" s="182"/>
      <c r="K3" s="57" t="s">
        <v>238</v>
      </c>
      <c r="L3" s="53" t="s">
        <v>236</v>
      </c>
      <c r="M3" s="53" t="s">
        <v>241</v>
      </c>
      <c r="N3" s="53" t="s">
        <v>239</v>
      </c>
      <c r="O3" s="53" t="s">
        <v>345</v>
      </c>
      <c r="P3" s="53" t="s">
        <v>242</v>
      </c>
    </row>
    <row r="4" spans="1:26" ht="15" customHeight="1" x14ac:dyDescent="0.35">
      <c r="A4" s="182" t="s">
        <v>235</v>
      </c>
      <c r="B4" s="182"/>
      <c r="C4" s="182"/>
      <c r="D4" s="182"/>
      <c r="E4" s="209" t="s">
        <v>236</v>
      </c>
      <c r="F4" s="209"/>
      <c r="G4" s="209"/>
      <c r="H4" s="209"/>
      <c r="K4" s="52" t="s">
        <v>237</v>
      </c>
      <c r="L4" s="53" t="s">
        <v>172</v>
      </c>
      <c r="M4" s="53" t="s">
        <v>246</v>
      </c>
      <c r="N4" s="53" t="s">
        <v>248</v>
      </c>
      <c r="O4" s="53" t="s">
        <v>346</v>
      </c>
      <c r="P4" s="53"/>
    </row>
    <row r="5" spans="1:26" ht="15" customHeight="1" x14ac:dyDescent="0.35">
      <c r="A5" s="182" t="s">
        <v>2</v>
      </c>
      <c r="B5" s="182"/>
      <c r="C5" s="182"/>
      <c r="D5" s="182"/>
      <c r="E5" s="209" t="s">
        <v>245</v>
      </c>
      <c r="F5" s="209"/>
      <c r="G5" s="209"/>
      <c r="H5" s="209"/>
      <c r="K5" s="52"/>
      <c r="L5" s="53" t="s">
        <v>243</v>
      </c>
      <c r="M5" s="53" t="s">
        <v>247</v>
      </c>
      <c r="N5" s="53" t="s">
        <v>249</v>
      </c>
      <c r="O5" s="53" t="s">
        <v>347</v>
      </c>
      <c r="P5" s="53"/>
    </row>
    <row r="6" spans="1:26" x14ac:dyDescent="0.35">
      <c r="A6" s="182" t="s">
        <v>3</v>
      </c>
      <c r="B6" s="182"/>
      <c r="C6" s="182"/>
      <c r="D6" s="182"/>
      <c r="E6" s="212">
        <v>45880</v>
      </c>
      <c r="F6" s="182"/>
      <c r="G6" s="182"/>
      <c r="H6" s="182"/>
      <c r="K6" s="52"/>
      <c r="L6" s="53" t="s">
        <v>244</v>
      </c>
      <c r="M6" s="53"/>
      <c r="N6" s="53"/>
      <c r="O6" s="53" t="s">
        <v>348</v>
      </c>
      <c r="P6" s="53"/>
    </row>
    <row r="7" spans="1:26" ht="16.5" customHeight="1" x14ac:dyDescent="0.35">
      <c r="A7" s="182" t="s">
        <v>4</v>
      </c>
      <c r="B7" s="182"/>
      <c r="C7" s="182"/>
      <c r="D7" s="182"/>
      <c r="E7" s="182" t="s">
        <v>354</v>
      </c>
      <c r="F7" s="182"/>
      <c r="G7" s="182"/>
      <c r="H7" s="182"/>
      <c r="K7" s="52"/>
      <c r="L7" s="53" t="s">
        <v>245</v>
      </c>
      <c r="M7" s="53"/>
      <c r="N7" s="53"/>
      <c r="O7" s="53" t="s">
        <v>348</v>
      </c>
      <c r="P7" s="53"/>
    </row>
    <row r="8" spans="1:26" ht="15" customHeight="1" x14ac:dyDescent="0.35">
      <c r="A8" s="182" t="s">
        <v>5</v>
      </c>
      <c r="B8" s="182"/>
      <c r="C8" s="182"/>
      <c r="D8" s="182"/>
      <c r="E8" s="182" t="str">
        <f>E7</f>
        <v>Ghude Enterprises</v>
      </c>
      <c r="F8" s="182"/>
      <c r="G8" s="182"/>
      <c r="H8" s="182"/>
      <c r="K8" s="52"/>
      <c r="L8" s="53"/>
      <c r="M8" s="53"/>
      <c r="N8" s="53"/>
      <c r="O8" s="53" t="s">
        <v>349</v>
      </c>
      <c r="P8" s="53"/>
    </row>
    <row r="9" spans="1:26" x14ac:dyDescent="0.35">
      <c r="A9" s="182" t="s">
        <v>6</v>
      </c>
      <c r="B9" s="182"/>
      <c r="C9" s="182"/>
      <c r="D9" s="182"/>
      <c r="E9" s="126" t="s">
        <v>378</v>
      </c>
      <c r="F9" s="126"/>
      <c r="G9" s="126"/>
      <c r="H9" s="126"/>
      <c r="K9" s="52"/>
      <c r="L9" s="53"/>
      <c r="M9" s="53"/>
      <c r="N9" s="53"/>
      <c r="O9" s="53" t="s">
        <v>350</v>
      </c>
      <c r="P9" s="53"/>
    </row>
    <row r="10" spans="1:26" x14ac:dyDescent="0.35">
      <c r="A10" s="182" t="s">
        <v>168</v>
      </c>
      <c r="B10" s="182"/>
      <c r="C10" s="182"/>
      <c r="D10" s="182"/>
      <c r="E10" s="182" t="s">
        <v>381</v>
      </c>
      <c r="F10" s="182"/>
      <c r="G10" s="182"/>
      <c r="H10" s="182"/>
      <c r="K10" s="52"/>
      <c r="L10" s="53"/>
      <c r="M10" s="53"/>
      <c r="N10" s="53"/>
      <c r="O10" s="53" t="s">
        <v>351</v>
      </c>
      <c r="P10" s="53"/>
    </row>
    <row r="11" spans="1:26" hidden="1" x14ac:dyDescent="0.35">
      <c r="A11" s="182" t="s">
        <v>169</v>
      </c>
      <c r="B11" s="182"/>
      <c r="C11" s="182"/>
      <c r="D11" s="182"/>
      <c r="E11" s="182" t="str">
        <f>E10</f>
        <v>Mr. Jagdish 9049308693</v>
      </c>
      <c r="F11" s="182"/>
      <c r="G11" s="182"/>
      <c r="H11" s="182"/>
      <c r="O11" s="53" t="s">
        <v>352</v>
      </c>
    </row>
    <row r="12" spans="1:26" x14ac:dyDescent="0.35">
      <c r="A12" s="182" t="s">
        <v>7</v>
      </c>
      <c r="B12" s="182"/>
      <c r="C12" s="182"/>
      <c r="D12" s="182"/>
      <c r="E12" s="182" t="s">
        <v>355</v>
      </c>
      <c r="F12" s="182"/>
      <c r="G12" s="182"/>
      <c r="H12" s="182"/>
    </row>
    <row r="13" spans="1:26" x14ac:dyDescent="0.35">
      <c r="A13" s="182" t="s">
        <v>173</v>
      </c>
      <c r="B13" s="182"/>
      <c r="C13" s="182"/>
      <c r="D13" s="182"/>
      <c r="E13" s="182" t="s">
        <v>28</v>
      </c>
      <c r="F13" s="182"/>
      <c r="G13" s="182"/>
      <c r="H13" s="182"/>
      <c r="S13" s="53" t="s">
        <v>181</v>
      </c>
      <c r="T13" s="53" t="s">
        <v>190</v>
      </c>
      <c r="U13" s="53" t="s">
        <v>174</v>
      </c>
      <c r="V13" s="53" t="s">
        <v>195</v>
      </c>
      <c r="W13" s="53" t="s">
        <v>213</v>
      </c>
      <c r="X13"/>
      <c r="Y13" t="s">
        <v>195</v>
      </c>
      <c r="Z13" t="e">
        <f ca="1">OFFSET($S$13,1,MATCH($G20,$S$13:$W$13,0)-1,15,1)</f>
        <v>#VALUE!</v>
      </c>
    </row>
    <row r="14" spans="1:26" ht="34.5" customHeight="1" x14ac:dyDescent="0.35">
      <c r="A14" s="107" t="s">
        <v>281</v>
      </c>
      <c r="B14" s="107"/>
      <c r="C14" s="107"/>
      <c r="D14" s="107"/>
      <c r="E14" s="208" t="s">
        <v>400</v>
      </c>
      <c r="F14" s="208"/>
      <c r="G14" s="208"/>
      <c r="H14" s="208"/>
      <c r="S14" s="53" t="s">
        <v>181</v>
      </c>
      <c r="T14" s="53" t="s">
        <v>188</v>
      </c>
      <c r="U14" s="53" t="s">
        <v>210</v>
      </c>
      <c r="V14" s="53" t="s">
        <v>196</v>
      </c>
      <c r="W14" s="53" t="s">
        <v>214</v>
      </c>
      <c r="X14"/>
      <c r="Y14"/>
      <c r="Z14"/>
    </row>
    <row r="15" spans="1:26" x14ac:dyDescent="0.35">
      <c r="A15" s="107" t="s">
        <v>8</v>
      </c>
      <c r="B15" s="107"/>
      <c r="C15" s="107"/>
      <c r="D15" s="107"/>
      <c r="E15" s="208" t="s">
        <v>353</v>
      </c>
      <c r="F15" s="209"/>
      <c r="G15" s="209"/>
      <c r="H15" s="209"/>
      <c r="I15" s="231" t="e">
        <f ca="1">OFFSET($D$5,1,MATCH($J13,$D$5:$H$5,0)-1,15,1)</f>
        <v>#N/A</v>
      </c>
      <c r="J15" s="232"/>
      <c r="K15" s="232"/>
      <c r="L15" s="232"/>
      <c r="M15" s="232"/>
      <c r="N15" s="232"/>
      <c r="O15" s="232"/>
      <c r="P15" s="232"/>
      <c r="S15" s="53" t="s">
        <v>182</v>
      </c>
      <c r="T15" s="53" t="s">
        <v>189</v>
      </c>
      <c r="U15" s="53" t="s">
        <v>211</v>
      </c>
      <c r="V15" s="53" t="s">
        <v>197</v>
      </c>
      <c r="W15" s="53" t="s">
        <v>227</v>
      </c>
      <c r="X15"/>
      <c r="Y15"/>
      <c r="Z15"/>
    </row>
    <row r="16" spans="1:26" ht="33" customHeight="1" x14ac:dyDescent="0.35">
      <c r="A16" s="152" t="s">
        <v>9</v>
      </c>
      <c r="B16" s="152"/>
      <c r="C16" s="152" t="str">
        <f>CONCATENATE((IF(OR(E9="",E9="NA"),"",E9)),", ",(IF(OR(A17="",A17="NA"),"",A17)),".",(IF(OR(C17="",C17="NA"),"",C17)),", near ",(IF(OR(C22="",C22="NA"),"",C22)),", ",(IF(OR(C19="",C19="NA"),"",C19)),", ",(IF(OR(C18="",C18="NA"),"",C18)),", ",(IF(OR(G19="",G19="NA"),"",G19)),", ",(IF(OR(C20="",C20="NA"),"",C20)),", ",(IF(OR(C21="",C21="NA"),"",C21)),", ",(IF(OR(G20="",G20="NA"),"",G20))," - ",(IF(OR(G21="",G21="NA"),"",G21)),".")</f>
        <v>Swastik Paradise, Survey No.127, H No.1/B, Plot No. A, near Tulsi Sarnam, Jambhul Road, Dattanagar, Chikholi, Badlapur West, Ambernath, Thane - 421505.</v>
      </c>
      <c r="D16" s="152"/>
      <c r="E16" s="152"/>
      <c r="F16" s="152"/>
      <c r="G16" s="152"/>
      <c r="H16" s="152"/>
      <c r="S16" s="53" t="s">
        <v>183</v>
      </c>
      <c r="T16" s="53" t="s">
        <v>191</v>
      </c>
      <c r="U16" s="53" t="s">
        <v>212</v>
      </c>
      <c r="V16" s="53" t="s">
        <v>198</v>
      </c>
      <c r="W16" s="53" t="s">
        <v>215</v>
      </c>
      <c r="X16"/>
      <c r="Y16"/>
      <c r="Z16"/>
    </row>
    <row r="17" spans="1:26" x14ac:dyDescent="0.35">
      <c r="A17" s="152" t="s">
        <v>356</v>
      </c>
      <c r="B17" s="152"/>
      <c r="C17" s="152" t="s">
        <v>364</v>
      </c>
      <c r="D17" s="152"/>
      <c r="E17" s="152"/>
      <c r="F17" s="152"/>
      <c r="G17" s="152"/>
      <c r="H17" s="152"/>
      <c r="S17" s="53" t="s">
        <v>184</v>
      </c>
      <c r="T17" s="53" t="s">
        <v>192</v>
      </c>
      <c r="U17" s="53" t="s">
        <v>174</v>
      </c>
      <c r="V17" s="53" t="s">
        <v>199</v>
      </c>
      <c r="W17" s="53" t="s">
        <v>216</v>
      </c>
      <c r="X17"/>
      <c r="Y17"/>
      <c r="Z17"/>
    </row>
    <row r="18" spans="1:26" ht="15.75" customHeight="1" x14ac:dyDescent="0.35">
      <c r="A18" s="152" t="s">
        <v>163</v>
      </c>
      <c r="B18" s="152"/>
      <c r="C18" s="152" t="s">
        <v>362</v>
      </c>
      <c r="D18" s="152"/>
      <c r="E18" s="152"/>
      <c r="F18" s="152"/>
      <c r="G18" s="152"/>
      <c r="H18" s="152"/>
      <c r="S18" s="53" t="s">
        <v>185</v>
      </c>
      <c r="T18" s="53" t="s">
        <v>190</v>
      </c>
      <c r="U18" s="53"/>
      <c r="V18" s="53" t="s">
        <v>200</v>
      </c>
      <c r="W18" s="53" t="s">
        <v>217</v>
      </c>
      <c r="X18"/>
      <c r="Y18"/>
      <c r="Z18"/>
    </row>
    <row r="19" spans="1:26" ht="15.75" customHeight="1" x14ac:dyDescent="0.35">
      <c r="A19" s="168" t="s">
        <v>10</v>
      </c>
      <c r="B19" s="168"/>
      <c r="C19" s="182" t="s">
        <v>363</v>
      </c>
      <c r="D19" s="182"/>
      <c r="E19" s="168" t="s">
        <v>70</v>
      </c>
      <c r="F19" s="168"/>
      <c r="G19" s="152" t="s">
        <v>357</v>
      </c>
      <c r="H19" s="152"/>
      <c r="S19" s="53" t="s">
        <v>186</v>
      </c>
      <c r="T19" s="53" t="s">
        <v>193</v>
      </c>
      <c r="U19" s="53"/>
      <c r="V19" s="53" t="s">
        <v>201</v>
      </c>
      <c r="W19" s="53" t="s">
        <v>218</v>
      </c>
      <c r="X19"/>
      <c r="Y19"/>
      <c r="Z19"/>
    </row>
    <row r="20" spans="1:26" x14ac:dyDescent="0.35">
      <c r="A20" s="107" t="s">
        <v>12</v>
      </c>
      <c r="B20" s="107"/>
      <c r="C20" s="152" t="s">
        <v>382</v>
      </c>
      <c r="D20" s="152"/>
      <c r="E20" s="168" t="s">
        <v>11</v>
      </c>
      <c r="F20" s="168"/>
      <c r="G20" s="207" t="s">
        <v>181</v>
      </c>
      <c r="H20" s="207"/>
      <c r="S20" s="53" t="s">
        <v>187</v>
      </c>
      <c r="T20" s="53" t="s">
        <v>194</v>
      </c>
      <c r="U20" s="53"/>
      <c r="V20" s="53" t="s">
        <v>202</v>
      </c>
      <c r="W20" s="53" t="s">
        <v>219</v>
      </c>
      <c r="X20"/>
      <c r="Y20"/>
      <c r="Z20"/>
    </row>
    <row r="21" spans="1:26" x14ac:dyDescent="0.35">
      <c r="A21" s="107" t="s">
        <v>71</v>
      </c>
      <c r="B21" s="107"/>
      <c r="C21" s="208" t="s">
        <v>186</v>
      </c>
      <c r="D21" s="208"/>
      <c r="E21" s="168" t="s">
        <v>13</v>
      </c>
      <c r="F21" s="168"/>
      <c r="G21" s="152">
        <v>421505</v>
      </c>
      <c r="H21" s="152"/>
      <c r="S21" s="53"/>
      <c r="T21" s="53"/>
      <c r="U21" s="53"/>
      <c r="V21" s="53" t="s">
        <v>203</v>
      </c>
      <c r="W21" s="53" t="s">
        <v>220</v>
      </c>
      <c r="X21"/>
      <c r="Y21"/>
      <c r="Z21"/>
    </row>
    <row r="22" spans="1:26" ht="32.25" customHeight="1" x14ac:dyDescent="0.35">
      <c r="A22" s="107" t="s">
        <v>119</v>
      </c>
      <c r="B22" s="107"/>
      <c r="C22" s="152" t="s">
        <v>401</v>
      </c>
      <c r="D22" s="152"/>
      <c r="E22" s="168" t="s">
        <v>14</v>
      </c>
      <c r="F22" s="168"/>
      <c r="G22" s="208" t="s">
        <v>402</v>
      </c>
      <c r="H22" s="208"/>
      <c r="S22" s="53"/>
      <c r="T22" s="53"/>
      <c r="U22" s="53"/>
      <c r="V22" s="53" t="s">
        <v>204</v>
      </c>
      <c r="W22" s="53" t="s">
        <v>221</v>
      </c>
      <c r="X22"/>
      <c r="Y22"/>
      <c r="Z22"/>
    </row>
    <row r="23" spans="1:26" ht="15" customHeight="1" x14ac:dyDescent="0.35">
      <c r="A23" s="168" t="s">
        <v>72</v>
      </c>
      <c r="B23" s="168"/>
      <c r="C23" s="168"/>
      <c r="D23" s="168"/>
      <c r="E23" s="182" t="s">
        <v>15</v>
      </c>
      <c r="F23" s="182"/>
      <c r="G23" s="182"/>
      <c r="H23" s="182"/>
      <c r="S23" s="53"/>
      <c r="T23" s="53"/>
      <c r="U23" s="53"/>
      <c r="V23" s="53" t="s">
        <v>205</v>
      </c>
      <c r="W23" s="53" t="s">
        <v>222</v>
      </c>
      <c r="X23"/>
      <c r="Y23"/>
      <c r="Z23"/>
    </row>
    <row r="24" spans="1:26" ht="18.75" customHeight="1" x14ac:dyDescent="0.35">
      <c r="A24" s="168"/>
      <c r="B24" s="168"/>
      <c r="C24" s="168"/>
      <c r="D24" s="168"/>
      <c r="E24" s="182"/>
      <c r="F24" s="182"/>
      <c r="G24" s="182"/>
      <c r="H24" s="182"/>
      <c r="S24" s="53"/>
      <c r="T24" s="53"/>
      <c r="U24" s="53"/>
      <c r="V24" s="53" t="s">
        <v>206</v>
      </c>
      <c r="W24" s="53" t="s">
        <v>223</v>
      </c>
      <c r="X24"/>
      <c r="Y24"/>
      <c r="Z24"/>
    </row>
    <row r="25" spans="1:26" ht="15" customHeight="1" x14ac:dyDescent="0.35">
      <c r="A25" s="168" t="s">
        <v>16</v>
      </c>
      <c r="B25" s="168"/>
      <c r="C25" s="168"/>
      <c r="D25" s="168"/>
      <c r="E25" s="152" t="s">
        <v>17</v>
      </c>
      <c r="F25" s="152"/>
      <c r="G25" s="152"/>
      <c r="H25" s="152"/>
      <c r="S25" s="53"/>
      <c r="T25" s="53"/>
      <c r="U25" s="53"/>
      <c r="V25" s="53" t="s">
        <v>207</v>
      </c>
      <c r="W25" s="53" t="s">
        <v>224</v>
      </c>
      <c r="X25"/>
      <c r="Y25"/>
      <c r="Z25"/>
    </row>
    <row r="26" spans="1:26" ht="15" customHeight="1" x14ac:dyDescent="0.35">
      <c r="A26" s="107" t="s">
        <v>18</v>
      </c>
      <c r="B26" s="107"/>
      <c r="C26" s="107"/>
      <c r="D26" s="107"/>
      <c r="E26" s="152" t="str">
        <f>IF(AND(G20="Mumbai"),"Upper Class","Middle Class")</f>
        <v>Middle Class</v>
      </c>
      <c r="F26" s="152"/>
      <c r="G26" s="152"/>
      <c r="H26" s="152"/>
      <c r="S26" s="53"/>
      <c r="T26" s="53"/>
      <c r="U26" s="53"/>
      <c r="V26" s="53" t="s">
        <v>208</v>
      </c>
      <c r="W26" s="53" t="s">
        <v>225</v>
      </c>
      <c r="X26"/>
      <c r="Y26"/>
      <c r="Z26"/>
    </row>
    <row r="27" spans="1:26" x14ac:dyDescent="0.35">
      <c r="A27" s="107" t="s">
        <v>19</v>
      </c>
      <c r="B27" s="107"/>
      <c r="C27" s="107"/>
      <c r="D27" s="107"/>
      <c r="E27" s="152" t="s">
        <v>20</v>
      </c>
      <c r="F27" s="152"/>
      <c r="G27" s="152"/>
      <c r="H27" s="152"/>
      <c r="S27" s="53"/>
      <c r="T27" s="53"/>
      <c r="U27" s="53"/>
      <c r="V27" s="53" t="s">
        <v>209</v>
      </c>
      <c r="W27" s="53" t="s">
        <v>226</v>
      </c>
      <c r="X27"/>
      <c r="Y27"/>
      <c r="Z27"/>
    </row>
    <row r="28" spans="1:26" ht="15.75" customHeight="1" x14ac:dyDescent="0.35">
      <c r="A28" s="107" t="s">
        <v>21</v>
      </c>
      <c r="B28" s="107"/>
      <c r="C28" s="107"/>
      <c r="D28" s="107"/>
      <c r="E28" s="152" t="str">
        <f>IF(AND(G20="Mumbai"),"Developed","Developing")</f>
        <v>Developing</v>
      </c>
      <c r="F28" s="152"/>
      <c r="G28" s="152"/>
      <c r="H28" s="152"/>
    </row>
    <row r="29" spans="1:26" x14ac:dyDescent="0.35">
      <c r="A29" s="107" t="s">
        <v>22</v>
      </c>
      <c r="B29" s="107"/>
      <c r="C29" s="107"/>
      <c r="D29" s="107"/>
      <c r="E29" s="152" t="s">
        <v>23</v>
      </c>
      <c r="F29" s="152"/>
      <c r="G29" s="152"/>
      <c r="H29" s="152"/>
    </row>
    <row r="30" spans="1:26" ht="15.75" customHeight="1" x14ac:dyDescent="0.35">
      <c r="A30" s="107" t="s">
        <v>77</v>
      </c>
      <c r="B30" s="107"/>
      <c r="C30" s="107"/>
      <c r="D30" s="107"/>
      <c r="E30" s="152" t="s">
        <v>78</v>
      </c>
      <c r="F30" s="152"/>
      <c r="G30" s="152"/>
      <c r="H30" s="152"/>
    </row>
    <row r="31" spans="1:26" ht="15" customHeight="1" x14ac:dyDescent="0.35">
      <c r="A31" s="107" t="s">
        <v>30</v>
      </c>
      <c r="B31" s="107"/>
      <c r="C31" s="107"/>
      <c r="D31" s="107"/>
      <c r="E31" s="15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52"/>
      <c r="G31" s="152"/>
      <c r="H31" s="152"/>
    </row>
    <row r="32" spans="1:26" ht="15.75" customHeight="1" x14ac:dyDescent="0.35">
      <c r="A32" s="107" t="s">
        <v>89</v>
      </c>
      <c r="B32" s="107"/>
      <c r="C32" s="107"/>
      <c r="D32" s="107"/>
      <c r="E32" s="152" t="s">
        <v>31</v>
      </c>
      <c r="F32" s="152"/>
      <c r="G32" s="152"/>
      <c r="H32" s="152"/>
    </row>
    <row r="33" spans="1:19" s="22" customFormat="1" x14ac:dyDescent="0.35">
      <c r="A33" s="206" t="s">
        <v>90</v>
      </c>
      <c r="B33" s="206"/>
      <c r="C33" s="205" t="s">
        <v>175</v>
      </c>
      <c r="D33" s="205"/>
      <c r="E33" s="205"/>
      <c r="F33" s="205" t="s">
        <v>29</v>
      </c>
      <c r="G33" s="205"/>
      <c r="H33" s="205"/>
      <c r="S33" s="22" t="e">
        <f ca="1">OFFSET($S$13,1,MATCH($G20,$S$13:$W$13,0)-1,15,1)</f>
        <v>#VALUE!</v>
      </c>
    </row>
    <row r="34" spans="1:19" s="22" customFormat="1" x14ac:dyDescent="0.35">
      <c r="A34" s="196" t="s">
        <v>24</v>
      </c>
      <c r="B34" s="196" t="s">
        <v>28</v>
      </c>
      <c r="C34" s="165" t="s">
        <v>383</v>
      </c>
      <c r="D34" s="165"/>
      <c r="E34" s="165"/>
      <c r="F34" s="165" t="s">
        <v>376</v>
      </c>
      <c r="G34" s="165"/>
      <c r="H34" s="165"/>
    </row>
    <row r="35" spans="1:19" x14ac:dyDescent="0.35">
      <c r="A35" s="196" t="s">
        <v>25</v>
      </c>
      <c r="B35" s="196" t="s">
        <v>28</v>
      </c>
      <c r="C35" s="165" t="s">
        <v>375</v>
      </c>
      <c r="D35" s="165"/>
      <c r="E35" s="165"/>
      <c r="F35" s="165" t="s">
        <v>377</v>
      </c>
      <c r="G35" s="165"/>
      <c r="H35" s="165"/>
    </row>
    <row r="36" spans="1:19" s="22" customFormat="1" x14ac:dyDescent="0.35">
      <c r="A36" s="196" t="s">
        <v>27</v>
      </c>
      <c r="B36" s="196" t="s">
        <v>28</v>
      </c>
      <c r="C36" s="165" t="s">
        <v>375</v>
      </c>
      <c r="D36" s="165"/>
      <c r="E36" s="165"/>
      <c r="F36" s="165" t="s">
        <v>385</v>
      </c>
      <c r="G36" s="165"/>
      <c r="H36" s="165"/>
    </row>
    <row r="37" spans="1:19" x14ac:dyDescent="0.35">
      <c r="A37" s="196" t="s">
        <v>26</v>
      </c>
      <c r="B37" s="196" t="s">
        <v>28</v>
      </c>
      <c r="C37" s="165" t="s">
        <v>375</v>
      </c>
      <c r="D37" s="165"/>
      <c r="E37" s="165"/>
      <c r="F37" s="165" t="s">
        <v>384</v>
      </c>
      <c r="G37" s="165"/>
      <c r="H37" s="165"/>
    </row>
    <row r="38" spans="1:19" x14ac:dyDescent="0.35">
      <c r="A38" s="107" t="s">
        <v>282</v>
      </c>
      <c r="B38" s="107"/>
      <c r="C38" s="107"/>
      <c r="D38" s="107"/>
      <c r="E38" s="107"/>
      <c r="F38" s="107"/>
      <c r="G38" s="107"/>
      <c r="H38" s="107"/>
    </row>
    <row r="39" spans="1:19" ht="15.75" customHeight="1" x14ac:dyDescent="0.35">
      <c r="A39" s="107" t="s">
        <v>166</v>
      </c>
      <c r="B39" s="107"/>
      <c r="C39" s="167" t="s">
        <v>360</v>
      </c>
      <c r="D39" s="167"/>
      <c r="E39" s="167"/>
      <c r="F39" s="167"/>
      <c r="G39" s="167"/>
      <c r="H39" s="167"/>
    </row>
    <row r="40" spans="1:19" x14ac:dyDescent="0.35">
      <c r="A40" s="107" t="s">
        <v>162</v>
      </c>
      <c r="B40" s="107"/>
      <c r="C40" s="151" t="s">
        <v>361</v>
      </c>
      <c r="D40" s="152"/>
      <c r="E40" s="152"/>
      <c r="F40" s="152"/>
      <c r="G40" s="152"/>
      <c r="H40" s="152"/>
    </row>
    <row r="41" spans="1:19" x14ac:dyDescent="0.35">
      <c r="A41" s="167" t="s">
        <v>32</v>
      </c>
      <c r="B41" s="167"/>
      <c r="C41" s="167"/>
      <c r="D41" s="167"/>
      <c r="E41" s="167"/>
      <c r="F41" s="167"/>
      <c r="G41" s="167"/>
      <c r="H41" s="167"/>
    </row>
    <row r="42" spans="1:19" x14ac:dyDescent="0.35">
      <c r="A42" s="107" t="s">
        <v>33</v>
      </c>
      <c r="B42" s="107"/>
      <c r="C42" s="107"/>
      <c r="D42" s="107"/>
      <c r="E42" s="166">
        <v>1730</v>
      </c>
      <c r="F42" s="166"/>
      <c r="G42" s="166"/>
      <c r="H42" s="166"/>
    </row>
    <row r="43" spans="1:19" x14ac:dyDescent="0.35">
      <c r="A43" s="107" t="s">
        <v>34</v>
      </c>
      <c r="B43" s="107"/>
      <c r="C43" s="107"/>
      <c r="D43" s="107"/>
      <c r="E43" s="162">
        <f>1903/E42</f>
        <v>1.1000000000000001</v>
      </c>
      <c r="F43" s="162"/>
      <c r="G43" s="162"/>
      <c r="H43" s="162"/>
    </row>
    <row r="44" spans="1:19" x14ac:dyDescent="0.35">
      <c r="A44" s="107" t="s">
        <v>35</v>
      </c>
      <c r="B44" s="107"/>
      <c r="C44" s="107"/>
      <c r="D44" s="107"/>
      <c r="E44" s="162">
        <f>E46/E42-E43</f>
        <v>0.59550867052023104</v>
      </c>
      <c r="F44" s="162"/>
      <c r="G44" s="162"/>
      <c r="H44" s="162"/>
    </row>
    <row r="45" spans="1:19" x14ac:dyDescent="0.35">
      <c r="A45" s="107" t="s">
        <v>36</v>
      </c>
      <c r="B45" s="107"/>
      <c r="C45" s="107"/>
      <c r="D45" s="107"/>
      <c r="E45" s="162">
        <f>E43+E44</f>
        <v>1.6955086705202311</v>
      </c>
      <c r="F45" s="162"/>
      <c r="G45" s="162"/>
      <c r="H45" s="162"/>
    </row>
    <row r="46" spans="1:19" x14ac:dyDescent="0.35">
      <c r="A46" s="107" t="s">
        <v>88</v>
      </c>
      <c r="B46" s="107"/>
      <c r="C46" s="107"/>
      <c r="D46" s="107"/>
      <c r="E46" s="200">
        <f>2933.23</f>
        <v>2933.23</v>
      </c>
      <c r="F46" s="200"/>
      <c r="G46" s="200"/>
      <c r="H46" s="200"/>
    </row>
    <row r="47" spans="1:19" x14ac:dyDescent="0.35">
      <c r="A47" s="182" t="s">
        <v>37</v>
      </c>
      <c r="B47" s="182"/>
      <c r="C47" s="182"/>
      <c r="D47" s="182"/>
      <c r="E47" s="182" t="s">
        <v>379</v>
      </c>
      <c r="F47" s="182"/>
      <c r="G47" s="182"/>
      <c r="H47" s="182"/>
    </row>
    <row r="48" spans="1:19" x14ac:dyDescent="0.35">
      <c r="A48" s="167" t="s">
        <v>38</v>
      </c>
      <c r="B48" s="167"/>
      <c r="C48" s="167"/>
      <c r="D48" s="167"/>
      <c r="E48" s="167"/>
      <c r="F48" s="167"/>
      <c r="G48" s="167"/>
      <c r="H48" s="167"/>
    </row>
    <row r="49" spans="1:24" ht="33.75" customHeight="1" x14ac:dyDescent="0.35">
      <c r="A49" s="169" t="s">
        <v>151</v>
      </c>
      <c r="B49" s="171"/>
      <c r="C49" s="202" t="s">
        <v>266</v>
      </c>
      <c r="D49" s="203"/>
      <c r="E49" s="203"/>
      <c r="F49" s="203"/>
      <c r="G49" s="203"/>
      <c r="H49" s="204"/>
      <c r="R49" t="s">
        <v>255</v>
      </c>
      <c r="S49" s="58" t="s">
        <v>174</v>
      </c>
      <c r="T49" s="58" t="s">
        <v>181</v>
      </c>
      <c r="U49" s="58" t="s">
        <v>195</v>
      </c>
      <c r="V49" s="58" t="s">
        <v>190</v>
      </c>
    </row>
    <row r="50" spans="1:24" ht="15.75" customHeight="1" x14ac:dyDescent="0.35">
      <c r="A50" s="169" t="s">
        <v>39</v>
      </c>
      <c r="B50" s="171"/>
      <c r="C50" s="169" t="s">
        <v>386</v>
      </c>
      <c r="D50" s="170"/>
      <c r="E50" s="171"/>
      <c r="F50" s="18" t="s">
        <v>40</v>
      </c>
      <c r="G50" s="172">
        <v>44526</v>
      </c>
      <c r="H50" s="171"/>
      <c r="R50"/>
      <c r="S50" s="58" t="s">
        <v>256</v>
      </c>
      <c r="T50" s="58" t="s">
        <v>261</v>
      </c>
      <c r="U50" s="58" t="s">
        <v>272</v>
      </c>
      <c r="V50" s="58" t="s">
        <v>277</v>
      </c>
    </row>
    <row r="51" spans="1:24" x14ac:dyDescent="0.35">
      <c r="A51" s="169" t="s">
        <v>41</v>
      </c>
      <c r="B51" s="171"/>
      <c r="C51" s="169" t="str">
        <f>C50</f>
        <v>A.N.P/NRV/BP/2021-22/1027/9237/113</v>
      </c>
      <c r="D51" s="170"/>
      <c r="E51" s="171"/>
      <c r="F51" s="18" t="s">
        <v>40</v>
      </c>
      <c r="G51" s="172">
        <f>G50</f>
        <v>44526</v>
      </c>
      <c r="H51" s="177"/>
      <c r="R51"/>
      <c r="S51" s="58" t="s">
        <v>257</v>
      </c>
      <c r="T51" s="58" t="s">
        <v>262</v>
      </c>
      <c r="U51" s="58" t="s">
        <v>270</v>
      </c>
      <c r="V51" s="58" t="s">
        <v>278</v>
      </c>
    </row>
    <row r="52" spans="1:24" s="23" customFormat="1" x14ac:dyDescent="0.35">
      <c r="A52" s="178" t="s">
        <v>155</v>
      </c>
      <c r="B52" s="179"/>
      <c r="C52" s="169" t="s">
        <v>387</v>
      </c>
      <c r="D52" s="170"/>
      <c r="E52" s="171"/>
      <c r="F52" s="18" t="s">
        <v>40</v>
      </c>
      <c r="G52" s="172">
        <f>G51</f>
        <v>44526</v>
      </c>
      <c r="H52" s="177"/>
      <c r="R52"/>
      <c r="S52" s="58" t="s">
        <v>258</v>
      </c>
      <c r="T52" s="58" t="s">
        <v>263</v>
      </c>
      <c r="U52" s="58" t="s">
        <v>260</v>
      </c>
      <c r="V52" s="58" t="s">
        <v>279</v>
      </c>
    </row>
    <row r="53" spans="1:24" s="23" customFormat="1" x14ac:dyDescent="0.35">
      <c r="A53" s="180"/>
      <c r="B53" s="181"/>
      <c r="C53" s="169" t="s">
        <v>388</v>
      </c>
      <c r="D53" s="170"/>
      <c r="E53" s="170"/>
      <c r="F53" s="170"/>
      <c r="G53" s="170"/>
      <c r="H53" s="171"/>
      <c r="R53"/>
      <c r="S53" s="58" t="s">
        <v>259</v>
      </c>
      <c r="T53" s="58" t="s">
        <v>266</v>
      </c>
      <c r="U53" s="58" t="s">
        <v>273</v>
      </c>
      <c r="V53" s="81"/>
    </row>
    <row r="54" spans="1:24" s="23" customFormat="1" hidden="1" x14ac:dyDescent="0.35">
      <c r="A54" s="173" t="s">
        <v>283</v>
      </c>
      <c r="B54" s="174"/>
      <c r="C54" s="169" t="str">
        <f>C53</f>
        <v>Wing A &amp; B = Gr(Pt)/Stilt(Pt) + 1st to 7th Floor (B.U.A = 2933.23Sq.Mt)</v>
      </c>
      <c r="D54" s="170"/>
      <c r="E54" s="171"/>
      <c r="F54" s="18" t="s">
        <v>40</v>
      </c>
      <c r="G54" s="169"/>
      <c r="H54" s="171"/>
      <c r="R54"/>
      <c r="S54" s="58" t="s">
        <v>258</v>
      </c>
      <c r="T54" s="58" t="s">
        <v>263</v>
      </c>
      <c r="U54" s="58" t="s">
        <v>260</v>
      </c>
      <c r="V54" s="58" t="s">
        <v>279</v>
      </c>
    </row>
    <row r="55" spans="1:24" s="23" customFormat="1" ht="32.25" hidden="1" customHeight="1" x14ac:dyDescent="0.35">
      <c r="A55" s="175"/>
      <c r="B55" s="176"/>
      <c r="C55" s="158"/>
      <c r="D55" s="159"/>
      <c r="E55" s="159"/>
      <c r="F55" s="159"/>
      <c r="G55" s="159"/>
      <c r="H55" s="160"/>
      <c r="R55"/>
      <c r="S55" s="58" t="s">
        <v>260</v>
      </c>
      <c r="T55" s="58" t="s">
        <v>264</v>
      </c>
      <c r="U55" s="58" t="s">
        <v>274</v>
      </c>
      <c r="V55" s="82"/>
      <c r="W55" s="21"/>
      <c r="X55" s="21"/>
    </row>
    <row r="56" spans="1:24" s="23" customFormat="1" ht="34.5" hidden="1" customHeight="1" x14ac:dyDescent="0.35">
      <c r="A56" s="173" t="s">
        <v>284</v>
      </c>
      <c r="B56" s="174"/>
      <c r="C56" s="169">
        <f>C55</f>
        <v>0</v>
      </c>
      <c r="D56" s="170"/>
      <c r="E56" s="171"/>
      <c r="F56" s="18" t="s">
        <v>40</v>
      </c>
      <c r="G56" s="169">
        <f>G55</f>
        <v>0</v>
      </c>
      <c r="H56" s="171"/>
      <c r="R56"/>
      <c r="S56" s="82"/>
      <c r="T56" s="58" t="s">
        <v>265</v>
      </c>
      <c r="U56" s="58" t="s">
        <v>275</v>
      </c>
      <c r="V56" s="82"/>
      <c r="W56" s="21"/>
      <c r="X56" s="21"/>
    </row>
    <row r="57" spans="1:24" s="23" customFormat="1" ht="41.25" hidden="1" customHeight="1" x14ac:dyDescent="0.35">
      <c r="A57" s="175"/>
      <c r="B57" s="176"/>
      <c r="C57" s="169"/>
      <c r="D57" s="170"/>
      <c r="E57" s="170"/>
      <c r="F57" s="170"/>
      <c r="G57" s="170"/>
      <c r="H57" s="171"/>
      <c r="R57"/>
      <c r="S57" s="82"/>
      <c r="T57" s="58" t="s">
        <v>267</v>
      </c>
      <c r="U57" s="58" t="s">
        <v>276</v>
      </c>
      <c r="V57" s="82"/>
      <c r="W57" s="21"/>
      <c r="X57" s="21"/>
    </row>
    <row r="58" spans="1:24" s="23" customFormat="1" ht="15.75" hidden="1" customHeight="1" x14ac:dyDescent="0.35">
      <c r="A58" s="173" t="s">
        <v>285</v>
      </c>
      <c r="B58" s="174"/>
      <c r="C58" s="169">
        <f>C57</f>
        <v>0</v>
      </c>
      <c r="D58" s="170"/>
      <c r="E58" s="171"/>
      <c r="F58" s="18" t="s">
        <v>40</v>
      </c>
      <c r="G58" s="169">
        <f>G57</f>
        <v>0</v>
      </c>
      <c r="H58" s="171"/>
      <c r="R58"/>
      <c r="S58" s="82"/>
      <c r="T58" s="58" t="s">
        <v>268</v>
      </c>
      <c r="U58" s="82" t="s">
        <v>299</v>
      </c>
      <c r="V58" s="82"/>
      <c r="W58" s="21"/>
      <c r="X58" s="21"/>
    </row>
    <row r="59" spans="1:24" s="23" customFormat="1" ht="33.75" hidden="1" customHeight="1" x14ac:dyDescent="0.35">
      <c r="A59" s="175"/>
      <c r="B59" s="176"/>
      <c r="C59" s="169"/>
      <c r="D59" s="170"/>
      <c r="E59" s="170"/>
      <c r="F59" s="170"/>
      <c r="G59" s="170"/>
      <c r="H59" s="171"/>
      <c r="R59"/>
      <c r="S59" s="82"/>
      <c r="T59" s="58" t="s">
        <v>269</v>
      </c>
      <c r="U59" s="82"/>
      <c r="V59" s="82"/>
      <c r="W59" s="21"/>
      <c r="X59" s="21"/>
    </row>
    <row r="60" spans="1:24" x14ac:dyDescent="0.35">
      <c r="A60" s="234" t="s">
        <v>42</v>
      </c>
      <c r="B60" s="235"/>
      <c r="C60" s="234" t="s">
        <v>101</v>
      </c>
      <c r="D60" s="236"/>
      <c r="E60" s="235"/>
      <c r="F60" s="43" t="s">
        <v>40</v>
      </c>
      <c r="G60" s="238" t="s">
        <v>28</v>
      </c>
      <c r="H60" s="239"/>
      <c r="R60"/>
      <c r="S60" s="82"/>
      <c r="T60" s="58" t="s">
        <v>271</v>
      </c>
      <c r="U60" s="82"/>
      <c r="V60" s="82"/>
    </row>
    <row r="61" spans="1:24" x14ac:dyDescent="0.35">
      <c r="A61" s="195" t="s">
        <v>44</v>
      </c>
      <c r="B61" s="195"/>
      <c r="C61" s="195"/>
      <c r="D61" s="195"/>
      <c r="E61" s="195"/>
      <c r="F61" s="195"/>
      <c r="G61" s="195"/>
      <c r="H61" s="195"/>
      <c r="S61" s="82"/>
      <c r="T61" s="58" t="s">
        <v>280</v>
      </c>
      <c r="U61" s="82"/>
      <c r="V61" s="82"/>
    </row>
    <row r="62" spans="1:24" x14ac:dyDescent="0.35">
      <c r="A62" s="168" t="s">
        <v>87</v>
      </c>
      <c r="B62" s="168"/>
      <c r="C62" s="168"/>
      <c r="D62" s="107">
        <f>E46</f>
        <v>2933.23</v>
      </c>
      <c r="E62" s="107"/>
      <c r="F62" s="107"/>
      <c r="G62" s="107"/>
      <c r="H62" s="107"/>
      <c r="R62"/>
    </row>
    <row r="63" spans="1:24" x14ac:dyDescent="0.35">
      <c r="A63" s="152" t="s">
        <v>45</v>
      </c>
      <c r="B63" s="182"/>
      <c r="C63" s="182"/>
      <c r="D63" s="182" t="s">
        <v>373</v>
      </c>
      <c r="E63" s="182"/>
      <c r="F63" s="182"/>
      <c r="G63" s="182"/>
      <c r="H63" s="182"/>
      <c r="I63" s="24"/>
      <c r="R63"/>
    </row>
    <row r="64" spans="1:24" x14ac:dyDescent="0.35">
      <c r="A64" s="184" t="s">
        <v>46</v>
      </c>
      <c r="B64" s="185"/>
      <c r="C64" s="201"/>
      <c r="D64" s="190" t="s">
        <v>358</v>
      </c>
      <c r="E64" s="191"/>
      <c r="F64" s="191"/>
      <c r="G64" s="191"/>
      <c r="H64" s="191"/>
      <c r="R64"/>
    </row>
    <row r="65" spans="1:19" ht="15.75" customHeight="1" x14ac:dyDescent="0.35">
      <c r="A65" s="184" t="s">
        <v>85</v>
      </c>
      <c r="B65" s="185"/>
      <c r="C65" s="185"/>
      <c r="D65" s="190" t="s">
        <v>358</v>
      </c>
      <c r="E65" s="191"/>
      <c r="F65" s="191"/>
      <c r="G65" s="191"/>
      <c r="H65" s="191"/>
      <c r="R65"/>
    </row>
    <row r="66" spans="1:19" ht="15.75" hidden="1" customHeight="1" x14ac:dyDescent="0.35">
      <c r="A66" s="186"/>
      <c r="B66" s="187"/>
      <c r="C66" s="187"/>
      <c r="D66" s="192" t="s">
        <v>300</v>
      </c>
      <c r="E66" s="193"/>
      <c r="F66" s="193"/>
      <c r="G66" s="193"/>
      <c r="H66" s="194"/>
      <c r="R66"/>
    </row>
    <row r="67" spans="1:19" ht="15.75" hidden="1" customHeight="1" x14ac:dyDescent="0.35">
      <c r="A67" s="188"/>
      <c r="B67" s="189"/>
      <c r="C67" s="189"/>
      <c r="D67" s="197" t="s">
        <v>170</v>
      </c>
      <c r="E67" s="198"/>
      <c r="F67" s="198"/>
      <c r="G67" s="198"/>
      <c r="H67" s="199"/>
      <c r="S67"/>
    </row>
    <row r="68" spans="1:19" ht="15.75" customHeight="1" x14ac:dyDescent="0.35">
      <c r="A68" s="107" t="s">
        <v>43</v>
      </c>
      <c r="B68" s="107"/>
      <c r="C68" s="107"/>
      <c r="D68" s="168" t="s">
        <v>359</v>
      </c>
      <c r="E68" s="168"/>
      <c r="F68" s="168"/>
      <c r="G68" s="168"/>
      <c r="H68" s="168"/>
      <c r="J68" s="25"/>
      <c r="K68" s="24"/>
      <c r="N68" s="24"/>
      <c r="S68"/>
    </row>
    <row r="69" spans="1:19" ht="15.75" customHeight="1" x14ac:dyDescent="0.35">
      <c r="A69" s="107" t="s">
        <v>83</v>
      </c>
      <c r="B69" s="107"/>
      <c r="C69" s="107"/>
      <c r="D69" s="183" t="str">
        <f>(IF(G60="NA","60 Years After Completion",IF(G60&lt;&gt;"NA",""&amp;60-ROUNDDOWN((E3-G60)/360,0)&amp;" Years"," ")))</f>
        <v>60 Years After Completion</v>
      </c>
      <c r="E69" s="183"/>
      <c r="F69" s="183"/>
      <c r="G69" s="183"/>
      <c r="H69" s="183"/>
      <c r="N69" s="24"/>
      <c r="S69"/>
    </row>
    <row r="70" spans="1:19" ht="15.75" customHeight="1" x14ac:dyDescent="0.35">
      <c r="A70" s="107" t="s">
        <v>84</v>
      </c>
      <c r="B70" s="107"/>
      <c r="C70" s="107"/>
      <c r="D70" s="168" t="s">
        <v>23</v>
      </c>
      <c r="E70" s="168"/>
      <c r="F70" s="168"/>
      <c r="G70" s="168"/>
      <c r="H70" s="168"/>
      <c r="J70" s="26"/>
      <c r="K70" s="26"/>
      <c r="S70"/>
    </row>
    <row r="71" spans="1:19" ht="38.5" customHeight="1" x14ac:dyDescent="0.35">
      <c r="A71" s="182" t="s">
        <v>389</v>
      </c>
      <c r="B71" s="182"/>
      <c r="C71" s="182"/>
      <c r="D71" s="152" t="s">
        <v>390</v>
      </c>
      <c r="E71" s="168"/>
      <c r="F71" s="168"/>
      <c r="G71" s="168"/>
      <c r="H71" s="168"/>
      <c r="I71" s="21" t="s">
        <v>374</v>
      </c>
      <c r="S71"/>
    </row>
    <row r="72" spans="1:19" x14ac:dyDescent="0.35">
      <c r="A72" s="168" t="s">
        <v>147</v>
      </c>
      <c r="B72" s="168"/>
      <c r="C72" s="168"/>
      <c r="D72" s="168" t="s">
        <v>28</v>
      </c>
      <c r="E72" s="168"/>
      <c r="F72" s="168"/>
      <c r="G72" s="168"/>
      <c r="H72" s="168"/>
      <c r="I72" s="27"/>
      <c r="J72" s="27"/>
      <c r="K72" s="27"/>
      <c r="L72" s="27"/>
      <c r="M72" s="27"/>
      <c r="N72" s="27"/>
    </row>
    <row r="73" spans="1:19" ht="15.75" customHeight="1" x14ac:dyDescent="0.35">
      <c r="A73" s="107" t="s">
        <v>82</v>
      </c>
      <c r="B73" s="107"/>
      <c r="C73" s="107"/>
      <c r="D73" s="152" t="str">
        <f ca="1">(IF(G79&gt;95%,"Nothing",IF(G79&gt;0%,"Cement, Aggregate, Steel, etc",IF(G79=0%,"Work not yet Started"))))</f>
        <v>Cement, Aggregate, Steel, etc</v>
      </c>
      <c r="E73" s="152"/>
      <c r="F73" s="152"/>
      <c r="G73" s="152"/>
      <c r="H73" s="152"/>
      <c r="J73" s="26"/>
      <c r="S73"/>
    </row>
    <row r="74" spans="1:19" ht="33.75" customHeight="1" thickBot="1" x14ac:dyDescent="0.4">
      <c r="A74" s="168" t="s">
        <v>114</v>
      </c>
      <c r="B74" s="168"/>
      <c r="C74" s="168"/>
      <c r="D74" s="152" t="str">
        <f ca="1">(IF(D73="Nothing","Yes",IF(D73="Cement, Aggregate, Steel, etc","Under Construction",IF(D73="Work not yet Started","Work not yet Started"))))</f>
        <v>Under Construction</v>
      </c>
      <c r="E74" s="152"/>
      <c r="F74" s="152" t="str">
        <f ca="1">(IF(D73="Nothing","Yes",IF(D73="Cement, Aggregate, Steel, etc","Under Construction",IF(D73="Work not yet Started","Work not yet Started"))))</f>
        <v>Under Construction</v>
      </c>
      <c r="G74" s="152"/>
      <c r="H74" s="152"/>
      <c r="S74"/>
    </row>
    <row r="75" spans="1:19" ht="15.75" customHeight="1" x14ac:dyDescent="0.35">
      <c r="A75" s="240" t="s">
        <v>137</v>
      </c>
      <c r="B75" s="240"/>
      <c r="C75" s="240" t="str">
        <f>D65</f>
        <v>Wing A &amp; B = Gr(Pt)/Stilt + 1st to 7th Floor</v>
      </c>
      <c r="D75" s="240"/>
      <c r="E75" s="240"/>
      <c r="F75" s="240"/>
      <c r="G75" s="240"/>
      <c r="H75" s="240"/>
      <c r="I75" s="101" t="str">
        <f ca="1">IF(D88=100%,"All work Completed. Possession granted to the Building.",IF(D87=100%,"All work Completed, Waiting for OC",I76&amp;""&amp;I77&amp;""&amp;J76&amp;""&amp;J75&amp;" "&amp;J77))</f>
        <v>Excavation, Plinth, RCC Slab, Brickwork, Internal Plaster Completed, External Plaster upto 5 Floor, Flooring upto 2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External Plaster upto 5 Floor, Flooring upto 2 Floor</v>
      </c>
      <c r="S75"/>
    </row>
    <row r="76" spans="1:19" x14ac:dyDescent="0.35">
      <c r="A76" s="104" t="s">
        <v>139</v>
      </c>
      <c r="B76" s="104">
        <f>IF(AND(ISNUMBER(SEARCH("1B",C75))),1,IF(AND(ISNUMBER(SEARCH("2B",C75))),2,IF(AND(ISNUMBER(SEARCH("3B",C75))),3,IF(AND(ISNUMBER(SEARCH("4B",C75))),4,IF(ISNUMBER(SEARCH("5B",C75)),5,0)))))</f>
        <v>0</v>
      </c>
      <c r="C76" s="104" t="s">
        <v>69</v>
      </c>
      <c r="D76" s="104">
        <v>1</v>
      </c>
      <c r="E76" s="104" t="s">
        <v>68</v>
      </c>
      <c r="F76" s="104">
        <v>0</v>
      </c>
      <c r="G76" s="104" t="s">
        <v>76</v>
      </c>
      <c r="H76" s="104">
        <f ca="1">--TRIM(RIGHT(SUBSTITUTE(LEFT(C75,_xlfn.AGGREGATE(16,6,FIND({0,1,2,3,4,5,6,7,8,9},C75,ROW(INDIRECT("1:"&amp;LEN(C75)))),1))," ",REPT(" ",LEN(C75))),LEN(C75)))</f>
        <v>7</v>
      </c>
      <c r="I76" s="102" t="str">
        <f ca="1">IF(D79=100%,"Excavation","")&amp;IF(D80=100%,", Plinth","")&amp;IF(D81=100%,", RCC Slab","")&amp;IF(D82=100%,", Brickwork","")&amp;IF(D83=100%,", Internal Plaster","")&amp;IF(D84=100%,", External Plaster","")&amp;IF(D85=100%,", Flooring","")&amp;IF(D86=100%,", Painting","")&amp;IF(D87=100%,", Building common Amenities","")</f>
        <v>Excavation, Plinth, RCC Slab, Brickwork, Internal Plaster</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3.5" customHeight="1" x14ac:dyDescent="0.35">
      <c r="A77" s="126" t="s">
        <v>86</v>
      </c>
      <c r="B77" s="126"/>
      <c r="C77" s="127" t="str">
        <f ca="1">I75</f>
        <v>Excavation, Plinth, RCC Slab, Brickwork, Internal Plaster Completed, External Plaster upto 5 Floor, Flooring upto 2 Floor Completed</v>
      </c>
      <c r="D77" s="127"/>
      <c r="E77" s="127"/>
      <c r="F77" s="127"/>
      <c r="G77" s="127"/>
      <c r="H77" s="127"/>
      <c r="I77" s="102" t="str">
        <f ca="1">IF(I76&lt;&gt;""," Completed","")</f>
        <v xml:space="preserve"> Completed</v>
      </c>
      <c r="J77" s="49" t="str">
        <f ca="1">IF(J75&lt;&gt;"","Completed","")</f>
        <v>Completed</v>
      </c>
      <c r="S77"/>
    </row>
    <row r="78" spans="1:19" ht="15.75" customHeight="1" x14ac:dyDescent="0.35">
      <c r="A78" s="161" t="s">
        <v>47</v>
      </c>
      <c r="B78" s="161"/>
      <c r="C78" s="103" t="s">
        <v>136</v>
      </c>
      <c r="D78" s="103" t="s">
        <v>79</v>
      </c>
      <c r="E78" s="161" t="s">
        <v>81</v>
      </c>
      <c r="F78" s="161"/>
      <c r="G78" s="161" t="s">
        <v>80</v>
      </c>
      <c r="H78" s="161"/>
      <c r="I78" s="13" t="s">
        <v>138</v>
      </c>
      <c r="J78" s="28">
        <f ca="1">H76*25%</f>
        <v>1.75</v>
      </c>
      <c r="S78"/>
    </row>
    <row r="79" spans="1:19" x14ac:dyDescent="0.35">
      <c r="A79" s="161" t="s">
        <v>125</v>
      </c>
      <c r="B79" s="161"/>
      <c r="C79" s="103">
        <f ca="1">J80</f>
        <v>7</v>
      </c>
      <c r="D79" s="94">
        <f ca="1">((100/H76)*C79)/100</f>
        <v>1</v>
      </c>
      <c r="E79" s="164">
        <f ca="1">(((C80/H76*10)+(40/(D76+F76+H76)*C81)+(7.5/(H76)*C82)+(7.5/(H76)*C83)+(10/H76*C84)+(10/H76*C85)+(5/H76*C86)+(5/H76*C87)+(5/H76*C88))/100)</f>
        <v>0.75</v>
      </c>
      <c r="F79" s="164"/>
      <c r="G79" s="164">
        <f ca="1">((((C79/H76)*20)+((C80/H76)*25)+(30/(H76+F76+D76)*C81)+(5/H76*C82)+(5/H76*C83)+(5/H76*C84)+(5/H76*C85)+(0/H76*C86)+(0/H76*C87)+(5/H76*C88))/100)</f>
        <v>0.9</v>
      </c>
      <c r="H79" s="164"/>
      <c r="I79" s="13" t="s">
        <v>96</v>
      </c>
      <c r="J79" s="29">
        <f ca="1">H76*50%</f>
        <v>3.5</v>
      </c>
    </row>
    <row r="80" spans="1:19" x14ac:dyDescent="0.35">
      <c r="A80" s="161" t="s">
        <v>48</v>
      </c>
      <c r="B80" s="161"/>
      <c r="C80" s="103">
        <f ca="1">J88</f>
        <v>7</v>
      </c>
      <c r="D80" s="94">
        <f ca="1">((100/H76)*C80)/100</f>
        <v>1</v>
      </c>
      <c r="E80" s="164"/>
      <c r="F80" s="164"/>
      <c r="G80" s="164"/>
      <c r="H80" s="164"/>
      <c r="I80" s="13" t="s">
        <v>97</v>
      </c>
      <c r="J80" s="29">
        <f ca="1">H76</f>
        <v>7</v>
      </c>
      <c r="S80"/>
    </row>
    <row r="81" spans="1:19" ht="15.75" customHeight="1" x14ac:dyDescent="0.35">
      <c r="A81" s="161" t="s">
        <v>126</v>
      </c>
      <c r="B81" s="161"/>
      <c r="C81" s="103">
        <v>8</v>
      </c>
      <c r="D81" s="94">
        <f ca="1">((100/(D76+F76+H76))*C81)/100</f>
        <v>1</v>
      </c>
      <c r="E81" s="164"/>
      <c r="F81" s="164"/>
      <c r="G81" s="164"/>
      <c r="H81" s="164"/>
      <c r="I81" s="13" t="s">
        <v>98</v>
      </c>
      <c r="J81" s="30">
        <f ca="1">(IF(B76&gt;1,(H76/(B76+2)),H76/4))</f>
        <v>1.75</v>
      </c>
      <c r="S81"/>
    </row>
    <row r="82" spans="1:19" ht="15.75" customHeight="1" x14ac:dyDescent="0.35">
      <c r="A82" s="161" t="s">
        <v>133</v>
      </c>
      <c r="B82" s="161" t="s">
        <v>127</v>
      </c>
      <c r="C82" s="103">
        <v>7</v>
      </c>
      <c r="D82" s="94">
        <f ca="1">((100/H76)*C82)/100</f>
        <v>1</v>
      </c>
      <c r="E82" s="164"/>
      <c r="F82" s="164"/>
      <c r="G82" s="164"/>
      <c r="H82" s="164"/>
      <c r="I82" s="13" t="s">
        <v>99</v>
      </c>
      <c r="J82" s="30">
        <f ca="1">(IF(B76&gt;1,(H76/(B76+2)+J81),H76/4+J81))</f>
        <v>3.5</v>
      </c>
    </row>
    <row r="83" spans="1:19" ht="15.75" customHeight="1" x14ac:dyDescent="0.35">
      <c r="A83" s="161" t="s">
        <v>134</v>
      </c>
      <c r="B83" s="161" t="s">
        <v>127</v>
      </c>
      <c r="C83" s="103">
        <v>7</v>
      </c>
      <c r="D83" s="94">
        <f ca="1">((100/H76)*C83)/100</f>
        <v>1</v>
      </c>
      <c r="E83" s="164"/>
      <c r="F83" s="164"/>
      <c r="G83" s="164"/>
      <c r="H83" s="164"/>
      <c r="I83" s="13" t="s">
        <v>145</v>
      </c>
      <c r="J83" s="30">
        <f>(IF(B76&gt;1,(H76/(B76+2)+J82),0))</f>
        <v>0</v>
      </c>
    </row>
    <row r="84" spans="1:19" ht="15" customHeight="1" x14ac:dyDescent="0.35">
      <c r="A84" s="161" t="s">
        <v>132</v>
      </c>
      <c r="B84" s="161" t="s">
        <v>129</v>
      </c>
      <c r="C84" s="103">
        <v>5</v>
      </c>
      <c r="D84" s="94">
        <f ca="1">((100/(H76))*C84)/100</f>
        <v>0.7142857142857143</v>
      </c>
      <c r="E84" s="164"/>
      <c r="F84" s="164"/>
      <c r="G84" s="164"/>
      <c r="H84" s="164"/>
      <c r="I84" s="13" t="s">
        <v>140</v>
      </c>
      <c r="J84" s="30">
        <f>(IF(B76&gt;2,(H76/(B76+2)+J83),0))</f>
        <v>0</v>
      </c>
    </row>
    <row r="85" spans="1:19" ht="15.75" customHeight="1" x14ac:dyDescent="0.35">
      <c r="A85" s="161" t="s">
        <v>128</v>
      </c>
      <c r="B85" s="161" t="s">
        <v>128</v>
      </c>
      <c r="C85" s="103">
        <v>2</v>
      </c>
      <c r="D85" s="94">
        <f ca="1">((100/H76)*C85)/100</f>
        <v>0.28571428571428575</v>
      </c>
      <c r="E85" s="164"/>
      <c r="F85" s="164"/>
      <c r="G85" s="164"/>
      <c r="H85" s="164"/>
      <c r="I85" s="13" t="s">
        <v>141</v>
      </c>
      <c r="J85" s="31">
        <f>(IF(B76&gt;3,(H76/(B76+2)+J84),0))</f>
        <v>0</v>
      </c>
    </row>
    <row r="86" spans="1:19" ht="15.75" customHeight="1" x14ac:dyDescent="0.35">
      <c r="A86" s="161" t="s">
        <v>135</v>
      </c>
      <c r="B86" s="161"/>
      <c r="C86" s="103">
        <v>0</v>
      </c>
      <c r="D86" s="94">
        <f ca="1">((100/H76)*C86)/100</f>
        <v>0</v>
      </c>
      <c r="E86" s="164"/>
      <c r="F86" s="164"/>
      <c r="G86" s="164"/>
      <c r="H86" s="164"/>
      <c r="I86" s="13" t="s">
        <v>142</v>
      </c>
      <c r="J86" s="30">
        <f>(IF(B76&gt;4,(H76/(B76+2)+J85),0))</f>
        <v>0</v>
      </c>
    </row>
    <row r="87" spans="1:19" ht="15.75" customHeight="1" x14ac:dyDescent="0.35">
      <c r="A87" s="161" t="s">
        <v>130</v>
      </c>
      <c r="B87" s="161" t="s">
        <v>130</v>
      </c>
      <c r="C87" s="103">
        <v>0</v>
      </c>
      <c r="D87" s="94">
        <f ca="1">((100/(H76))*C87)/100</f>
        <v>0</v>
      </c>
      <c r="E87" s="164"/>
      <c r="F87" s="164"/>
      <c r="G87" s="164"/>
      <c r="H87" s="164"/>
      <c r="I87" s="13" t="s">
        <v>146</v>
      </c>
      <c r="J87" s="30">
        <f ca="1">(IF(B76=1,(H76/(B76+3)+J82),IF(B76=0,(H76/4+J82),IF(B76&gt;1,0))))</f>
        <v>5.25</v>
      </c>
    </row>
    <row r="88" spans="1:19" ht="16" thickBot="1" x14ac:dyDescent="0.4">
      <c r="A88" s="161" t="s">
        <v>131</v>
      </c>
      <c r="B88" s="161"/>
      <c r="C88" s="103">
        <v>0</v>
      </c>
      <c r="D88" s="94">
        <f ca="1">((100/(H76))*C88)/100</f>
        <v>0</v>
      </c>
      <c r="E88" s="164"/>
      <c r="F88" s="164"/>
      <c r="G88" s="164"/>
      <c r="H88" s="164"/>
      <c r="I88" s="15" t="s">
        <v>100</v>
      </c>
      <c r="J88" s="32">
        <f ca="1">(IF(B76&gt;1.5,(H76/(B76+2)+J82+MAX(0,J83-J82)+MAX(0,J84-J83)+MAX(0,J85-J84)+MAX(0,J86-J85)+MAX(0,J87-J86)),IF(B76=1,(H76/(B76+3)+J87),IF(B76=0,H76/4+J87))))</f>
        <v>7</v>
      </c>
    </row>
    <row r="89" spans="1:19" ht="15.75" hidden="1" customHeight="1" x14ac:dyDescent="0.35">
      <c r="A89" s="246" t="s">
        <v>137</v>
      </c>
      <c r="B89" s="247"/>
      <c r="C89" s="248" t="str">
        <f>D66</f>
        <v>B Wing = 1B + G + 1st to 19th Floor</v>
      </c>
      <c r="D89" s="249"/>
      <c r="E89" s="249"/>
      <c r="F89" s="249"/>
      <c r="G89" s="249"/>
      <c r="H89" s="250"/>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16" t="s">
        <v>139</v>
      </c>
      <c r="B90" s="50">
        <f>IF(AND(ISNUMBER(SEARCH("1B",C89))),1,IF(AND(ISNUMBER(SEARCH("2B",C89))),2,IF(AND(ISNUMBER(SEARCH("3B",C89))),3,IF(AND(ISNUMBER(SEARCH("4B",C89))),4,IF(ISNUMBER(SEARCH("5B",C89)),5,0)))))</f>
        <v>1</v>
      </c>
      <c r="C90" s="50" t="s">
        <v>69</v>
      </c>
      <c r="D90" s="50">
        <v>1</v>
      </c>
      <c r="E90" s="50" t="s">
        <v>68</v>
      </c>
      <c r="F90" s="14">
        <v>0</v>
      </c>
      <c r="G90" s="45" t="s">
        <v>76</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35">
      <c r="A91" s="125" t="s">
        <v>86</v>
      </c>
      <c r="B91" s="126"/>
      <c r="C91" s="127" t="str">
        <f ca="1">I89</f>
        <v xml:space="preserve">Excavation, Plinth Completed </v>
      </c>
      <c r="D91" s="127"/>
      <c r="E91" s="127"/>
      <c r="F91" s="127"/>
      <c r="G91" s="127"/>
      <c r="H91" s="128"/>
      <c r="I91" s="48" t="str">
        <f ca="1">IF(I90&lt;&gt;""," Completed","")</f>
        <v xml:space="preserve"> Completed</v>
      </c>
      <c r="J91" s="49" t="str">
        <f ca="1">IF(J89&lt;&gt;"","Completed","")</f>
        <v/>
      </c>
      <c r="S91"/>
    </row>
    <row r="92" spans="1:19" ht="15.75" hidden="1" customHeight="1" x14ac:dyDescent="0.35">
      <c r="A92" s="112" t="s">
        <v>47</v>
      </c>
      <c r="B92" s="113"/>
      <c r="C92" s="84" t="s">
        <v>136</v>
      </c>
      <c r="D92" s="84" t="s">
        <v>79</v>
      </c>
      <c r="E92" s="113" t="s">
        <v>81</v>
      </c>
      <c r="F92" s="113"/>
      <c r="G92" s="113" t="s">
        <v>80</v>
      </c>
      <c r="H92" s="129"/>
      <c r="I92" s="13" t="s">
        <v>138</v>
      </c>
      <c r="J92" s="28">
        <f ca="1">H90*25%</f>
        <v>4.75</v>
      </c>
      <c r="S92"/>
    </row>
    <row r="93" spans="1:19" hidden="1" x14ac:dyDescent="0.35">
      <c r="A93" s="112" t="s">
        <v>125</v>
      </c>
      <c r="B93" s="113"/>
      <c r="C93" s="62">
        <f ca="1">J94</f>
        <v>19</v>
      </c>
      <c r="D93" s="19">
        <f ca="1">((100/H90)*C93)/100</f>
        <v>1</v>
      </c>
      <c r="E93" s="114">
        <f ca="1">(((C94/H90*10)+(40/(D90+F90+H90)*C95)+(7.5/(H90)*C96)+(7.5/(H90)*C97)+(10/H90*C98)+(10/H90*C99)+(5/H90*C100)+(5/H90*C101)+(5/H90*C102))/100)</f>
        <v>0.1</v>
      </c>
      <c r="F93" s="115"/>
      <c r="G93" s="114">
        <f ca="1">((((C93/H90)*20)+((C94/H90)*25)+(30/(H90+F90+D90)*C95)+(5/H90*C96)+(5/H90*C97)+(5/H90*C98)+(5/H90*C99)+(0/H90*C100)+(0/H90*C101)+(5/H90*C102))/100)</f>
        <v>0.45</v>
      </c>
      <c r="H93" s="130"/>
      <c r="I93" s="13" t="s">
        <v>96</v>
      </c>
      <c r="J93" s="29">
        <f ca="1">H90*50%</f>
        <v>9.5</v>
      </c>
    </row>
    <row r="94" spans="1:19" hidden="1" x14ac:dyDescent="0.35">
      <c r="A94" s="112" t="s">
        <v>48</v>
      </c>
      <c r="B94" s="113"/>
      <c r="C94" s="84">
        <f ca="1">J102</f>
        <v>19</v>
      </c>
      <c r="D94" s="19">
        <f ca="1">((100/H90)*C94)/100</f>
        <v>1</v>
      </c>
      <c r="E94" s="116"/>
      <c r="F94" s="117"/>
      <c r="G94" s="116"/>
      <c r="H94" s="131"/>
      <c r="I94" s="13" t="s">
        <v>97</v>
      </c>
      <c r="J94" s="29">
        <f ca="1">H90</f>
        <v>19</v>
      </c>
      <c r="S94"/>
    </row>
    <row r="95" spans="1:19" ht="15.75" hidden="1" customHeight="1" x14ac:dyDescent="0.35">
      <c r="A95" s="112" t="s">
        <v>126</v>
      </c>
      <c r="B95" s="113"/>
      <c r="C95" s="84">
        <v>0</v>
      </c>
      <c r="D95" s="19">
        <f ca="1">((100/(D90+F90+H90))*C95)/100</f>
        <v>0</v>
      </c>
      <c r="E95" s="116"/>
      <c r="F95" s="117"/>
      <c r="G95" s="116"/>
      <c r="H95" s="131"/>
      <c r="I95" s="13" t="s">
        <v>98</v>
      </c>
      <c r="J95" s="30">
        <f ca="1">(IF(B90&gt;1,(H90/(B90+2)),H90/4))</f>
        <v>4.75</v>
      </c>
      <c r="S95"/>
    </row>
    <row r="96" spans="1:19" ht="15.75" hidden="1" customHeight="1" x14ac:dyDescent="0.35">
      <c r="A96" s="112" t="s">
        <v>133</v>
      </c>
      <c r="B96" s="113" t="s">
        <v>127</v>
      </c>
      <c r="C96" s="84">
        <v>0</v>
      </c>
      <c r="D96" s="19">
        <f ca="1">((100/H90)*C96)/100</f>
        <v>0</v>
      </c>
      <c r="E96" s="116"/>
      <c r="F96" s="117"/>
      <c r="G96" s="116"/>
      <c r="H96" s="131"/>
      <c r="I96" s="13" t="s">
        <v>99</v>
      </c>
      <c r="J96" s="30">
        <f ca="1">(IF(B90&gt;1,(H90/(B90+2)+J95),H90/4+J95))</f>
        <v>9.5</v>
      </c>
    </row>
    <row r="97" spans="1:19" ht="15.75" hidden="1" customHeight="1" x14ac:dyDescent="0.35">
      <c r="A97" s="112" t="s">
        <v>134</v>
      </c>
      <c r="B97" s="113" t="s">
        <v>127</v>
      </c>
      <c r="C97" s="84">
        <v>0</v>
      </c>
      <c r="D97" s="19">
        <f ca="1">((100/H90)*C97)/100</f>
        <v>0</v>
      </c>
      <c r="E97" s="116"/>
      <c r="F97" s="117"/>
      <c r="G97" s="116"/>
      <c r="H97" s="131"/>
      <c r="I97" s="13" t="s">
        <v>145</v>
      </c>
      <c r="J97" s="30">
        <f>(IF(B90&gt;1,(H90/(B90+2)+J96),0))</f>
        <v>0</v>
      </c>
    </row>
    <row r="98" spans="1:19" ht="15" hidden="1" customHeight="1" x14ac:dyDescent="0.35">
      <c r="A98" s="112" t="s">
        <v>132</v>
      </c>
      <c r="B98" s="113" t="s">
        <v>129</v>
      </c>
      <c r="C98" s="84">
        <v>0</v>
      </c>
      <c r="D98" s="19">
        <f ca="1">((100/(H90))*C98)/100</f>
        <v>0</v>
      </c>
      <c r="E98" s="116"/>
      <c r="F98" s="117"/>
      <c r="G98" s="116"/>
      <c r="H98" s="131"/>
      <c r="I98" s="13" t="s">
        <v>140</v>
      </c>
      <c r="J98" s="30">
        <f>(IF(B90&gt;2,(H90/(B90+2)+J97),0))</f>
        <v>0</v>
      </c>
    </row>
    <row r="99" spans="1:19" ht="15.75" hidden="1" customHeight="1" x14ac:dyDescent="0.35">
      <c r="A99" s="112" t="s">
        <v>128</v>
      </c>
      <c r="B99" s="113" t="s">
        <v>128</v>
      </c>
      <c r="C99" s="84">
        <v>0</v>
      </c>
      <c r="D99" s="19">
        <f ca="1">((100/H90)*C99)/100</f>
        <v>0</v>
      </c>
      <c r="E99" s="116"/>
      <c r="F99" s="117"/>
      <c r="G99" s="116"/>
      <c r="H99" s="131"/>
      <c r="I99" s="13" t="s">
        <v>141</v>
      </c>
      <c r="J99" s="31">
        <f>(IF(B90&gt;3,(H90/(B90+2)+J98),0))</f>
        <v>0</v>
      </c>
    </row>
    <row r="100" spans="1:19" ht="15.75" hidden="1" customHeight="1" x14ac:dyDescent="0.35">
      <c r="A100" s="112" t="s">
        <v>135</v>
      </c>
      <c r="B100" s="113"/>
      <c r="C100" s="84">
        <v>0</v>
      </c>
      <c r="D100" s="19">
        <f ca="1">((100/H90)*C100)/100</f>
        <v>0</v>
      </c>
      <c r="E100" s="116"/>
      <c r="F100" s="117"/>
      <c r="G100" s="116"/>
      <c r="H100" s="131"/>
      <c r="I100" s="13" t="s">
        <v>142</v>
      </c>
      <c r="J100" s="30">
        <f>(IF(B90&gt;4,(H90/(B90+2)+J99),0))</f>
        <v>0</v>
      </c>
    </row>
    <row r="101" spans="1:19" ht="15.75" hidden="1" customHeight="1" x14ac:dyDescent="0.35">
      <c r="A101" s="112" t="s">
        <v>130</v>
      </c>
      <c r="B101" s="113" t="s">
        <v>130</v>
      </c>
      <c r="C101" s="84">
        <v>0</v>
      </c>
      <c r="D101" s="19">
        <f ca="1">((100/(H90))*C101)/100</f>
        <v>0</v>
      </c>
      <c r="E101" s="116"/>
      <c r="F101" s="117"/>
      <c r="G101" s="116"/>
      <c r="H101" s="131"/>
      <c r="I101" s="13" t="s">
        <v>146</v>
      </c>
      <c r="J101" s="30">
        <f ca="1">(IF(B90=1,(H90/(B90+3)+J96),IF(B90=0,(H90/4+J96),IF(B90&gt;1,0))))</f>
        <v>14.25</v>
      </c>
    </row>
    <row r="102" spans="1:19" ht="16" hidden="1" thickBot="1" x14ac:dyDescent="0.4">
      <c r="A102" s="226" t="s">
        <v>131</v>
      </c>
      <c r="B102" s="227"/>
      <c r="C102" s="83">
        <v>0</v>
      </c>
      <c r="D102" s="20">
        <f ca="1">((100/(H90))*C102)/100</f>
        <v>0</v>
      </c>
      <c r="E102" s="118"/>
      <c r="F102" s="119"/>
      <c r="G102" s="118"/>
      <c r="H102" s="132"/>
      <c r="I102" s="15" t="s">
        <v>100</v>
      </c>
      <c r="J102" s="32">
        <f ca="1">(IF(B90&gt;1.5,(H90/(B90+2)+J96+MAX(0,J97-J96)+MAX(0,J98-J97)+MAX(0,J99-J98)+MAX(0,J100-J99)+MAX(0,J101-J100)),IF(B90=1,(H90/(B90+3)+J101),IF(B90=0,H90/4+J101))))</f>
        <v>19</v>
      </c>
    </row>
    <row r="103" spans="1:19" ht="15.75" hidden="1" customHeight="1" x14ac:dyDescent="0.35">
      <c r="A103" s="120" t="s">
        <v>137</v>
      </c>
      <c r="B103" s="121"/>
      <c r="C103" s="122" t="str">
        <f>D67</f>
        <v>C Wing = 1B + G + 1st to 20th Floor</v>
      </c>
      <c r="D103" s="123"/>
      <c r="E103" s="123"/>
      <c r="F103" s="123"/>
      <c r="G103" s="123"/>
      <c r="H103" s="124"/>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35">
      <c r="A104" s="16" t="s">
        <v>139</v>
      </c>
      <c r="B104" s="50">
        <f>IF(AND(ISNUMBER(SEARCH("1B",C103))),1,IF(AND(ISNUMBER(SEARCH("2B",C103))),2,IF(AND(ISNUMBER(SEARCH("3B",C103))),3,IF(AND(ISNUMBER(SEARCH("4B",C103))),4,IF(ISNUMBER(SEARCH("5B",C103)),5,0)))))</f>
        <v>1</v>
      </c>
      <c r="C104" s="50" t="s">
        <v>69</v>
      </c>
      <c r="D104" s="50">
        <v>1</v>
      </c>
      <c r="E104" s="50" t="s">
        <v>68</v>
      </c>
      <c r="F104" s="14">
        <v>0</v>
      </c>
      <c r="G104" s="45" t="s">
        <v>76</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t="36.75" hidden="1" customHeight="1" x14ac:dyDescent="0.35">
      <c r="A105" s="125" t="s">
        <v>86</v>
      </c>
      <c r="B105" s="126"/>
      <c r="C105" s="127" t="str">
        <f ca="1">I103</f>
        <v xml:space="preserve">Excavation, Plinth Completed </v>
      </c>
      <c r="D105" s="127"/>
      <c r="E105" s="127"/>
      <c r="F105" s="127"/>
      <c r="G105" s="127"/>
      <c r="H105" s="128"/>
      <c r="I105" s="48" t="str">
        <f ca="1">IF(I104&lt;&gt;""," Completed","")</f>
        <v xml:space="preserve"> Completed</v>
      </c>
      <c r="J105" s="49" t="str">
        <f ca="1">IF(J103&lt;&gt;"","Completed","")</f>
        <v/>
      </c>
      <c r="S105"/>
    </row>
    <row r="106" spans="1:19" ht="15.75" hidden="1" customHeight="1" x14ac:dyDescent="0.35">
      <c r="A106" s="112" t="s">
        <v>47</v>
      </c>
      <c r="B106" s="113"/>
      <c r="C106" s="84" t="s">
        <v>136</v>
      </c>
      <c r="D106" s="84" t="s">
        <v>79</v>
      </c>
      <c r="E106" s="113" t="s">
        <v>81</v>
      </c>
      <c r="F106" s="113"/>
      <c r="G106" s="113" t="s">
        <v>80</v>
      </c>
      <c r="H106" s="129"/>
      <c r="I106" s="13" t="s">
        <v>138</v>
      </c>
      <c r="J106" s="28">
        <f ca="1">H104*25%</f>
        <v>5</v>
      </c>
      <c r="S106"/>
    </row>
    <row r="107" spans="1:19" hidden="1" x14ac:dyDescent="0.35">
      <c r="A107" s="112" t="s">
        <v>125</v>
      </c>
      <c r="B107" s="113"/>
      <c r="C107" s="62">
        <f ca="1">J108</f>
        <v>20</v>
      </c>
      <c r="D107" s="19">
        <f ca="1">((100/H104)*C107)/100</f>
        <v>1</v>
      </c>
      <c r="E107" s="114">
        <f ca="1">(((C108/H104*10)+(40/(D104+F104+H104)*C109)+(7.5/(H104)*C110)+(7.5/(H104)*C111)+(10/H104*C112)+(10/H104*C113)+(5/H104*C114)+(5/H104*C115)+(5/H104*C116))/100)</f>
        <v>0.1</v>
      </c>
      <c r="F107" s="115"/>
      <c r="G107" s="114">
        <f ca="1">((((C107/H104)*20)+((C108/H104)*25)+(30/(H104+F104+D104)*C109)+(5/H104*C110)+(5/H104*C111)+(5/H104*C112)+(5/H104*C113)+(0/H104*C114)+(0/H104*C115)+(5/H104*C116))/100)</f>
        <v>0.45</v>
      </c>
      <c r="H107" s="130"/>
      <c r="I107" s="13" t="s">
        <v>96</v>
      </c>
      <c r="J107" s="29">
        <f ca="1">H104*50%</f>
        <v>10</v>
      </c>
    </row>
    <row r="108" spans="1:19" hidden="1" x14ac:dyDescent="0.35">
      <c r="A108" s="112" t="s">
        <v>48</v>
      </c>
      <c r="B108" s="113"/>
      <c r="C108" s="84">
        <f ca="1">J116</f>
        <v>20</v>
      </c>
      <c r="D108" s="19">
        <f ca="1">((100/H104)*C108)/100</f>
        <v>1</v>
      </c>
      <c r="E108" s="116"/>
      <c r="F108" s="117"/>
      <c r="G108" s="116"/>
      <c r="H108" s="131"/>
      <c r="I108" s="13" t="s">
        <v>97</v>
      </c>
      <c r="J108" s="29">
        <f ca="1">H104</f>
        <v>20</v>
      </c>
      <c r="S108"/>
    </row>
    <row r="109" spans="1:19" ht="15.75" hidden="1" customHeight="1" x14ac:dyDescent="0.35">
      <c r="A109" s="112" t="s">
        <v>126</v>
      </c>
      <c r="B109" s="113"/>
      <c r="C109" s="84">
        <v>0</v>
      </c>
      <c r="D109" s="19">
        <f ca="1">((100/(D104+F104+H104))*C109)/100</f>
        <v>0</v>
      </c>
      <c r="E109" s="116"/>
      <c r="F109" s="117"/>
      <c r="G109" s="116"/>
      <c r="H109" s="131"/>
      <c r="I109" s="13" t="s">
        <v>98</v>
      </c>
      <c r="J109" s="30">
        <f ca="1">(IF(B104&gt;1,(H104/(B104+2)),H104/4))</f>
        <v>5</v>
      </c>
      <c r="S109"/>
    </row>
    <row r="110" spans="1:19" ht="15.75" hidden="1" customHeight="1" x14ac:dyDescent="0.35">
      <c r="A110" s="112" t="s">
        <v>133</v>
      </c>
      <c r="B110" s="113" t="s">
        <v>127</v>
      </c>
      <c r="C110" s="84">
        <v>0</v>
      </c>
      <c r="D110" s="19">
        <f ca="1">((100/H104)*C110)/100</f>
        <v>0</v>
      </c>
      <c r="E110" s="116"/>
      <c r="F110" s="117"/>
      <c r="G110" s="116"/>
      <c r="H110" s="131"/>
      <c r="I110" s="13" t="s">
        <v>99</v>
      </c>
      <c r="J110" s="30">
        <f ca="1">(IF(B104&gt;1,(H104/(B104+2)+J109),H104/4+J109))</f>
        <v>10</v>
      </c>
    </row>
    <row r="111" spans="1:19" ht="15.75" hidden="1" customHeight="1" x14ac:dyDescent="0.35">
      <c r="A111" s="112" t="s">
        <v>134</v>
      </c>
      <c r="B111" s="113" t="s">
        <v>127</v>
      </c>
      <c r="C111" s="84">
        <v>0</v>
      </c>
      <c r="D111" s="19">
        <f ca="1">((100/H104)*C111)/100</f>
        <v>0</v>
      </c>
      <c r="E111" s="116"/>
      <c r="F111" s="117"/>
      <c r="G111" s="116"/>
      <c r="H111" s="131"/>
      <c r="I111" s="13" t="s">
        <v>145</v>
      </c>
      <c r="J111" s="30">
        <f>(IF(B104&gt;1,(H104/(B104+2)+J110),0))</f>
        <v>0</v>
      </c>
    </row>
    <row r="112" spans="1:19" ht="15" hidden="1" customHeight="1" x14ac:dyDescent="0.35">
      <c r="A112" s="112" t="s">
        <v>132</v>
      </c>
      <c r="B112" s="113" t="s">
        <v>129</v>
      </c>
      <c r="C112" s="84">
        <v>0</v>
      </c>
      <c r="D112" s="19">
        <f ca="1">((100/(H104))*C112)/100</f>
        <v>0</v>
      </c>
      <c r="E112" s="116"/>
      <c r="F112" s="117"/>
      <c r="G112" s="116"/>
      <c r="H112" s="131"/>
      <c r="I112" s="13" t="s">
        <v>140</v>
      </c>
      <c r="J112" s="30">
        <f>(IF(B104&gt;2,(H104/(B104+2)+J111),0))</f>
        <v>0</v>
      </c>
    </row>
    <row r="113" spans="1:22" ht="15.75" hidden="1" customHeight="1" x14ac:dyDescent="0.35">
      <c r="A113" s="112" t="s">
        <v>128</v>
      </c>
      <c r="B113" s="113" t="s">
        <v>128</v>
      </c>
      <c r="C113" s="84">
        <v>0</v>
      </c>
      <c r="D113" s="19">
        <f ca="1">((100/H104)*C113)/100</f>
        <v>0</v>
      </c>
      <c r="E113" s="116"/>
      <c r="F113" s="117"/>
      <c r="G113" s="116"/>
      <c r="H113" s="131"/>
      <c r="I113" s="13" t="s">
        <v>141</v>
      </c>
      <c r="J113" s="31">
        <f>(IF(B104&gt;3,(H104/(B104+2)+J112),0))</f>
        <v>0</v>
      </c>
    </row>
    <row r="114" spans="1:22" ht="15.75" hidden="1" customHeight="1" x14ac:dyDescent="0.35">
      <c r="A114" s="112" t="s">
        <v>135</v>
      </c>
      <c r="B114" s="113"/>
      <c r="C114" s="84">
        <v>0</v>
      </c>
      <c r="D114" s="19">
        <f ca="1">((100/H104)*C114)/100</f>
        <v>0</v>
      </c>
      <c r="E114" s="116"/>
      <c r="F114" s="117"/>
      <c r="G114" s="116"/>
      <c r="H114" s="131"/>
      <c r="I114" s="13" t="s">
        <v>142</v>
      </c>
      <c r="J114" s="30">
        <f>(IF(B104&gt;4,(H104/(B104+2)+J113),0))</f>
        <v>0</v>
      </c>
    </row>
    <row r="115" spans="1:22" ht="15.75" hidden="1" customHeight="1" x14ac:dyDescent="0.35">
      <c r="A115" s="112" t="s">
        <v>130</v>
      </c>
      <c r="B115" s="113" t="s">
        <v>130</v>
      </c>
      <c r="C115" s="84">
        <v>0</v>
      </c>
      <c r="D115" s="19">
        <f ca="1">((100/(H104))*C115)/100</f>
        <v>0</v>
      </c>
      <c r="E115" s="116"/>
      <c r="F115" s="117"/>
      <c r="G115" s="116"/>
      <c r="H115" s="131"/>
      <c r="I115" s="13" t="s">
        <v>146</v>
      </c>
      <c r="J115" s="30">
        <f ca="1">(IF(B104=1,(H104/(B104+3)+J110),IF(B104=0,(H104/4+J110),IF(B104&gt;1,0))))</f>
        <v>15</v>
      </c>
    </row>
    <row r="116" spans="1:22" ht="16" hidden="1" thickBot="1" x14ac:dyDescent="0.4">
      <c r="A116" s="226" t="s">
        <v>131</v>
      </c>
      <c r="B116" s="227"/>
      <c r="C116" s="83">
        <v>0</v>
      </c>
      <c r="D116" s="20">
        <f ca="1">((100/(H104))*C116)/100</f>
        <v>0</v>
      </c>
      <c r="E116" s="118"/>
      <c r="F116" s="119"/>
      <c r="G116" s="118"/>
      <c r="H116" s="132"/>
      <c r="I116" s="15" t="s">
        <v>100</v>
      </c>
      <c r="J116" s="32">
        <f ca="1">(IF(B104&gt;1.5,(H104/(B104+2)+J110+MAX(0,J111-J110)+MAX(0,J112-J111)+MAX(0,J113-J112)+MAX(0,J114-J113)+MAX(0,J115-J114)),IF(B104=1,(H104/(B104+3)+J115),IF(B104=0,H104/4+J115))))</f>
        <v>20</v>
      </c>
    </row>
    <row r="117" spans="1:22" x14ac:dyDescent="0.35">
      <c r="A117" s="243" t="s">
        <v>157</v>
      </c>
      <c r="B117" s="243"/>
      <c r="C117" s="243"/>
      <c r="D117" s="243"/>
      <c r="E117" s="243"/>
      <c r="F117" s="145" t="s">
        <v>161</v>
      </c>
      <c r="G117" s="145"/>
      <c r="H117" s="145"/>
      <c r="R117" t="s">
        <v>255</v>
      </c>
      <c r="S117" t="s">
        <v>174</v>
      </c>
      <c r="T117" t="s">
        <v>181</v>
      </c>
      <c r="U117" t="s">
        <v>195</v>
      </c>
      <c r="V117" t="s">
        <v>190</v>
      </c>
    </row>
    <row r="118" spans="1:22" x14ac:dyDescent="0.35">
      <c r="A118" s="107" t="s">
        <v>159</v>
      </c>
      <c r="B118" s="107"/>
      <c r="C118" s="107"/>
      <c r="D118" s="107"/>
      <c r="E118" s="107"/>
      <c r="F118" s="108">
        <v>5000</v>
      </c>
      <c r="G118" s="108"/>
      <c r="H118" s="108"/>
      <c r="J118" s="93" t="s">
        <v>395</v>
      </c>
      <c r="K118" s="21" t="s">
        <v>396</v>
      </c>
      <c r="L118" s="21" t="s">
        <v>397</v>
      </c>
      <c r="R118"/>
      <c r="S118">
        <v>800000</v>
      </c>
      <c r="T118">
        <v>150000</v>
      </c>
      <c r="U118">
        <v>100000</v>
      </c>
      <c r="V118">
        <v>100000</v>
      </c>
    </row>
    <row r="119" spans="1:22" hidden="1" x14ac:dyDescent="0.35">
      <c r="A119" s="107" t="s">
        <v>158</v>
      </c>
      <c r="B119" s="107"/>
      <c r="C119" s="107"/>
      <c r="D119" s="107"/>
      <c r="E119" s="107"/>
      <c r="F119" s="108"/>
      <c r="G119" s="108"/>
      <c r="H119" s="108"/>
      <c r="J119" s="93"/>
      <c r="R119"/>
      <c r="S119">
        <v>900000</v>
      </c>
      <c r="T119">
        <v>200000</v>
      </c>
      <c r="U119">
        <v>150000</v>
      </c>
      <c r="V119">
        <v>150000</v>
      </c>
    </row>
    <row r="120" spans="1:22" hidden="1" x14ac:dyDescent="0.35">
      <c r="A120" s="107" t="s">
        <v>160</v>
      </c>
      <c r="B120" s="107"/>
      <c r="C120" s="107"/>
      <c r="D120" s="107"/>
      <c r="E120" s="107"/>
      <c r="F120" s="108"/>
      <c r="G120" s="108"/>
      <c r="H120" s="108"/>
      <c r="J120" s="93"/>
      <c r="R120"/>
      <c r="S120">
        <v>1000000</v>
      </c>
      <c r="T120">
        <v>250000</v>
      </c>
      <c r="U120">
        <v>200000</v>
      </c>
      <c r="V120">
        <v>200000</v>
      </c>
    </row>
    <row r="121" spans="1:22" s="33" customFormat="1" hidden="1" x14ac:dyDescent="0.35">
      <c r="A121" s="107" t="s">
        <v>176</v>
      </c>
      <c r="B121" s="107"/>
      <c r="C121" s="107"/>
      <c r="D121" s="107"/>
      <c r="E121" s="107"/>
      <c r="F121" s="108"/>
      <c r="G121" s="108"/>
      <c r="H121" s="108"/>
      <c r="J121" s="96"/>
      <c r="R121"/>
      <c r="S121">
        <v>1100000</v>
      </c>
      <c r="T121">
        <v>300000</v>
      </c>
      <c r="U121">
        <v>250000</v>
      </c>
      <c r="V121" s="23">
        <v>250000</v>
      </c>
    </row>
    <row r="122" spans="1:22" s="33" customFormat="1" x14ac:dyDescent="0.35">
      <c r="A122" s="107" t="s">
        <v>405</v>
      </c>
      <c r="B122" s="107"/>
      <c r="C122" s="107"/>
      <c r="D122" s="107"/>
      <c r="E122" s="107"/>
      <c r="F122" s="108">
        <v>300000</v>
      </c>
      <c r="G122" s="108"/>
      <c r="H122" s="108"/>
      <c r="J122" s="96"/>
      <c r="R122"/>
      <c r="S122">
        <v>1100000</v>
      </c>
      <c r="T122">
        <v>300000</v>
      </c>
      <c r="U122">
        <v>250000</v>
      </c>
      <c r="V122" s="23">
        <v>250000</v>
      </c>
    </row>
    <row r="123" spans="1:22" s="33" customFormat="1" hidden="1" x14ac:dyDescent="0.35">
      <c r="A123" s="107" t="s">
        <v>91</v>
      </c>
      <c r="B123" s="107"/>
      <c r="C123" s="107"/>
      <c r="D123" s="107"/>
      <c r="E123" s="107"/>
      <c r="F123" s="108">
        <v>150000</v>
      </c>
      <c r="G123" s="108"/>
      <c r="H123" s="108"/>
      <c r="J123" s="96">
        <v>4400</v>
      </c>
      <c r="K123" s="33">
        <v>4000</v>
      </c>
      <c r="L123" s="33">
        <v>4000</v>
      </c>
      <c r="R123"/>
      <c r="S123">
        <v>1200000</v>
      </c>
      <c r="T123">
        <v>350000</v>
      </c>
      <c r="U123">
        <v>300000</v>
      </c>
      <c r="V123">
        <v>300000</v>
      </c>
    </row>
    <row r="124" spans="1:22" s="33" customFormat="1" hidden="1" x14ac:dyDescent="0.35">
      <c r="A124" s="107" t="s">
        <v>394</v>
      </c>
      <c r="B124" s="107"/>
      <c r="C124" s="107"/>
      <c r="D124" s="107"/>
      <c r="E124" s="107"/>
      <c r="F124" s="108">
        <v>40000</v>
      </c>
      <c r="G124" s="108"/>
      <c r="H124" s="108"/>
      <c r="J124" s="33" t="s">
        <v>399</v>
      </c>
      <c r="R124"/>
      <c r="S124">
        <v>1300000</v>
      </c>
      <c r="T124">
        <v>400000</v>
      </c>
      <c r="U124">
        <v>350000</v>
      </c>
      <c r="V124" s="23">
        <v>400000</v>
      </c>
    </row>
    <row r="125" spans="1:22" s="33" customFormat="1" hidden="1" x14ac:dyDescent="0.35">
      <c r="A125" s="107" t="s">
        <v>92</v>
      </c>
      <c r="B125" s="107"/>
      <c r="C125" s="107"/>
      <c r="D125" s="107"/>
      <c r="E125" s="107"/>
      <c r="F125" s="108"/>
      <c r="G125" s="108"/>
      <c r="H125" s="108"/>
      <c r="R125"/>
      <c r="S125">
        <v>1400000</v>
      </c>
      <c r="T125">
        <v>500000</v>
      </c>
      <c r="U125">
        <v>400000</v>
      </c>
      <c r="V125"/>
    </row>
    <row r="126" spans="1:22" s="33" customFormat="1" hidden="1" x14ac:dyDescent="0.35">
      <c r="A126" s="107" t="s">
        <v>93</v>
      </c>
      <c r="B126" s="107"/>
      <c r="C126" s="107"/>
      <c r="D126" s="107"/>
      <c r="E126" s="107"/>
      <c r="F126" s="108"/>
      <c r="G126" s="108"/>
      <c r="H126" s="108"/>
      <c r="R126"/>
      <c r="S126">
        <v>1500000</v>
      </c>
      <c r="T126">
        <v>600000</v>
      </c>
      <c r="U126">
        <v>500000</v>
      </c>
      <c r="V126" s="23"/>
    </row>
    <row r="127" spans="1:22" s="33" customFormat="1" hidden="1" x14ac:dyDescent="0.35">
      <c r="A127" s="107" t="s">
        <v>94</v>
      </c>
      <c r="B127" s="107"/>
      <c r="C127" s="107"/>
      <c r="D127" s="107"/>
      <c r="E127" s="107"/>
      <c r="F127" s="108"/>
      <c r="G127" s="108"/>
      <c r="H127" s="108"/>
      <c r="R127"/>
      <c r="S127">
        <v>1600000</v>
      </c>
      <c r="T127">
        <v>700000</v>
      </c>
      <c r="U127">
        <v>600000</v>
      </c>
      <c r="V127"/>
    </row>
    <row r="128" spans="1:22" s="33" customFormat="1" hidden="1" x14ac:dyDescent="0.35">
      <c r="A128" s="107" t="s">
        <v>95</v>
      </c>
      <c r="B128" s="107"/>
      <c r="C128" s="107"/>
      <c r="D128" s="107"/>
      <c r="E128" s="107"/>
      <c r="F128" s="108">
        <v>15000</v>
      </c>
      <c r="G128" s="108"/>
      <c r="H128" s="108"/>
      <c r="J128" s="33">
        <v>3400</v>
      </c>
      <c r="R128"/>
      <c r="S128">
        <v>1700000</v>
      </c>
      <c r="T128">
        <v>800000</v>
      </c>
      <c r="U128"/>
      <c r="V128" s="23"/>
    </row>
    <row r="129" spans="1:22" x14ac:dyDescent="0.35">
      <c r="A129" s="107" t="s">
        <v>49</v>
      </c>
      <c r="B129" s="107"/>
      <c r="C129" s="107"/>
      <c r="D129" s="107"/>
      <c r="E129" s="107"/>
      <c r="F129" s="108">
        <v>300000</v>
      </c>
      <c r="G129" s="108"/>
      <c r="H129" s="108"/>
      <c r="J129" s="21" t="s">
        <v>404</v>
      </c>
      <c r="R129"/>
      <c r="S129">
        <v>1800000</v>
      </c>
      <c r="T129">
        <v>900000</v>
      </c>
      <c r="U129"/>
    </row>
    <row r="130" spans="1:22" s="34" customFormat="1" x14ac:dyDescent="0.35">
      <c r="A130" s="167" t="s">
        <v>50</v>
      </c>
      <c r="B130" s="167"/>
      <c r="C130" s="167"/>
      <c r="D130" s="167"/>
      <c r="E130" s="167"/>
      <c r="F130" s="108">
        <f>F118*0.8</f>
        <v>4000</v>
      </c>
      <c r="G130" s="108"/>
      <c r="H130" s="108"/>
      <c r="R130" s="21"/>
      <c r="S130" s="21"/>
      <c r="T130">
        <v>1000000</v>
      </c>
      <c r="U130"/>
      <c r="V130" s="21"/>
    </row>
    <row r="131" spans="1:22" s="35" customFormat="1" x14ac:dyDescent="0.35">
      <c r="A131" s="217" t="s">
        <v>67</v>
      </c>
      <c r="B131" s="217"/>
      <c r="C131" s="217"/>
      <c r="D131" s="217"/>
      <c r="E131" s="217"/>
      <c r="F131" s="217"/>
      <c r="G131" s="217"/>
      <c r="H131" s="217"/>
      <c r="T131"/>
    </row>
    <row r="132" spans="1:22" s="35" customFormat="1" ht="15.75" customHeight="1" x14ac:dyDescent="0.35">
      <c r="A132" s="218" t="s">
        <v>51</v>
      </c>
      <c r="B132" s="218"/>
      <c r="C132" s="237" t="s">
        <v>74</v>
      </c>
      <c r="D132" s="237"/>
      <c r="E132" s="144" t="s">
        <v>52</v>
      </c>
      <c r="F132" s="144"/>
      <c r="G132" s="218" t="s">
        <v>53</v>
      </c>
      <c r="H132" s="218"/>
      <c r="T132"/>
    </row>
    <row r="133" spans="1:22" s="35" customFormat="1" x14ac:dyDescent="0.35">
      <c r="A133" s="139" t="s">
        <v>365</v>
      </c>
      <c r="B133" s="139"/>
      <c r="C133" s="140">
        <f>COUNT(D152:D156)*7</f>
        <v>35</v>
      </c>
      <c r="D133" s="140"/>
      <c r="E133" s="140">
        <f t="shared" ref="E133" si="0">SUM(F152:F156)*7</f>
        <v>15281.139509999999</v>
      </c>
      <c r="F133" s="140"/>
      <c r="G133" s="140">
        <f>SUM(H152:H156)*7</f>
        <v>24535</v>
      </c>
      <c r="H133" s="140"/>
      <c r="T133"/>
    </row>
    <row r="134" spans="1:22" s="35" customFormat="1" ht="16" thickBot="1" x14ac:dyDescent="0.4">
      <c r="A134" s="139" t="s">
        <v>370</v>
      </c>
      <c r="B134" s="139"/>
      <c r="C134" s="140">
        <f>COUNT(D160:D164)*7</f>
        <v>35</v>
      </c>
      <c r="D134" s="140"/>
      <c r="E134" s="140">
        <f t="shared" ref="E134" si="1">SUM(F160:F164)*7</f>
        <v>15281.139509999999</v>
      </c>
      <c r="F134" s="140"/>
      <c r="G134" s="140">
        <f t="shared" ref="G134" si="2">SUM(H160:H164)*7</f>
        <v>24535</v>
      </c>
      <c r="H134" s="140"/>
      <c r="T134"/>
    </row>
    <row r="135" spans="1:22" s="35" customFormat="1" ht="16" hidden="1" thickBot="1" x14ac:dyDescent="0.4">
      <c r="A135" s="136" t="s">
        <v>150</v>
      </c>
      <c r="B135" s="136"/>
      <c r="C135" s="137">
        <f>C133+C134</f>
        <v>70</v>
      </c>
      <c r="D135" s="138"/>
      <c r="E135" s="137">
        <f t="shared" ref="E135" si="3">E133+E134</f>
        <v>30562.279019999998</v>
      </c>
      <c r="F135" s="138"/>
      <c r="G135" s="137">
        <f t="shared" ref="G135" si="4">G133+G134</f>
        <v>49070</v>
      </c>
      <c r="H135" s="138"/>
      <c r="T135"/>
    </row>
    <row r="136" spans="1:22" s="35" customFormat="1" ht="16" thickBot="1" x14ac:dyDescent="0.4">
      <c r="A136" s="148" t="s">
        <v>167</v>
      </c>
      <c r="B136" s="149"/>
      <c r="C136" s="241">
        <f>SUM(C133:D134)</f>
        <v>70</v>
      </c>
      <c r="D136" s="242"/>
      <c r="E136" s="150">
        <f>SUM(E133:F134)</f>
        <v>30562.279019999998</v>
      </c>
      <c r="F136" s="150"/>
      <c r="G136" s="156">
        <f>SUM(G133:H134)</f>
        <v>49070</v>
      </c>
      <c r="H136" s="157"/>
      <c r="T136"/>
    </row>
    <row r="137" spans="1:22" s="34" customFormat="1" x14ac:dyDescent="0.35">
      <c r="A137" s="145" t="s">
        <v>54</v>
      </c>
      <c r="B137" s="145"/>
      <c r="C137" s="145"/>
      <c r="D137" s="145"/>
      <c r="E137" s="145"/>
      <c r="F137" s="145"/>
      <c r="G137" s="145"/>
      <c r="H137" s="145"/>
      <c r="T137" s="35"/>
    </row>
    <row r="138" spans="1:22" x14ac:dyDescent="0.35">
      <c r="A138" s="233" t="s">
        <v>380</v>
      </c>
      <c r="B138" s="233"/>
      <c r="C138" s="233"/>
      <c r="D138" s="233"/>
      <c r="E138" s="233"/>
      <c r="F138" s="233"/>
      <c r="G138" s="233"/>
      <c r="H138" s="233"/>
      <c r="T138" s="35"/>
    </row>
    <row r="139" spans="1:22" ht="47.25" hidden="1" customHeight="1" x14ac:dyDescent="0.35">
      <c r="A139" s="105" t="s">
        <v>117</v>
      </c>
      <c r="B139" s="105" t="s">
        <v>177</v>
      </c>
      <c r="C139" s="105" t="s">
        <v>55</v>
      </c>
      <c r="D139" s="244" t="s">
        <v>233</v>
      </c>
      <c r="E139" s="153" t="s">
        <v>156</v>
      </c>
      <c r="F139" s="105" t="s">
        <v>56</v>
      </c>
      <c r="G139" s="153" t="s">
        <v>57</v>
      </c>
      <c r="H139" s="70" t="s">
        <v>148</v>
      </c>
      <c r="T139" s="35"/>
    </row>
    <row r="140" spans="1:22" s="37" customFormat="1" hidden="1" x14ac:dyDescent="0.35">
      <c r="A140" s="106"/>
      <c r="B140" s="106"/>
      <c r="C140" s="106"/>
      <c r="D140" s="245"/>
      <c r="E140" s="154"/>
      <c r="F140" s="106"/>
      <c r="G140" s="154"/>
      <c r="H140" s="56">
        <v>0.45</v>
      </c>
      <c r="T140" s="35"/>
    </row>
    <row r="141" spans="1:22" s="37" customFormat="1" hidden="1" x14ac:dyDescent="0.35">
      <c r="A141" s="228" t="s">
        <v>115</v>
      </c>
      <c r="B141" s="229"/>
      <c r="C141" s="229"/>
      <c r="D141" s="229"/>
      <c r="E141" s="229"/>
      <c r="F141" s="229"/>
      <c r="G141" s="229"/>
      <c r="H141" s="230"/>
      <c r="J141" s="36"/>
      <c r="T141" s="35"/>
    </row>
    <row r="142" spans="1:22" s="37" customFormat="1" ht="15.75" hidden="1" customHeight="1" x14ac:dyDescent="0.35">
      <c r="A142" s="141">
        <v>1</v>
      </c>
      <c r="B142" s="142"/>
      <c r="C142" s="42"/>
      <c r="D142" s="42"/>
      <c r="E142" s="42">
        <v>0</v>
      </c>
      <c r="F142" s="63">
        <f>D142+(IF(E142&lt;201,E142,IF(E142&lt;301,E142/2,E142/3)))</f>
        <v>0</v>
      </c>
      <c r="G142" s="64">
        <v>0</v>
      </c>
      <c r="H142" s="63">
        <f>(F142+(IF(G142&lt;101,G142,IF(G142&lt;201,G142/2,IF(G142&lt;=301,G142/3,G142/4)))))*(($H$140)+1)</f>
        <v>0</v>
      </c>
      <c r="I142" s="36"/>
      <c r="L142" s="163"/>
      <c r="M142" s="163"/>
      <c r="N142" s="36"/>
      <c r="T142" s="35"/>
    </row>
    <row r="143" spans="1:22" s="37" customFormat="1" ht="15.75" hidden="1" customHeight="1" x14ac:dyDescent="0.35">
      <c r="A143" s="141">
        <f>A142+1</f>
        <v>2</v>
      </c>
      <c r="B143" s="142"/>
      <c r="C143" s="42"/>
      <c r="D143" s="42"/>
      <c r="E143" s="42">
        <v>0</v>
      </c>
      <c r="F143" s="63">
        <f t="shared" ref="F143:F145" si="5">D143+(IF(E143&lt;201,E143,IF(E143&lt;301,E143/2,E143/3)))</f>
        <v>0</v>
      </c>
      <c r="G143" s="54">
        <v>0</v>
      </c>
      <c r="H143" s="63">
        <f t="shared" ref="H143:H145" si="6">(F143+(IF(G143&lt;101,G143,IF(G143&lt;201,G143/2,IF(G143&lt;=301,G143/3,G143/4)))))*(($H$140)+1)</f>
        <v>0</v>
      </c>
      <c r="I143" s="36"/>
      <c r="L143" s="163"/>
      <c r="M143" s="163"/>
      <c r="N143" s="36"/>
      <c r="T143" s="34"/>
    </row>
    <row r="144" spans="1:22" s="37" customFormat="1" ht="15.75" hidden="1" customHeight="1" x14ac:dyDescent="0.35">
      <c r="A144" s="141">
        <f>A143+1</f>
        <v>3</v>
      </c>
      <c r="B144" s="142"/>
      <c r="C144" s="42"/>
      <c r="D144" s="42"/>
      <c r="E144" s="42">
        <v>0</v>
      </c>
      <c r="F144" s="63">
        <f t="shared" si="5"/>
        <v>0</v>
      </c>
      <c r="G144" s="54">
        <v>0</v>
      </c>
      <c r="H144" s="63">
        <f t="shared" si="6"/>
        <v>0</v>
      </c>
      <c r="I144" s="36"/>
      <c r="L144" s="163"/>
      <c r="M144" s="163"/>
      <c r="N144" s="36"/>
      <c r="T144" s="21"/>
    </row>
    <row r="145" spans="1:20" s="37" customFormat="1" ht="15.75" hidden="1" customHeight="1" x14ac:dyDescent="0.35">
      <c r="A145" s="141">
        <f>A144+1</f>
        <v>4</v>
      </c>
      <c r="B145" s="142"/>
      <c r="C145" s="42"/>
      <c r="D145" s="42"/>
      <c r="E145" s="42">
        <v>0</v>
      </c>
      <c r="F145" s="63">
        <f t="shared" si="5"/>
        <v>0</v>
      </c>
      <c r="G145" s="54">
        <v>0</v>
      </c>
      <c r="H145" s="63">
        <f t="shared" si="6"/>
        <v>0</v>
      </c>
      <c r="I145" s="36"/>
      <c r="L145" s="163"/>
      <c r="M145" s="163"/>
      <c r="N145" s="36"/>
      <c r="T145" s="21"/>
    </row>
    <row r="146" spans="1:20" s="37" customFormat="1" hidden="1" x14ac:dyDescent="0.35">
      <c r="A146" s="141"/>
      <c r="B146" s="143"/>
      <c r="C146" s="143"/>
      <c r="D146" s="143"/>
      <c r="E146" s="143"/>
      <c r="F146" s="143"/>
      <c r="G146" s="143"/>
      <c r="H146" s="142"/>
      <c r="I146" s="36"/>
      <c r="N146" s="36"/>
    </row>
    <row r="147" spans="1:20" ht="47.25" customHeight="1" x14ac:dyDescent="0.35">
      <c r="A147" s="146" t="s">
        <v>118</v>
      </c>
      <c r="B147" s="105" t="s">
        <v>178</v>
      </c>
      <c r="C147" s="105" t="s">
        <v>55</v>
      </c>
      <c r="D147" s="224" t="s">
        <v>233</v>
      </c>
      <c r="E147" s="105" t="s">
        <v>368</v>
      </c>
      <c r="F147" s="105" t="s">
        <v>56</v>
      </c>
      <c r="G147" s="153" t="s">
        <v>57</v>
      </c>
      <c r="H147" s="69" t="s">
        <v>393</v>
      </c>
      <c r="I147" s="36"/>
      <c r="J147" s="89">
        <v>10.763999999999999</v>
      </c>
      <c r="T147" s="37"/>
    </row>
    <row r="148" spans="1:20" s="37" customFormat="1" hidden="1" x14ac:dyDescent="0.35">
      <c r="A148" s="147"/>
      <c r="B148" s="106"/>
      <c r="C148" s="106"/>
      <c r="D148" s="225"/>
      <c r="E148" s="106"/>
      <c r="F148" s="106"/>
      <c r="G148" s="154"/>
      <c r="H148" s="95">
        <v>0.45</v>
      </c>
      <c r="I148" s="36"/>
    </row>
    <row r="149" spans="1:20" s="90" customFormat="1" x14ac:dyDescent="0.35">
      <c r="A149" s="228" t="s">
        <v>365</v>
      </c>
      <c r="B149" s="229"/>
      <c r="C149" s="229"/>
      <c r="D149" s="229"/>
      <c r="E149" s="229"/>
      <c r="F149" s="229"/>
      <c r="G149" s="229"/>
      <c r="H149" s="230"/>
      <c r="J149" s="36"/>
    </row>
    <row r="150" spans="1:20" s="90" customFormat="1" x14ac:dyDescent="0.35">
      <c r="A150" s="228" t="s">
        <v>392</v>
      </c>
      <c r="B150" s="229"/>
      <c r="C150" s="229"/>
      <c r="D150" s="229"/>
      <c r="E150" s="229"/>
      <c r="F150" s="229"/>
      <c r="G150" s="229"/>
      <c r="H150" s="230"/>
      <c r="J150" s="36"/>
    </row>
    <row r="151" spans="1:20" s="37" customFormat="1" x14ac:dyDescent="0.35">
      <c r="A151" s="228" t="s">
        <v>366</v>
      </c>
      <c r="B151" s="229"/>
      <c r="C151" s="229"/>
      <c r="D151" s="229"/>
      <c r="E151" s="229"/>
      <c r="F151" s="229"/>
      <c r="G151" s="229"/>
      <c r="H151" s="230"/>
      <c r="J151" s="36"/>
    </row>
    <row r="152" spans="1:20" s="37" customFormat="1" ht="15.75" customHeight="1" x14ac:dyDescent="0.35">
      <c r="A152" s="141">
        <v>1</v>
      </c>
      <c r="B152" s="142"/>
      <c r="C152" s="42" t="s">
        <v>367</v>
      </c>
      <c r="D152" s="89">
        <f>(2.7*4.4+2.4*2.1+2.4*3+2.55*3.3+1.2*(2.1+2.1)+2.55*0.9)*10.764</f>
        <v>429.16067999999996</v>
      </c>
      <c r="E152" s="89">
        <f>(0.75*(2.7+2.4+2.55))*10.764</f>
        <v>61.758449999999996</v>
      </c>
      <c r="F152" s="42">
        <f>D152+E152</f>
        <v>490.91912999999994</v>
      </c>
      <c r="G152" s="54">
        <v>0</v>
      </c>
      <c r="H152" s="54">
        <v>790</v>
      </c>
      <c r="I152" s="36"/>
      <c r="J152" s="92">
        <v>790</v>
      </c>
      <c r="K152" s="37">
        <f>J152/F152</f>
        <v>1.6092263505803901</v>
      </c>
      <c r="L152" s="155">
        <f>4000*H152</f>
        <v>3160000</v>
      </c>
      <c r="M152" s="155"/>
      <c r="N152" s="36"/>
    </row>
    <row r="153" spans="1:20" s="37" customFormat="1" ht="15.75" customHeight="1" x14ac:dyDescent="0.35">
      <c r="A153" s="141">
        <f>A152+1</f>
        <v>2</v>
      </c>
      <c r="B153" s="142"/>
      <c r="C153" s="42" t="s">
        <v>369</v>
      </c>
      <c r="D153" s="89">
        <f>(2.7*4.65+2.1*2.5+3.15*2.55+1.2*1.5+0.9*1.2+0.9*2.2+0.3*1.2)*10.764</f>
        <v>334.30293</v>
      </c>
      <c r="E153" s="89">
        <f>(0.75*(2.7+2.1+2.55))*10.764</f>
        <v>59.336549999999995</v>
      </c>
      <c r="F153" s="54">
        <f>D153+E153</f>
        <v>393.63947999999999</v>
      </c>
      <c r="G153" s="54">
        <v>0</v>
      </c>
      <c r="H153" s="54">
        <v>630</v>
      </c>
      <c r="I153" s="36"/>
      <c r="J153" s="92">
        <v>630</v>
      </c>
      <c r="K153" s="91">
        <f t="shared" ref="K153:K156" si="7">J153/F153</f>
        <v>1.6004492232334013</v>
      </c>
      <c r="L153" s="155">
        <f>4000*H153</f>
        <v>2520000</v>
      </c>
      <c r="M153" s="155"/>
      <c r="N153" s="36"/>
    </row>
    <row r="154" spans="1:20" s="37" customFormat="1" ht="15.75" customHeight="1" x14ac:dyDescent="0.35">
      <c r="A154" s="141">
        <f>A153+1</f>
        <v>3</v>
      </c>
      <c r="B154" s="142"/>
      <c r="C154" s="42" t="s">
        <v>369</v>
      </c>
      <c r="D154" s="89">
        <f>(4.5*2.7+2.25*2.1+3.3*2.55+1.2*(2.1+2.1)+2.4*0.9)*10.764</f>
        <v>349.72235999999992</v>
      </c>
      <c r="E154" s="89">
        <f>(0.75*(2.7+2.1+2.55))*10.764</f>
        <v>59.336549999999995</v>
      </c>
      <c r="F154" s="54">
        <f>D154+E154</f>
        <v>409.05890999999991</v>
      </c>
      <c r="G154" s="54">
        <v>0</v>
      </c>
      <c r="H154" s="54">
        <v>655</v>
      </c>
      <c r="I154" s="36"/>
      <c r="J154" s="92">
        <v>655</v>
      </c>
      <c r="K154" s="91">
        <f t="shared" si="7"/>
        <v>1.6012363598191766</v>
      </c>
      <c r="L154" s="155">
        <f t="shared" ref="L154:L156" si="8">4000*H154</f>
        <v>2620000</v>
      </c>
      <c r="M154" s="155"/>
      <c r="N154" s="36"/>
    </row>
    <row r="155" spans="1:20" s="37" customFormat="1" ht="15.75" customHeight="1" x14ac:dyDescent="0.35">
      <c r="A155" s="141">
        <f>A154+1</f>
        <v>4</v>
      </c>
      <c r="B155" s="142"/>
      <c r="C155" s="89" t="s">
        <v>369</v>
      </c>
      <c r="D155" s="89">
        <f>(2.7*4.8+2.1*2.5+3.15*2.55+1.2*1.5+0.9*1.2+0.9*2.2+0.3*1.2)*10.764</f>
        <v>338.66235</v>
      </c>
      <c r="E155" s="89">
        <f>(0.75*(2.7+2.1+2.55))*10.764</f>
        <v>59.336549999999995</v>
      </c>
      <c r="F155" s="54">
        <f>D155+E155</f>
        <v>397.99889999999999</v>
      </c>
      <c r="G155" s="54">
        <v>0</v>
      </c>
      <c r="H155" s="54">
        <v>640</v>
      </c>
      <c r="I155" s="36"/>
      <c r="J155" s="92">
        <v>640</v>
      </c>
      <c r="K155" s="91">
        <f t="shared" si="7"/>
        <v>1.6080446453495223</v>
      </c>
      <c r="L155" s="155">
        <f t="shared" si="8"/>
        <v>2560000</v>
      </c>
      <c r="M155" s="155"/>
      <c r="N155" s="36"/>
      <c r="T155" s="21"/>
    </row>
    <row r="156" spans="1:20" s="90" customFormat="1" ht="15.75" customHeight="1" x14ac:dyDescent="0.35">
      <c r="A156" s="141">
        <f>A155+1</f>
        <v>5</v>
      </c>
      <c r="B156" s="142"/>
      <c r="C156" s="89" t="s">
        <v>367</v>
      </c>
      <c r="D156" s="89">
        <f>(2.7*4.4+2.4*2.1+2.4*3+2.55*3.3+1.2*(2.1+2.1)+2.6*0.9)*10.764</f>
        <v>429.64505999999994</v>
      </c>
      <c r="E156" s="89">
        <f>(0.75*(2.7+2.4+2.55))*10.764</f>
        <v>61.758449999999996</v>
      </c>
      <c r="F156" s="89">
        <f>D156+E156</f>
        <v>491.40350999999993</v>
      </c>
      <c r="G156" s="89">
        <v>0</v>
      </c>
      <c r="H156" s="89">
        <v>790</v>
      </c>
      <c r="I156" s="36"/>
      <c r="J156" s="92">
        <v>790</v>
      </c>
      <c r="K156" s="91">
        <f t="shared" si="7"/>
        <v>1.6076401245078613</v>
      </c>
      <c r="L156" s="155">
        <f t="shared" si="8"/>
        <v>3160000</v>
      </c>
      <c r="M156" s="155"/>
      <c r="N156" s="36"/>
      <c r="T156" s="21"/>
    </row>
    <row r="157" spans="1:20" s="90" customFormat="1" x14ac:dyDescent="0.35">
      <c r="A157" s="216" t="s">
        <v>370</v>
      </c>
      <c r="B157" s="216"/>
      <c r="C157" s="216"/>
      <c r="D157" s="216"/>
      <c r="E157" s="216"/>
      <c r="F157" s="216"/>
      <c r="G157" s="216"/>
      <c r="H157" s="216"/>
      <c r="J157" s="36"/>
    </row>
    <row r="158" spans="1:20" s="90" customFormat="1" ht="15.75" customHeight="1" x14ac:dyDescent="0.35">
      <c r="A158" s="216" t="s">
        <v>392</v>
      </c>
      <c r="B158" s="216"/>
      <c r="C158" s="216"/>
      <c r="D158" s="216"/>
      <c r="E158" s="216"/>
      <c r="F158" s="216"/>
      <c r="G158" s="216"/>
      <c r="H158" s="216"/>
      <c r="J158" s="36"/>
    </row>
    <row r="159" spans="1:20" s="90" customFormat="1" x14ac:dyDescent="0.35">
      <c r="A159" s="216" t="s">
        <v>366</v>
      </c>
      <c r="B159" s="216"/>
      <c r="C159" s="216"/>
      <c r="D159" s="216"/>
      <c r="E159" s="216"/>
      <c r="F159" s="216"/>
      <c r="G159" s="216"/>
      <c r="H159" s="216"/>
      <c r="J159" s="36"/>
    </row>
    <row r="160" spans="1:20" s="90" customFormat="1" ht="15.75" customHeight="1" x14ac:dyDescent="0.35">
      <c r="A160" s="222">
        <v>1</v>
      </c>
      <c r="B160" s="222"/>
      <c r="C160" s="99" t="s">
        <v>367</v>
      </c>
      <c r="D160" s="99">
        <f>(2.7*4.4+2.4*2.1+2.4*3+2.55*3.3+1.2*(2.1+2.1)+2.55*0.9)*10.764</f>
        <v>429.16067999999996</v>
      </c>
      <c r="E160" s="99">
        <f>(0.75*(2.7+2.4+2.55))*10.764</f>
        <v>61.758449999999996</v>
      </c>
      <c r="F160" s="99">
        <f>D160+E160</f>
        <v>490.91912999999994</v>
      </c>
      <c r="G160" s="99">
        <v>0</v>
      </c>
      <c r="H160" s="99">
        <v>790</v>
      </c>
      <c r="I160" s="36"/>
      <c r="J160" s="98">
        <f>H160/F160</f>
        <v>1.6092263505803901</v>
      </c>
      <c r="L160" s="163"/>
      <c r="M160" s="163"/>
      <c r="N160" s="36"/>
    </row>
    <row r="161" spans="1:20" s="90" customFormat="1" ht="15.75" customHeight="1" x14ac:dyDescent="0.35">
      <c r="A161" s="222">
        <f>A160+1</f>
        <v>2</v>
      </c>
      <c r="B161" s="222"/>
      <c r="C161" s="99" t="s">
        <v>369</v>
      </c>
      <c r="D161" s="99">
        <f>(2.7*4.65+2.1*2.5+3.15*2.55+1.2*1.5+0.9*1.2+0.9*2.2+0.3*1.2)*10.764</f>
        <v>334.30293</v>
      </c>
      <c r="E161" s="99">
        <f>(0.75*(2.7+2.1+2.55))*10.764</f>
        <v>59.336549999999995</v>
      </c>
      <c r="F161" s="99">
        <f>D161+E161</f>
        <v>393.63947999999999</v>
      </c>
      <c r="G161" s="99">
        <v>0</v>
      </c>
      <c r="H161" s="99">
        <v>630</v>
      </c>
      <c r="I161" s="36"/>
      <c r="J161" s="98">
        <f t="shared" ref="J161:J164" si="9">H161/F161</f>
        <v>1.6004492232334013</v>
      </c>
      <c r="L161" s="163"/>
      <c r="M161" s="163"/>
      <c r="N161" s="36"/>
    </row>
    <row r="162" spans="1:20" s="90" customFormat="1" ht="15.75" customHeight="1" x14ac:dyDescent="0.35">
      <c r="A162" s="222">
        <f>A161+1</f>
        <v>3</v>
      </c>
      <c r="B162" s="222"/>
      <c r="C162" s="99" t="s">
        <v>369</v>
      </c>
      <c r="D162" s="99">
        <f>(4.5*2.7+2.25*2.1+3.3*2.55+1.2*(2.1+2.1)+2.4*0.9)*10.764</f>
        <v>349.72235999999992</v>
      </c>
      <c r="E162" s="99">
        <f>(0.75*(2.7+2.1+2.55))*10.764</f>
        <v>59.336549999999995</v>
      </c>
      <c r="F162" s="99">
        <f>D162+E162</f>
        <v>409.05890999999991</v>
      </c>
      <c r="G162" s="99">
        <v>0</v>
      </c>
      <c r="H162" s="99">
        <v>655</v>
      </c>
      <c r="I162" s="36"/>
      <c r="J162" s="98">
        <f t="shared" si="9"/>
        <v>1.6012363598191766</v>
      </c>
      <c r="L162" s="163"/>
      <c r="M162" s="163"/>
      <c r="N162" s="36"/>
    </row>
    <row r="163" spans="1:20" s="90" customFormat="1" ht="15.75" customHeight="1" x14ac:dyDescent="0.35">
      <c r="A163" s="222">
        <f>A162+1</f>
        <v>4</v>
      </c>
      <c r="B163" s="222"/>
      <c r="C163" s="99" t="s">
        <v>369</v>
      </c>
      <c r="D163" s="99">
        <f>(2.7*4.8+2.1*2.5+3.15*2.55+1.2*1.5+0.9*1.2+0.9*2.2+0.3*1.2)*10.764</f>
        <v>338.66235</v>
      </c>
      <c r="E163" s="99">
        <f>(0.75*(2.7+2.1+2.55))*10.764</f>
        <v>59.336549999999995</v>
      </c>
      <c r="F163" s="99">
        <f>D163+E163</f>
        <v>397.99889999999999</v>
      </c>
      <c r="G163" s="99">
        <v>0</v>
      </c>
      <c r="H163" s="99">
        <v>640</v>
      </c>
      <c r="I163" s="36"/>
      <c r="J163" s="98">
        <f t="shared" si="9"/>
        <v>1.6080446453495223</v>
      </c>
      <c r="L163" s="163"/>
      <c r="M163" s="163"/>
      <c r="N163" s="36"/>
      <c r="T163" s="21"/>
    </row>
    <row r="164" spans="1:20" s="90" customFormat="1" ht="15.75" customHeight="1" x14ac:dyDescent="0.35">
      <c r="A164" s="141">
        <f>A163+1</f>
        <v>5</v>
      </c>
      <c r="B164" s="142"/>
      <c r="C164" s="92" t="s">
        <v>367</v>
      </c>
      <c r="D164" s="92">
        <f>(2.7*4.4+2.4*2.1+2.4*3+2.55*3.3+1.2*(2.1+2.1)+2.6*0.9)*10.764</f>
        <v>429.64505999999994</v>
      </c>
      <c r="E164" s="92">
        <f>(0.75*(2.7+2.4+2.55))*10.764</f>
        <v>61.758449999999996</v>
      </c>
      <c r="F164" s="89">
        <f>D164+E164</f>
        <v>491.40350999999993</v>
      </c>
      <c r="G164" s="89">
        <v>0</v>
      </c>
      <c r="H164" s="92">
        <v>790</v>
      </c>
      <c r="I164" s="36"/>
      <c r="J164" s="98">
        <f t="shared" si="9"/>
        <v>1.6076401245078613</v>
      </c>
      <c r="L164" s="163"/>
      <c r="M164" s="163"/>
      <c r="N164" s="36"/>
      <c r="T164" s="21"/>
    </row>
    <row r="165" spans="1:20" s="90" customFormat="1" hidden="1" x14ac:dyDescent="0.35">
      <c r="A165" s="228" t="s">
        <v>115</v>
      </c>
      <c r="B165" s="229"/>
      <c r="C165" s="229"/>
      <c r="D165" s="229"/>
      <c r="E165" s="229"/>
      <c r="F165" s="229"/>
      <c r="G165" s="229"/>
      <c r="H165" s="230"/>
      <c r="J165" s="36"/>
    </row>
    <row r="166" spans="1:20" s="90" customFormat="1" ht="15.75" hidden="1" customHeight="1" x14ac:dyDescent="0.35">
      <c r="A166" s="141">
        <v>1</v>
      </c>
      <c r="B166" s="142"/>
      <c r="C166" s="89"/>
      <c r="D166" s="89"/>
      <c r="E166" s="89">
        <v>0</v>
      </c>
      <c r="F166" s="89">
        <f>D166+E166</f>
        <v>0</v>
      </c>
      <c r="G166" s="89">
        <v>0</v>
      </c>
      <c r="H166" s="89">
        <f>F166*(($H$148)+1)+(IF(G166&lt;101,G166,IF(G166&lt;201,G166/2,IF(G166&lt;=301,G166/3,G166/4))))</f>
        <v>0</v>
      </c>
      <c r="I166" s="36"/>
      <c r="L166" s="163"/>
      <c r="M166" s="163"/>
      <c r="N166" s="36"/>
    </row>
    <row r="167" spans="1:20" s="90" customFormat="1" ht="15.75" hidden="1" customHeight="1" x14ac:dyDescent="0.35">
      <c r="A167" s="141">
        <f>A166+1</f>
        <v>2</v>
      </c>
      <c r="B167" s="142"/>
      <c r="C167" s="89"/>
      <c r="D167" s="89"/>
      <c r="E167" s="89">
        <v>0</v>
      </c>
      <c r="F167" s="89">
        <f>D167+E167</f>
        <v>0</v>
      </c>
      <c r="G167" s="89">
        <v>0</v>
      </c>
      <c r="H167" s="89">
        <f>F167*(($H$148)+1)+(IF(G167&lt;101,G167,IF(G167&lt;201,G167/2,IF(G167&lt;=301,G167/3,G167/4))))</f>
        <v>0</v>
      </c>
      <c r="I167" s="36"/>
      <c r="L167" s="163"/>
      <c r="M167" s="163"/>
      <c r="N167" s="36"/>
    </row>
    <row r="168" spans="1:20" s="90" customFormat="1" ht="15.75" hidden="1" customHeight="1" x14ac:dyDescent="0.35">
      <c r="A168" s="141">
        <f>A167+1</f>
        <v>3</v>
      </c>
      <c r="B168" s="142"/>
      <c r="C168" s="89"/>
      <c r="D168" s="89"/>
      <c r="E168" s="89">
        <v>0</v>
      </c>
      <c r="F168" s="89">
        <f>D168+E168</f>
        <v>0</v>
      </c>
      <c r="G168" s="89">
        <v>0</v>
      </c>
      <c r="H168" s="89">
        <f>F168*(($H$148)+1)+(IF(G168&lt;101,G168,IF(G168&lt;201,G168/2,IF(G168&lt;=301,G168/3,G168/4))))</f>
        <v>0</v>
      </c>
      <c r="I168" s="36"/>
      <c r="L168" s="163"/>
      <c r="M168" s="163"/>
      <c r="N168" s="36"/>
    </row>
    <row r="169" spans="1:20" s="90" customFormat="1" ht="15.75" hidden="1" customHeight="1" x14ac:dyDescent="0.35">
      <c r="A169" s="141">
        <f>A168+1</f>
        <v>4</v>
      </c>
      <c r="B169" s="142"/>
      <c r="C169" s="89"/>
      <c r="D169" s="89"/>
      <c r="E169" s="89">
        <v>0</v>
      </c>
      <c r="F169" s="89">
        <f>D169+E169</f>
        <v>0</v>
      </c>
      <c r="G169" s="89">
        <v>0</v>
      </c>
      <c r="H169" s="89">
        <f>F169*(($H$148)+1)+(IF(G169&lt;101,G169,IF(G169&lt;201,G169/2,IF(G169&lt;=301,G169/3,G169/4))))</f>
        <v>0</v>
      </c>
      <c r="I169" s="36"/>
      <c r="L169" s="163"/>
      <c r="M169" s="163"/>
      <c r="N169" s="36"/>
      <c r="T169" s="21"/>
    </row>
    <row r="170" spans="1:20" s="90" customFormat="1" ht="15.75" hidden="1" customHeight="1" x14ac:dyDescent="0.35">
      <c r="A170" s="141">
        <f>A169+1</f>
        <v>5</v>
      </c>
      <c r="B170" s="142"/>
      <c r="C170" s="89"/>
      <c r="D170" s="89"/>
      <c r="E170" s="89">
        <v>0</v>
      </c>
      <c r="F170" s="89">
        <f>D170+E170</f>
        <v>0</v>
      </c>
      <c r="G170" s="89">
        <v>0</v>
      </c>
      <c r="H170" s="89">
        <f>F170*(($H$148)+1)+(IF(G170&lt;101,G170,IF(G170&lt;201,G170/2,IF(G170&lt;=301,G170/3,G170/4))))</f>
        <v>0</v>
      </c>
      <c r="I170" s="36"/>
      <c r="L170" s="163"/>
      <c r="M170" s="163"/>
      <c r="N170" s="36"/>
      <c r="T170" s="21"/>
    </row>
    <row r="171" spans="1:20" s="37" customFormat="1" hidden="1" x14ac:dyDescent="0.35">
      <c r="A171" s="216" t="s">
        <v>116</v>
      </c>
      <c r="B171" s="216"/>
      <c r="C171" s="216"/>
      <c r="D171" s="216"/>
      <c r="E171" s="216"/>
      <c r="F171" s="216"/>
      <c r="G171" s="216"/>
      <c r="H171" s="216"/>
      <c r="I171" s="36"/>
      <c r="L171" s="163"/>
      <c r="M171" s="163"/>
    </row>
    <row r="172" spans="1:20" s="37" customFormat="1" hidden="1" x14ac:dyDescent="0.35">
      <c r="A172" s="222">
        <f>LEFT(A171,SUM(LEN(A171)-LEN(SUBSTITUTE(A171,{"0","1","2","3","4","5","6","7","8","9"},""))))*100+1</f>
        <v>201</v>
      </c>
      <c r="B172" s="222"/>
      <c r="C172" s="42"/>
      <c r="D172" s="42"/>
      <c r="E172" s="54">
        <v>0</v>
      </c>
      <c r="F172" s="54">
        <f>D172+E172</f>
        <v>0</v>
      </c>
      <c r="G172" s="54">
        <v>0</v>
      </c>
      <c r="H172" s="54">
        <f>F172*(($H$148)+1)+(IF(G172&lt;101,G172,IF(G172&lt;201,G172/2,IF(G172&lt;=301,G172/3,G172/4))))</f>
        <v>0</v>
      </c>
      <c r="I172" s="36"/>
      <c r="N172" s="36"/>
    </row>
    <row r="173" spans="1:20" s="37" customFormat="1" hidden="1" x14ac:dyDescent="0.35">
      <c r="A173" s="222">
        <f>A172+1</f>
        <v>202</v>
      </c>
      <c r="B173" s="222"/>
      <c r="C173" s="42"/>
      <c r="D173" s="42"/>
      <c r="E173" s="54">
        <v>0</v>
      </c>
      <c r="F173" s="54">
        <f>D173+E173</f>
        <v>0</v>
      </c>
      <c r="G173" s="54">
        <v>0</v>
      </c>
      <c r="H173" s="54">
        <f>F173*(($H$148)+1)+(IF(G173&lt;101,G173,IF(G173&lt;201,G173/2,IF(G173&lt;=301,G173/3,G173/4))))</f>
        <v>0</v>
      </c>
      <c r="I173" s="36"/>
      <c r="N173" s="36"/>
    </row>
    <row r="174" spans="1:20" s="37" customFormat="1" hidden="1" x14ac:dyDescent="0.35">
      <c r="A174" s="222">
        <f>A173+1</f>
        <v>203</v>
      </c>
      <c r="B174" s="222"/>
      <c r="C174" s="42"/>
      <c r="D174" s="42"/>
      <c r="E174" s="54">
        <v>0</v>
      </c>
      <c r="F174" s="54">
        <f>D174+E174</f>
        <v>0</v>
      </c>
      <c r="G174" s="54">
        <v>0</v>
      </c>
      <c r="H174" s="54">
        <f>F174*(($H$148)+1)+(IF(G174&lt;101,G174,IF(G174&lt;201,G174/2,IF(G174&lt;=301,G174/3,G174/4))))</f>
        <v>0</v>
      </c>
      <c r="I174" s="36"/>
      <c r="N174" s="36"/>
    </row>
    <row r="175" spans="1:20" s="37" customFormat="1" hidden="1" x14ac:dyDescent="0.35">
      <c r="A175" s="222">
        <f>A174+1</f>
        <v>204</v>
      </c>
      <c r="B175" s="222"/>
      <c r="C175" s="42"/>
      <c r="D175" s="42"/>
      <c r="E175" s="54">
        <v>0</v>
      </c>
      <c r="F175" s="54">
        <f>D175+E175</f>
        <v>0</v>
      </c>
      <c r="G175" s="54">
        <v>0</v>
      </c>
      <c r="H175" s="54">
        <f>F175*(($H$148)+1)+(IF(G175&lt;101,G175,IF(G175&lt;201,G175/2,IF(G175&lt;=301,G175/3,G175/4))))</f>
        <v>0</v>
      </c>
      <c r="I175" s="36"/>
      <c r="N175" s="36"/>
    </row>
    <row r="176" spans="1:20" s="37" customFormat="1" hidden="1" x14ac:dyDescent="0.35">
      <c r="A176" s="222">
        <f>A175+1</f>
        <v>205</v>
      </c>
      <c r="B176" s="222"/>
      <c r="C176" s="42"/>
      <c r="D176" s="42"/>
      <c r="E176" s="54">
        <v>0</v>
      </c>
      <c r="F176" s="54">
        <f>D176+E176</f>
        <v>0</v>
      </c>
      <c r="G176" s="54">
        <v>0</v>
      </c>
      <c r="H176" s="54">
        <f>F176*(($H$148)+1)+(IF(G176&lt;101,G176,IF(G176&lt;201,G176/2,IF(G176&lt;=301,G176/3,G176/4))))</f>
        <v>0</v>
      </c>
      <c r="I176" s="36"/>
      <c r="N176" s="36"/>
    </row>
    <row r="177" spans="1:9" s="37" customFormat="1" ht="15.75" hidden="1" customHeight="1" x14ac:dyDescent="0.35">
      <c r="A177" s="228" t="s">
        <v>149</v>
      </c>
      <c r="B177" s="229"/>
      <c r="C177" s="229"/>
      <c r="D177" s="229"/>
      <c r="E177" s="229"/>
      <c r="F177" s="229"/>
      <c r="G177" s="229"/>
      <c r="H177" s="230"/>
      <c r="I177" s="36"/>
    </row>
    <row r="178" spans="1:9" s="37" customFormat="1" ht="15.75" hidden="1" customHeight="1" x14ac:dyDescent="0.35">
      <c r="A178" s="141" t="str">
        <f ca="1">(SUMPRODUCT(MID(0&amp;(LEFT(A177,SUM(LEN(A177)-LEN(SUBSTITUTE(A177,{"0","1","2"},""))))), LARGE(INDEX(ISNUMBER(--MID((LEFT(A177,SUM(LEN(A177)-LEN(SUBSTITUTE(A177,{"0","1","2"},""))))), ROW(INDIRECT("1:"&amp;LEN((LEFT(A177,SUM(LEN(A177)-LEN(SUBSTITUTE(A177,{"0","1","2"},"")))))))), 1)) * ROW(INDIRECT("1:"&amp;LEN((LEFT(A177,SUM(LEN(A177)-LEN(SUBSTITUTE(A177,{"0","1","2"},"")))))))), 0), ROW(INDIRECT("1:"&amp;LEN((LEFT(A177,SUM(LEN(A177)-LEN(SUBSTITUTE(A177,{"0","1","2"},"")))))))))+1, 1) * 10^ROW(INDIRECT("1:"&amp;LEN((LEFT(A177,SUM(LEN(A177)-LEN(SUBSTITUTE(A177,{"0","1","2"},""))))))))/10))*100+1&amp;""&amp;" ,.., "&amp;""&amp;(SUMPRODUCT(MID(0&amp;(--TRIM(RIGHT(SUBSTITUTE(LEFT(A177,_xlfn.AGGREGATE(16,6,FIND({0,1,2,3,4,5,6,7,8,9},A177,ROW(INDIRECT("1:"&amp;LEN(A177)))),1)),"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301 ,.., 1501</v>
      </c>
      <c r="B178" s="142"/>
      <c r="C178" s="42"/>
      <c r="D178" s="42"/>
      <c r="E178" s="54">
        <v>0</v>
      </c>
      <c r="F178" s="54">
        <f>D178+E178</f>
        <v>0</v>
      </c>
      <c r="G178" s="54">
        <v>0</v>
      </c>
      <c r="H178" s="54">
        <f>F178*(($H$148)+1)+(IF(G178&lt;101,G178,IF(G178&lt;201,G178/2,IF(G178&lt;=301,G178/3,G178/4))))</f>
        <v>0</v>
      </c>
      <c r="I178" s="36"/>
    </row>
    <row r="179" spans="1:9" s="37" customFormat="1" ht="15.75" hidden="1" customHeight="1" x14ac:dyDescent="0.35">
      <c r="A179" s="141" t="str">
        <f ca="1">(SUMPRODUCT(MID(0&amp;(LEFT(A178,SUM(LEN(A178)-LEN(SUBSTITUTE(A178,{"0","1","2"},""))))), LARGE(INDEX(ISNUMBER(--MID((LEFT(A178,SUM(LEN(A178)-LEN(SUBSTITUTE(A178,{"0","1","2"},""))))), ROW(INDIRECT("1:"&amp;LEN((LEFT(A178,SUM(LEN(A178)-LEN(SUBSTITUTE(A178,{"0","1","2"},"")))))))), 1)) * ROW(INDIRECT("1:"&amp;LEN((LEFT(A178,SUM(LEN(A178)-LEN(SUBSTITUTE(A178,{"0","1","2"},"")))))))), 0), ROW(INDIRECT("1:"&amp;LEN((LEFT(A178,SUM(LEN(A178)-LEN(SUBSTITUTE(A178,{"0","1","2"},"")))))))))+1, 1) * 10^ROW(INDIRECT("1:"&amp;LEN((LEFT(A178,SUM(LEN(A178)-LEN(SUBSTITUTE(A178,{"0","1","2"},""))))))))/10))*1+1&amp;""&amp;" ,.., "&amp;""&amp;(SUMPRODUCT(MID(0&amp;(--TRIM(RIGHT(SUBSTITUTE(LEFT(A178,_xlfn.AGGREGATE(16,6,FIND({0,1,2,3,4,5,6,7,8,9},A178,ROW(INDIRECT("1:"&amp;LEN(A178)))),1)),"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",LEN(A178))),LEN(A178)))))))/10))*1+1</f>
        <v>302 ,.., 1502</v>
      </c>
      <c r="B179" s="142"/>
      <c r="C179" s="42"/>
      <c r="D179" s="42"/>
      <c r="E179" s="54">
        <v>0</v>
      </c>
      <c r="F179" s="54">
        <f>D179+E179</f>
        <v>0</v>
      </c>
      <c r="G179" s="54">
        <v>0</v>
      </c>
      <c r="H179" s="54">
        <f>F179*(($H$148)+1)+(IF(G179&lt;101,G179,IF(G179&lt;201,G179/2,IF(G179&lt;=301,G179/3,G179/4))))</f>
        <v>0</v>
      </c>
      <c r="I179" s="36"/>
    </row>
    <row r="180" spans="1:9" s="37" customFormat="1" ht="15.75" hidden="1" customHeight="1" x14ac:dyDescent="0.35">
      <c r="A180" s="141"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10^ROW(INDIRECT("1:"&amp;LEN((LEFT(A179,SUM(LEN(A179)-LEN(SUBSTITUTE(A179,{"0","1","2"},""))))))))/10))*1+1&amp;""&amp;" ,..,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",LEN(A179))),LEN(A179)))))))/10))*1+1</f>
        <v>303 ,.., 1503</v>
      </c>
      <c r="B180" s="142"/>
      <c r="C180" s="42"/>
      <c r="D180" s="42"/>
      <c r="E180" s="54">
        <v>0</v>
      </c>
      <c r="F180" s="54">
        <f>D180+E180</f>
        <v>0</v>
      </c>
      <c r="G180" s="54">
        <v>0</v>
      </c>
      <c r="H180" s="54">
        <f>F180*(($H$148)+1)+(IF(G180&lt;101,G180,IF(G180&lt;201,G180/2,IF(G180&lt;=301,G180/3,G180/4))))</f>
        <v>0</v>
      </c>
      <c r="I180" s="36"/>
    </row>
    <row r="181" spans="1:9" s="37" customFormat="1" ht="15.75" hidden="1" customHeight="1" x14ac:dyDescent="0.35">
      <c r="A181" s="141"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304 ,.., 1504</v>
      </c>
      <c r="B181" s="142"/>
      <c r="C181" s="42"/>
      <c r="D181" s="42"/>
      <c r="E181" s="54">
        <v>0</v>
      </c>
      <c r="F181" s="54">
        <f>D181+E181</f>
        <v>0</v>
      </c>
      <c r="G181" s="54">
        <v>0</v>
      </c>
      <c r="H181" s="54">
        <f>F181*(($H$148)+1)+(IF(G181&lt;101,G181,IF(G181&lt;201,G181/2,IF(G181&lt;=301,G181/3,G181/4))))</f>
        <v>0</v>
      </c>
      <c r="I181" s="36"/>
    </row>
    <row r="182" spans="1:9" s="37" customFormat="1" ht="15.75" hidden="1" customHeight="1" x14ac:dyDescent="0.35">
      <c r="A182" s="141"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305 ,.., 1505</v>
      </c>
      <c r="B182" s="142"/>
      <c r="C182" s="42"/>
      <c r="D182" s="42"/>
      <c r="E182" s="54">
        <v>0</v>
      </c>
      <c r="F182" s="54">
        <f>D182+E182</f>
        <v>0</v>
      </c>
      <c r="G182" s="54">
        <v>0</v>
      </c>
      <c r="H182" s="54">
        <f>F182*(($H$148)+1)+(IF(G182&lt;101,G182,IF(G182&lt;201,G182/2,IF(G182&lt;=301,G182/3,G182/4))))</f>
        <v>0</v>
      </c>
      <c r="I182" s="36"/>
    </row>
    <row r="183" spans="1:9" s="37" customFormat="1" hidden="1" x14ac:dyDescent="0.35">
      <c r="A183" s="228" t="s">
        <v>143</v>
      </c>
      <c r="B183" s="229"/>
      <c r="C183" s="229"/>
      <c r="D183" s="229"/>
      <c r="E183" s="229"/>
      <c r="F183" s="229"/>
      <c r="G183" s="229"/>
      <c r="H183" s="230"/>
      <c r="I183" s="36"/>
    </row>
    <row r="184" spans="1:9" s="37" customFormat="1" ht="15.75" hidden="1" customHeight="1" x14ac:dyDescent="0.35">
      <c r="A184" s="141"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10^ROW(INDIRECT("1:"&amp;LEN((LEFT(A183,SUM(LEN(A183)-LEN(SUBSTITUTE(A183,{"0","1","2"},""))))))))/10))*100+1&amp;""&amp;" to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201 to 501</v>
      </c>
      <c r="B184" s="142"/>
      <c r="C184" s="42"/>
      <c r="D184" s="42"/>
      <c r="E184" s="54">
        <v>0</v>
      </c>
      <c r="F184" s="54">
        <f>D184+E184</f>
        <v>0</v>
      </c>
      <c r="G184" s="54">
        <v>0</v>
      </c>
      <c r="H184" s="54">
        <f>F184*(($H$148)+1)+(IF(G184&lt;101,G184,IF(G184&lt;201,G184/2,IF(G184&lt;=301,G184/3,G184/4))))</f>
        <v>0</v>
      </c>
      <c r="I184" s="36"/>
    </row>
    <row r="185" spans="1:9" s="37" customFormat="1" ht="15.75" hidden="1" customHeight="1" x14ac:dyDescent="0.35">
      <c r="A185" s="141"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to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202 to 502</v>
      </c>
      <c r="B185" s="142"/>
      <c r="C185" s="42"/>
      <c r="D185" s="42"/>
      <c r="E185" s="54">
        <v>0</v>
      </c>
      <c r="F185" s="54">
        <f>D185+E185</f>
        <v>0</v>
      </c>
      <c r="G185" s="54">
        <v>0</v>
      </c>
      <c r="H185" s="54">
        <f>F185*(($H$148)+1)+(IF(G185&lt;101,G185,IF(G185&lt;201,G185/2,IF(G185&lt;=301,G185/3,G185/4))))</f>
        <v>0</v>
      </c>
      <c r="I185" s="36"/>
    </row>
    <row r="186" spans="1:9" s="37" customFormat="1" ht="15.75" hidden="1" customHeight="1" x14ac:dyDescent="0.35">
      <c r="A186" s="141"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to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203 to 503</v>
      </c>
      <c r="B186" s="142"/>
      <c r="C186" s="42"/>
      <c r="D186" s="42"/>
      <c r="E186" s="54">
        <v>0</v>
      </c>
      <c r="F186" s="54">
        <f>D186+E186</f>
        <v>0</v>
      </c>
      <c r="G186" s="54">
        <v>0</v>
      </c>
      <c r="H186" s="54">
        <f>F186*(($H$148)+1)+(IF(G186&lt;101,G186,IF(G186&lt;201,G186/2,IF(G186&lt;=301,G186/3,G186/4))))</f>
        <v>0</v>
      </c>
      <c r="I186" s="36"/>
    </row>
    <row r="187" spans="1:9" s="37" customFormat="1" ht="15.75" hidden="1" customHeight="1" x14ac:dyDescent="0.35">
      <c r="A187" s="141"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to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204 to 504</v>
      </c>
      <c r="B187" s="142"/>
      <c r="C187" s="42"/>
      <c r="D187" s="42"/>
      <c r="E187" s="54">
        <v>0</v>
      </c>
      <c r="F187" s="54">
        <f>D187+E187</f>
        <v>0</v>
      </c>
      <c r="G187" s="54">
        <v>0</v>
      </c>
      <c r="H187" s="54">
        <f>F187*(($H$148)+1)+(IF(G187&lt;101,G187,IF(G187&lt;201,G187/2,IF(G187&lt;=301,G187/3,G187/4))))</f>
        <v>0</v>
      </c>
      <c r="I187" s="36"/>
    </row>
    <row r="188" spans="1:9" s="37" customFormat="1" ht="15.75" hidden="1" customHeight="1" x14ac:dyDescent="0.35">
      <c r="A188" s="141"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to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205 to 505</v>
      </c>
      <c r="B188" s="142"/>
      <c r="C188" s="42"/>
      <c r="D188" s="42"/>
      <c r="E188" s="54">
        <v>0</v>
      </c>
      <c r="F188" s="54">
        <f>D188+E188</f>
        <v>0</v>
      </c>
      <c r="G188" s="54">
        <v>0</v>
      </c>
      <c r="H188" s="54">
        <f>F188*(($H$148)+1)+(IF(G188&lt;101,G188,IF(G188&lt;201,G188/2,IF(G188&lt;=301,G188/3,G188/4))))</f>
        <v>0</v>
      </c>
      <c r="I188" s="36"/>
    </row>
    <row r="189" spans="1:9" s="37" customFormat="1" hidden="1" x14ac:dyDescent="0.35">
      <c r="A189" s="228" t="s">
        <v>144</v>
      </c>
      <c r="B189" s="229"/>
      <c r="C189" s="229"/>
      <c r="D189" s="229"/>
      <c r="E189" s="229"/>
      <c r="F189" s="229"/>
      <c r="G189" s="229"/>
      <c r="H189" s="230"/>
      <c r="I189" s="36"/>
    </row>
    <row r="190" spans="1:9" s="37" customFormat="1" ht="15.75" hidden="1" customHeight="1" x14ac:dyDescent="0.35">
      <c r="A190" s="141"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10^ROW(INDIRECT("1:"&amp;LEN((LEFT(A189,SUM(LEN(A189)-LEN(SUBSTITUTE(A189,{"0","1","2"},""))))))))/10))*100+1&amp;""&amp;" &amp;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201 &amp; 501</v>
      </c>
      <c r="B190" s="142"/>
      <c r="C190" s="42"/>
      <c r="D190" s="42"/>
      <c r="E190" s="54">
        <v>0</v>
      </c>
      <c r="F190" s="54">
        <f>D190+E190</f>
        <v>0</v>
      </c>
      <c r="G190" s="54">
        <v>0</v>
      </c>
      <c r="H190" s="54">
        <f>F190*(($H$148)+1)+(IF(G190&lt;101,G190,IF(G190&lt;201,G190/2,IF(G190&lt;=301,G190/3,G190/4))))</f>
        <v>0</v>
      </c>
      <c r="I190" s="36"/>
    </row>
    <row r="191" spans="1:9" s="37" customFormat="1" ht="15.75" hidden="1" customHeight="1" x14ac:dyDescent="0.35">
      <c r="A191" s="141"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&amp;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202 &amp; 502</v>
      </c>
      <c r="B191" s="142"/>
      <c r="C191" s="42"/>
      <c r="D191" s="42"/>
      <c r="E191" s="54">
        <v>0</v>
      </c>
      <c r="F191" s="54">
        <f>D191+E191</f>
        <v>0</v>
      </c>
      <c r="G191" s="54">
        <v>0</v>
      </c>
      <c r="H191" s="54">
        <f>F191*(($H$148)+1)+(IF(G191&lt;101,G191,IF(G191&lt;201,G191/2,IF(G191&lt;=301,G191/3,G191/4))))</f>
        <v>0</v>
      </c>
      <c r="I191" s="36"/>
    </row>
    <row r="192" spans="1:9" s="37" customFormat="1" ht="15.75" hidden="1" customHeight="1" x14ac:dyDescent="0.35">
      <c r="A192" s="141"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&amp;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203 &amp; 503</v>
      </c>
      <c r="B192" s="142"/>
      <c r="C192" s="42"/>
      <c r="D192" s="42"/>
      <c r="E192" s="54">
        <v>0</v>
      </c>
      <c r="F192" s="54">
        <f>D192+E192</f>
        <v>0</v>
      </c>
      <c r="G192" s="54">
        <v>0</v>
      </c>
      <c r="H192" s="54">
        <f>F192*(($H$148)+1)+(IF(G192&lt;101,G192,IF(G192&lt;201,G192/2,IF(G192&lt;=301,G192/3,G192/4))))</f>
        <v>0</v>
      </c>
      <c r="I192" s="36"/>
    </row>
    <row r="193" spans="1:20" s="37" customFormat="1" ht="15.75" hidden="1" customHeight="1" x14ac:dyDescent="0.35">
      <c r="A193" s="141"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&amp;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204 &amp; 504</v>
      </c>
      <c r="B193" s="142"/>
      <c r="C193" s="42"/>
      <c r="D193" s="42"/>
      <c r="E193" s="54">
        <v>0</v>
      </c>
      <c r="F193" s="54">
        <f>D193+E193</f>
        <v>0</v>
      </c>
      <c r="G193" s="54">
        <v>0</v>
      </c>
      <c r="H193" s="54">
        <f>F193*(($H$148)+1)+(IF(G193&lt;101,G193,IF(G193&lt;201,G193/2,IF(G193&lt;=301,G193/3,G193/4))))</f>
        <v>0</v>
      </c>
      <c r="I193" s="36"/>
    </row>
    <row r="194" spans="1:20" s="37" customFormat="1" ht="15.75" hidden="1" customHeight="1" x14ac:dyDescent="0.35">
      <c r="A194" s="141"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&amp;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205 &amp; 505</v>
      </c>
      <c r="B194" s="142"/>
      <c r="C194" s="42"/>
      <c r="D194" s="42"/>
      <c r="E194" s="54">
        <v>0</v>
      </c>
      <c r="F194" s="54">
        <f>D194+E194</f>
        <v>0</v>
      </c>
      <c r="G194" s="54">
        <v>0</v>
      </c>
      <c r="H194" s="54">
        <f>F194*(($H$148)+1)+(IF(G194&lt;101,G194,IF(G194&lt;201,G194/2,IF(G194&lt;=301,G194/3,G194/4))))</f>
        <v>0</v>
      </c>
      <c r="I194" s="36"/>
    </row>
    <row r="195" spans="1:20" s="35" customFormat="1" x14ac:dyDescent="0.35">
      <c r="A195" s="251" t="s">
        <v>65</v>
      </c>
      <c r="B195" s="251"/>
      <c r="C195" s="251"/>
      <c r="D195" s="251"/>
      <c r="E195" s="251"/>
      <c r="F195" s="251"/>
      <c r="G195" s="251"/>
      <c r="H195" s="251"/>
      <c r="T195" s="37"/>
    </row>
    <row r="196" spans="1:20" s="35" customFormat="1" x14ac:dyDescent="0.35">
      <c r="A196" s="44" t="s">
        <v>153</v>
      </c>
      <c r="B196" s="109" t="s">
        <v>407</v>
      </c>
      <c r="C196" s="110"/>
      <c r="D196" s="110"/>
      <c r="E196" s="110"/>
      <c r="F196" s="110"/>
      <c r="G196" s="110"/>
      <c r="H196" s="111"/>
      <c r="T196" s="37"/>
    </row>
    <row r="197" spans="1:20" s="35" customFormat="1" x14ac:dyDescent="0.35">
      <c r="A197" s="44" t="s">
        <v>153</v>
      </c>
      <c r="B197" s="109" t="str">
        <f>(IF(H147="Saleable area Loading :","We have considered Saleable area of Flats as per our Calculation.","We considered Saleable area of Flat as per Builder area Sheet."))</f>
        <v>We considered Saleable area of Flat as per Builder area Sheet.</v>
      </c>
      <c r="C197" s="110"/>
      <c r="D197" s="110"/>
      <c r="E197" s="110"/>
      <c r="F197" s="110"/>
      <c r="G197" s="110"/>
      <c r="H197" s="111"/>
      <c r="T197" s="37"/>
    </row>
    <row r="198" spans="1:20" s="35" customFormat="1" hidden="1" x14ac:dyDescent="0.35">
      <c r="A198" s="44" t="s">
        <v>153</v>
      </c>
      <c r="B198" s="109" t="str">
        <f>(IF(H139="Saleable area Loading :","We have considered Saleable area of Commercial as per our Calculation.","We considered Saleable area of Commercial as per Builder area Sheet."))</f>
        <v>We have considered Saleable area of Commercial as per our Calculation.</v>
      </c>
      <c r="C198" s="110"/>
      <c r="D198" s="110"/>
      <c r="E198" s="110"/>
      <c r="F198" s="110"/>
      <c r="G198" s="110"/>
      <c r="H198" s="111"/>
      <c r="T198" s="37"/>
    </row>
    <row r="199" spans="1:20" s="35" customFormat="1" x14ac:dyDescent="0.35">
      <c r="A199" s="44" t="s">
        <v>153</v>
      </c>
      <c r="B199" s="219" t="s">
        <v>120</v>
      </c>
      <c r="C199" s="220"/>
      <c r="D199" s="220"/>
      <c r="E199" s="220"/>
      <c r="F199" s="220"/>
      <c r="G199" s="220"/>
      <c r="H199" s="221"/>
      <c r="T199" s="37"/>
    </row>
    <row r="200" spans="1:20" s="35" customFormat="1" x14ac:dyDescent="0.35">
      <c r="A200" s="44" t="s">
        <v>153</v>
      </c>
      <c r="B200" s="219" t="s">
        <v>372</v>
      </c>
      <c r="C200" s="220"/>
      <c r="D200" s="220"/>
      <c r="E200" s="220"/>
      <c r="F200" s="220"/>
      <c r="G200" s="220"/>
      <c r="H200" s="221"/>
      <c r="T200" s="37"/>
    </row>
    <row r="201" spans="1:20" s="35" customFormat="1" x14ac:dyDescent="0.35">
      <c r="A201" s="44" t="s">
        <v>153</v>
      </c>
      <c r="B201" s="219" t="s">
        <v>152</v>
      </c>
      <c r="C201" s="220"/>
      <c r="D201" s="220"/>
      <c r="E201" s="220"/>
      <c r="F201" s="220"/>
      <c r="G201" s="220"/>
      <c r="H201" s="221"/>
    </row>
    <row r="202" spans="1:20" s="35" customFormat="1" x14ac:dyDescent="0.35">
      <c r="A202" s="44" t="s">
        <v>153</v>
      </c>
      <c r="B202" s="219" t="s">
        <v>121</v>
      </c>
      <c r="C202" s="220"/>
      <c r="D202" s="220"/>
      <c r="E202" s="220"/>
      <c r="F202" s="220"/>
      <c r="G202" s="220"/>
      <c r="H202" s="221"/>
    </row>
    <row r="203" spans="1:20" s="35" customFormat="1" ht="30.75" customHeight="1" x14ac:dyDescent="0.35">
      <c r="A203" s="44" t="s">
        <v>153</v>
      </c>
      <c r="B203" s="109" t="s">
        <v>154</v>
      </c>
      <c r="C203" s="110"/>
      <c r="D203" s="110"/>
      <c r="E203" s="110"/>
      <c r="F203" s="110"/>
      <c r="G203" s="110"/>
      <c r="H203" s="111"/>
    </row>
    <row r="204" spans="1:20" s="35" customFormat="1" x14ac:dyDescent="0.35">
      <c r="A204" s="44" t="s">
        <v>153</v>
      </c>
      <c r="B204" s="219" t="s">
        <v>122</v>
      </c>
      <c r="C204" s="220"/>
      <c r="D204" s="220"/>
      <c r="E204" s="220"/>
      <c r="F204" s="220"/>
      <c r="G204" s="220"/>
      <c r="H204" s="221"/>
    </row>
    <row r="205" spans="1:20" s="35" customFormat="1" ht="32.25" hidden="1" customHeight="1" x14ac:dyDescent="0.35">
      <c r="A205" s="51" t="s">
        <v>153</v>
      </c>
      <c r="B205" s="133" t="s">
        <v>179</v>
      </c>
      <c r="C205" s="134"/>
      <c r="D205" s="134"/>
      <c r="E205" s="134"/>
      <c r="F205" s="134"/>
      <c r="G205" s="134"/>
      <c r="H205" s="135"/>
    </row>
    <row r="206" spans="1:20" s="35" customFormat="1" hidden="1" x14ac:dyDescent="0.35">
      <c r="A206" s="55" t="s">
        <v>153</v>
      </c>
      <c r="B206" s="133" t="s">
        <v>234</v>
      </c>
      <c r="C206" s="134"/>
      <c r="D206" s="134"/>
      <c r="E206" s="134"/>
      <c r="F206" s="134"/>
      <c r="G206" s="134"/>
      <c r="H206" s="135"/>
    </row>
    <row r="207" spans="1:20" s="35" customFormat="1" ht="30" customHeight="1" x14ac:dyDescent="0.35">
      <c r="A207" s="88" t="s">
        <v>153</v>
      </c>
      <c r="B207" s="109" t="s">
        <v>391</v>
      </c>
      <c r="C207" s="110"/>
      <c r="D207" s="110"/>
      <c r="E207" s="110"/>
      <c r="F207" s="110"/>
      <c r="G207" s="110"/>
      <c r="H207" s="111"/>
    </row>
    <row r="208" spans="1:20" s="35" customFormat="1" x14ac:dyDescent="0.35">
      <c r="A208" s="100" t="s">
        <v>153</v>
      </c>
      <c r="B208" s="109" t="s">
        <v>406</v>
      </c>
      <c r="C208" s="110"/>
      <c r="D208" s="110"/>
      <c r="E208" s="110"/>
      <c r="F208" s="110"/>
      <c r="G208" s="110"/>
      <c r="H208" s="111"/>
    </row>
    <row r="209" spans="1:20" x14ac:dyDescent="0.35">
      <c r="A209" s="195" t="s">
        <v>58</v>
      </c>
      <c r="B209" s="195"/>
      <c r="C209" s="195"/>
      <c r="D209" s="195"/>
      <c r="E209" s="195"/>
      <c r="F209" s="195"/>
      <c r="G209" s="195"/>
      <c r="H209" s="195"/>
      <c r="T209" s="35"/>
    </row>
    <row r="210" spans="1:20" x14ac:dyDescent="0.35">
      <c r="A210" s="107" t="s">
        <v>59</v>
      </c>
      <c r="B210" s="107"/>
      <c r="C210" s="107"/>
      <c r="D210" s="107"/>
      <c r="E210" s="107"/>
      <c r="F210" s="107"/>
      <c r="G210" s="107"/>
      <c r="H210" s="107"/>
      <c r="T210" s="35"/>
    </row>
    <row r="211" spans="1:20" ht="15.75" customHeight="1" x14ac:dyDescent="0.35">
      <c r="A211" s="223" t="s">
        <v>60</v>
      </c>
      <c r="B211" s="223"/>
      <c r="C211" s="223"/>
      <c r="D211" s="223"/>
      <c r="E211" s="223"/>
      <c r="F211" s="223"/>
      <c r="G211" s="223"/>
      <c r="H211" s="223"/>
      <c r="T211" s="35"/>
    </row>
    <row r="212" spans="1:20" x14ac:dyDescent="0.35">
      <c r="A212" s="107" t="s">
        <v>61</v>
      </c>
      <c r="B212" s="107"/>
      <c r="C212" s="107"/>
      <c r="D212" s="107"/>
      <c r="E212" s="107"/>
      <c r="F212" s="107"/>
      <c r="G212" s="107"/>
      <c r="H212" s="107"/>
      <c r="T212" s="35"/>
    </row>
    <row r="213" spans="1:20" x14ac:dyDescent="0.35">
      <c r="A213" s="107" t="s">
        <v>62</v>
      </c>
      <c r="B213" s="107"/>
      <c r="C213" s="107"/>
      <c r="D213" s="107"/>
      <c r="E213" s="107"/>
      <c r="F213" s="107"/>
      <c r="G213" s="107"/>
      <c r="H213" s="107"/>
      <c r="T213" s="35"/>
    </row>
    <row r="214" spans="1:20" x14ac:dyDescent="0.35">
      <c r="A214" s="107" t="s">
        <v>123</v>
      </c>
      <c r="B214" s="107"/>
      <c r="C214" s="107"/>
      <c r="D214" s="107"/>
      <c r="E214" s="107"/>
      <c r="F214" s="107"/>
      <c r="G214" s="107"/>
      <c r="H214" s="107"/>
      <c r="T214" s="35"/>
    </row>
    <row r="215" spans="1:20" ht="34" customHeight="1" x14ac:dyDescent="0.35">
      <c r="A215" s="168" t="s">
        <v>124</v>
      </c>
      <c r="B215" s="168"/>
      <c r="C215" s="168"/>
      <c r="D215" s="168"/>
      <c r="E215" s="168"/>
      <c r="F215" s="168"/>
      <c r="G215" s="168"/>
      <c r="H215" s="168"/>
    </row>
    <row r="216" spans="1:20" x14ac:dyDescent="0.35">
      <c r="A216" s="214" t="s">
        <v>73</v>
      </c>
      <c r="B216" s="214"/>
      <c r="C216" s="214" t="s">
        <v>371</v>
      </c>
      <c r="D216" s="214"/>
      <c r="E216" s="214" t="s">
        <v>102</v>
      </c>
      <c r="F216" s="214"/>
      <c r="G216" s="215" t="s">
        <v>403</v>
      </c>
      <c r="H216" s="215"/>
    </row>
    <row r="217" spans="1:20" x14ac:dyDescent="0.35">
      <c r="A217" s="213" t="s">
        <v>75</v>
      </c>
      <c r="B217" s="213"/>
      <c r="C217" s="213"/>
      <c r="D217" s="213"/>
      <c r="E217" s="213"/>
      <c r="F217" s="213"/>
      <c r="G217" s="213"/>
      <c r="H217" s="213"/>
    </row>
    <row r="218" spans="1:20" x14ac:dyDescent="0.35">
      <c r="A218" s="213"/>
      <c r="B218" s="213"/>
      <c r="C218" s="213"/>
      <c r="D218" s="213"/>
      <c r="E218" s="213"/>
      <c r="F218" s="213"/>
      <c r="G218" s="213"/>
      <c r="H218" s="213"/>
    </row>
    <row r="219" spans="1:20" x14ac:dyDescent="0.35">
      <c r="A219" s="213"/>
      <c r="B219" s="213"/>
      <c r="C219" s="213"/>
      <c r="D219" s="213"/>
      <c r="E219" s="213"/>
      <c r="F219" s="213"/>
      <c r="G219" s="213"/>
      <c r="H219" s="213"/>
    </row>
    <row r="220" spans="1:20" x14ac:dyDescent="0.35">
      <c r="A220" s="213"/>
      <c r="B220" s="213"/>
      <c r="C220" s="213"/>
      <c r="D220" s="213"/>
      <c r="E220" s="213"/>
      <c r="F220" s="213"/>
      <c r="G220" s="213"/>
      <c r="H220" s="213"/>
    </row>
    <row r="221" spans="1:20" x14ac:dyDescent="0.35">
      <c r="A221" s="38" t="s">
        <v>63</v>
      </c>
      <c r="B221" s="39"/>
      <c r="C221" s="39"/>
      <c r="D221" s="38" t="str">
        <f>E9</f>
        <v>Swastik Paradise</v>
      </c>
      <c r="F221" s="39"/>
      <c r="G221" s="39"/>
      <c r="H221" s="39"/>
    </row>
    <row r="222" spans="1:20" x14ac:dyDescent="0.35">
      <c r="A222" s="39"/>
      <c r="B222" s="39"/>
      <c r="C222" s="39"/>
      <c r="D222" s="39"/>
      <c r="E222" s="39"/>
      <c r="F222" s="39"/>
      <c r="G222" s="39"/>
      <c r="H222" s="39"/>
    </row>
    <row r="223" spans="1:20" x14ac:dyDescent="0.35">
      <c r="A223" s="39"/>
      <c r="B223" s="39"/>
      <c r="C223" s="39"/>
      <c r="D223" s="39"/>
      <c r="E223" s="39"/>
      <c r="F223" s="39"/>
      <c r="G223" s="39"/>
      <c r="H223" s="39"/>
    </row>
    <row r="224" spans="1:20" ht="15" customHeight="1" x14ac:dyDescent="0.35"/>
    <row r="264" spans="1:1" x14ac:dyDescent="0.35">
      <c r="A264" s="41" t="s">
        <v>164</v>
      </c>
    </row>
    <row r="307" spans="1:1" x14ac:dyDescent="0.35">
      <c r="A307" s="41" t="s">
        <v>64</v>
      </c>
    </row>
  </sheetData>
  <mergeCells count="375">
    <mergeCell ref="B208:H208"/>
    <mergeCell ref="L168:M168"/>
    <mergeCell ref="A169:B169"/>
    <mergeCell ref="L169:M169"/>
    <mergeCell ref="A170:B170"/>
    <mergeCell ref="L170:M170"/>
    <mergeCell ref="A157:H157"/>
    <mergeCell ref="A158:H158"/>
    <mergeCell ref="A159:H159"/>
    <mergeCell ref="A160:B160"/>
    <mergeCell ref="L160:M160"/>
    <mergeCell ref="A161:B161"/>
    <mergeCell ref="L161:M161"/>
    <mergeCell ref="A162:B162"/>
    <mergeCell ref="L162:M162"/>
    <mergeCell ref="A163:B163"/>
    <mergeCell ref="L163:M163"/>
    <mergeCell ref="A164:B164"/>
    <mergeCell ref="L164:M164"/>
    <mergeCell ref="A183:H183"/>
    <mergeCell ref="A177:H177"/>
    <mergeCell ref="A192:B192"/>
    <mergeCell ref="A189:H189"/>
    <mergeCell ref="L171:M171"/>
    <mergeCell ref="A70:C70"/>
    <mergeCell ref="D70:H70"/>
    <mergeCell ref="C77:H77"/>
    <mergeCell ref="A71:C71"/>
    <mergeCell ref="D71:H71"/>
    <mergeCell ref="B207:H207"/>
    <mergeCell ref="A168:B168"/>
    <mergeCell ref="B204:H204"/>
    <mergeCell ref="B202:H202"/>
    <mergeCell ref="A74:C74"/>
    <mergeCell ref="D74:H74"/>
    <mergeCell ref="A73:C73"/>
    <mergeCell ref="A86:B86"/>
    <mergeCell ref="A89:B89"/>
    <mergeCell ref="C89:H89"/>
    <mergeCell ref="A93:B93"/>
    <mergeCell ref="C91:H91"/>
    <mergeCell ref="A94:B94"/>
    <mergeCell ref="A95:B95"/>
    <mergeCell ref="F117:H117"/>
    <mergeCell ref="F123:H123"/>
    <mergeCell ref="A195:H195"/>
    <mergeCell ref="A187:B187"/>
    <mergeCell ref="A188:B188"/>
    <mergeCell ref="L156:M156"/>
    <mergeCell ref="A150:H150"/>
    <mergeCell ref="A165:H165"/>
    <mergeCell ref="A166:B166"/>
    <mergeCell ref="L166:M166"/>
    <mergeCell ref="A167:B167"/>
    <mergeCell ref="L167:M167"/>
    <mergeCell ref="A100:B100"/>
    <mergeCell ref="A101:B101"/>
    <mergeCell ref="A120:E120"/>
    <mergeCell ref="A117:E117"/>
    <mergeCell ref="F121:H121"/>
    <mergeCell ref="L143:M143"/>
    <mergeCell ref="L142:M142"/>
    <mergeCell ref="E133:F133"/>
    <mergeCell ref="G133:H133"/>
    <mergeCell ref="A118:E118"/>
    <mergeCell ref="A141:H141"/>
    <mergeCell ref="E139:E140"/>
    <mergeCell ref="G93:H102"/>
    <mergeCell ref="A96:B96"/>
    <mergeCell ref="F119:H119"/>
    <mergeCell ref="A119:E119"/>
    <mergeCell ref="D139:D140"/>
    <mergeCell ref="A72:C72"/>
    <mergeCell ref="D73:H73"/>
    <mergeCell ref="A79:B79"/>
    <mergeCell ref="G78:H78"/>
    <mergeCell ref="A87:B87"/>
    <mergeCell ref="A88:B88"/>
    <mergeCell ref="A83:B83"/>
    <mergeCell ref="A80:B80"/>
    <mergeCell ref="A82:B82"/>
    <mergeCell ref="E78:F78"/>
    <mergeCell ref="A85:B85"/>
    <mergeCell ref="G92:H92"/>
    <mergeCell ref="A77:B77"/>
    <mergeCell ref="A75:B75"/>
    <mergeCell ref="C75:H75"/>
    <mergeCell ref="A91:B91"/>
    <mergeCell ref="G139:G140"/>
    <mergeCell ref="A185:B185"/>
    <mergeCell ref="A176:B176"/>
    <mergeCell ref="A173:B173"/>
    <mergeCell ref="A174:B174"/>
    <mergeCell ref="A184:B184"/>
    <mergeCell ref="A121:E121"/>
    <mergeCell ref="F120:H120"/>
    <mergeCell ref="A114:B114"/>
    <mergeCell ref="G134:H134"/>
    <mergeCell ref="A116:B116"/>
    <mergeCell ref="C136:D136"/>
    <mergeCell ref="A113:B113"/>
    <mergeCell ref="A122:E122"/>
    <mergeCell ref="F122:H122"/>
    <mergeCell ref="A155:B155"/>
    <mergeCell ref="A115:B115"/>
    <mergeCell ref="I15:P15"/>
    <mergeCell ref="F128:H128"/>
    <mergeCell ref="F126:H126"/>
    <mergeCell ref="A179:B179"/>
    <mergeCell ref="A138:H138"/>
    <mergeCell ref="A127:E127"/>
    <mergeCell ref="A143:B143"/>
    <mergeCell ref="A60:B60"/>
    <mergeCell ref="C60:E60"/>
    <mergeCell ref="D62:H62"/>
    <mergeCell ref="F127:H127"/>
    <mergeCell ref="C132:D132"/>
    <mergeCell ref="D72:H72"/>
    <mergeCell ref="D63:H63"/>
    <mergeCell ref="G60:H60"/>
    <mergeCell ref="A54:B55"/>
    <mergeCell ref="C54:E54"/>
    <mergeCell ref="G54:H54"/>
    <mergeCell ref="A56:B57"/>
    <mergeCell ref="C56:E56"/>
    <mergeCell ref="E43:H43"/>
    <mergeCell ref="A43:D43"/>
    <mergeCell ref="A84:B84"/>
    <mergeCell ref="A50:B50"/>
    <mergeCell ref="A214:H214"/>
    <mergeCell ref="A211:H211"/>
    <mergeCell ref="A172:B172"/>
    <mergeCell ref="A132:B132"/>
    <mergeCell ref="D147:D148"/>
    <mergeCell ref="E147:E148"/>
    <mergeCell ref="A97:B97"/>
    <mergeCell ref="A99:B99"/>
    <mergeCell ref="F118:H118"/>
    <mergeCell ref="A102:B102"/>
    <mergeCell ref="F125:H125"/>
    <mergeCell ref="C135:D135"/>
    <mergeCell ref="A151:H151"/>
    <mergeCell ref="A181:B181"/>
    <mergeCell ref="B200:H200"/>
    <mergeCell ref="A190:B190"/>
    <mergeCell ref="A191:B191"/>
    <mergeCell ref="A194:B194"/>
    <mergeCell ref="A193:B193"/>
    <mergeCell ref="B196:H196"/>
    <mergeCell ref="B197:H197"/>
    <mergeCell ref="B199:H199"/>
    <mergeCell ref="A98:B98"/>
    <mergeCell ref="C133:D133"/>
    <mergeCell ref="A217:H220"/>
    <mergeCell ref="A216:B216"/>
    <mergeCell ref="E216:F216"/>
    <mergeCell ref="C216:D216"/>
    <mergeCell ref="G216:H216"/>
    <mergeCell ref="A129:E129"/>
    <mergeCell ref="F129:H129"/>
    <mergeCell ref="A130:E130"/>
    <mergeCell ref="F130:H130"/>
    <mergeCell ref="A171:H171"/>
    <mergeCell ref="A133:B133"/>
    <mergeCell ref="A180:B180"/>
    <mergeCell ref="A212:H212"/>
    <mergeCell ref="A131:H131"/>
    <mergeCell ref="A215:H215"/>
    <mergeCell ref="A213:H213"/>
    <mergeCell ref="A209:H209"/>
    <mergeCell ref="G132:H132"/>
    <mergeCell ref="B201:H201"/>
    <mergeCell ref="A186:B186"/>
    <mergeCell ref="A175:B175"/>
    <mergeCell ref="A182:B182"/>
    <mergeCell ref="A210:H210"/>
    <mergeCell ref="A152:B15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D65:H65"/>
    <mergeCell ref="D66:H66"/>
    <mergeCell ref="G52:H52"/>
    <mergeCell ref="A61:H61"/>
    <mergeCell ref="A62:C62"/>
    <mergeCell ref="A63:C63"/>
    <mergeCell ref="A36:B36"/>
    <mergeCell ref="C36:E36"/>
    <mergeCell ref="D67:H67"/>
    <mergeCell ref="C52:E52"/>
    <mergeCell ref="C53:H53"/>
    <mergeCell ref="E45:H45"/>
    <mergeCell ref="E46:H46"/>
    <mergeCell ref="E47:H47"/>
    <mergeCell ref="C57:H57"/>
    <mergeCell ref="C59:H59"/>
    <mergeCell ref="A48:H48"/>
    <mergeCell ref="D64:H64"/>
    <mergeCell ref="A64:C64"/>
    <mergeCell ref="A45:D45"/>
    <mergeCell ref="A49:B49"/>
    <mergeCell ref="C49:H49"/>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7:D47"/>
    <mergeCell ref="D69:H69"/>
    <mergeCell ref="A65:C67"/>
    <mergeCell ref="A40:B40"/>
    <mergeCell ref="C40:H40"/>
    <mergeCell ref="F139:F140"/>
    <mergeCell ref="B139:B140"/>
    <mergeCell ref="A139:A140"/>
    <mergeCell ref="C147:C148"/>
    <mergeCell ref="G147:G148"/>
    <mergeCell ref="L155:M155"/>
    <mergeCell ref="L152:M152"/>
    <mergeCell ref="A153:B153"/>
    <mergeCell ref="G136:H136"/>
    <mergeCell ref="L153:M153"/>
    <mergeCell ref="A154:B154"/>
    <mergeCell ref="L154:M154"/>
    <mergeCell ref="C55:H55"/>
    <mergeCell ref="A46:D46"/>
    <mergeCell ref="A78:B78"/>
    <mergeCell ref="A44:D44"/>
    <mergeCell ref="E44:H44"/>
    <mergeCell ref="L145:M145"/>
    <mergeCell ref="L144:M144"/>
    <mergeCell ref="A112:B112"/>
    <mergeCell ref="A81:B81"/>
    <mergeCell ref="E79:F88"/>
    <mergeCell ref="G79:H88"/>
    <mergeCell ref="B206:H206"/>
    <mergeCell ref="A123:E123"/>
    <mergeCell ref="A135:B135"/>
    <mergeCell ref="E135:F135"/>
    <mergeCell ref="A128:E128"/>
    <mergeCell ref="G135:H135"/>
    <mergeCell ref="A134:B134"/>
    <mergeCell ref="C134:D134"/>
    <mergeCell ref="E134:F134"/>
    <mergeCell ref="B203:H203"/>
    <mergeCell ref="A145:B145"/>
    <mergeCell ref="A144:B144"/>
    <mergeCell ref="A126:E126"/>
    <mergeCell ref="A125:E125"/>
    <mergeCell ref="A146:H146"/>
    <mergeCell ref="E132:F132"/>
    <mergeCell ref="A137:H137"/>
    <mergeCell ref="A147:A148"/>
    <mergeCell ref="F147:F148"/>
    <mergeCell ref="A178:B178"/>
    <mergeCell ref="A142:B142"/>
    <mergeCell ref="B205:H205"/>
    <mergeCell ref="A136:B136"/>
    <mergeCell ref="E136:F136"/>
    <mergeCell ref="C139:C140"/>
    <mergeCell ref="B147:B148"/>
    <mergeCell ref="A124:E124"/>
    <mergeCell ref="F124:H124"/>
    <mergeCell ref="B198:H198"/>
    <mergeCell ref="A92:B92"/>
    <mergeCell ref="E92:F92"/>
    <mergeCell ref="E93:F102"/>
    <mergeCell ref="A103:B103"/>
    <mergeCell ref="C103:H103"/>
    <mergeCell ref="A105:B105"/>
    <mergeCell ref="C105:H105"/>
    <mergeCell ref="A106:B106"/>
    <mergeCell ref="E106:F106"/>
    <mergeCell ref="G106:H106"/>
    <mergeCell ref="A107:B107"/>
    <mergeCell ref="E107:F116"/>
    <mergeCell ref="G107:H116"/>
    <mergeCell ref="A108:B108"/>
    <mergeCell ref="A109:B109"/>
    <mergeCell ref="A110:B110"/>
    <mergeCell ref="A111:B111"/>
    <mergeCell ref="A149:H149"/>
    <mergeCell ref="A156:B156"/>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39:E140">
      <formula1>"Attached Loft area,Attached Otla area,Attached Mezzanine area"</formula1>
    </dataValidation>
    <dataValidation type="list" allowBlank="1" showInputMessage="1" showErrorMessage="1" sqref="G216:H216">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9:H129">
      <formula1>OFFSET($S$117,1,MATCH($G20,$S$117:$W$117,0)-1,15,1)</formula1>
    </dataValidation>
    <dataValidation type="list" allowBlank="1" showInputMessage="1" showErrorMessage="1" sqref="B139:B140">
      <formula1>"Shop No. (Sale Plan),Sale / Rehab,Sale / Mhada"</formula1>
    </dataValidation>
    <dataValidation type="list" allowBlank="1" showInputMessage="1" showErrorMessage="1" sqref="B147:B14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7:E148">
      <formula1>"Fungible area,Balcony Area,EP Area,Chajja Area,Cornice Area,AP Area,WS Area"</formula1>
    </dataValidation>
    <dataValidation type="list" allowBlank="1" showInputMessage="1" showErrorMessage="1" sqref="H140 H14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39 H147">
      <formula1>"Saleable area Loading :,Builder Saleable Area"</formula1>
    </dataValidation>
    <dataValidation type="list" allowBlank="1" showInputMessage="1" showErrorMessage="1" sqref="D139:D140 D147:D148">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
&amp;R&amp;"Times New Roman,Bold"&amp;12&amp;P</oddFooter>
  </headerFooter>
  <rowBreaks count="4" manualBreakCount="4">
    <brk id="74" max="16383" man="1"/>
    <brk id="220" max="16383" man="1"/>
    <brk id="263" max="16383" man="1"/>
    <brk id="30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E8" sqref="E8"/>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52" t="s">
        <v>103</v>
      </c>
      <c r="C3" s="252"/>
      <c r="D3" s="252"/>
      <c r="E3" s="252"/>
      <c r="F3" s="252"/>
      <c r="G3" s="252"/>
      <c r="H3" s="252"/>
    </row>
    <row r="4" spans="1:9" x14ac:dyDescent="0.35">
      <c r="A4" s="2"/>
      <c r="B4" s="3" t="s">
        <v>104</v>
      </c>
      <c r="C4" s="3" t="s">
        <v>105</v>
      </c>
      <c r="D4" s="3" t="s">
        <v>66</v>
      </c>
      <c r="E4" s="3" t="s">
        <v>106</v>
      </c>
      <c r="F4" s="3" t="s">
        <v>112</v>
      </c>
      <c r="G4" s="3" t="s">
        <v>113</v>
      </c>
      <c r="H4" s="3" t="s">
        <v>107</v>
      </c>
    </row>
    <row r="5" spans="1:9" ht="15" customHeight="1" x14ac:dyDescent="0.35">
      <c r="A5" s="2"/>
      <c r="B5" s="97" t="s">
        <v>398</v>
      </c>
      <c r="C5" s="6"/>
      <c r="D5" s="97" t="s">
        <v>369</v>
      </c>
      <c r="E5" s="5">
        <v>407</v>
      </c>
      <c r="F5" s="7">
        <f>E5*1.6</f>
        <v>651.20000000000005</v>
      </c>
      <c r="G5" s="7">
        <f>H5/F5</f>
        <v>3455.159705159705</v>
      </c>
      <c r="H5" s="8">
        <v>2250000</v>
      </c>
    </row>
    <row r="6" spans="1:9" x14ac:dyDescent="0.35">
      <c r="A6" s="2"/>
      <c r="B6" s="5" t="s">
        <v>108</v>
      </c>
      <c r="C6" s="9"/>
      <c r="D6" s="97" t="s">
        <v>367</v>
      </c>
      <c r="E6" s="5">
        <v>510</v>
      </c>
      <c r="F6" s="7">
        <f t="shared" ref="F6:F11" si="0">E6*1.6</f>
        <v>816</v>
      </c>
      <c r="G6" s="7">
        <f t="shared" ref="G6:G11" si="1">H6/F6</f>
        <v>3454.6568627450979</v>
      </c>
      <c r="H6" s="8">
        <v>2819000</v>
      </c>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180</v>
      </c>
      <c r="E4" s="53" t="s">
        <v>190</v>
      </c>
      <c r="F4" s="53" t="s">
        <v>174</v>
      </c>
      <c r="G4" s="53" t="s">
        <v>195</v>
      </c>
      <c r="H4" s="53" t="s">
        <v>213</v>
      </c>
      <c r="J4" t="s">
        <v>195</v>
      </c>
      <c r="K4" t="s">
        <v>211</v>
      </c>
    </row>
    <row r="5" spans="2:11" x14ac:dyDescent="0.35">
      <c r="B5" s="52"/>
      <c r="C5" s="52"/>
      <c r="D5" s="53" t="s">
        <v>181</v>
      </c>
      <c r="E5" s="53" t="s">
        <v>188</v>
      </c>
      <c r="F5" s="53" t="s">
        <v>210</v>
      </c>
      <c r="G5" s="53" t="s">
        <v>196</v>
      </c>
      <c r="H5" s="53" t="s">
        <v>214</v>
      </c>
    </row>
    <row r="6" spans="2:11" x14ac:dyDescent="0.35">
      <c r="B6" s="52"/>
      <c r="C6" s="52"/>
      <c r="D6" s="53" t="s">
        <v>182</v>
      </c>
      <c r="E6" s="53" t="s">
        <v>189</v>
      </c>
      <c r="F6" s="53" t="s">
        <v>211</v>
      </c>
      <c r="G6" s="53" t="s">
        <v>197</v>
      </c>
      <c r="H6" s="53" t="s">
        <v>227</v>
      </c>
    </row>
    <row r="7" spans="2:11" x14ac:dyDescent="0.35">
      <c r="B7" s="52"/>
      <c r="C7" s="52"/>
      <c r="D7" s="53" t="s">
        <v>183</v>
      </c>
      <c r="E7" s="53" t="s">
        <v>191</v>
      </c>
      <c r="F7" s="53" t="s">
        <v>212</v>
      </c>
      <c r="G7" s="53" t="s">
        <v>198</v>
      </c>
      <c r="H7" s="53" t="s">
        <v>215</v>
      </c>
    </row>
    <row r="8" spans="2:11" x14ac:dyDescent="0.35">
      <c r="B8" s="52"/>
      <c r="C8" s="52"/>
      <c r="D8" s="53" t="s">
        <v>184</v>
      </c>
      <c r="E8" s="53" t="s">
        <v>192</v>
      </c>
      <c r="F8" s="53"/>
      <c r="G8" s="53" t="s">
        <v>199</v>
      </c>
      <c r="H8" s="53" t="s">
        <v>216</v>
      </c>
    </row>
    <row r="9" spans="2:11" x14ac:dyDescent="0.35">
      <c r="B9" s="52"/>
      <c r="C9" s="52"/>
      <c r="D9" s="53" t="s">
        <v>185</v>
      </c>
      <c r="E9" s="53" t="s">
        <v>190</v>
      </c>
      <c r="F9" s="53"/>
      <c r="G9" s="53" t="s">
        <v>200</v>
      </c>
      <c r="H9" s="53" t="s">
        <v>217</v>
      </c>
    </row>
    <row r="10" spans="2:11" x14ac:dyDescent="0.35">
      <c r="B10" s="52"/>
      <c r="C10" s="52"/>
      <c r="D10" s="53" t="s">
        <v>186</v>
      </c>
      <c r="E10" s="53" t="s">
        <v>193</v>
      </c>
      <c r="F10" s="53"/>
      <c r="G10" s="53" t="s">
        <v>201</v>
      </c>
      <c r="H10" s="53" t="s">
        <v>218</v>
      </c>
    </row>
    <row r="11" spans="2:11" x14ac:dyDescent="0.35">
      <c r="B11" s="52"/>
      <c r="C11" s="52"/>
      <c r="D11" s="53" t="s">
        <v>187</v>
      </c>
      <c r="E11" s="53" t="s">
        <v>194</v>
      </c>
      <c r="F11" s="53"/>
      <c r="G11" s="53" t="s">
        <v>202</v>
      </c>
      <c r="H11" s="53" t="s">
        <v>219</v>
      </c>
    </row>
    <row r="12" spans="2:11" x14ac:dyDescent="0.35">
      <c r="B12" s="52"/>
      <c r="C12" s="52"/>
      <c r="D12" s="53"/>
      <c r="E12" s="53"/>
      <c r="F12" s="53"/>
      <c r="G12" s="53" t="s">
        <v>203</v>
      </c>
      <c r="H12" s="53" t="s">
        <v>220</v>
      </c>
    </row>
    <row r="13" spans="2:11" x14ac:dyDescent="0.35">
      <c r="B13" s="52"/>
      <c r="C13" s="52"/>
      <c r="D13" s="53"/>
      <c r="E13" s="53"/>
      <c r="F13" s="53"/>
      <c r="G13" s="53" t="s">
        <v>204</v>
      </c>
      <c r="H13" s="53" t="s">
        <v>221</v>
      </c>
    </row>
    <row r="14" spans="2:11" x14ac:dyDescent="0.35">
      <c r="B14" s="52"/>
      <c r="C14" s="52"/>
      <c r="D14" s="53"/>
      <c r="E14" s="53"/>
      <c r="F14" s="53"/>
      <c r="G14" s="53" t="s">
        <v>205</v>
      </c>
      <c r="H14" s="53" t="s">
        <v>222</v>
      </c>
    </row>
    <row r="15" spans="2:11" x14ac:dyDescent="0.35">
      <c r="B15" s="52"/>
      <c r="C15" s="52"/>
      <c r="D15" s="53"/>
      <c r="E15" s="53"/>
      <c r="F15" s="53"/>
      <c r="G15" s="53" t="s">
        <v>206</v>
      </c>
      <c r="H15" s="53" t="s">
        <v>223</v>
      </c>
    </row>
    <row r="16" spans="2:11" x14ac:dyDescent="0.35">
      <c r="B16" s="52"/>
      <c r="C16" s="52"/>
      <c r="D16" s="53"/>
      <c r="E16" s="53"/>
      <c r="F16" s="53"/>
      <c r="G16" s="53" t="s">
        <v>207</v>
      </c>
      <c r="H16" s="53" t="s">
        <v>224</v>
      </c>
    </row>
    <row r="17" spans="2:8" x14ac:dyDescent="0.35">
      <c r="B17" s="52"/>
      <c r="C17" s="52"/>
      <c r="D17" s="53"/>
      <c r="E17" s="53"/>
      <c r="F17" s="53"/>
      <c r="G17" s="53" t="s">
        <v>208</v>
      </c>
      <c r="H17" s="53" t="s">
        <v>225</v>
      </c>
    </row>
    <row r="18" spans="2:8" x14ac:dyDescent="0.35">
      <c r="B18" s="52"/>
      <c r="C18" s="52"/>
      <c r="D18" s="53"/>
      <c r="E18" s="53"/>
      <c r="F18" s="53"/>
      <c r="G18" s="53" t="s">
        <v>209</v>
      </c>
      <c r="H18" s="53" t="s">
        <v>226</v>
      </c>
    </row>
    <row r="24" spans="2:8" x14ac:dyDescent="0.35">
      <c r="C24" t="s">
        <v>171</v>
      </c>
    </row>
    <row r="25" spans="2:8" x14ac:dyDescent="0.35">
      <c r="C25" t="s">
        <v>228</v>
      </c>
    </row>
    <row r="26" spans="2:8" x14ac:dyDescent="0.35">
      <c r="C26" t="s">
        <v>229</v>
      </c>
    </row>
    <row r="27" spans="2:8" x14ac:dyDescent="0.35">
      <c r="C27" t="s">
        <v>230</v>
      </c>
    </row>
    <row r="28" spans="2:8" x14ac:dyDescent="0.35">
      <c r="C28" t="s">
        <v>231</v>
      </c>
    </row>
    <row r="29" spans="2:8" x14ac:dyDescent="0.35">
      <c r="C29" t="s">
        <v>232</v>
      </c>
    </row>
    <row r="30" spans="2:8" x14ac:dyDescent="0.35">
      <c r="C30" t="s">
        <v>171</v>
      </c>
    </row>
    <row r="33" spans="3:11" x14ac:dyDescent="0.35">
      <c r="J33">
        <v>1</v>
      </c>
      <c r="K33">
        <v>2</v>
      </c>
    </row>
    <row r="34" spans="3:11" x14ac:dyDescent="0.35">
      <c r="C34" s="57" t="s">
        <v>238</v>
      </c>
      <c r="D34" s="53" t="s">
        <v>236</v>
      </c>
      <c r="E34" s="53" t="s">
        <v>241</v>
      </c>
      <c r="F34" s="53" t="s">
        <v>239</v>
      </c>
      <c r="G34" s="53" t="s">
        <v>240</v>
      </c>
      <c r="H34" s="53" t="s">
        <v>242</v>
      </c>
      <c r="J34" t="s">
        <v>195</v>
      </c>
      <c r="K34" t="s">
        <v>211</v>
      </c>
    </row>
    <row r="35" spans="3:11" x14ac:dyDescent="0.35">
      <c r="C35" s="52" t="s">
        <v>237</v>
      </c>
      <c r="D35" s="53" t="s">
        <v>172</v>
      </c>
      <c r="E35" s="53" t="s">
        <v>246</v>
      </c>
      <c r="F35" s="53" t="s">
        <v>248</v>
      </c>
      <c r="G35" s="53" t="s">
        <v>250</v>
      </c>
      <c r="H35" s="53"/>
    </row>
    <row r="36" spans="3:11" x14ac:dyDescent="0.35">
      <c r="C36" s="52"/>
      <c r="D36" s="53" t="s">
        <v>243</v>
      </c>
      <c r="E36" s="53" t="s">
        <v>247</v>
      </c>
      <c r="F36" s="53" t="s">
        <v>249</v>
      </c>
      <c r="G36" s="53" t="s">
        <v>251</v>
      </c>
      <c r="H36" s="53"/>
    </row>
    <row r="37" spans="3:11" x14ac:dyDescent="0.35">
      <c r="C37" s="52"/>
      <c r="D37" s="53" t="s">
        <v>244</v>
      </c>
      <c r="E37" s="53"/>
      <c r="F37" s="53"/>
      <c r="G37" s="53" t="s">
        <v>252</v>
      </c>
      <c r="H37" s="53"/>
    </row>
    <row r="38" spans="3:11" x14ac:dyDescent="0.35">
      <c r="C38" s="52"/>
      <c r="D38" s="53" t="s">
        <v>245</v>
      </c>
      <c r="E38" s="53"/>
      <c r="F38" s="53"/>
      <c r="G38" s="53" t="s">
        <v>252</v>
      </c>
      <c r="H38" s="53"/>
    </row>
    <row r="39" spans="3:11" x14ac:dyDescent="0.35">
      <c r="C39" s="52"/>
      <c r="D39" s="53"/>
      <c r="E39" s="53"/>
      <c r="F39" s="53"/>
      <c r="G39" s="53" t="s">
        <v>253</v>
      </c>
      <c r="H39" s="53"/>
    </row>
    <row r="40" spans="3:11" x14ac:dyDescent="0.35">
      <c r="C40" s="52"/>
      <c r="D40" s="53"/>
      <c r="E40" s="53"/>
      <c r="F40" s="53"/>
      <c r="G40" s="53" t="s">
        <v>254</v>
      </c>
      <c r="H40" s="53"/>
    </row>
    <row r="41" spans="3:11" x14ac:dyDescent="0.35">
      <c r="C41" s="52"/>
      <c r="D41" s="53"/>
      <c r="E41" s="53"/>
      <c r="F41" s="53"/>
      <c r="G41" s="53"/>
      <c r="H41" s="53"/>
    </row>
    <row r="43" spans="3:11" x14ac:dyDescent="0.35">
      <c r="C43" t="s">
        <v>255</v>
      </c>
    </row>
    <row r="44" spans="3:11" x14ac:dyDescent="0.35">
      <c r="C44" t="s">
        <v>174</v>
      </c>
      <c r="D44" t="s">
        <v>256</v>
      </c>
    </row>
    <row r="45" spans="3:11" x14ac:dyDescent="0.35">
      <c r="D45" t="s">
        <v>257</v>
      </c>
    </row>
    <row r="46" spans="3:11" x14ac:dyDescent="0.35">
      <c r="D46" t="s">
        <v>258</v>
      </c>
    </row>
    <row r="47" spans="3:11" x14ac:dyDescent="0.35">
      <c r="D47" t="s">
        <v>259</v>
      </c>
    </row>
    <row r="48" spans="3:11" x14ac:dyDescent="0.35">
      <c r="D48" t="s">
        <v>260</v>
      </c>
    </row>
    <row r="49" spans="3:4" x14ac:dyDescent="0.35">
      <c r="C49" t="s">
        <v>180</v>
      </c>
      <c r="D49" t="s">
        <v>261</v>
      </c>
    </row>
    <row r="50" spans="3:4" x14ac:dyDescent="0.35">
      <c r="D50" t="s">
        <v>262</v>
      </c>
    </row>
    <row r="51" spans="3:4" x14ac:dyDescent="0.35">
      <c r="D51" t="s">
        <v>263</v>
      </c>
    </row>
    <row r="52" spans="3:4" x14ac:dyDescent="0.35">
      <c r="D52" t="s">
        <v>266</v>
      </c>
    </row>
    <row r="53" spans="3:4" x14ac:dyDescent="0.35">
      <c r="D53" t="s">
        <v>264</v>
      </c>
    </row>
    <row r="54" spans="3:4" x14ac:dyDescent="0.35">
      <c r="D54" t="s">
        <v>265</v>
      </c>
    </row>
    <row r="55" spans="3:4" x14ac:dyDescent="0.35">
      <c r="D55" t="s">
        <v>267</v>
      </c>
    </row>
    <row r="56" spans="3:4" x14ac:dyDescent="0.35">
      <c r="D56" t="s">
        <v>268</v>
      </c>
    </row>
    <row r="57" spans="3:4" x14ac:dyDescent="0.35">
      <c r="D57" t="s">
        <v>269</v>
      </c>
    </row>
    <row r="58" spans="3:4" x14ac:dyDescent="0.35">
      <c r="D58" t="s">
        <v>271</v>
      </c>
    </row>
    <row r="59" spans="3:4" x14ac:dyDescent="0.35">
      <c r="D59" t="s">
        <v>280</v>
      </c>
    </row>
    <row r="60" spans="3:4" x14ac:dyDescent="0.35">
      <c r="C60" t="s">
        <v>195</v>
      </c>
      <c r="D60" t="s">
        <v>272</v>
      </c>
    </row>
    <row r="61" spans="3:4" x14ac:dyDescent="0.35">
      <c r="D61" t="s">
        <v>270</v>
      </c>
    </row>
    <row r="62" spans="3:4" x14ac:dyDescent="0.35">
      <c r="D62" t="s">
        <v>260</v>
      </c>
    </row>
    <row r="63" spans="3:4" x14ac:dyDescent="0.35">
      <c r="D63" t="s">
        <v>273</v>
      </c>
    </row>
    <row r="64" spans="3:4" x14ac:dyDescent="0.35">
      <c r="D64" t="s">
        <v>274</v>
      </c>
    </row>
    <row r="65" spans="3:4" x14ac:dyDescent="0.35">
      <c r="D65" t="s">
        <v>275</v>
      </c>
    </row>
    <row r="66" spans="3:4" x14ac:dyDescent="0.35">
      <c r="D66" t="s">
        <v>276</v>
      </c>
    </row>
    <row r="67" spans="3:4" x14ac:dyDescent="0.35">
      <c r="C67" t="s">
        <v>190</v>
      </c>
      <c r="D67" t="s">
        <v>277</v>
      </c>
    </row>
    <row r="68" spans="3:4" x14ac:dyDescent="0.35">
      <c r="D68" t="s">
        <v>278</v>
      </c>
    </row>
    <row r="69" spans="3:4" x14ac:dyDescent="0.3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4.5" x14ac:dyDescent="0.35"/>
  <cols>
    <col min="2" max="2" width="3" bestFit="1" customWidth="1"/>
    <col min="3" max="3" width="155.26953125" customWidth="1"/>
  </cols>
  <sheetData>
    <row r="2" spans="2:3" ht="15" customHeight="1" x14ac:dyDescent="0.35">
      <c r="B2" s="58">
        <v>1</v>
      </c>
      <c r="C2" s="61" t="s">
        <v>286</v>
      </c>
    </row>
    <row r="3" spans="2:3" x14ac:dyDescent="0.35">
      <c r="B3" s="58">
        <v>2</v>
      </c>
      <c r="C3" s="59" t="s">
        <v>287</v>
      </c>
    </row>
    <row r="4" spans="2:3" x14ac:dyDescent="0.35">
      <c r="B4" s="58">
        <v>3</v>
      </c>
      <c r="C4" s="60" t="s">
        <v>288</v>
      </c>
    </row>
    <row r="5" spans="2:3" x14ac:dyDescent="0.35">
      <c r="B5" s="58">
        <v>4</v>
      </c>
      <c r="C5" s="59" t="s">
        <v>289</v>
      </c>
    </row>
    <row r="6" spans="2:3" x14ac:dyDescent="0.35">
      <c r="B6" s="58">
        <v>5</v>
      </c>
      <c r="C6" s="60" t="s">
        <v>290</v>
      </c>
    </row>
    <row r="7" spans="2:3" ht="29" x14ac:dyDescent="0.35">
      <c r="B7" s="58">
        <v>6</v>
      </c>
      <c r="C7" s="59" t="s">
        <v>291</v>
      </c>
    </row>
    <row r="8" spans="2:3" ht="72.5" x14ac:dyDescent="0.35">
      <c r="B8" s="58">
        <v>7</v>
      </c>
      <c r="C8" s="59" t="s">
        <v>292</v>
      </c>
    </row>
    <row r="9" spans="2:3" x14ac:dyDescent="0.35">
      <c r="B9" s="58">
        <v>8</v>
      </c>
      <c r="C9" s="60" t="s">
        <v>293</v>
      </c>
    </row>
    <row r="10" spans="2:3" x14ac:dyDescent="0.35">
      <c r="B10" s="58">
        <v>9</v>
      </c>
      <c r="C10" s="60" t="s">
        <v>294</v>
      </c>
    </row>
    <row r="11" spans="2:3" x14ac:dyDescent="0.35">
      <c r="B11" s="58">
        <v>10</v>
      </c>
      <c r="C11" s="60" t="s">
        <v>295</v>
      </c>
    </row>
    <row r="12" spans="2:3" x14ac:dyDescent="0.35">
      <c r="B12" s="58">
        <v>11</v>
      </c>
      <c r="C12" s="60" t="s">
        <v>296</v>
      </c>
    </row>
    <row r="13" spans="2:3" x14ac:dyDescent="0.35">
      <c r="B13" s="58">
        <v>12</v>
      </c>
      <c r="C13" s="60" t="s">
        <v>297</v>
      </c>
    </row>
    <row r="14" spans="2:3" x14ac:dyDescent="0.35">
      <c r="B14" s="58">
        <v>13</v>
      </c>
      <c r="C14" s="60" t="s">
        <v>298</v>
      </c>
    </row>
    <row r="15" spans="2:3" x14ac:dyDescent="0.35">
      <c r="B15" s="58">
        <v>14</v>
      </c>
      <c r="C15" s="60" t="s">
        <v>288</v>
      </c>
    </row>
    <row r="16" spans="2:3" x14ac:dyDescent="0.35">
      <c r="B16" s="58">
        <v>15</v>
      </c>
      <c r="C16" s="60" t="s">
        <v>301</v>
      </c>
    </row>
    <row r="17" spans="2:3" x14ac:dyDescent="0.35">
      <c r="B17" s="86">
        <v>16</v>
      </c>
      <c r="C17" s="67" t="s">
        <v>302</v>
      </c>
    </row>
    <row r="18" spans="2:3" x14ac:dyDescent="0.35">
      <c r="B18" s="66">
        <v>17</v>
      </c>
      <c r="C18" s="67" t="s">
        <v>303</v>
      </c>
    </row>
    <row r="19" spans="2:3" x14ac:dyDescent="0.35">
      <c r="B19" s="65">
        <v>18</v>
      </c>
      <c r="C19" s="58" t="s">
        <v>304</v>
      </c>
    </row>
    <row r="20" spans="2:3" x14ac:dyDescent="0.35">
      <c r="B20" s="66">
        <v>19</v>
      </c>
      <c r="C20" s="58" t="s">
        <v>340</v>
      </c>
    </row>
    <row r="21" spans="2:3" x14ac:dyDescent="0.35">
      <c r="B21" s="68">
        <v>20</v>
      </c>
      <c r="C21" s="58" t="s">
        <v>305</v>
      </c>
    </row>
    <row r="22" spans="2:3" x14ac:dyDescent="0.35">
      <c r="B22" s="66">
        <v>21</v>
      </c>
      <c r="C22" s="58" t="s">
        <v>304</v>
      </c>
    </row>
    <row r="23" spans="2:3" s="78" customFormat="1" ht="29.25" customHeight="1" x14ac:dyDescent="0.35">
      <c r="B23" s="77">
        <v>22</v>
      </c>
      <c r="C23" s="61" t="s">
        <v>332</v>
      </c>
    </row>
    <row r="24" spans="2:3" s="78" customFormat="1" ht="30.75" customHeight="1" x14ac:dyDescent="0.35">
      <c r="B24" s="79">
        <v>23</v>
      </c>
      <c r="C24" s="61" t="s">
        <v>333</v>
      </c>
    </row>
    <row r="25" spans="2:3" x14ac:dyDescent="0.35">
      <c r="B25" s="68">
        <v>24</v>
      </c>
      <c r="C25" s="58" t="s">
        <v>336</v>
      </c>
    </row>
    <row r="26" spans="2:3" x14ac:dyDescent="0.35">
      <c r="B26" s="66">
        <v>25</v>
      </c>
      <c r="C26" s="58" t="s">
        <v>334</v>
      </c>
    </row>
    <row r="27" spans="2:3" x14ac:dyDescent="0.35">
      <c r="B27" s="79">
        <v>26</v>
      </c>
      <c r="C27" s="68" t="s">
        <v>335</v>
      </c>
    </row>
    <row r="28" spans="2:3" x14ac:dyDescent="0.35">
      <c r="B28" s="80">
        <v>27</v>
      </c>
      <c r="C28" s="58" t="s">
        <v>337</v>
      </c>
    </row>
    <row r="29" spans="2:3" ht="43.5" x14ac:dyDescent="0.35">
      <c r="B29" s="85">
        <v>28</v>
      </c>
      <c r="C29" s="59" t="s">
        <v>338</v>
      </c>
    </row>
    <row r="30" spans="2:3" x14ac:dyDescent="0.35">
      <c r="B30" s="79">
        <v>29</v>
      </c>
      <c r="C30" s="58" t="s">
        <v>339</v>
      </c>
    </row>
    <row r="31" spans="2:3" ht="29" x14ac:dyDescent="0.35">
      <c r="B31" s="87">
        <v>30</v>
      </c>
      <c r="C31" s="59" t="s">
        <v>341</v>
      </c>
    </row>
    <row r="32" spans="2:3" x14ac:dyDescent="0.35">
      <c r="B32" s="79">
        <v>31</v>
      </c>
      <c r="C32" s="58" t="s">
        <v>342</v>
      </c>
    </row>
    <row r="33" spans="2:3" x14ac:dyDescent="0.35">
      <c r="B33" s="79">
        <v>32</v>
      </c>
      <c r="C33" s="58" t="s">
        <v>343</v>
      </c>
    </row>
    <row r="34" spans="2:3" ht="36.75" customHeight="1" x14ac:dyDescent="0.35">
      <c r="B34" s="87">
        <v>33</v>
      </c>
      <c r="C34" s="67" t="s">
        <v>344</v>
      </c>
    </row>
    <row r="35" spans="2:3" x14ac:dyDescent="0.35">
      <c r="B35" s="79">
        <v>34</v>
      </c>
      <c r="C35" s="58"/>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71" t="s">
        <v>306</v>
      </c>
      <c r="C2" s="253"/>
      <c r="D2" s="253"/>
    </row>
    <row r="3" spans="1:12" x14ac:dyDescent="0.35">
      <c r="D3" s="72"/>
      <c r="E3" s="72"/>
      <c r="F3" s="72"/>
      <c r="G3" s="72"/>
      <c r="H3" s="72"/>
      <c r="I3" s="72"/>
    </row>
    <row r="4" spans="1:12" x14ac:dyDescent="0.35">
      <c r="A4" s="71" t="s">
        <v>66</v>
      </c>
      <c r="B4" s="73" t="s">
        <v>307</v>
      </c>
      <c r="C4" s="254" t="s">
        <v>308</v>
      </c>
      <c r="D4" s="254"/>
      <c r="E4" s="254"/>
      <c r="F4" s="73"/>
      <c r="G4" s="255" t="s">
        <v>309</v>
      </c>
      <c r="H4" s="255"/>
      <c r="I4" s="255"/>
      <c r="J4" s="256" t="s">
        <v>310</v>
      </c>
      <c r="K4" s="256"/>
      <c r="L4" s="256"/>
    </row>
    <row r="5" spans="1:12" x14ac:dyDescent="0.35">
      <c r="A5" s="71"/>
      <c r="B5" s="73"/>
      <c r="C5" s="73" t="s">
        <v>311</v>
      </c>
      <c r="D5" s="73" t="s">
        <v>312</v>
      </c>
      <c r="E5" s="73" t="s">
        <v>313</v>
      </c>
      <c r="F5" s="73"/>
      <c r="G5" s="73" t="s">
        <v>311</v>
      </c>
      <c r="H5" s="73" t="s">
        <v>312</v>
      </c>
      <c r="I5" s="73" t="s">
        <v>313</v>
      </c>
      <c r="J5" s="73" t="s">
        <v>311</v>
      </c>
      <c r="K5" s="73" t="s">
        <v>312</v>
      </c>
      <c r="L5" s="73" t="s">
        <v>313</v>
      </c>
    </row>
    <row r="6" spans="1:12" x14ac:dyDescent="0.35">
      <c r="B6" s="53" t="s">
        <v>314</v>
      </c>
      <c r="C6" s="53"/>
      <c r="D6" s="53"/>
      <c r="E6" s="53">
        <f>C6*D6</f>
        <v>0</v>
      </c>
      <c r="F6" s="53" t="s">
        <v>331</v>
      </c>
      <c r="G6" s="53"/>
      <c r="H6" s="53"/>
      <c r="I6" s="53">
        <f>G6*H6</f>
        <v>0</v>
      </c>
      <c r="J6" s="53"/>
      <c r="K6" s="53"/>
      <c r="L6" s="53">
        <f>J6*K6</f>
        <v>0</v>
      </c>
    </row>
    <row r="7" spans="1:12" x14ac:dyDescent="0.35">
      <c r="B7" s="53"/>
      <c r="C7" s="53"/>
      <c r="D7" s="53"/>
      <c r="E7" s="53">
        <f t="shared" ref="E7:E41" si="0">C7*D7</f>
        <v>0</v>
      </c>
      <c r="F7" s="53" t="s">
        <v>331</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315</v>
      </c>
      <c r="G9" s="53"/>
      <c r="H9" s="53"/>
      <c r="I9" s="53">
        <f t="shared" si="1"/>
        <v>0</v>
      </c>
      <c r="J9" s="53"/>
      <c r="K9" s="53"/>
      <c r="L9" s="53">
        <f t="shared" si="2"/>
        <v>0</v>
      </c>
    </row>
    <row r="10" spans="1:12" x14ac:dyDescent="0.35">
      <c r="B10" s="53" t="s">
        <v>316</v>
      </c>
      <c r="C10" s="53"/>
      <c r="D10" s="53"/>
      <c r="E10" s="53">
        <f t="shared" si="0"/>
        <v>0</v>
      </c>
      <c r="F10" s="53" t="s">
        <v>315</v>
      </c>
      <c r="G10" s="53"/>
      <c r="H10" s="53"/>
      <c r="I10" s="53">
        <f t="shared" si="1"/>
        <v>0</v>
      </c>
      <c r="J10" s="53"/>
      <c r="K10" s="53"/>
      <c r="L10" s="53">
        <f t="shared" si="2"/>
        <v>0</v>
      </c>
    </row>
    <row r="11" spans="1:12" x14ac:dyDescent="0.35">
      <c r="B11" s="53"/>
      <c r="C11" s="53"/>
      <c r="D11" s="53"/>
      <c r="E11" s="53">
        <f t="shared" si="0"/>
        <v>0</v>
      </c>
      <c r="F11" s="53" t="s">
        <v>317</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318</v>
      </c>
      <c r="C14" s="53"/>
      <c r="D14" s="53"/>
      <c r="E14" s="53">
        <f t="shared" si="0"/>
        <v>0</v>
      </c>
      <c r="F14" s="53" t="s">
        <v>315</v>
      </c>
      <c r="G14" s="53"/>
      <c r="H14" s="53"/>
      <c r="I14" s="53">
        <f t="shared" si="1"/>
        <v>0</v>
      </c>
      <c r="J14" s="53"/>
      <c r="K14" s="53"/>
      <c r="L14" s="53">
        <f t="shared" si="2"/>
        <v>0</v>
      </c>
    </row>
    <row r="15" spans="1:12" x14ac:dyDescent="0.35">
      <c r="B15" s="53"/>
      <c r="C15" s="53"/>
      <c r="D15" s="53"/>
      <c r="E15" s="53">
        <f t="shared" si="0"/>
        <v>0</v>
      </c>
      <c r="F15" s="53" t="s">
        <v>317</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319</v>
      </c>
      <c r="C18" s="53"/>
      <c r="D18" s="53"/>
      <c r="E18" s="53">
        <f t="shared" si="0"/>
        <v>0</v>
      </c>
      <c r="F18" s="53" t="s">
        <v>315</v>
      </c>
      <c r="G18" s="53"/>
      <c r="H18" s="53"/>
      <c r="I18" s="53">
        <f t="shared" si="1"/>
        <v>0</v>
      </c>
      <c r="J18" s="53"/>
      <c r="K18" s="53"/>
      <c r="L18" s="53">
        <f t="shared" si="2"/>
        <v>0</v>
      </c>
    </row>
    <row r="19" spans="2:12" x14ac:dyDescent="0.35">
      <c r="B19" s="53"/>
      <c r="C19" s="53"/>
      <c r="D19" s="53"/>
      <c r="E19" s="53">
        <f t="shared" si="0"/>
        <v>0</v>
      </c>
      <c r="F19" s="53" t="s">
        <v>317</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320</v>
      </c>
      <c r="C21" s="53"/>
      <c r="D21" s="53"/>
      <c r="E21" s="53">
        <f t="shared" si="0"/>
        <v>0</v>
      </c>
      <c r="F21" s="53" t="s">
        <v>315</v>
      </c>
      <c r="G21" s="53"/>
      <c r="H21" s="53"/>
      <c r="I21" s="53">
        <f t="shared" si="1"/>
        <v>0</v>
      </c>
      <c r="J21" s="53"/>
      <c r="K21" s="53"/>
      <c r="L21" s="53">
        <f t="shared" si="2"/>
        <v>0</v>
      </c>
    </row>
    <row r="22" spans="2:12" x14ac:dyDescent="0.35">
      <c r="B22" s="53"/>
      <c r="C22" s="53"/>
      <c r="D22" s="53"/>
      <c r="E22" s="53">
        <f t="shared" si="0"/>
        <v>0</v>
      </c>
      <c r="F22" s="53" t="s">
        <v>317</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321</v>
      </c>
      <c r="C24" s="53"/>
      <c r="D24" s="53"/>
      <c r="E24" s="53">
        <f t="shared" si="0"/>
        <v>0</v>
      </c>
      <c r="F24" s="53" t="s">
        <v>322</v>
      </c>
      <c r="G24" s="53"/>
      <c r="H24" s="53"/>
      <c r="I24" s="53">
        <f t="shared" si="1"/>
        <v>0</v>
      </c>
      <c r="J24" s="53"/>
      <c r="K24" s="53"/>
      <c r="L24" s="53">
        <f t="shared" si="2"/>
        <v>0</v>
      </c>
    </row>
    <row r="25" spans="2:12" x14ac:dyDescent="0.35">
      <c r="B25" s="53"/>
      <c r="C25" s="53"/>
      <c r="D25" s="53"/>
      <c r="E25" s="53">
        <f t="shared" ref="E25:E27" si="3">C25*D25</f>
        <v>0</v>
      </c>
      <c r="F25" s="53" t="s">
        <v>322</v>
      </c>
      <c r="G25" s="53"/>
      <c r="H25" s="53"/>
      <c r="I25" s="53">
        <f t="shared" ref="I25:I27" si="4">G25*H25</f>
        <v>0</v>
      </c>
      <c r="J25" s="53"/>
      <c r="K25" s="53"/>
      <c r="L25" s="53">
        <f t="shared" ref="L25:L27" si="5">J25*K25</f>
        <v>0</v>
      </c>
    </row>
    <row r="26" spans="2:12" x14ac:dyDescent="0.35">
      <c r="B26" s="53"/>
      <c r="C26" s="53"/>
      <c r="D26" s="53"/>
      <c r="E26" s="53">
        <f t="shared" si="3"/>
        <v>0</v>
      </c>
      <c r="F26" s="53" t="s">
        <v>322</v>
      </c>
      <c r="G26" s="53"/>
      <c r="H26" s="53"/>
      <c r="I26" s="53">
        <f t="shared" si="4"/>
        <v>0</v>
      </c>
      <c r="J26" s="53"/>
      <c r="K26" s="53"/>
      <c r="L26" s="53">
        <f t="shared" si="5"/>
        <v>0</v>
      </c>
    </row>
    <row r="27" spans="2:12" x14ac:dyDescent="0.35">
      <c r="B27" s="53"/>
      <c r="C27" s="53"/>
      <c r="D27" s="53"/>
      <c r="E27" s="53">
        <f t="shared" si="3"/>
        <v>0</v>
      </c>
      <c r="F27" s="53" t="s">
        <v>322</v>
      </c>
      <c r="G27" s="53"/>
      <c r="H27" s="53"/>
      <c r="I27" s="53">
        <f t="shared" si="4"/>
        <v>0</v>
      </c>
      <c r="J27" s="53"/>
      <c r="K27" s="53"/>
      <c r="L27" s="53">
        <f t="shared" si="5"/>
        <v>0</v>
      </c>
    </row>
    <row r="28" spans="2:12" x14ac:dyDescent="0.35">
      <c r="B28" s="53" t="s">
        <v>323</v>
      </c>
      <c r="C28" s="53"/>
      <c r="D28" s="53"/>
      <c r="E28" s="53">
        <f t="shared" si="0"/>
        <v>0</v>
      </c>
      <c r="F28" s="53" t="s">
        <v>322</v>
      </c>
      <c r="G28" s="53"/>
      <c r="H28" s="53"/>
      <c r="I28" s="53">
        <f t="shared" si="1"/>
        <v>0</v>
      </c>
      <c r="J28" s="53"/>
      <c r="K28" s="53"/>
      <c r="L28" s="53">
        <f t="shared" si="2"/>
        <v>0</v>
      </c>
    </row>
    <row r="29" spans="2:12" x14ac:dyDescent="0.35">
      <c r="B29" s="53" t="s">
        <v>324</v>
      </c>
      <c r="C29" s="53"/>
      <c r="D29" s="53"/>
      <c r="E29" s="53">
        <f t="shared" si="0"/>
        <v>0</v>
      </c>
      <c r="F29" s="53" t="s">
        <v>322</v>
      </c>
      <c r="G29" s="53"/>
      <c r="H29" s="53"/>
      <c r="I29" s="53">
        <f t="shared" si="1"/>
        <v>0</v>
      </c>
      <c r="J29" s="53"/>
      <c r="K29" s="53"/>
      <c r="L29" s="53">
        <f t="shared" si="2"/>
        <v>0</v>
      </c>
    </row>
    <row r="30" spans="2:12" x14ac:dyDescent="0.35">
      <c r="B30" s="53" t="s">
        <v>328</v>
      </c>
      <c r="C30" s="53"/>
      <c r="D30" s="53"/>
      <c r="E30" s="53">
        <f t="shared" si="0"/>
        <v>0</v>
      </c>
      <c r="F30" s="53"/>
      <c r="G30" s="53"/>
      <c r="H30" s="53"/>
      <c r="I30" s="53">
        <f t="shared" si="1"/>
        <v>0</v>
      </c>
      <c r="J30" s="53"/>
      <c r="K30" s="53"/>
      <c r="L30" s="53">
        <f t="shared" si="2"/>
        <v>0</v>
      </c>
    </row>
    <row r="31" spans="2:12" x14ac:dyDescent="0.35">
      <c r="B31" s="53"/>
      <c r="C31" s="53"/>
      <c r="D31" s="53"/>
      <c r="E31" s="53">
        <f t="shared" ref="E31:E32" si="6">C31*D31</f>
        <v>0</v>
      </c>
      <c r="F31" s="53"/>
      <c r="G31" s="53"/>
      <c r="H31" s="53"/>
      <c r="I31" s="53">
        <f t="shared" ref="I31:I32" si="7">G31*H31</f>
        <v>0</v>
      </c>
      <c r="J31" s="53"/>
      <c r="K31" s="53"/>
      <c r="L31" s="53">
        <f t="shared" ref="L31:L32" si="8">J31*K31</f>
        <v>0</v>
      </c>
    </row>
    <row r="32" spans="2:12" x14ac:dyDescent="0.35">
      <c r="B32" s="53"/>
      <c r="C32" s="53"/>
      <c r="D32" s="53"/>
      <c r="E32" s="53">
        <f t="shared" si="6"/>
        <v>0</v>
      </c>
      <c r="F32" s="53"/>
      <c r="G32" s="53"/>
      <c r="H32" s="53"/>
      <c r="I32" s="53">
        <f t="shared" si="7"/>
        <v>0</v>
      </c>
      <c r="J32" s="53"/>
      <c r="K32" s="53"/>
      <c r="L32" s="53">
        <f t="shared" si="8"/>
        <v>0</v>
      </c>
    </row>
    <row r="33" spans="2:12" x14ac:dyDescent="0.35">
      <c r="B33" s="53" t="s">
        <v>325</v>
      </c>
      <c r="C33" s="53"/>
      <c r="D33" s="53"/>
      <c r="E33" s="53">
        <f t="shared" si="0"/>
        <v>0</v>
      </c>
      <c r="F33" s="53"/>
      <c r="G33" s="53"/>
      <c r="H33" s="53"/>
      <c r="I33" s="53">
        <f t="shared" si="1"/>
        <v>0</v>
      </c>
      <c r="J33" s="53"/>
      <c r="K33" s="53"/>
      <c r="L33" s="53">
        <f t="shared" si="2"/>
        <v>0</v>
      </c>
    </row>
    <row r="34" spans="2:12" x14ac:dyDescent="0.35">
      <c r="B34" s="53" t="s">
        <v>329</v>
      </c>
      <c r="C34" s="53"/>
      <c r="D34" s="53"/>
      <c r="E34" s="53">
        <f t="shared" si="0"/>
        <v>0</v>
      </c>
      <c r="F34" s="53"/>
      <c r="G34" s="53"/>
      <c r="H34" s="53"/>
      <c r="I34" s="53">
        <f t="shared" si="1"/>
        <v>0</v>
      </c>
      <c r="J34" s="53"/>
      <c r="K34" s="53"/>
      <c r="L34" s="53">
        <f t="shared" si="2"/>
        <v>0</v>
      </c>
    </row>
    <row r="35" spans="2:12" x14ac:dyDescent="0.35">
      <c r="B35" s="53" t="s">
        <v>326</v>
      </c>
      <c r="C35" s="53"/>
      <c r="D35" s="53"/>
      <c r="E35" s="53">
        <f t="shared" si="0"/>
        <v>0</v>
      </c>
      <c r="F35" s="53"/>
      <c r="G35" s="53"/>
      <c r="H35" s="53"/>
      <c r="I35" s="53">
        <f t="shared" si="1"/>
        <v>0</v>
      </c>
      <c r="J35" s="53"/>
      <c r="K35" s="53"/>
      <c r="L35" s="53">
        <f t="shared" si="2"/>
        <v>0</v>
      </c>
    </row>
    <row r="36" spans="2:12" x14ac:dyDescent="0.35">
      <c r="B36" s="53" t="s">
        <v>327</v>
      </c>
      <c r="C36" s="53"/>
      <c r="D36" s="53"/>
      <c r="E36" s="53">
        <f t="shared" si="0"/>
        <v>0</v>
      </c>
      <c r="F36" s="53"/>
      <c r="G36" s="53"/>
      <c r="H36" s="53"/>
      <c r="I36" s="53">
        <f>G36*H36</f>
        <v>0</v>
      </c>
      <c r="J36" s="53"/>
      <c r="K36" s="53"/>
      <c r="L36" s="53">
        <f>J36*K36</f>
        <v>0</v>
      </c>
    </row>
    <row r="37" spans="2:12" x14ac:dyDescent="0.35">
      <c r="B37" s="53"/>
      <c r="C37" s="53"/>
      <c r="D37" s="53"/>
      <c r="E37" s="53">
        <f t="shared" ref="E37:E38" si="9">C37*D37</f>
        <v>0</v>
      </c>
      <c r="F37" s="53"/>
      <c r="G37" s="53"/>
      <c r="H37" s="53"/>
      <c r="I37" s="53">
        <f t="shared" ref="I37:I38" si="10">G37*H37</f>
        <v>0</v>
      </c>
      <c r="J37" s="53"/>
      <c r="K37" s="53"/>
      <c r="L37" s="53">
        <f t="shared" ref="L37:L38" si="11">J37*K37</f>
        <v>0</v>
      </c>
    </row>
    <row r="38" spans="2:12" x14ac:dyDescent="0.35">
      <c r="B38" s="53" t="s">
        <v>330</v>
      </c>
      <c r="C38" s="53"/>
      <c r="D38" s="53"/>
      <c r="E38" s="53">
        <f t="shared" si="9"/>
        <v>0</v>
      </c>
      <c r="F38" s="53"/>
      <c r="G38" s="53"/>
      <c r="H38" s="53"/>
      <c r="I38" s="53">
        <f t="shared" si="10"/>
        <v>0</v>
      </c>
      <c r="J38" s="53"/>
      <c r="K38" s="53"/>
      <c r="L38" s="53">
        <f t="shared" si="11"/>
        <v>0</v>
      </c>
    </row>
    <row r="39" spans="2:12" x14ac:dyDescent="0.35">
      <c r="B39" s="53"/>
      <c r="C39" s="53"/>
      <c r="D39" s="53"/>
      <c r="E39" s="53">
        <f t="shared" si="0"/>
        <v>0</v>
      </c>
      <c r="F39" s="53"/>
      <c r="G39" s="53"/>
      <c r="H39" s="53"/>
      <c r="I39" s="53">
        <f>G39*H39</f>
        <v>0</v>
      </c>
      <c r="J39" s="53"/>
      <c r="K39" s="53"/>
      <c r="L39" s="53">
        <f>J39*K39</f>
        <v>0</v>
      </c>
    </row>
    <row r="40" spans="2:12" x14ac:dyDescent="0.35">
      <c r="B40" s="53"/>
      <c r="C40" s="53"/>
      <c r="D40" s="53"/>
      <c r="E40" s="53">
        <f t="shared" si="0"/>
        <v>0</v>
      </c>
      <c r="F40" s="53"/>
      <c r="G40" s="53"/>
      <c r="H40" s="53"/>
      <c r="I40" s="53">
        <f>G40*H40</f>
        <v>0</v>
      </c>
      <c r="J40" s="53"/>
      <c r="K40" s="53"/>
      <c r="L40" s="53">
        <f>J40*K40</f>
        <v>0</v>
      </c>
    </row>
    <row r="41" spans="2:12" x14ac:dyDescent="0.35">
      <c r="B41" s="53"/>
      <c r="C41" s="53"/>
      <c r="D41" s="53"/>
      <c r="E41" s="53">
        <f t="shared" si="0"/>
        <v>0</v>
      </c>
      <c r="F41" s="53"/>
      <c r="G41" s="53"/>
      <c r="H41" s="53"/>
      <c r="I41" s="53">
        <f>G41*H41</f>
        <v>0</v>
      </c>
      <c r="J41" s="53"/>
      <c r="K41" s="53"/>
      <c r="L41" s="53">
        <f>J41*K41</f>
        <v>0</v>
      </c>
    </row>
    <row r="42" spans="2:12" x14ac:dyDescent="0.35">
      <c r="B42" s="53" t="s">
        <v>150</v>
      </c>
      <c r="C42" s="53"/>
      <c r="D42" s="53">
        <f>E42*10.764</f>
        <v>0</v>
      </c>
      <c r="E42" s="76">
        <f>SUM(E6:E41)</f>
        <v>0</v>
      </c>
      <c r="F42" s="53"/>
      <c r="G42" s="53"/>
      <c r="H42" s="53">
        <f>I42*10.764</f>
        <v>0</v>
      </c>
      <c r="I42" s="75">
        <f>SUM(I6:I41)</f>
        <v>0</v>
      </c>
      <c r="J42" s="53"/>
      <c r="K42" s="53">
        <f>L42*10.764</f>
        <v>0</v>
      </c>
      <c r="L42" s="74">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2024-10-18T12:17:04Z</cp:lastPrinted>
  <dcterms:created xsi:type="dcterms:W3CDTF">2019-07-16T09:29:46Z</dcterms:created>
  <dcterms:modified xsi:type="dcterms:W3CDTF">2025-08-19T13:43:39Z</dcterms:modified>
</cp:coreProperties>
</file>