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VSJCV\Making\AXIS\2025-26\Axis\APF Dump\Aug 2025\19-08-2025\"/>
    </mc:Choice>
  </mc:AlternateContent>
  <bookViews>
    <workbookView xWindow="0" yWindow="0" windowWidth="19200" windowHeight="6640" tabRatio="791"/>
  </bookViews>
  <sheets>
    <sheet name="Sheet1" sheetId="1" r:id="rId1"/>
    <sheet name="C %" sheetId="16" r:id="rId2"/>
    <sheet name="C % (2)" sheetId="17" r:id="rId3"/>
    <sheet name="Sheet3" sheetId="15" r:id="rId4"/>
  </sheets>
  <definedNames>
    <definedName name="_xlnm.Print_Area" localSheetId="0">Sheet1!$A$1:$J$399</definedName>
  </definedNames>
  <calcPr calcId="162913"/>
</workbook>
</file>

<file path=xl/calcChain.xml><?xml version="1.0" encoding="utf-8"?>
<calcChain xmlns="http://schemas.openxmlformats.org/spreadsheetml/2006/main">
  <c r="K108" i="1" l="1"/>
  <c r="K107" i="1"/>
  <c r="L211" i="1"/>
  <c r="D211" i="1"/>
  <c r="D204" i="1"/>
  <c r="D197" i="1"/>
  <c r="D185" i="1"/>
  <c r="D184" i="1"/>
  <c r="D183" i="1"/>
  <c r="D182" i="1"/>
  <c r="D181" i="1"/>
  <c r="D178" i="1"/>
  <c r="D179" i="1"/>
  <c r="D177" i="1"/>
  <c r="D176" i="1"/>
  <c r="D175" i="1"/>
  <c r="D174" i="1"/>
  <c r="I209" i="1"/>
  <c r="I202" i="1"/>
  <c r="I195" i="1"/>
  <c r="I188" i="1"/>
  <c r="I181" i="1"/>
  <c r="I174" i="1"/>
  <c r="I153" i="1"/>
  <c r="I148" i="1"/>
  <c r="I143" i="1"/>
  <c r="I138" i="1"/>
  <c r="I133" i="1"/>
  <c r="I128" i="1"/>
  <c r="D172" i="1"/>
  <c r="G172" i="1" s="1"/>
  <c r="D171" i="1"/>
  <c r="G171" i="1" s="1"/>
  <c r="D170" i="1"/>
  <c r="G170" i="1" s="1"/>
  <c r="D169" i="1"/>
  <c r="G169" i="1" s="1"/>
  <c r="D168" i="1"/>
  <c r="G168" i="1" s="1"/>
  <c r="D167" i="1"/>
  <c r="G167" i="1" s="1"/>
  <c r="D166" i="1"/>
  <c r="G166" i="1" s="1"/>
  <c r="D165" i="1"/>
  <c r="G165" i="1" s="1"/>
  <c r="D164" i="1"/>
  <c r="G164" i="1" s="1"/>
  <c r="D163" i="1"/>
  <c r="G163" i="1" s="1"/>
  <c r="D162" i="1"/>
  <c r="G162" i="1" s="1"/>
  <c r="D161" i="1"/>
  <c r="G161" i="1" s="1"/>
  <c r="D160" i="1"/>
  <c r="G160" i="1" s="1"/>
  <c r="I159" i="1"/>
  <c r="D159" i="1"/>
  <c r="G159" i="1" s="1"/>
  <c r="D154" i="1"/>
  <c r="L143" i="1"/>
  <c r="K142" i="1"/>
  <c r="D126" i="1"/>
  <c r="D125" i="1"/>
  <c r="D124" i="1"/>
  <c r="D123" i="1"/>
  <c r="D122" i="1"/>
  <c r="D121" i="1"/>
  <c r="I103" i="1" l="1"/>
  <c r="F103" i="1"/>
  <c r="C103" i="1"/>
  <c r="D141" i="1"/>
  <c r="D140" i="1"/>
  <c r="D139" i="1"/>
  <c r="D138" i="1"/>
  <c r="D136" i="1"/>
  <c r="D134" i="1"/>
  <c r="D133" i="1"/>
  <c r="D131" i="1"/>
  <c r="K130" i="1"/>
  <c r="D130" i="1"/>
  <c r="D128" i="1"/>
  <c r="D129" i="1"/>
  <c r="K128" i="1"/>
  <c r="K127" i="1"/>
  <c r="I121" i="1"/>
  <c r="F37" i="1"/>
  <c r="F38" i="1" s="1"/>
  <c r="F39" i="1" s="1"/>
  <c r="C102" i="1" l="1"/>
  <c r="F102" i="1"/>
  <c r="F104" i="1" l="1"/>
  <c r="C104" i="1"/>
  <c r="D212" i="1"/>
  <c r="G212" i="1" s="1"/>
  <c r="D210" i="1"/>
  <c r="G210" i="1" s="1"/>
  <c r="D209" i="1"/>
  <c r="G209" i="1" s="1"/>
  <c r="D207" i="1"/>
  <c r="G207" i="1" s="1"/>
  <c r="D206" i="1"/>
  <c r="D205" i="1"/>
  <c r="G205" i="1" s="1"/>
  <c r="G204" i="1"/>
  <c r="D203" i="1"/>
  <c r="G203" i="1" s="1"/>
  <c r="D202" i="1"/>
  <c r="G202" i="1" s="1"/>
  <c r="D200" i="1"/>
  <c r="G200" i="1" s="1"/>
  <c r="D199" i="1"/>
  <c r="G199" i="1" s="1"/>
  <c r="D198" i="1"/>
  <c r="G198" i="1" s="1"/>
  <c r="G197" i="1"/>
  <c r="D196" i="1"/>
  <c r="G196" i="1" s="1"/>
  <c r="D195" i="1"/>
  <c r="D193" i="1"/>
  <c r="G193" i="1" s="1"/>
  <c r="L192" i="1"/>
  <c r="D192" i="1"/>
  <c r="G192" i="1" s="1"/>
  <c r="L191" i="1"/>
  <c r="D191" i="1"/>
  <c r="G191" i="1" s="1"/>
  <c r="L190" i="1"/>
  <c r="D190" i="1"/>
  <c r="G190" i="1" s="1"/>
  <c r="L189" i="1"/>
  <c r="D189" i="1"/>
  <c r="G189" i="1" s="1"/>
  <c r="K188" i="1"/>
  <c r="L188" i="1"/>
  <c r="D188" i="1"/>
  <c r="G188" i="1" s="1"/>
  <c r="L187" i="1"/>
  <c r="G206" i="1"/>
  <c r="G211" i="1"/>
  <c r="K173" i="1"/>
  <c r="L173" i="1" s="1"/>
  <c r="L175" i="1"/>
  <c r="K175" i="1"/>
  <c r="M175" i="1" l="1"/>
  <c r="F113" i="1"/>
  <c r="C113" i="1"/>
  <c r="C108" i="1"/>
  <c r="F108" i="1"/>
  <c r="G195" i="1"/>
  <c r="I113" i="1" s="1"/>
  <c r="D156" i="1"/>
  <c r="D153" i="1"/>
  <c r="K145" i="1"/>
  <c r="K143" i="1"/>
  <c r="D146" i="1"/>
  <c r="G146" i="1" s="1"/>
  <c r="D145" i="1"/>
  <c r="G145" i="1" s="1"/>
  <c r="D144" i="1"/>
  <c r="G144" i="1" s="1"/>
  <c r="D143" i="1"/>
  <c r="G143" i="1" s="1"/>
  <c r="D151" i="1"/>
  <c r="G151" i="1" s="1"/>
  <c r="L150" i="1"/>
  <c r="D150" i="1"/>
  <c r="G150" i="1" s="1"/>
  <c r="L149" i="1"/>
  <c r="D149" i="1"/>
  <c r="L148" i="1"/>
  <c r="D148" i="1"/>
  <c r="G148" i="1" s="1"/>
  <c r="L147" i="1"/>
  <c r="K147" i="1"/>
  <c r="G141" i="1"/>
  <c r="G140" i="1"/>
  <c r="G139" i="1"/>
  <c r="G138" i="1"/>
  <c r="L127" i="1"/>
  <c r="L108" i="1" l="1"/>
  <c r="C112" i="1"/>
  <c r="C114" i="1" s="1"/>
  <c r="F112" i="1"/>
  <c r="F114" i="1" s="1"/>
  <c r="F107" i="1"/>
  <c r="F109" i="1" s="1"/>
  <c r="C107" i="1"/>
  <c r="G149" i="1"/>
  <c r="I112" i="1" s="1"/>
  <c r="I114" i="1" s="1"/>
  <c r="L41" i="1"/>
  <c r="F115" i="1" l="1"/>
  <c r="C109" i="1"/>
  <c r="C115" i="1" s="1"/>
  <c r="L107" i="1"/>
  <c r="F3" i="1"/>
  <c r="L80" i="1" l="1"/>
  <c r="L79" i="1"/>
  <c r="L78" i="1"/>
  <c r="L77" i="1"/>
  <c r="L66" i="1"/>
  <c r="L65" i="1"/>
  <c r="L64" i="1"/>
  <c r="L63" i="1"/>
  <c r="I56" i="1"/>
  <c r="I70" i="1"/>
  <c r="D82" i="1" l="1"/>
  <c r="D80" i="1"/>
  <c r="D78" i="1"/>
  <c r="D76" i="1"/>
  <c r="L74" i="1"/>
  <c r="C73" i="1" s="1"/>
  <c r="D73" i="1" s="1"/>
  <c r="L72" i="1"/>
  <c r="D79" i="1"/>
  <c r="D77" i="1"/>
  <c r="L75" i="1"/>
  <c r="L76" i="1" s="1"/>
  <c r="L81" i="1" s="1"/>
  <c r="L82" i="1" s="1"/>
  <c r="C74" i="1" s="1"/>
  <c r="D81" i="1"/>
  <c r="D75" i="1"/>
  <c r="L73" i="1"/>
  <c r="D68" i="1"/>
  <c r="D66" i="1"/>
  <c r="D64" i="1"/>
  <c r="D62" i="1"/>
  <c r="L60" i="1"/>
  <c r="C59" i="1" s="1"/>
  <c r="D59" i="1" s="1"/>
  <c r="L58" i="1"/>
  <c r="L61" i="1"/>
  <c r="L62" i="1" s="1"/>
  <c r="L67" i="1" s="1"/>
  <c r="L68" i="1" s="1"/>
  <c r="C60" i="1" s="1"/>
  <c r="D67" i="1"/>
  <c r="D65" i="1"/>
  <c r="D63" i="1"/>
  <c r="D61" i="1"/>
  <c r="L59" i="1"/>
  <c r="B16" i="17"/>
  <c r="E10" i="17" s="1"/>
  <c r="B14" i="17"/>
  <c r="E9" i="17" s="1"/>
  <c r="B12" i="17"/>
  <c r="M6" i="17" s="1"/>
  <c r="G17" i="17" s="1"/>
  <c r="B10" i="17"/>
  <c r="L7" i="17" s="1"/>
  <c r="H16" i="17" s="1"/>
  <c r="E7" i="17"/>
  <c r="B8" i="17"/>
  <c r="K7" i="17" s="1"/>
  <c r="H15" i="17" s="1"/>
  <c r="I6" i="17"/>
  <c r="G13" i="17" s="1"/>
  <c r="B6" i="17"/>
  <c r="J7" i="17" s="1"/>
  <c r="H14" i="17" s="1"/>
  <c r="E4" i="17"/>
  <c r="B16" i="16"/>
  <c r="O7" i="16" s="1"/>
  <c r="H19" i="16" s="1"/>
  <c r="B14" i="16"/>
  <c r="N6" i="16" s="1"/>
  <c r="G18" i="16" s="1"/>
  <c r="B12" i="16"/>
  <c r="E8" i="16" s="1"/>
  <c r="B10" i="16"/>
  <c r="L7" i="16" s="1"/>
  <c r="H16" i="16" s="1"/>
  <c r="L6" i="16"/>
  <c r="G16" i="16" s="1"/>
  <c r="B8" i="16"/>
  <c r="E6" i="16" s="1"/>
  <c r="I6" i="16"/>
  <c r="G13" i="16" s="1"/>
  <c r="B6" i="16"/>
  <c r="J6" i="16" s="1"/>
  <c r="G14" i="16" s="1"/>
  <c r="E4" i="16"/>
  <c r="G185" i="1"/>
  <c r="G184" i="1"/>
  <c r="G183" i="1"/>
  <c r="G182" i="1"/>
  <c r="G181" i="1"/>
  <c r="G175" i="1"/>
  <c r="G176" i="1"/>
  <c r="G177" i="1"/>
  <c r="G178" i="1"/>
  <c r="G179" i="1"/>
  <c r="G174" i="1"/>
  <c r="G156" i="1"/>
  <c r="G154" i="1"/>
  <c r="G153" i="1"/>
  <c r="G136" i="1"/>
  <c r="G134" i="1"/>
  <c r="G133" i="1"/>
  <c r="G129" i="1"/>
  <c r="G130" i="1"/>
  <c r="G131" i="1"/>
  <c r="G128" i="1"/>
  <c r="G122" i="1"/>
  <c r="G123" i="1"/>
  <c r="G124" i="1"/>
  <c r="G125" i="1"/>
  <c r="G126" i="1"/>
  <c r="G121" i="1"/>
  <c r="D4" i="15"/>
  <c r="D3" i="15"/>
  <c r="D50" i="1"/>
  <c r="G99" i="1"/>
  <c r="O6" i="17"/>
  <c r="G19" i="17" s="1"/>
  <c r="O7" i="17"/>
  <c r="H19" i="17"/>
  <c r="N6" i="17"/>
  <c r="G18" i="17" s="1"/>
  <c r="N7" i="17"/>
  <c r="H18" i="17" s="1"/>
  <c r="K6" i="17"/>
  <c r="G15" i="17"/>
  <c r="E6" i="17" l="1"/>
  <c r="J6" i="17"/>
  <c r="G14" i="17" s="1"/>
  <c r="E5" i="17"/>
  <c r="I7" i="17"/>
  <c r="H13" i="17" s="1"/>
  <c r="D5" i="15"/>
  <c r="E7" i="16"/>
  <c r="E10" i="16"/>
  <c r="O6" i="16"/>
  <c r="G19" i="16" s="1"/>
  <c r="K7" i="16"/>
  <c r="H15" i="16" s="1"/>
  <c r="J7" i="16"/>
  <c r="H14" i="16" s="1"/>
  <c r="I102" i="1"/>
  <c r="I107" i="1"/>
  <c r="I108" i="1"/>
  <c r="K6" i="16"/>
  <c r="G15" i="16" s="1"/>
  <c r="I7" i="16"/>
  <c r="H13" i="16" s="1"/>
  <c r="M7" i="16"/>
  <c r="H17" i="16" s="1"/>
  <c r="M7" i="17"/>
  <c r="H17" i="17" s="1"/>
  <c r="L6" i="17"/>
  <c r="G16" i="17" s="1"/>
  <c r="G20" i="17" s="1"/>
  <c r="M6" i="16"/>
  <c r="G17" i="16" s="1"/>
  <c r="E5" i="16"/>
  <c r="E9" i="16"/>
  <c r="E8" i="17"/>
  <c r="N7" i="16"/>
  <c r="H18" i="16" s="1"/>
  <c r="F73" i="1"/>
  <c r="K69" i="1" s="1"/>
  <c r="C71" i="1" s="1"/>
  <c r="D74" i="1"/>
  <c r="H73" i="1"/>
  <c r="F59" i="1"/>
  <c r="K55" i="1" s="1"/>
  <c r="C57" i="1" s="1"/>
  <c r="D60" i="1"/>
  <c r="H59" i="1"/>
  <c r="H20" i="17" l="1"/>
  <c r="I109" i="1"/>
  <c r="H20" i="16"/>
  <c r="G20" i="16"/>
  <c r="I104" i="1"/>
  <c r="I115" i="1" l="1"/>
</calcChain>
</file>

<file path=xl/sharedStrings.xml><?xml version="1.0" encoding="utf-8"?>
<sst xmlns="http://schemas.openxmlformats.org/spreadsheetml/2006/main" count="615" uniqueCount="249">
  <si>
    <t>Date:</t>
  </si>
  <si>
    <t>CPC Name:</t>
  </si>
  <si>
    <t>Date Of Property Visit</t>
  </si>
  <si>
    <t>Name of the builder group</t>
  </si>
  <si>
    <t>Name of the builder company</t>
  </si>
  <si>
    <t>Name of the Project</t>
  </si>
  <si>
    <t>Docouments Provided</t>
  </si>
  <si>
    <t>Road</t>
  </si>
  <si>
    <t>City</t>
  </si>
  <si>
    <t>Class of locality</t>
  </si>
  <si>
    <t>Nature of land with topographical condtion</t>
  </si>
  <si>
    <t xml:space="preserve">Nature of the locality </t>
  </si>
  <si>
    <t>Boundaries</t>
  </si>
  <si>
    <t>East</t>
  </si>
  <si>
    <t>West</t>
  </si>
  <si>
    <t>North</t>
  </si>
  <si>
    <t>At site</t>
  </si>
  <si>
    <t>Approval details:</t>
  </si>
  <si>
    <t>Permissible FSI</t>
  </si>
  <si>
    <t>Permissible TDR/Paid FSI</t>
  </si>
  <si>
    <t>Total FSI availaible for the project</t>
  </si>
  <si>
    <t>Total number of Buildings</t>
  </si>
  <si>
    <t>Building wise Construction details</t>
  </si>
  <si>
    <t>Recommended Rates of the Property :</t>
  </si>
  <si>
    <t>Valuation as per Government reckoners rates</t>
  </si>
  <si>
    <t>Undertaking :</t>
  </si>
  <si>
    <t>2) I/We have no direct or Indirect Interest in the property being valued</t>
  </si>
  <si>
    <t>Quality of infrastructure in vicinity</t>
  </si>
  <si>
    <t>Description</t>
  </si>
  <si>
    <t>Attached Terrace area</t>
  </si>
  <si>
    <t>PLC Y/N</t>
  </si>
  <si>
    <t>1) We have personally visited the property &amp; identified the same based on the documents provided</t>
  </si>
  <si>
    <t>Type of Work</t>
  </si>
  <si>
    <t>Plinth</t>
  </si>
  <si>
    <t>RCC</t>
  </si>
  <si>
    <t>Plaster</t>
  </si>
  <si>
    <t>3) The information furnished above is true and correct to my/our knowledge.</t>
  </si>
  <si>
    <t>5) Legal title of the property is not verified by us.</t>
  </si>
  <si>
    <t>6) Gross carpet area =  Net Carpet area + Fungible area.</t>
  </si>
  <si>
    <t>7) Fungible Area= Enclosed Balcony + Flower Bed + Covered Balcony + Service Slab + Duct + Chajja + Wheather Shed area.</t>
  </si>
  <si>
    <t xml:space="preserve">Latitude &amp; Longitude </t>
  </si>
  <si>
    <t>Flooring</t>
  </si>
  <si>
    <t>Finishing</t>
  </si>
  <si>
    <t xml:space="preserve">Valuation Report </t>
  </si>
  <si>
    <t>Yes</t>
  </si>
  <si>
    <t>Expiry date: One year from date of issue</t>
  </si>
  <si>
    <t>Quality of construction: Good</t>
  </si>
  <si>
    <t>Violations Observed if any : NA</t>
  </si>
  <si>
    <t>NA</t>
  </si>
  <si>
    <t>South</t>
  </si>
  <si>
    <t xml:space="preserve">Distance from city centre: </t>
  </si>
  <si>
    <t>Plane</t>
  </si>
  <si>
    <t>Expiry date: NA</t>
  </si>
  <si>
    <t>Material laying at Site: :Bricks, Cement &amp; Steel etc.</t>
  </si>
  <si>
    <t>Wheather the construction is as per approved Building plan : Under Construction</t>
  </si>
  <si>
    <t xml:space="preserve">4)  The saleable area is as per Our Calculation.  </t>
  </si>
  <si>
    <t>Does the boundaries at site match, as mentioned in the Docoumentation: NA</t>
  </si>
  <si>
    <t>Dated</t>
  </si>
  <si>
    <t xml:space="preserve">Project location details       </t>
  </si>
  <si>
    <t>Locality</t>
  </si>
  <si>
    <t>District</t>
  </si>
  <si>
    <t>Pin Code</t>
  </si>
  <si>
    <t>Near by Landmark</t>
  </si>
  <si>
    <t>Good</t>
  </si>
  <si>
    <t>Total land area of the project in Sq. Mt.</t>
  </si>
  <si>
    <t>Total Approved Builtup area of the project in Sq. Mt.</t>
  </si>
  <si>
    <t xml:space="preserve">Approval Detail : Plan approval </t>
  </si>
  <si>
    <t>Expected Completion</t>
  </si>
  <si>
    <t>Approved no of Floors</t>
  </si>
  <si>
    <t>Floor rise rate  Per Sq. Ft.</t>
  </si>
  <si>
    <t xml:space="preserve">Commencement date of construction </t>
  </si>
  <si>
    <t>Society formation charges</t>
  </si>
  <si>
    <t>Carpet area</t>
  </si>
  <si>
    <t xml:space="preserve">Recommended rate of Parking </t>
  </si>
  <si>
    <t>Approved area of the building in Sq.Mt</t>
  </si>
  <si>
    <t>Recommended rate of the flat Per Sq. Ft. ( on Saleble area)</t>
  </si>
  <si>
    <t xml:space="preserve">O. Certificate No.: </t>
  </si>
  <si>
    <t xml:space="preserve">Date of approval: </t>
  </si>
  <si>
    <t>Name / no of the Building</t>
  </si>
  <si>
    <t>Plot No</t>
  </si>
  <si>
    <t>Does property have Electricity / Water / Drainage Connection</t>
  </si>
  <si>
    <t>PLC charges</t>
  </si>
  <si>
    <t>Club Charges</t>
  </si>
  <si>
    <t>Distressed valuation of the Property</t>
  </si>
  <si>
    <t>Floor</t>
  </si>
  <si>
    <t>Skywards Regency</t>
  </si>
  <si>
    <t>Shil Village Road</t>
  </si>
  <si>
    <t>Thane</t>
  </si>
  <si>
    <t>Government Poly Technical College</t>
  </si>
  <si>
    <t>About 3.8 Km from Diva Junction Railway Station</t>
  </si>
  <si>
    <t>Middle class</t>
  </si>
  <si>
    <t>Developing</t>
  </si>
  <si>
    <t>Type of Structure : RCC</t>
  </si>
  <si>
    <t>11/06/2014.</t>
  </si>
  <si>
    <t>Shop</t>
  </si>
  <si>
    <t>B Wing</t>
  </si>
  <si>
    <t>built-up area</t>
  </si>
  <si>
    <t>Rate</t>
  </si>
  <si>
    <t>value</t>
  </si>
  <si>
    <t>all available at  1 to 3 km.</t>
  </si>
  <si>
    <t>Dawale</t>
  </si>
  <si>
    <t>Skywards Regency, S.No.119 1N 1C 1D, Opp. Government Poly Technical College, Phadke Pada, Village-Dawale, Thane.</t>
  </si>
  <si>
    <t>119 1N 1C 1D</t>
  </si>
  <si>
    <t xml:space="preserve">Approved usage of the Property: Residential &amp; Commercial
(Restrictive Covenants in regard to Land Use, if any)                                                                                                                                                </t>
  </si>
  <si>
    <t>Saleable
area</t>
  </si>
  <si>
    <t>A Wing</t>
  </si>
  <si>
    <t>1RK</t>
  </si>
  <si>
    <t>2BHK</t>
  </si>
  <si>
    <t>1BHK</t>
  </si>
  <si>
    <t>8th Floor</t>
  </si>
  <si>
    <t>Refuge Area</t>
  </si>
  <si>
    <t>9th Floor</t>
  </si>
  <si>
    <t>Axis Kalina</t>
  </si>
  <si>
    <t>Proposed no of Floors</t>
  </si>
  <si>
    <t>Particulars</t>
  </si>
  <si>
    <t xml:space="preserve">totaL floor </t>
  </si>
  <si>
    <t xml:space="preserve">total </t>
  </si>
  <si>
    <t xml:space="preserve">completed  </t>
  </si>
  <si>
    <t>plinth</t>
  </si>
  <si>
    <t>slab</t>
  </si>
  <si>
    <t>total slab</t>
  </si>
  <si>
    <t>completed slab</t>
  </si>
  <si>
    <t>p</t>
  </si>
  <si>
    <t>rcc</t>
  </si>
  <si>
    <t>Bricks</t>
  </si>
  <si>
    <t>Wood &amp; painting</t>
  </si>
  <si>
    <t>Progress</t>
  </si>
  <si>
    <t xml:space="preserve">Bricks </t>
  </si>
  <si>
    <t>Total Floor</t>
  </si>
  <si>
    <t>completed Floor</t>
  </si>
  <si>
    <t xml:space="preserve">Recommended </t>
  </si>
  <si>
    <t>plaster</t>
  </si>
  <si>
    <t>Recommended</t>
  </si>
  <si>
    <t xml:space="preserve"> </t>
  </si>
  <si>
    <t>total</t>
  </si>
  <si>
    <t>S No.</t>
  </si>
  <si>
    <t>Accessibility to the Project from the City:
(Proximity to civic amenities like school, hospital, market)</t>
  </si>
  <si>
    <t>35/-</t>
  </si>
  <si>
    <t>Development charges</t>
  </si>
  <si>
    <t>Any Other Charges</t>
  </si>
  <si>
    <t>1. Approved Layout 2. Approved Building Plan 3.CC 4. Cost Sheet.</t>
  </si>
  <si>
    <t>100000/-</t>
  </si>
  <si>
    <t>Recommended rate of the Shop Per Sq. Ft. ( on Saleble area)</t>
  </si>
  <si>
    <t>12,000/-</t>
  </si>
  <si>
    <t>Construction details:</t>
  </si>
  <si>
    <t>Basement</t>
  </si>
  <si>
    <t>Ground</t>
  </si>
  <si>
    <t>Podium</t>
  </si>
  <si>
    <t>Floors</t>
  </si>
  <si>
    <t xml:space="preserve">Stage of construction: </t>
  </si>
  <si>
    <t>All work Completed. OC Received.</t>
  </si>
  <si>
    <t>Slab/Floor</t>
  </si>
  <si>
    <t>Complition %</t>
  </si>
  <si>
    <t>Progress %</t>
  </si>
  <si>
    <t>Disbursement %</t>
  </si>
  <si>
    <t>Piling Work in process</t>
  </si>
  <si>
    <t>Excavation</t>
  </si>
  <si>
    <t>Excavation in process</t>
  </si>
  <si>
    <t>Excavation Completed</t>
  </si>
  <si>
    <t>Footing in Process</t>
  </si>
  <si>
    <t>Brickwork</t>
  </si>
  <si>
    <t>Brickwork &amp; Internal Plaster</t>
  </si>
  <si>
    <t>Footing Completed</t>
  </si>
  <si>
    <t>Internal Plaster</t>
  </si>
  <si>
    <t>Basement 1</t>
  </si>
  <si>
    <t>Ext. Plaster &amp; Plumbing</t>
  </si>
  <si>
    <t>External Plaster &amp; Plumbing</t>
  </si>
  <si>
    <t>Basement 2</t>
  </si>
  <si>
    <t>Flooring &amp; Fitting</t>
  </si>
  <si>
    <t>Basement 3</t>
  </si>
  <si>
    <t>Painting &amp; Wooden</t>
  </si>
  <si>
    <t>Basement 4</t>
  </si>
  <si>
    <t>Building Common Amenities</t>
  </si>
  <si>
    <t>Plinth in process</t>
  </si>
  <si>
    <t>Possession</t>
  </si>
  <si>
    <t>Plinth completed</t>
  </si>
  <si>
    <t xml:space="preserve">RCC </t>
  </si>
  <si>
    <t>B Wing = Gr.+ 1st to 13 Floor</t>
  </si>
  <si>
    <t>RERA no.</t>
  </si>
  <si>
    <t>P51700014068</t>
  </si>
  <si>
    <t>151000/-</t>
  </si>
  <si>
    <t>200000/-</t>
  </si>
  <si>
    <t>Projected life : 60 Years after Completion</t>
  </si>
  <si>
    <t>02 Wings</t>
  </si>
  <si>
    <t xml:space="preserve">Approved no of units </t>
  </si>
  <si>
    <t>20 Shops &amp; 82 Flats</t>
  </si>
  <si>
    <t>A Wing = Gr. + 1st to 13th Floor</t>
  </si>
  <si>
    <t>S11/0067/13/TMC/TDD/1167/14                   Approved Bldg.A=G+Stilt + 1st to 9th Floor
Bldg.B = G+Stilt +1st to 8th Floor</t>
  </si>
  <si>
    <t>Authorized Signatory
Name &amp; Seal of the agency</t>
  </si>
  <si>
    <t>Office No. 1031, Wing J, Akshar Business Park, Plot No. 03 Sector 25, Near APMC Market,
 Vashi, Navi Mumbai, Maharashtra 400703 TEL: 022-46090378/79/80                                                                      
 E mail : vsjcapf@gmail.com. Web site : www.vsjadon.com</t>
  </si>
  <si>
    <t>Location Link</t>
  </si>
  <si>
    <t>https://goo.gl/maps/vEdw4fqxgX1CD1mA7</t>
  </si>
  <si>
    <t>PHOTOGRAPHS OF  PROPERTY: Skywards Regency</t>
  </si>
  <si>
    <t>Site Meet Person Contact Details ( Name &amp; Contact No.)</t>
  </si>
  <si>
    <t>Contact Details ( Name &amp; Contact No.)</t>
  </si>
  <si>
    <t>19.159014,73.041942</t>
  </si>
  <si>
    <t>Mr.Pravin : 9321549080</t>
  </si>
  <si>
    <t xml:space="preserve">    Wing B = Construction work is in process.</t>
  </si>
  <si>
    <t>TMCB/RB/2024/APL/00244
Wing A &amp; B = G + 1st to 13th Floor</t>
  </si>
  <si>
    <t>TMCB/RB/2024/APL/00244</t>
  </si>
  <si>
    <t>10th Floor</t>
  </si>
  <si>
    <t>11th &amp; 12th Floor</t>
  </si>
  <si>
    <t>13th Floor Part Refuge Area</t>
  </si>
  <si>
    <t>10th &amp; 11th Floor</t>
  </si>
  <si>
    <t>12th Floor</t>
  </si>
  <si>
    <t>13th Floor Part Refuge Area &amp; Society Office</t>
  </si>
  <si>
    <t>Society Office</t>
  </si>
  <si>
    <t>Building &amp; Wing</t>
  </si>
  <si>
    <t>No. of Units</t>
  </si>
  <si>
    <t>Total Carpet Area</t>
  </si>
  <si>
    <t>Total Saleable Area</t>
  </si>
  <si>
    <t>Total</t>
  </si>
  <si>
    <t>MHADA</t>
  </si>
  <si>
    <t>Other Plot</t>
  </si>
  <si>
    <t>25M Wide Road</t>
  </si>
  <si>
    <t>30M Wide DP Road</t>
  </si>
  <si>
    <t>Station Road</t>
  </si>
  <si>
    <t>Open Plot</t>
  </si>
  <si>
    <t>Layout</t>
  </si>
  <si>
    <t>M/s. Skaywards Vision Developers (Shri Sunil Dhondu Atmkar)</t>
  </si>
  <si>
    <t>M/s. Skaywards Vision Developers</t>
  </si>
  <si>
    <t>Wing A &amp; B</t>
  </si>
  <si>
    <t xml:space="preserve">Layout Approval No   
</t>
  </si>
  <si>
    <t>Google Map</t>
  </si>
  <si>
    <t>Building Details Floor Wise</t>
  </si>
  <si>
    <t xml:space="preserve">Details of Residential &amp; Commercial in Building   </t>
  </si>
  <si>
    <t>Shop/ Flat No.</t>
  </si>
  <si>
    <t>Sale / MHADA</t>
  </si>
  <si>
    <t>Sale</t>
  </si>
  <si>
    <t xml:space="preserve">B Wing </t>
  </si>
  <si>
    <t>Ground Floor For Commercial &amp; Parking</t>
  </si>
  <si>
    <t>E.P</t>
  </si>
  <si>
    <t>1st to 7th Floor</t>
  </si>
  <si>
    <t>As per Layout</t>
  </si>
  <si>
    <t>Sale Flats - 113, MHADA Flats - 12
Shops - 20</t>
  </si>
  <si>
    <t>Grand Total</t>
  </si>
  <si>
    <t>Residential Details: (Sale Flat)</t>
  </si>
  <si>
    <t>Residential Details: (MHADA Flat)</t>
  </si>
  <si>
    <t>Mr. Kalpesh (9136565678) &amp; 022-29451242</t>
  </si>
  <si>
    <t>Wing  A &amp; B = G + 1st to 13th Floor</t>
  </si>
  <si>
    <t>Commercial Details: (Sale Shop)</t>
  </si>
  <si>
    <t>Remark No.11</t>
  </si>
  <si>
    <r>
      <t xml:space="preserve">Proposed Amenities                                                                                                                                                                                       </t>
    </r>
    <r>
      <rPr>
        <sz val="11"/>
        <rFont val="Times New Roman"/>
        <family val="1"/>
      </rPr>
      <t xml:space="preserve">1.  Podium Garden 2.Open Gym 3.Apex Video Phone System 4.Landscaped Garden 5.Lift      </t>
    </r>
  </si>
  <si>
    <t>Approval Floor Plan No.</t>
  </si>
  <si>
    <t>Commencement Certificate No.</t>
  </si>
  <si>
    <t>Fire NOC No.
Valid Upto :</t>
  </si>
  <si>
    <t>TMC/CFO/M/42/42
Wing A &amp; B = G + 1st to 13th Floor (Total Height = 42.50 mtrs.)</t>
  </si>
  <si>
    <t>Ms. Kirti : 9372152774</t>
  </si>
  <si>
    <t xml:space="preserve">Remarks:  
1. Wing A &amp; B = Construction work is in process at the time of visit.
2. We considered saleable area as per our calculation.
3. We considered Carpet area as per Approved Plan.
4. We have considered rate by verifying it from market inquire.
5. We have considered Other charges from cost sheet.
6. We have considered Gross Carpet Area = Carpet Area + Balcony Area + EP Area.
7. Recommended rate should be considered as all inclusive rate if other charges are not mentioned. (Excluding GST &amp; other government Taxes).
8. We have updated revised approved plans &amp; CC for Wing A &amp; B (On 24/02/2025).
9.We have given Valuation for Sale Flats and Shops only.
10.  As per site visit dtd.24/02/2025 we have observed that the construction work is not done as per approved floor plan. (Extra E.P &amp; Terrace Area are Constructed for flats)
According to the approved 1st floor plan in Wing B, Terrace  area is not attached to Flat No.2 &amp; 3 &amp; approved 2nd to 7th floor plan in Wing B, EP  area is not attached to Flat No.2 &amp; 3, But on site EP &amp; Terrace area is already constructed.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</si>
</sst>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3" x14ac:knownFonts="1">
    <font>
      <sz val="11"/>
      <color theme="1"/>
      <name val="Calibri"/>
      <family val="2"/>
      <scheme val="minor"/>
    </font>
    <font>
      <sz val="11"/>
      <color indexed="8"/>
      <name val="Calibri"/>
      <family val="2"/>
    </font>
    <font>
      <b/>
      <sz val="11"/>
      <color indexed="8"/>
      <name val="Times New Roman"/>
      <family val="1"/>
    </font>
    <font>
      <sz val="11"/>
      <color indexed="8"/>
      <name val="Times New Roman"/>
      <family val="1"/>
    </font>
    <font>
      <sz val="11"/>
      <color indexed="8"/>
      <name val="Times New Roman"/>
      <family val="1"/>
    </font>
    <font>
      <b/>
      <sz val="12"/>
      <color indexed="8"/>
      <name val="Times New Roman"/>
      <family val="1"/>
    </font>
    <font>
      <b/>
      <sz val="11"/>
      <color indexed="8"/>
      <name val="Times New Roman"/>
      <family val="1"/>
    </font>
    <font>
      <b/>
      <sz val="11"/>
      <name val="Times New Roman"/>
      <family val="1"/>
    </font>
    <font>
      <sz val="11"/>
      <name val="Times New Roman"/>
      <family val="1"/>
    </font>
    <font>
      <sz val="12"/>
      <color indexed="8"/>
      <name val="Times New Roman"/>
      <family val="1"/>
    </font>
    <font>
      <sz val="10"/>
      <color indexed="8"/>
      <name val="Times New Roman"/>
      <family val="1"/>
    </font>
    <font>
      <sz val="11"/>
      <color theme="1"/>
      <name val="Calibri"/>
      <family val="2"/>
      <scheme val="minor"/>
    </font>
    <font>
      <b/>
      <sz val="11"/>
      <color theme="1"/>
      <name val="Calibri"/>
      <family val="2"/>
      <scheme val="minor"/>
    </font>
    <font>
      <sz val="11"/>
      <color theme="1"/>
      <name val="Times New Roman"/>
      <family val="1"/>
    </font>
    <font>
      <sz val="12"/>
      <color theme="1"/>
      <name val="Times New Roman"/>
      <family val="1"/>
    </font>
    <font>
      <sz val="12"/>
      <name val="Times New Roman"/>
      <family val="1"/>
    </font>
    <font>
      <b/>
      <sz val="12"/>
      <name val="Times New Roman"/>
      <family val="1"/>
    </font>
    <font>
      <sz val="11"/>
      <color rgb="FF000000"/>
      <name val="Times New Roman"/>
      <family val="1"/>
    </font>
    <font>
      <u/>
      <sz val="11"/>
      <color theme="10"/>
      <name val="Calibri"/>
      <family val="2"/>
      <scheme val="minor"/>
    </font>
    <font>
      <sz val="11"/>
      <color rgb="FFFF0000"/>
      <name val="Times New Roman"/>
      <family val="1"/>
    </font>
    <font>
      <b/>
      <sz val="11"/>
      <color theme="1"/>
      <name val="Times New Roman"/>
      <family val="1"/>
    </font>
    <font>
      <b/>
      <sz val="11"/>
      <color rgb="FF000000"/>
      <name val="Times New Roman"/>
      <family val="1"/>
    </font>
    <font>
      <b/>
      <sz val="12"/>
      <color theme="1"/>
      <name val="Times New Roman"/>
      <family val="1"/>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5" tint="0.79998168889431442"/>
        <bgColor indexed="64"/>
      </patternFill>
    </fill>
  </fills>
  <borders count="3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0" fontId="1" fillId="0" borderId="0"/>
    <xf numFmtId="0" fontId="11" fillId="0" borderId="0"/>
    <xf numFmtId="0" fontId="18" fillId="0" borderId="0" applyNumberFormat="0" applyFill="0" applyBorder="0" applyAlignment="0" applyProtection="0"/>
  </cellStyleXfs>
  <cellXfs count="252">
    <xf numFmtId="0" fontId="0" fillId="0" borderId="0" xfId="0"/>
    <xf numFmtId="0" fontId="1" fillId="0" borderId="0" xfId="1"/>
    <xf numFmtId="0" fontId="3" fillId="0" borderId="1" xfId="0" applyFont="1" applyFill="1" applyBorder="1" applyAlignment="1">
      <alignment vertical="top"/>
    </xf>
    <xf numFmtId="0" fontId="4" fillId="0" borderId="1" xfId="0" applyFont="1" applyFill="1" applyBorder="1" applyAlignment="1">
      <alignment vertical="top"/>
    </xf>
    <xf numFmtId="0" fontId="3" fillId="0" borderId="2" xfId="0" applyFont="1" applyFill="1" applyBorder="1" applyAlignment="1">
      <alignment vertical="top"/>
    </xf>
    <xf numFmtId="0" fontId="3" fillId="0" borderId="2" xfId="0" applyFont="1" applyFill="1" applyBorder="1" applyAlignment="1">
      <alignment vertical="top" wrapText="1"/>
    </xf>
    <xf numFmtId="1" fontId="5" fillId="0" borderId="2" xfId="0" applyNumberFormat="1" applyFont="1" applyFill="1" applyBorder="1" applyAlignment="1">
      <alignment horizontal="center" vertical="top" wrapText="1"/>
    </xf>
    <xf numFmtId="0" fontId="0" fillId="0" borderId="2" xfId="0" applyBorder="1"/>
    <xf numFmtId="1" fontId="9" fillId="0" borderId="2" xfId="0" applyNumberFormat="1" applyFont="1" applyFill="1" applyBorder="1" applyAlignment="1">
      <alignment horizontal="center" vertical="center" wrapText="1"/>
    </xf>
    <xf numFmtId="1" fontId="0" fillId="0" borderId="0" xfId="0" applyNumberFormat="1"/>
    <xf numFmtId="0" fontId="12" fillId="0" borderId="0" xfId="0" applyFont="1"/>
    <xf numFmtId="0" fontId="0" fillId="0" borderId="4" xfId="0" applyBorder="1"/>
    <xf numFmtId="0" fontId="12" fillId="3" borderId="2" xfId="0" applyFont="1" applyFill="1" applyBorder="1"/>
    <xf numFmtId="0" fontId="0" fillId="0" borderId="0" xfId="0" applyBorder="1"/>
    <xf numFmtId="0" fontId="0" fillId="0" borderId="5" xfId="0" applyBorder="1"/>
    <xf numFmtId="0" fontId="0" fillId="0" borderId="0" xfId="0" applyAlignment="1">
      <alignment wrapText="1"/>
    </xf>
    <xf numFmtId="0" fontId="0" fillId="0" borderId="2" xfId="0" applyBorder="1" applyAlignment="1">
      <alignment wrapText="1"/>
    </xf>
    <xf numFmtId="1" fontId="0" fillId="0" borderId="0" xfId="0" applyNumberFormat="1" applyBorder="1"/>
    <xf numFmtId="1" fontId="0" fillId="0" borderId="2" xfId="0" applyNumberFormat="1" applyBorder="1"/>
    <xf numFmtId="0" fontId="10" fillId="0" borderId="1" xfId="0" applyFont="1" applyFill="1" applyBorder="1" applyAlignment="1">
      <alignment vertical="top" wrapText="1"/>
    </xf>
    <xf numFmtId="0" fontId="14" fillId="0" borderId="19" xfId="2" applyFont="1" applyFill="1" applyBorder="1" applyProtection="1">
      <protection hidden="1"/>
    </xf>
    <xf numFmtId="0" fontId="14" fillId="0" borderId="20" xfId="2" applyFont="1" applyBorder="1" applyProtection="1">
      <protection hidden="1"/>
    </xf>
    <xf numFmtId="0" fontId="15" fillId="0" borderId="21" xfId="2" applyFont="1" applyFill="1" applyBorder="1" applyAlignment="1" applyProtection="1">
      <alignment horizontal="center" vertical="top"/>
      <protection locked="0"/>
    </xf>
    <xf numFmtId="0" fontId="15" fillId="0" borderId="2" xfId="2" applyFont="1" applyFill="1" applyBorder="1" applyAlignment="1" applyProtection="1">
      <alignment horizontal="center" vertical="top"/>
      <protection locked="0"/>
    </xf>
    <xf numFmtId="0" fontId="14" fillId="0" borderId="0" xfId="2" applyFont="1" applyFill="1" applyBorder="1" applyProtection="1">
      <protection hidden="1"/>
    </xf>
    <xf numFmtId="0" fontId="14" fillId="0" borderId="23" xfId="2" applyFont="1" applyBorder="1" applyProtection="1">
      <protection hidden="1"/>
    </xf>
    <xf numFmtId="0" fontId="17" fillId="0" borderId="0" xfId="0" applyFont="1" applyFill="1" applyBorder="1" applyProtection="1">
      <protection hidden="1"/>
    </xf>
    <xf numFmtId="0" fontId="14" fillId="0" borderId="23" xfId="2" applyFont="1" applyBorder="1"/>
    <xf numFmtId="0" fontId="17" fillId="0" borderId="23" xfId="0" applyNumberFormat="1" applyFont="1" applyBorder="1" applyProtection="1">
      <protection hidden="1"/>
    </xf>
    <xf numFmtId="1" fontId="0" fillId="0" borderId="23" xfId="0" applyNumberFormat="1" applyBorder="1"/>
    <xf numFmtId="1" fontId="0" fillId="0" borderId="23" xfId="0" applyNumberFormat="1" applyBorder="1" applyAlignment="1">
      <alignment horizontal="right"/>
    </xf>
    <xf numFmtId="0" fontId="17" fillId="0" borderId="32" xfId="0" applyFont="1" applyFill="1" applyBorder="1" applyProtection="1">
      <protection hidden="1"/>
    </xf>
    <xf numFmtId="1" fontId="0" fillId="0" borderId="33" xfId="0" applyNumberFormat="1" applyBorder="1"/>
    <xf numFmtId="0" fontId="15" fillId="0" borderId="2" xfId="2" applyFont="1" applyBorder="1" applyAlignment="1" applyProtection="1">
      <alignment horizontal="center" vertical="top" wrapText="1"/>
      <protection locked="0"/>
    </xf>
    <xf numFmtId="0" fontId="15" fillId="0" borderId="2" xfId="2" applyFont="1" applyBorder="1" applyAlignment="1" applyProtection="1">
      <alignment horizontal="center" wrapText="1"/>
      <protection locked="0"/>
    </xf>
    <xf numFmtId="1" fontId="15" fillId="0" borderId="2" xfId="2" applyNumberFormat="1" applyFont="1" applyBorder="1" applyAlignment="1" applyProtection="1">
      <alignment horizontal="center" wrapText="1"/>
      <protection locked="0"/>
    </xf>
    <xf numFmtId="0" fontId="15" fillId="0" borderId="28" xfId="2" applyFont="1" applyBorder="1" applyAlignment="1" applyProtection="1">
      <alignment horizontal="center" wrapText="1"/>
      <protection locked="0"/>
    </xf>
    <xf numFmtId="0" fontId="0" fillId="0" borderId="4" xfId="0" applyBorder="1" applyAlignment="1">
      <alignment horizontal="left" vertical="top"/>
    </xf>
    <xf numFmtId="1" fontId="9" fillId="0" borderId="1" xfId="0" applyNumberFormat="1" applyFont="1" applyFill="1" applyBorder="1" applyAlignment="1">
      <alignment horizontal="center" vertical="center" wrapText="1"/>
    </xf>
    <xf numFmtId="0" fontId="2" fillId="2" borderId="2" xfId="0" applyFont="1" applyFill="1" applyBorder="1" applyAlignment="1">
      <alignment vertical="top"/>
    </xf>
    <xf numFmtId="0" fontId="20" fillId="0" borderId="0" xfId="0" applyFont="1"/>
    <xf numFmtId="1" fontId="2" fillId="0" borderId="2" xfId="0" applyNumberFormat="1" applyFont="1" applyFill="1" applyBorder="1" applyAlignment="1">
      <alignment horizontal="center" vertical="top" wrapText="1"/>
    </xf>
    <xf numFmtId="1" fontId="21" fillId="0" borderId="2" xfId="0" applyNumberFormat="1" applyFont="1" applyFill="1" applyBorder="1" applyAlignment="1">
      <alignment horizontal="center" vertical="top" wrapText="1"/>
    </xf>
    <xf numFmtId="1" fontId="14" fillId="0" borderId="2" xfId="0" applyNumberFormat="1" applyFont="1" applyFill="1" applyBorder="1" applyAlignment="1">
      <alignment horizontal="center" vertical="center" wrapText="1"/>
    </xf>
    <xf numFmtId="1" fontId="22" fillId="0" borderId="2" xfId="0" applyNumberFormat="1" applyFont="1" applyFill="1" applyBorder="1" applyAlignment="1">
      <alignment horizontal="center" vertical="center" wrapText="1"/>
    </xf>
    <xf numFmtId="1" fontId="1" fillId="0" borderId="0" xfId="1" applyNumberFormat="1"/>
    <xf numFmtId="1" fontId="9" fillId="0" borderId="2" xfId="0" applyNumberFormat="1" applyFont="1" applyFill="1" applyBorder="1" applyAlignment="1">
      <alignment horizontal="center" vertical="center" wrapText="1"/>
    </xf>
    <xf numFmtId="1" fontId="9" fillId="0" borderId="2" xfId="0" applyNumberFormat="1" applyFont="1" applyFill="1" applyBorder="1" applyAlignment="1">
      <alignment horizontal="center" vertical="center" wrapText="1"/>
    </xf>
    <xf numFmtId="0" fontId="3" fillId="0" borderId="2" xfId="0" applyFont="1" applyFill="1" applyBorder="1" applyAlignment="1">
      <alignment horizontal="left" vertical="top" wrapText="1"/>
    </xf>
    <xf numFmtId="14" fontId="3" fillId="0" borderId="2" xfId="0" applyNumberFormat="1" applyFont="1" applyFill="1" applyBorder="1" applyAlignment="1">
      <alignment horizontal="left" vertical="top"/>
    </xf>
    <xf numFmtId="14" fontId="3" fillId="2" borderId="4" xfId="0" applyNumberFormat="1" applyFont="1" applyFill="1" applyBorder="1" applyAlignment="1">
      <alignment horizontal="left" vertical="top"/>
    </xf>
    <xf numFmtId="14" fontId="3" fillId="2" borderId="6" xfId="0" applyNumberFormat="1" applyFont="1" applyFill="1" applyBorder="1" applyAlignment="1">
      <alignment horizontal="left" vertical="top"/>
    </xf>
    <xf numFmtId="0" fontId="3" fillId="0" borderId="1" xfId="0" applyFont="1" applyBorder="1" applyAlignment="1">
      <alignment horizontal="left" vertical="top" wrapText="1"/>
    </xf>
    <xf numFmtId="0" fontId="3" fillId="0" borderId="4" xfId="0" applyFont="1" applyBorder="1" applyAlignment="1">
      <alignment horizontal="left" vertical="top" wrapText="1"/>
    </xf>
    <xf numFmtId="0" fontId="3" fillId="0" borderId="6" xfId="0" applyFont="1" applyBorder="1" applyAlignment="1">
      <alignment horizontal="left" vertical="top" wrapText="1"/>
    </xf>
    <xf numFmtId="9" fontId="15" fillId="2" borderId="1" xfId="2" applyNumberFormat="1" applyFont="1" applyFill="1" applyBorder="1" applyAlignment="1" applyProtection="1">
      <alignment horizontal="center" vertical="center" wrapText="1"/>
      <protection hidden="1"/>
    </xf>
    <xf numFmtId="9" fontId="15" fillId="2" borderId="6" xfId="2" applyNumberFormat="1" applyFont="1" applyFill="1" applyBorder="1" applyAlignment="1" applyProtection="1">
      <alignment horizontal="center" vertical="center" wrapText="1"/>
      <protection hidden="1"/>
    </xf>
    <xf numFmtId="9" fontId="15" fillId="2" borderId="2" xfId="2" applyNumberFormat="1" applyFont="1" applyFill="1" applyBorder="1" applyAlignment="1" applyProtection="1">
      <alignment horizontal="center" vertical="center" wrapText="1"/>
      <protection hidden="1"/>
    </xf>
    <xf numFmtId="9" fontId="15" fillId="2" borderId="28" xfId="2" applyNumberFormat="1" applyFont="1" applyFill="1" applyBorder="1" applyAlignment="1" applyProtection="1">
      <alignment horizontal="center" vertical="center" wrapText="1"/>
      <protection hidden="1"/>
    </xf>
    <xf numFmtId="9" fontId="15" fillId="2" borderId="7" xfId="2" applyNumberFormat="1" applyFont="1" applyFill="1" applyBorder="1" applyAlignment="1" applyProtection="1">
      <alignment horizontal="center" vertical="center" wrapText="1"/>
      <protection hidden="1"/>
    </xf>
    <xf numFmtId="9" fontId="15" fillId="2" borderId="13" xfId="2" applyNumberFormat="1" applyFont="1" applyFill="1" applyBorder="1" applyAlignment="1" applyProtection="1">
      <alignment horizontal="center" vertical="center" wrapText="1"/>
      <protection hidden="1"/>
    </xf>
    <xf numFmtId="9" fontId="15" fillId="2" borderId="26" xfId="2" applyNumberFormat="1" applyFont="1" applyFill="1" applyBorder="1" applyAlignment="1" applyProtection="1">
      <alignment horizontal="center" vertical="center" wrapText="1"/>
      <protection hidden="1"/>
    </xf>
    <xf numFmtId="9" fontId="15" fillId="2" borderId="9" xfId="2" applyNumberFormat="1" applyFont="1" applyFill="1" applyBorder="1" applyAlignment="1" applyProtection="1">
      <alignment horizontal="center" vertical="center" wrapText="1"/>
      <protection hidden="1"/>
    </xf>
    <xf numFmtId="9" fontId="15" fillId="2" borderId="0" xfId="2" applyNumberFormat="1" applyFont="1" applyFill="1" applyBorder="1" applyAlignment="1" applyProtection="1">
      <alignment horizontal="center" vertical="center" wrapText="1"/>
      <protection hidden="1"/>
    </xf>
    <xf numFmtId="9" fontId="15" fillId="2" borderId="23" xfId="2" applyNumberFormat="1" applyFont="1" applyFill="1" applyBorder="1" applyAlignment="1" applyProtection="1">
      <alignment horizontal="center" vertical="center" wrapText="1"/>
      <protection hidden="1"/>
    </xf>
    <xf numFmtId="9" fontId="15" fillId="2" borderId="31" xfId="2" applyNumberFormat="1" applyFont="1" applyFill="1" applyBorder="1" applyAlignment="1" applyProtection="1">
      <alignment horizontal="center" vertical="center" wrapText="1"/>
      <protection hidden="1"/>
    </xf>
    <xf numFmtId="9" fontId="15" fillId="2" borderId="32" xfId="2" applyNumberFormat="1" applyFont="1" applyFill="1" applyBorder="1" applyAlignment="1" applyProtection="1">
      <alignment horizontal="center" vertical="center" wrapText="1"/>
      <protection hidden="1"/>
    </xf>
    <xf numFmtId="9" fontId="15" fillId="2" borderId="33" xfId="2" applyNumberFormat="1" applyFont="1" applyFill="1" applyBorder="1" applyAlignment="1" applyProtection="1">
      <alignment horizontal="center" vertical="center" wrapText="1"/>
      <protection hidden="1"/>
    </xf>
    <xf numFmtId="0" fontId="15" fillId="0" borderId="21" xfId="2" applyFont="1" applyFill="1" applyBorder="1" applyAlignment="1" applyProtection="1">
      <alignment horizontal="center" vertical="top" wrapText="1"/>
      <protection locked="0"/>
    </xf>
    <xf numFmtId="0" fontId="15" fillId="0" borderId="2" xfId="2" applyFont="1" applyFill="1" applyBorder="1" applyAlignment="1" applyProtection="1">
      <alignment horizontal="center" vertical="top" wrapText="1"/>
      <protection locked="0"/>
    </xf>
    <xf numFmtId="0" fontId="15" fillId="0" borderId="21" xfId="2" applyFont="1" applyFill="1" applyBorder="1" applyAlignment="1" applyProtection="1">
      <alignment horizontal="center" vertical="top"/>
      <protection locked="0"/>
    </xf>
    <xf numFmtId="0" fontId="15" fillId="0" borderId="2" xfId="2" applyFont="1" applyFill="1" applyBorder="1" applyAlignment="1" applyProtection="1">
      <alignment horizontal="center" vertical="top"/>
      <protection locked="0"/>
    </xf>
    <xf numFmtId="0" fontId="3" fillId="0" borderId="2" xfId="0" applyFont="1" applyFill="1" applyBorder="1" applyAlignment="1">
      <alignment horizontal="left" vertical="top"/>
    </xf>
    <xf numFmtId="0" fontId="3" fillId="0" borderId="2" xfId="0" applyFont="1" applyFill="1" applyBorder="1" applyAlignment="1">
      <alignment horizontal="center" vertical="center"/>
    </xf>
    <xf numFmtId="14" fontId="13" fillId="0" borderId="2" xfId="0" applyNumberFormat="1" applyFont="1" applyFill="1" applyBorder="1" applyAlignment="1">
      <alignment horizontal="left" vertical="top"/>
    </xf>
    <xf numFmtId="0" fontId="2" fillId="0" borderId="2" xfId="0" applyFont="1" applyFill="1" applyBorder="1" applyAlignment="1">
      <alignment horizontal="left" vertical="top" wrapText="1"/>
    </xf>
    <xf numFmtId="0" fontId="2" fillId="2" borderId="2" xfId="0" applyFont="1" applyFill="1" applyBorder="1" applyAlignment="1">
      <alignment horizontal="left" vertical="top" wrapText="1"/>
    </xf>
    <xf numFmtId="14" fontId="2" fillId="2" borderId="2" xfId="0" applyNumberFormat="1" applyFont="1" applyFill="1" applyBorder="1" applyAlignment="1">
      <alignment horizontal="left" vertical="top"/>
    </xf>
    <xf numFmtId="0" fontId="2" fillId="0" borderId="1"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6" xfId="0" applyFont="1" applyFill="1" applyBorder="1" applyAlignment="1">
      <alignment horizontal="left" vertical="top" wrapText="1"/>
    </xf>
    <xf numFmtId="0" fontId="16" fillId="0" borderId="14" xfId="2" applyFont="1" applyFill="1" applyBorder="1" applyAlignment="1" applyProtection="1">
      <alignment horizontal="center" vertical="top"/>
      <protection locked="0"/>
    </xf>
    <xf numFmtId="0" fontId="16" fillId="0" borderId="15" xfId="2" applyFont="1" applyFill="1" applyBorder="1" applyAlignment="1" applyProtection="1">
      <alignment horizontal="center" vertical="top"/>
      <protection locked="0"/>
    </xf>
    <xf numFmtId="0" fontId="16" fillId="0" borderId="16" xfId="2" applyFont="1" applyFill="1" applyBorder="1" applyAlignment="1" applyProtection="1">
      <alignment horizontal="left" vertical="top" wrapText="1"/>
      <protection locked="0"/>
    </xf>
    <xf numFmtId="0" fontId="16" fillId="0" borderId="17" xfId="2" applyFont="1" applyFill="1" applyBorder="1" applyAlignment="1" applyProtection="1">
      <alignment horizontal="left" vertical="top" wrapText="1"/>
      <protection locked="0"/>
    </xf>
    <xf numFmtId="0" fontId="16" fillId="0" borderId="18" xfId="2" applyFont="1" applyFill="1" applyBorder="1" applyAlignment="1" applyProtection="1">
      <alignment horizontal="left" vertical="top" wrapText="1"/>
      <protection locked="0"/>
    </xf>
    <xf numFmtId="0" fontId="3" fillId="0" borderId="1"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6" xfId="0" applyFont="1" applyFill="1" applyBorder="1" applyAlignment="1">
      <alignment horizontal="left" vertical="top" wrapText="1"/>
    </xf>
    <xf numFmtId="14" fontId="3" fillId="0" borderId="2" xfId="0" applyNumberFormat="1" applyFont="1" applyFill="1" applyBorder="1" applyAlignment="1">
      <alignment horizontal="center" vertical="top"/>
    </xf>
    <xf numFmtId="0" fontId="3" fillId="0" borderId="2" xfId="0" applyFont="1" applyFill="1" applyBorder="1" applyAlignment="1">
      <alignment horizontal="center" vertical="top"/>
    </xf>
    <xf numFmtId="14" fontId="8" fillId="0" borderId="2" xfId="0" applyNumberFormat="1" applyFont="1" applyFill="1" applyBorder="1" applyAlignment="1">
      <alignment horizontal="left" vertical="top"/>
    </xf>
    <xf numFmtId="0" fontId="8" fillId="0" borderId="2" xfId="0" applyFont="1" applyFill="1" applyBorder="1" applyAlignment="1">
      <alignment horizontal="left" vertical="top"/>
    </xf>
    <xf numFmtId="0" fontId="2" fillId="0" borderId="2" xfId="0" applyFont="1" applyFill="1" applyBorder="1" applyAlignment="1">
      <alignment vertical="top"/>
    </xf>
    <xf numFmtId="0" fontId="0" fillId="0" borderId="2" xfId="0" applyBorder="1" applyAlignment="1">
      <alignment horizontal="left"/>
    </xf>
    <xf numFmtId="0" fontId="15" fillId="0" borderId="24" xfId="2" applyFont="1" applyBorder="1" applyAlignment="1" applyProtection="1">
      <alignment horizontal="center" vertical="top" wrapText="1"/>
      <protection locked="0"/>
    </xf>
    <xf numFmtId="0" fontId="15" fillId="0" borderId="6" xfId="2" applyFont="1" applyBorder="1" applyAlignment="1" applyProtection="1">
      <alignment horizontal="center" vertical="top" wrapText="1"/>
      <protection locked="0"/>
    </xf>
    <xf numFmtId="0" fontId="15" fillId="0" borderId="2" xfId="2" applyFont="1" applyBorder="1" applyAlignment="1" applyProtection="1">
      <alignment horizontal="center" vertical="top" wrapText="1"/>
      <protection locked="0"/>
    </xf>
    <xf numFmtId="0" fontId="15" fillId="0" borderId="25" xfId="2" applyFont="1" applyBorder="1" applyAlignment="1" applyProtection="1">
      <alignment horizontal="center" vertical="top" wrapText="1"/>
      <protection locked="0"/>
    </xf>
    <xf numFmtId="0" fontId="16" fillId="0" borderId="1" xfId="2" applyFont="1" applyFill="1" applyBorder="1" applyAlignment="1" applyProtection="1">
      <alignment horizontal="left" vertical="top" wrapText="1"/>
      <protection locked="0"/>
    </xf>
    <xf numFmtId="0" fontId="16" fillId="0" borderId="4" xfId="2" applyFont="1" applyFill="1" applyBorder="1" applyAlignment="1" applyProtection="1">
      <alignment horizontal="left" vertical="top" wrapText="1"/>
      <protection locked="0"/>
    </xf>
    <xf numFmtId="0" fontId="16" fillId="0" borderId="22" xfId="2" applyFont="1" applyFill="1" applyBorder="1" applyAlignment="1" applyProtection="1">
      <alignment horizontal="left" vertical="top" wrapText="1"/>
      <protection locked="0"/>
    </xf>
    <xf numFmtId="0" fontId="15" fillId="0" borderId="1" xfId="2" applyFont="1" applyFill="1" applyBorder="1" applyAlignment="1" applyProtection="1">
      <alignment horizontal="center" vertical="top"/>
      <protection locked="0"/>
    </xf>
    <xf numFmtId="0" fontId="15" fillId="0" borderId="22" xfId="2" applyFont="1" applyFill="1" applyBorder="1" applyAlignment="1" applyProtection="1">
      <alignment horizontal="center" vertical="top"/>
      <protection locked="0"/>
    </xf>
    <xf numFmtId="0" fontId="22" fillId="0" borderId="21" xfId="2" applyFont="1" applyBorder="1" applyAlignment="1" applyProtection="1">
      <alignment horizontal="left" vertical="top"/>
      <protection locked="0"/>
    </xf>
    <xf numFmtId="0" fontId="22" fillId="0" borderId="2" xfId="2" applyFont="1" applyBorder="1" applyAlignment="1" applyProtection="1">
      <alignment horizontal="left" vertical="top"/>
      <protection locked="0"/>
    </xf>
    <xf numFmtId="0" fontId="15" fillId="0" borderId="6" xfId="2" applyFont="1" applyFill="1" applyBorder="1" applyAlignment="1" applyProtection="1">
      <alignment horizontal="center" vertical="top"/>
      <protection locked="0"/>
    </xf>
    <xf numFmtId="1" fontId="5" fillId="0" borderId="1" xfId="0" applyNumberFormat="1" applyFont="1" applyFill="1" applyBorder="1" applyAlignment="1">
      <alignment horizontal="center" vertical="center" wrapText="1"/>
    </xf>
    <xf numFmtId="1" fontId="5" fillId="0" borderId="4" xfId="0" applyNumberFormat="1" applyFont="1" applyFill="1" applyBorder="1" applyAlignment="1">
      <alignment horizontal="center" vertical="center" wrapText="1"/>
    </xf>
    <xf numFmtId="1" fontId="5" fillId="0" borderId="6" xfId="0" applyNumberFormat="1" applyFont="1" applyFill="1" applyBorder="1" applyAlignment="1">
      <alignment horizontal="center" vertical="center" wrapText="1"/>
    </xf>
    <xf numFmtId="1" fontId="9" fillId="0" borderId="1" xfId="0" applyNumberFormat="1" applyFont="1" applyFill="1" applyBorder="1" applyAlignment="1">
      <alignment horizontal="center" vertical="center" wrapText="1"/>
    </xf>
    <xf numFmtId="1" fontId="9" fillId="0" borderId="6" xfId="0" applyNumberFormat="1" applyFont="1" applyFill="1" applyBorder="1" applyAlignment="1">
      <alignment horizontal="center" vertical="center" wrapText="1"/>
    </xf>
    <xf numFmtId="1" fontId="9" fillId="0" borderId="7" xfId="0" applyNumberFormat="1" applyFont="1" applyFill="1" applyBorder="1" applyAlignment="1">
      <alignment horizontal="center" vertical="center" wrapText="1"/>
    </xf>
    <xf numFmtId="1" fontId="9" fillId="0" borderId="8" xfId="0" applyNumberFormat="1" applyFont="1" applyFill="1" applyBorder="1" applyAlignment="1">
      <alignment horizontal="center" vertical="center" wrapText="1"/>
    </xf>
    <xf numFmtId="1" fontId="9" fillId="0" borderId="9" xfId="0" applyNumberFormat="1" applyFont="1" applyFill="1" applyBorder="1" applyAlignment="1">
      <alignment horizontal="center" vertical="center" wrapText="1"/>
    </xf>
    <xf numFmtId="1" fontId="9" fillId="0" borderId="10" xfId="0" applyNumberFormat="1" applyFont="1" applyFill="1" applyBorder="1" applyAlignment="1">
      <alignment horizontal="center" vertical="center" wrapText="1"/>
    </xf>
    <xf numFmtId="1" fontId="9" fillId="0" borderId="11" xfId="0" applyNumberFormat="1" applyFont="1" applyFill="1" applyBorder="1" applyAlignment="1">
      <alignment horizontal="center" vertical="center" wrapText="1"/>
    </xf>
    <xf numFmtId="1" fontId="9" fillId="0" borderId="12" xfId="0" applyNumberFormat="1" applyFont="1" applyFill="1" applyBorder="1" applyAlignment="1">
      <alignment horizontal="center" vertical="center" wrapText="1"/>
    </xf>
    <xf numFmtId="1" fontId="9" fillId="0" borderId="4" xfId="0" applyNumberFormat="1" applyFont="1" applyFill="1" applyBorder="1" applyAlignment="1">
      <alignment horizontal="center" vertical="center" wrapText="1"/>
    </xf>
    <xf numFmtId="1" fontId="9" fillId="0" borderId="2" xfId="0" applyNumberFormat="1" applyFont="1" applyFill="1" applyBorder="1" applyAlignment="1">
      <alignment horizontal="center" vertical="center" wrapText="1"/>
    </xf>
    <xf numFmtId="1" fontId="5" fillId="0" borderId="2" xfId="0" applyNumberFormat="1" applyFont="1" applyFill="1" applyBorder="1" applyAlignment="1">
      <alignment horizontal="center" vertical="center" wrapText="1"/>
    </xf>
    <xf numFmtId="1" fontId="5" fillId="4" borderId="2"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3" fillId="0" borderId="1" xfId="0" applyFont="1" applyFill="1" applyBorder="1" applyAlignment="1">
      <alignment horizontal="left" vertical="top"/>
    </xf>
    <xf numFmtId="0" fontId="3" fillId="0" borderId="4" xfId="0" applyFont="1" applyFill="1" applyBorder="1" applyAlignment="1">
      <alignment horizontal="left" vertical="top"/>
    </xf>
    <xf numFmtId="0" fontId="3" fillId="0" borderId="6" xfId="0" applyFont="1" applyFill="1" applyBorder="1" applyAlignment="1">
      <alignment horizontal="left" vertical="top"/>
    </xf>
    <xf numFmtId="9" fontId="15" fillId="2" borderId="29" xfId="2" applyNumberFormat="1" applyFont="1" applyFill="1" applyBorder="1" applyAlignment="1" applyProtection="1">
      <alignment horizontal="center" vertical="center" wrapText="1"/>
      <protection hidden="1"/>
    </xf>
    <xf numFmtId="9" fontId="15" fillId="2" borderId="30" xfId="2" applyNumberFormat="1" applyFont="1" applyFill="1" applyBorder="1" applyAlignment="1" applyProtection="1">
      <alignment horizontal="center" vertical="center" wrapText="1"/>
      <protection hidden="1"/>
    </xf>
    <xf numFmtId="0" fontId="3" fillId="0" borderId="1" xfId="0" applyFont="1" applyFill="1" applyBorder="1" applyAlignment="1">
      <alignment horizontal="center" vertical="top"/>
    </xf>
    <xf numFmtId="0" fontId="3" fillId="0" borderId="6" xfId="0" applyFont="1" applyFill="1" applyBorder="1" applyAlignment="1">
      <alignment horizontal="center" vertical="top"/>
    </xf>
    <xf numFmtId="0" fontId="4" fillId="0" borderId="2" xfId="0" applyFont="1" applyFill="1" applyBorder="1" applyAlignment="1">
      <alignment horizontal="left" vertical="top"/>
    </xf>
    <xf numFmtId="164" fontId="3" fillId="0" borderId="2" xfId="2" applyNumberFormat="1" applyFont="1" applyBorder="1" applyAlignment="1" applyProtection="1">
      <alignment horizontal="left" vertical="top"/>
      <protection locked="0"/>
    </xf>
    <xf numFmtId="2" fontId="3" fillId="0" borderId="2" xfId="2" applyNumberFormat="1" applyFont="1" applyBorder="1" applyAlignment="1" applyProtection="1">
      <alignment horizontal="left" vertical="top" wrapText="1"/>
      <protection locked="0"/>
    </xf>
    <xf numFmtId="0" fontId="8" fillId="0" borderId="2" xfId="0" applyFont="1" applyFill="1" applyBorder="1" applyAlignment="1">
      <alignment horizontal="center" vertical="top" wrapText="1"/>
    </xf>
    <xf numFmtId="0" fontId="8" fillId="0" borderId="2" xfId="0" applyFont="1" applyFill="1" applyBorder="1" applyAlignment="1">
      <alignment horizontal="left" vertical="top" wrapText="1"/>
    </xf>
    <xf numFmtId="0" fontId="15" fillId="0" borderId="27" xfId="2" applyFont="1" applyFill="1" applyBorder="1" applyAlignment="1" applyProtection="1">
      <alignment horizontal="center" vertical="top" wrapText="1"/>
      <protection locked="0"/>
    </xf>
    <xf numFmtId="0" fontId="15" fillId="0" borderId="28" xfId="2" applyFont="1" applyFill="1" applyBorder="1" applyAlignment="1" applyProtection="1">
      <alignment horizontal="center" vertical="top" wrapText="1"/>
      <protection locked="0"/>
    </xf>
    <xf numFmtId="0" fontId="13" fillId="0" borderId="2" xfId="0" applyFont="1" applyFill="1" applyBorder="1" applyAlignment="1">
      <alignment horizontal="left" vertical="top" wrapText="1"/>
    </xf>
    <xf numFmtId="0" fontId="4" fillId="0" borderId="1" xfId="0" applyFont="1" applyBorder="1" applyAlignment="1">
      <alignment horizontal="left" vertical="top"/>
    </xf>
    <xf numFmtId="0" fontId="4" fillId="0" borderId="4" xfId="0" applyFont="1" applyBorder="1" applyAlignment="1">
      <alignment horizontal="left" vertical="top"/>
    </xf>
    <xf numFmtId="0" fontId="4" fillId="0" borderId="6" xfId="0" applyFont="1" applyBorder="1" applyAlignment="1">
      <alignment horizontal="left" vertical="top"/>
    </xf>
    <xf numFmtId="0" fontId="3" fillId="0" borderId="1" xfId="0" applyFont="1" applyFill="1" applyBorder="1" applyAlignment="1">
      <alignment vertical="top"/>
    </xf>
    <xf numFmtId="0" fontId="4" fillId="0" borderId="4" xfId="0" applyFont="1" applyFill="1" applyBorder="1" applyAlignment="1">
      <alignment vertical="top"/>
    </xf>
    <xf numFmtId="0" fontId="4" fillId="0" borderId="6" xfId="0" applyFont="1" applyFill="1" applyBorder="1" applyAlignment="1">
      <alignment vertical="top"/>
    </xf>
    <xf numFmtId="0" fontId="3" fillId="0" borderId="7"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8" xfId="0" applyFont="1" applyFill="1" applyBorder="1" applyAlignment="1">
      <alignment horizontal="left" vertical="top" wrapText="1"/>
    </xf>
    <xf numFmtId="0" fontId="3" fillId="0" borderId="11" xfId="0" applyFont="1" applyFill="1" applyBorder="1" applyAlignment="1">
      <alignment horizontal="left" vertical="top" wrapText="1"/>
    </xf>
    <xf numFmtId="0" fontId="3" fillId="0" borderId="3" xfId="0" applyFont="1" applyFill="1" applyBorder="1" applyAlignment="1">
      <alignment horizontal="left" vertical="top" wrapText="1"/>
    </xf>
    <xf numFmtId="0" fontId="3" fillId="0" borderId="12" xfId="0" applyFont="1" applyFill="1" applyBorder="1" applyAlignment="1">
      <alignment horizontal="left" vertical="top" wrapText="1"/>
    </xf>
    <xf numFmtId="0" fontId="4" fillId="0" borderId="1" xfId="0" applyFont="1" applyFill="1" applyBorder="1" applyAlignment="1">
      <alignment horizontal="left" vertical="top"/>
    </xf>
    <xf numFmtId="0" fontId="4" fillId="0" borderId="4" xfId="0" applyFont="1" applyFill="1" applyBorder="1" applyAlignment="1">
      <alignment horizontal="left" vertical="top"/>
    </xf>
    <xf numFmtId="0" fontId="4" fillId="0" borderId="6" xfId="0" applyFont="1" applyFill="1" applyBorder="1" applyAlignment="1">
      <alignment horizontal="left" vertical="top"/>
    </xf>
    <xf numFmtId="0" fontId="3" fillId="0" borderId="1" xfId="0" applyFont="1" applyFill="1" applyBorder="1" applyAlignment="1">
      <alignment vertical="top" wrapText="1"/>
    </xf>
    <xf numFmtId="0" fontId="3" fillId="0" borderId="4" xfId="0" applyFont="1" applyFill="1" applyBorder="1" applyAlignment="1">
      <alignment vertical="top" wrapText="1"/>
    </xf>
    <xf numFmtId="0" fontId="3" fillId="0" borderId="6" xfId="0" applyFont="1" applyFill="1" applyBorder="1" applyAlignment="1">
      <alignment vertical="top" wrapText="1"/>
    </xf>
    <xf numFmtId="0" fontId="13" fillId="0" borderId="1" xfId="0" applyFont="1" applyBorder="1" applyAlignment="1">
      <alignment horizontal="center" vertical="top" wrapText="1"/>
    </xf>
    <xf numFmtId="0" fontId="13" fillId="0" borderId="6" xfId="0" applyFont="1" applyBorder="1" applyAlignment="1">
      <alignment horizontal="center" vertical="top" wrapText="1"/>
    </xf>
    <xf numFmtId="0" fontId="3" fillId="0" borderId="1" xfId="0" applyFont="1" applyBorder="1" applyAlignment="1">
      <alignment horizontal="left" vertical="top"/>
    </xf>
    <xf numFmtId="0" fontId="3" fillId="0" borderId="4" xfId="0" applyFont="1" applyBorder="1" applyAlignment="1">
      <alignment horizontal="left" vertical="top"/>
    </xf>
    <xf numFmtId="0" fontId="3" fillId="0" borderId="6" xfId="0" applyFont="1" applyBorder="1" applyAlignment="1">
      <alignment horizontal="left" vertical="top"/>
    </xf>
    <xf numFmtId="0" fontId="3" fillId="0" borderId="1" xfId="0" applyFont="1" applyFill="1" applyBorder="1" applyAlignment="1">
      <alignment horizontal="center" vertical="top" wrapText="1"/>
    </xf>
    <xf numFmtId="0" fontId="3" fillId="0" borderId="6" xfId="0" applyFont="1" applyFill="1" applyBorder="1" applyAlignment="1">
      <alignment horizontal="center" vertical="top" wrapText="1"/>
    </xf>
    <xf numFmtId="0" fontId="2" fillId="0" borderId="2" xfId="0" applyFont="1" applyFill="1" applyBorder="1" applyAlignment="1">
      <alignment horizontal="left" vertical="top"/>
    </xf>
    <xf numFmtId="0" fontId="3" fillId="2" borderId="1"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6" xfId="0" applyFont="1" applyFill="1" applyBorder="1" applyAlignment="1">
      <alignment horizontal="left" vertical="top" wrapText="1"/>
    </xf>
    <xf numFmtId="0" fontId="2" fillId="0" borderId="1" xfId="0" applyFont="1" applyBorder="1" applyAlignment="1">
      <alignment horizontal="center" vertical="top"/>
    </xf>
    <xf numFmtId="0" fontId="2" fillId="0" borderId="4" xfId="0" applyFont="1" applyBorder="1" applyAlignment="1">
      <alignment horizontal="center" vertical="top"/>
    </xf>
    <xf numFmtId="0" fontId="2" fillId="0" borderId="6" xfId="0" applyFont="1" applyBorder="1" applyAlignment="1">
      <alignment horizontal="center" vertical="top"/>
    </xf>
    <xf numFmtId="14" fontId="3" fillId="0" borderId="1" xfId="0" applyNumberFormat="1" applyFont="1" applyBorder="1" applyAlignment="1">
      <alignment horizontal="left" vertical="top"/>
    </xf>
    <xf numFmtId="14" fontId="3" fillId="0" borderId="4" xfId="0" applyNumberFormat="1" applyFont="1" applyBorder="1" applyAlignment="1">
      <alignment horizontal="left" vertical="top"/>
    </xf>
    <xf numFmtId="14" fontId="3" fillId="0" borderId="6" xfId="0" applyNumberFormat="1" applyFont="1" applyBorder="1" applyAlignment="1">
      <alignment horizontal="left" vertical="top"/>
    </xf>
    <xf numFmtId="14" fontId="13" fillId="0" borderId="1" xfId="0" applyNumberFormat="1" applyFont="1" applyBorder="1" applyAlignment="1">
      <alignment horizontal="left" vertical="top"/>
    </xf>
    <xf numFmtId="14" fontId="13" fillId="0" borderId="4" xfId="0" applyNumberFormat="1" applyFont="1" applyBorder="1" applyAlignment="1">
      <alignment horizontal="left" vertical="top"/>
    </xf>
    <xf numFmtId="14" fontId="13" fillId="0" borderId="6" xfId="0" applyNumberFormat="1" applyFont="1" applyBorder="1" applyAlignment="1">
      <alignment horizontal="left" vertical="top"/>
    </xf>
    <xf numFmtId="0" fontId="2" fillId="0" borderId="1" xfId="0" applyFont="1" applyBorder="1" applyAlignment="1">
      <alignment horizontal="left" vertical="top"/>
    </xf>
    <xf numFmtId="0" fontId="2" fillId="0" borderId="4" xfId="0" applyFont="1" applyBorder="1" applyAlignment="1">
      <alignment horizontal="left" vertical="top"/>
    </xf>
    <xf numFmtId="0" fontId="2" fillId="0" borderId="6" xfId="0" applyFont="1" applyBorder="1" applyAlignment="1">
      <alignment horizontal="left" vertical="top"/>
    </xf>
    <xf numFmtId="0" fontId="3" fillId="0" borderId="4" xfId="0" applyFont="1" applyFill="1" applyBorder="1" applyAlignment="1">
      <alignment vertical="top"/>
    </xf>
    <xf numFmtId="0" fontId="3" fillId="0" borderId="6" xfId="0" applyFont="1" applyFill="1" applyBorder="1" applyAlignment="1">
      <alignment vertical="top"/>
    </xf>
    <xf numFmtId="0" fontId="3" fillId="0" borderId="2" xfId="0" applyFont="1" applyBorder="1" applyAlignment="1">
      <alignment horizontal="left" vertical="top"/>
    </xf>
    <xf numFmtId="0" fontId="2" fillId="0" borderId="1" xfId="0" applyFont="1" applyFill="1" applyBorder="1" applyAlignment="1">
      <alignment horizontal="center" vertical="top"/>
    </xf>
    <xf numFmtId="0" fontId="2" fillId="0" borderId="6" xfId="0" applyFont="1" applyFill="1" applyBorder="1" applyAlignment="1">
      <alignment horizontal="center" vertical="top"/>
    </xf>
    <xf numFmtId="0" fontId="4" fillId="0" borderId="13" xfId="0" applyFont="1" applyFill="1" applyBorder="1" applyAlignment="1">
      <alignment horizontal="left" vertical="top" wrapText="1"/>
    </xf>
    <xf numFmtId="0" fontId="4" fillId="0" borderId="8" xfId="0" applyFont="1" applyFill="1" applyBorder="1" applyAlignment="1">
      <alignment horizontal="left" vertical="top" wrapText="1"/>
    </xf>
    <xf numFmtId="0" fontId="3" fillId="0" borderId="7" xfId="0" applyFont="1" applyFill="1" applyBorder="1" applyAlignment="1">
      <alignment horizontal="left" vertical="top"/>
    </xf>
    <xf numFmtId="0" fontId="3" fillId="0" borderId="13" xfId="0" applyFont="1" applyFill="1" applyBorder="1" applyAlignment="1">
      <alignment horizontal="left" vertical="top"/>
    </xf>
    <xf numFmtId="0" fontId="3" fillId="0" borderId="8" xfId="0" applyFont="1" applyFill="1" applyBorder="1" applyAlignment="1">
      <alignment horizontal="left" vertical="top"/>
    </xf>
    <xf numFmtId="0" fontId="3" fillId="0" borderId="11" xfId="0" applyFont="1" applyFill="1" applyBorder="1" applyAlignment="1">
      <alignment horizontal="left" vertical="top"/>
    </xf>
    <xf numFmtId="0" fontId="3" fillId="0" borderId="3" xfId="0" applyFont="1" applyFill="1" applyBorder="1" applyAlignment="1">
      <alignment horizontal="left" vertical="top"/>
    </xf>
    <xf numFmtId="0" fontId="3" fillId="0" borderId="12" xfId="0" applyFont="1" applyFill="1" applyBorder="1" applyAlignment="1">
      <alignment horizontal="left" vertical="top"/>
    </xf>
    <xf numFmtId="2" fontId="3" fillId="0" borderId="2" xfId="2" applyNumberFormat="1" applyFont="1" applyBorder="1" applyAlignment="1" applyProtection="1">
      <alignment horizontal="left" vertical="top"/>
      <protection locked="0"/>
    </xf>
    <xf numFmtId="0" fontId="2" fillId="0" borderId="1" xfId="0" applyFont="1" applyFill="1" applyBorder="1" applyAlignment="1">
      <alignment horizontal="left" vertical="top"/>
    </xf>
    <xf numFmtId="0" fontId="2" fillId="0" borderId="6" xfId="0" applyFont="1" applyFill="1" applyBorder="1" applyAlignment="1">
      <alignment horizontal="left" vertical="top"/>
    </xf>
    <xf numFmtId="0" fontId="18" fillId="0" borderId="1" xfId="3" applyFill="1" applyBorder="1" applyAlignment="1">
      <alignment horizontal="left" vertical="top"/>
    </xf>
    <xf numFmtId="0" fontId="0" fillId="0" borderId="0" xfId="0" applyAlignment="1">
      <alignment horizontal="center"/>
    </xf>
    <xf numFmtId="0" fontId="2" fillId="0" borderId="4" xfId="0" applyFont="1" applyFill="1" applyBorder="1" applyAlignment="1">
      <alignment horizontal="left" vertical="top"/>
    </xf>
    <xf numFmtId="0" fontId="4" fillId="0" borderId="1" xfId="0" applyFont="1" applyFill="1" applyBorder="1" applyAlignment="1">
      <alignment horizontal="center" vertical="top"/>
    </xf>
    <xf numFmtId="0" fontId="4" fillId="0" borderId="6" xfId="0" applyFont="1" applyFill="1" applyBorder="1" applyAlignment="1">
      <alignment horizontal="center" vertical="top"/>
    </xf>
    <xf numFmtId="0" fontId="2" fillId="0" borderId="7" xfId="0" applyFont="1" applyBorder="1" applyAlignment="1">
      <alignment horizontal="center" vertical="top" wrapText="1"/>
    </xf>
    <xf numFmtId="0" fontId="2" fillId="0" borderId="13" xfId="0" applyFont="1" applyBorder="1" applyAlignment="1">
      <alignment horizontal="center" vertical="top" wrapText="1"/>
    </xf>
    <xf numFmtId="0" fontId="2" fillId="0" borderId="8" xfId="0" applyFont="1" applyBorder="1" applyAlignment="1">
      <alignment horizontal="center" vertical="top" wrapText="1"/>
    </xf>
    <xf numFmtId="0" fontId="2" fillId="0" borderId="9" xfId="0" applyFont="1" applyBorder="1" applyAlignment="1">
      <alignment horizontal="center" vertical="top" wrapText="1"/>
    </xf>
    <xf numFmtId="0" fontId="2" fillId="0" borderId="0" xfId="0" applyFont="1" applyBorder="1" applyAlignment="1">
      <alignment horizontal="center" vertical="top" wrapText="1"/>
    </xf>
    <xf numFmtId="0" fontId="2" fillId="0" borderId="10" xfId="0" applyFont="1" applyBorder="1" applyAlignment="1">
      <alignment horizontal="center" vertical="top" wrapText="1"/>
    </xf>
    <xf numFmtId="0" fontId="2" fillId="0" borderId="11" xfId="0" applyFont="1" applyBorder="1" applyAlignment="1">
      <alignment horizontal="center" vertical="top" wrapText="1"/>
    </xf>
    <xf numFmtId="0" fontId="2" fillId="0" borderId="3" xfId="0" applyFont="1" applyBorder="1" applyAlignment="1">
      <alignment horizontal="center" vertical="top" wrapText="1"/>
    </xf>
    <xf numFmtId="0" fontId="2" fillId="0" borderId="12" xfId="0" applyFont="1" applyBorder="1" applyAlignment="1">
      <alignment horizontal="center" vertical="top" wrapText="1"/>
    </xf>
    <xf numFmtId="0" fontId="4" fillId="0" borderId="1" xfId="0" applyFont="1" applyBorder="1" applyAlignment="1">
      <alignment vertical="top"/>
    </xf>
    <xf numFmtId="0" fontId="4" fillId="0" borderId="4" xfId="0" applyFont="1" applyBorder="1" applyAlignment="1">
      <alignment vertical="top"/>
    </xf>
    <xf numFmtId="0" fontId="4" fillId="0" borderId="6" xfId="0" applyFont="1" applyBorder="1" applyAlignment="1">
      <alignment vertical="top"/>
    </xf>
    <xf numFmtId="0" fontId="7" fillId="0" borderId="1" xfId="1" applyFont="1" applyBorder="1" applyAlignment="1">
      <alignment horizontal="left" vertical="top" wrapText="1"/>
    </xf>
    <xf numFmtId="0" fontId="7" fillId="0" borderId="4" xfId="1" applyFont="1" applyBorder="1" applyAlignment="1">
      <alignment horizontal="left" vertical="top" wrapText="1"/>
    </xf>
    <xf numFmtId="0" fontId="7" fillId="0" borderId="6" xfId="1" applyFont="1" applyBorder="1" applyAlignment="1">
      <alignment horizontal="left" vertical="top" wrapText="1"/>
    </xf>
    <xf numFmtId="0" fontId="8" fillId="0" borderId="1" xfId="0" applyFont="1" applyBorder="1" applyAlignment="1">
      <alignment horizontal="left" vertical="top" wrapText="1"/>
    </xf>
    <xf numFmtId="0" fontId="8" fillId="0" borderId="4" xfId="0" applyFont="1" applyBorder="1" applyAlignment="1">
      <alignment horizontal="left" vertical="top" wrapText="1"/>
    </xf>
    <xf numFmtId="0" fontId="8" fillId="0" borderId="6" xfId="0" applyFont="1" applyBorder="1" applyAlignment="1">
      <alignment horizontal="left" vertical="top" wrapText="1"/>
    </xf>
    <xf numFmtId="1" fontId="14" fillId="0" borderId="2" xfId="0" applyNumberFormat="1" applyFont="1" applyFill="1" applyBorder="1" applyAlignment="1">
      <alignment horizontal="center" vertical="center" wrapText="1"/>
    </xf>
    <xf numFmtId="0" fontId="13" fillId="2" borderId="2" xfId="0" applyFont="1" applyFill="1" applyBorder="1" applyAlignment="1">
      <alignment horizontal="left" vertical="top" wrapText="1"/>
    </xf>
    <xf numFmtId="0" fontId="9" fillId="0" borderId="2" xfId="0" applyFont="1" applyFill="1" applyBorder="1" applyAlignment="1">
      <alignment horizontal="center" vertical="top"/>
    </xf>
    <xf numFmtId="0" fontId="5" fillId="0" borderId="2" xfId="0" applyFont="1" applyFill="1" applyBorder="1" applyAlignment="1">
      <alignment horizontal="center" vertical="top" wrapText="1"/>
    </xf>
    <xf numFmtId="0" fontId="5" fillId="0" borderId="2" xfId="0" applyFont="1" applyFill="1" applyBorder="1" applyAlignment="1">
      <alignment horizontal="center" vertical="top"/>
    </xf>
    <xf numFmtId="1" fontId="9" fillId="0" borderId="2" xfId="0" applyNumberFormat="1" applyFont="1" applyFill="1" applyBorder="1" applyAlignment="1">
      <alignment horizontal="center" vertical="top"/>
    </xf>
    <xf numFmtId="1" fontId="5" fillId="0" borderId="2" xfId="0" applyNumberFormat="1" applyFont="1" applyFill="1" applyBorder="1" applyAlignment="1">
      <alignment horizontal="center" vertical="top"/>
    </xf>
    <xf numFmtId="0" fontId="3" fillId="2" borderId="2" xfId="0" applyFont="1" applyFill="1" applyBorder="1" applyAlignment="1">
      <alignment horizontal="left" vertical="top"/>
    </xf>
    <xf numFmtId="1" fontId="5" fillId="4" borderId="1" xfId="0" applyNumberFormat="1" applyFont="1" applyFill="1" applyBorder="1" applyAlignment="1">
      <alignment horizontal="center" vertical="top" wrapText="1"/>
    </xf>
    <xf numFmtId="1" fontId="5" fillId="4" borderId="4" xfId="0" applyNumberFormat="1" applyFont="1" applyFill="1" applyBorder="1" applyAlignment="1">
      <alignment horizontal="center" vertical="top" wrapText="1"/>
    </xf>
    <xf numFmtId="1" fontId="5" fillId="4" borderId="6" xfId="0" applyNumberFormat="1" applyFont="1" applyFill="1" applyBorder="1" applyAlignment="1">
      <alignment horizontal="center" vertical="top" wrapText="1"/>
    </xf>
    <xf numFmtId="0" fontId="13" fillId="0" borderId="1" xfId="0" applyFont="1" applyBorder="1" applyAlignment="1">
      <alignment horizontal="left" vertical="top"/>
    </xf>
    <xf numFmtId="0" fontId="13" fillId="0" borderId="4" xfId="0" applyFont="1" applyBorder="1" applyAlignment="1">
      <alignment horizontal="left" vertical="top"/>
    </xf>
    <xf numFmtId="0" fontId="13" fillId="0" borderId="6" xfId="0" applyFont="1" applyBorder="1" applyAlignment="1">
      <alignment horizontal="left" vertical="top"/>
    </xf>
    <xf numFmtId="0" fontId="2" fillId="0" borderId="4" xfId="0" applyFont="1" applyFill="1" applyBorder="1" applyAlignment="1">
      <alignment horizontal="center" vertical="top"/>
    </xf>
    <xf numFmtId="1" fontId="5" fillId="0" borderId="1" xfId="0" applyNumberFormat="1" applyFont="1" applyFill="1" applyBorder="1" applyAlignment="1">
      <alignment horizontal="center" vertical="top" wrapText="1"/>
    </xf>
    <xf numFmtId="1" fontId="5" fillId="0" borderId="6" xfId="0" applyNumberFormat="1" applyFont="1" applyFill="1" applyBorder="1" applyAlignment="1">
      <alignment horizontal="center" vertical="top" wrapText="1"/>
    </xf>
    <xf numFmtId="0" fontId="19" fillId="2" borderId="0" xfId="0" applyFont="1" applyFill="1" applyBorder="1" applyAlignment="1">
      <alignment horizontal="left" vertical="top" wrapText="1"/>
    </xf>
    <xf numFmtId="14" fontId="19" fillId="2" borderId="0" xfId="0" applyNumberFormat="1" applyFont="1" applyFill="1" applyBorder="1" applyAlignment="1">
      <alignment horizontal="left" vertical="top"/>
    </xf>
    <xf numFmtId="0" fontId="3" fillId="2" borderId="2" xfId="0" applyFont="1" applyFill="1" applyBorder="1" applyAlignment="1">
      <alignment horizontal="center" vertical="top" wrapText="1"/>
    </xf>
    <xf numFmtId="1" fontId="5" fillId="0" borderId="7" xfId="0" applyNumberFormat="1" applyFont="1" applyFill="1" applyBorder="1" applyAlignment="1">
      <alignment horizontal="center" vertical="center" wrapText="1"/>
    </xf>
    <xf numFmtId="1" fontId="2" fillId="0" borderId="1" xfId="0" applyNumberFormat="1" applyFont="1" applyFill="1" applyBorder="1" applyAlignment="1">
      <alignment horizontal="center" vertical="top" wrapText="1"/>
    </xf>
    <xf numFmtId="1" fontId="2" fillId="0" borderId="6" xfId="0" applyNumberFormat="1" applyFont="1" applyFill="1" applyBorder="1" applyAlignment="1">
      <alignment horizontal="center" vertical="top" wrapText="1"/>
    </xf>
    <xf numFmtId="0" fontId="6" fillId="0" borderId="2" xfId="0" applyFont="1" applyFill="1" applyBorder="1" applyAlignment="1">
      <alignment horizontal="left" vertical="top"/>
    </xf>
    <xf numFmtId="0" fontId="19" fillId="0" borderId="1" xfId="0" applyFont="1" applyBorder="1" applyAlignment="1">
      <alignment horizontal="left" vertical="top"/>
    </xf>
    <xf numFmtId="0" fontId="19" fillId="0" borderId="4" xfId="0" applyFont="1" applyBorder="1" applyAlignment="1">
      <alignment horizontal="left" vertical="top"/>
    </xf>
    <xf numFmtId="0" fontId="19" fillId="0" borderId="6" xfId="0" applyFont="1" applyBorder="1" applyAlignment="1">
      <alignment horizontal="left" vertical="top"/>
    </xf>
    <xf numFmtId="0" fontId="19" fillId="0" borderId="4" xfId="0" applyFont="1" applyFill="1" applyBorder="1" applyAlignment="1">
      <alignment horizontal="center" vertical="top" wrapText="1"/>
    </xf>
    <xf numFmtId="0" fontId="19" fillId="0" borderId="6" xfId="0" applyFont="1" applyFill="1" applyBorder="1" applyAlignment="1">
      <alignment horizontal="center" vertical="top" wrapText="1"/>
    </xf>
    <xf numFmtId="0" fontId="0" fillId="0" borderId="0" xfId="0" applyAlignment="1">
      <alignment horizontal="center" wrapText="1"/>
    </xf>
    <xf numFmtId="0" fontId="0" fillId="0" borderId="0" xfId="0" applyAlignment="1">
      <alignment horizontal="center" vertical="center"/>
    </xf>
    <xf numFmtId="0" fontId="7" fillId="0" borderId="2" xfId="0" applyFont="1" applyFill="1" applyBorder="1" applyAlignment="1">
      <alignment horizontal="left" vertical="top" wrapText="1"/>
    </xf>
  </cellXfs>
  <cellStyles count="4">
    <cellStyle name="Excel Built-in Normal" xfId="1"/>
    <cellStyle name="Hyperlink" xfId="3" builtinId="8"/>
    <cellStyle name="Normal" xfId="0" builtinId="0"/>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7.png"/><Relationship Id="rId26" Type="http://schemas.openxmlformats.org/officeDocument/2006/relationships/image" Target="../media/image25.png"/><Relationship Id="rId3" Type="http://schemas.openxmlformats.org/officeDocument/2006/relationships/image" Target="../media/image3.jpeg"/><Relationship Id="rId21" Type="http://schemas.openxmlformats.org/officeDocument/2006/relationships/image" Target="../media/image20.png"/><Relationship Id="rId7" Type="http://schemas.openxmlformats.org/officeDocument/2006/relationships/image" Target="../media/image7.jpeg"/><Relationship Id="rId12" Type="http://schemas.openxmlformats.org/officeDocument/2006/relationships/image" Target="../media/image12.png"/><Relationship Id="rId17" Type="http://schemas.openxmlformats.org/officeDocument/2006/relationships/image" Target="../media/image16.png"/><Relationship Id="rId25" Type="http://schemas.openxmlformats.org/officeDocument/2006/relationships/image" Target="../media/image24.png"/><Relationship Id="rId2" Type="http://schemas.openxmlformats.org/officeDocument/2006/relationships/image" Target="../media/image2.jpeg"/><Relationship Id="rId16" Type="http://schemas.openxmlformats.org/officeDocument/2006/relationships/image" Target="../media/image15.jpeg"/><Relationship Id="rId20" Type="http://schemas.openxmlformats.org/officeDocument/2006/relationships/image" Target="../media/image19.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png"/><Relationship Id="rId24" Type="http://schemas.openxmlformats.org/officeDocument/2006/relationships/image" Target="../media/image23.png"/><Relationship Id="rId5" Type="http://schemas.openxmlformats.org/officeDocument/2006/relationships/image" Target="../media/image5.jpeg"/><Relationship Id="rId15" Type="http://schemas.openxmlformats.org/officeDocument/2006/relationships/image" Target="../media/image14.png"/><Relationship Id="rId23" Type="http://schemas.openxmlformats.org/officeDocument/2006/relationships/image" Target="../media/image22.png"/><Relationship Id="rId10" Type="http://schemas.openxmlformats.org/officeDocument/2006/relationships/image" Target="../media/image10.png"/><Relationship Id="rId19" Type="http://schemas.openxmlformats.org/officeDocument/2006/relationships/image" Target="../media/image18.png"/><Relationship Id="rId4" Type="http://schemas.openxmlformats.org/officeDocument/2006/relationships/image" Target="../media/image4.jpeg"/><Relationship Id="rId9" Type="http://schemas.openxmlformats.org/officeDocument/2006/relationships/image" Target="../media/image9.png"/><Relationship Id="rId14" Type="http://schemas.microsoft.com/office/2007/relationships/hdphoto" Target="../media/hdphoto1.wdp"/><Relationship Id="rId22" Type="http://schemas.openxmlformats.org/officeDocument/2006/relationships/image" Target="../media/image21.png"/><Relationship Id="rId27" Type="http://schemas.openxmlformats.org/officeDocument/2006/relationships/image" Target="../media/image26.png"/></Relationships>
</file>

<file path=xl/drawings/_rels/drawing2.xml.rels><?xml version="1.0" encoding="UTF-8" standalone="yes"?>
<Relationships xmlns="http://schemas.openxmlformats.org/package/2006/relationships"><Relationship Id="rId1" Type="http://schemas.openxmlformats.org/officeDocument/2006/relationships/image" Target="../media/image29.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1.png"/><Relationship Id="rId1" Type="http://schemas.openxmlformats.org/officeDocument/2006/relationships/image" Target="../media/image30.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8.png"/><Relationship Id="rId1" Type="http://schemas.openxmlformats.org/officeDocument/2006/relationships/image" Target="../media/image27.png"/></Relationships>
</file>

<file path=xl/drawings/drawing1.xml><?xml version="1.0" encoding="utf-8"?>
<xdr:wsDr xmlns:xdr="http://schemas.openxmlformats.org/drawingml/2006/spreadsheetDrawing" xmlns:a="http://schemas.openxmlformats.org/drawingml/2006/main">
  <xdr:twoCellAnchor editAs="oneCell">
    <xdr:from>
      <xdr:col>1</xdr:col>
      <xdr:colOff>612534</xdr:colOff>
      <xdr:row>359</xdr:row>
      <xdr:rowOff>77880</xdr:rowOff>
    </xdr:from>
    <xdr:to>
      <xdr:col>8</xdr:col>
      <xdr:colOff>174444</xdr:colOff>
      <xdr:row>374</xdr:row>
      <xdr:rowOff>54429</xdr:rowOff>
    </xdr:to>
    <xdr:pic>
      <xdr:nvPicPr>
        <xdr:cNvPr id="1321" name="Picture 7">
          <a:extLst>
            <a:ext uri="{FF2B5EF4-FFF2-40B4-BE49-F238E27FC236}">
              <a16:creationId xmlns:a16="http://schemas.microsoft.com/office/drawing/2014/main" id="{00000000-0008-0000-0000-000029050000}"/>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1197641" y="75257344"/>
          <a:ext cx="4188339" cy="2834049"/>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oneCellAnchor>
    <xdr:from>
      <xdr:col>12</xdr:col>
      <xdr:colOff>327242</xdr:colOff>
      <xdr:row>226</xdr:row>
      <xdr:rowOff>0</xdr:rowOff>
    </xdr:from>
    <xdr:ext cx="799065" cy="342786"/>
    <xdr:sp macro="" textlink="">
      <xdr:nvSpPr>
        <xdr:cNvPr id="14" name="TextBox 13">
          <a:extLst>
            <a:ext uri="{FF2B5EF4-FFF2-40B4-BE49-F238E27FC236}">
              <a16:creationId xmlns:a16="http://schemas.microsoft.com/office/drawing/2014/main" id="{00000000-0008-0000-0000-00000E000000}"/>
            </a:ext>
          </a:extLst>
        </xdr:cNvPr>
        <xdr:cNvSpPr txBox="1"/>
      </xdr:nvSpPr>
      <xdr:spPr>
        <a:xfrm>
          <a:off x="9699842" y="35566350"/>
          <a:ext cx="799065" cy="342786"/>
        </a:xfrm>
        <a:prstGeom prst="rect">
          <a:avLst/>
        </a:prstGeom>
        <a:solidFill>
          <a:schemeClr val="accent6">
            <a:lumMod val="40000"/>
            <a:lumOff val="6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600" b="1"/>
            <a:t>Wing</a:t>
          </a:r>
          <a:r>
            <a:rPr lang="en-IN" sz="1600" b="1" baseline="0"/>
            <a:t> B</a:t>
          </a:r>
          <a:endParaRPr lang="en-IN" sz="1600" b="1"/>
        </a:p>
      </xdr:txBody>
    </xdr:sp>
    <xdr:clientData/>
  </xdr:oneCellAnchor>
  <xdr:twoCellAnchor editAs="oneCell">
    <xdr:from>
      <xdr:col>12</xdr:col>
      <xdr:colOff>548872</xdr:colOff>
      <xdr:row>260</xdr:row>
      <xdr:rowOff>135542</xdr:rowOff>
    </xdr:from>
    <xdr:to>
      <xdr:col>16</xdr:col>
      <xdr:colOff>348396</xdr:colOff>
      <xdr:row>270</xdr:row>
      <xdr:rowOff>87692</xdr:rowOff>
    </xdr:to>
    <xdr:pic>
      <xdr:nvPicPr>
        <xdr:cNvPr id="25" name="Picture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9518937" y="56142542"/>
          <a:ext cx="2251176" cy="1857150"/>
        </a:xfrm>
        <a:prstGeom prst="rect">
          <a:avLst/>
        </a:prstGeom>
        <a:ln>
          <a:solidFill>
            <a:schemeClr val="tx1"/>
          </a:solidFill>
        </a:ln>
      </xdr:spPr>
    </xdr:pic>
    <xdr:clientData/>
  </xdr:twoCellAnchor>
  <xdr:twoCellAnchor editAs="oneCell">
    <xdr:from>
      <xdr:col>10</xdr:col>
      <xdr:colOff>888502</xdr:colOff>
      <xdr:row>226</xdr:row>
      <xdr:rowOff>27056</xdr:rowOff>
    </xdr:from>
    <xdr:to>
      <xdr:col>14</xdr:col>
      <xdr:colOff>439109</xdr:colOff>
      <xdr:row>247</xdr:row>
      <xdr:rowOff>126256</xdr:rowOff>
    </xdr:to>
    <xdr:pic>
      <xdr:nvPicPr>
        <xdr:cNvPr id="27" name="Picture 26">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7796198" y="49557056"/>
          <a:ext cx="2838802" cy="4099700"/>
        </a:xfrm>
        <a:prstGeom prst="rect">
          <a:avLst/>
        </a:prstGeom>
        <a:ln>
          <a:solidFill>
            <a:schemeClr val="tx1"/>
          </a:solidFill>
        </a:ln>
      </xdr:spPr>
    </xdr:pic>
    <xdr:clientData/>
  </xdr:twoCellAnchor>
  <xdr:twoCellAnchor editAs="oneCell">
    <xdr:from>
      <xdr:col>14</xdr:col>
      <xdr:colOff>592314</xdr:colOff>
      <xdr:row>226</xdr:row>
      <xdr:rowOff>27056</xdr:rowOff>
    </xdr:from>
    <xdr:to>
      <xdr:col>19</xdr:col>
      <xdr:colOff>363790</xdr:colOff>
      <xdr:row>247</xdr:row>
      <xdr:rowOff>126256</xdr:rowOff>
    </xdr:to>
    <xdr:pic>
      <xdr:nvPicPr>
        <xdr:cNvPr id="28" name="Picture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10788205" y="49557056"/>
          <a:ext cx="2836042" cy="4099700"/>
        </a:xfrm>
        <a:prstGeom prst="rect">
          <a:avLst/>
        </a:prstGeom>
        <a:ln>
          <a:solidFill>
            <a:schemeClr val="tx1"/>
          </a:solidFill>
        </a:ln>
      </xdr:spPr>
    </xdr:pic>
    <xdr:clientData/>
  </xdr:twoCellAnchor>
  <xdr:twoCellAnchor editAs="oneCell">
    <xdr:from>
      <xdr:col>12</xdr:col>
      <xdr:colOff>401922</xdr:colOff>
      <xdr:row>248</xdr:row>
      <xdr:rowOff>57374</xdr:rowOff>
    </xdr:from>
    <xdr:to>
      <xdr:col>15</xdr:col>
      <xdr:colOff>98670</xdr:colOff>
      <xdr:row>260</xdr:row>
      <xdr:rowOff>7574</xdr:rowOff>
    </xdr:to>
    <xdr:pic>
      <xdr:nvPicPr>
        <xdr:cNvPr id="29" name="Picture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9371987" y="53778374"/>
          <a:ext cx="1535487" cy="2236200"/>
        </a:xfrm>
        <a:prstGeom prst="rect">
          <a:avLst/>
        </a:prstGeom>
        <a:ln>
          <a:solidFill>
            <a:schemeClr val="tx1"/>
          </a:solidFill>
        </a:ln>
      </xdr:spPr>
    </xdr:pic>
    <xdr:clientData/>
  </xdr:twoCellAnchor>
  <xdr:twoCellAnchor editAs="oneCell">
    <xdr:from>
      <xdr:col>10</xdr:col>
      <xdr:colOff>783258</xdr:colOff>
      <xdr:row>248</xdr:row>
      <xdr:rowOff>57374</xdr:rowOff>
    </xdr:from>
    <xdr:to>
      <xdr:col>12</xdr:col>
      <xdr:colOff>264106</xdr:colOff>
      <xdr:row>260</xdr:row>
      <xdr:rowOff>7574</xdr:rowOff>
    </xdr:to>
    <xdr:pic>
      <xdr:nvPicPr>
        <xdr:cNvPr id="30" name="Picture 29">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7690954" y="53778374"/>
          <a:ext cx="1543217" cy="2236200"/>
        </a:xfrm>
        <a:prstGeom prst="rect">
          <a:avLst/>
        </a:prstGeom>
        <a:ln>
          <a:solidFill>
            <a:schemeClr val="tx1"/>
          </a:solidFill>
        </a:ln>
      </xdr:spPr>
    </xdr:pic>
    <xdr:clientData/>
  </xdr:twoCellAnchor>
  <xdr:twoCellAnchor editAs="oneCell">
    <xdr:from>
      <xdr:col>15</xdr:col>
      <xdr:colOff>236486</xdr:colOff>
      <xdr:row>248</xdr:row>
      <xdr:rowOff>57374</xdr:rowOff>
    </xdr:from>
    <xdr:to>
      <xdr:col>19</xdr:col>
      <xdr:colOff>531301</xdr:colOff>
      <xdr:row>260</xdr:row>
      <xdr:rowOff>7574</xdr:rowOff>
    </xdr:to>
    <xdr:pic>
      <xdr:nvPicPr>
        <xdr:cNvPr id="31" name="Picture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11045290" y="53778374"/>
          <a:ext cx="2746468" cy="2236200"/>
        </a:xfrm>
        <a:prstGeom prst="rect">
          <a:avLst/>
        </a:prstGeom>
        <a:ln>
          <a:solidFill>
            <a:schemeClr val="tx1"/>
          </a:solidFill>
        </a:ln>
      </xdr:spPr>
    </xdr:pic>
    <xdr:clientData/>
  </xdr:twoCellAnchor>
  <xdr:oneCellAnchor>
    <xdr:from>
      <xdr:col>12</xdr:col>
      <xdr:colOff>368354</xdr:colOff>
      <xdr:row>227</xdr:row>
      <xdr:rowOff>84206</xdr:rowOff>
    </xdr:from>
    <xdr:ext cx="799065" cy="342786"/>
    <xdr:sp macro="" textlink="">
      <xdr:nvSpPr>
        <xdr:cNvPr id="32" name="TextBox 31">
          <a:extLst>
            <a:ext uri="{FF2B5EF4-FFF2-40B4-BE49-F238E27FC236}">
              <a16:creationId xmlns:a16="http://schemas.microsoft.com/office/drawing/2014/main" id="{00000000-0008-0000-0000-000020000000}"/>
            </a:ext>
          </a:extLst>
        </xdr:cNvPr>
        <xdr:cNvSpPr txBox="1"/>
      </xdr:nvSpPr>
      <xdr:spPr>
        <a:xfrm>
          <a:off x="9338419" y="49804706"/>
          <a:ext cx="799065" cy="342786"/>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lang="en-IN" sz="1600" b="1"/>
            <a:t>Wing</a:t>
          </a:r>
          <a:r>
            <a:rPr lang="en-IN" sz="1600" b="1" baseline="0"/>
            <a:t> A</a:t>
          </a:r>
          <a:endParaRPr lang="en-IN" sz="1600" b="1"/>
        </a:p>
      </xdr:txBody>
    </xdr:sp>
    <xdr:clientData/>
  </xdr:oneCellAnchor>
  <xdr:oneCellAnchor>
    <xdr:from>
      <xdr:col>15</xdr:col>
      <xdr:colOff>68301</xdr:colOff>
      <xdr:row>227</xdr:row>
      <xdr:rowOff>14356</xdr:rowOff>
    </xdr:from>
    <xdr:ext cx="799065" cy="342786"/>
    <xdr:sp macro="" textlink="">
      <xdr:nvSpPr>
        <xdr:cNvPr id="33" name="TextBox 32">
          <a:extLst>
            <a:ext uri="{FF2B5EF4-FFF2-40B4-BE49-F238E27FC236}">
              <a16:creationId xmlns:a16="http://schemas.microsoft.com/office/drawing/2014/main" id="{00000000-0008-0000-0000-000021000000}"/>
            </a:ext>
          </a:extLst>
        </xdr:cNvPr>
        <xdr:cNvSpPr txBox="1"/>
      </xdr:nvSpPr>
      <xdr:spPr>
        <a:xfrm>
          <a:off x="10877105" y="49734856"/>
          <a:ext cx="799065" cy="342786"/>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lang="en-IN" sz="1600" b="1"/>
            <a:t>Wing</a:t>
          </a:r>
          <a:r>
            <a:rPr lang="en-IN" sz="1600" b="1" baseline="0"/>
            <a:t> B</a:t>
          </a:r>
          <a:endParaRPr lang="en-IN" sz="1600" b="1"/>
        </a:p>
      </xdr:txBody>
    </xdr:sp>
    <xdr:clientData/>
  </xdr:oneCellAnchor>
  <xdr:twoCellAnchor>
    <xdr:from>
      <xdr:col>13</xdr:col>
      <xdr:colOff>26780</xdr:colOff>
      <xdr:row>229</xdr:row>
      <xdr:rowOff>58692</xdr:rowOff>
    </xdr:from>
    <xdr:to>
      <xdr:col>13</xdr:col>
      <xdr:colOff>106107</xdr:colOff>
      <xdr:row>231</xdr:row>
      <xdr:rowOff>115956</xdr:rowOff>
    </xdr:to>
    <xdr:cxnSp macro="">
      <xdr:nvCxnSpPr>
        <xdr:cNvPr id="3" name="Straight Arrow Connector 2">
          <a:extLst>
            <a:ext uri="{FF2B5EF4-FFF2-40B4-BE49-F238E27FC236}">
              <a16:creationId xmlns:a16="http://schemas.microsoft.com/office/drawing/2014/main" id="{00000000-0008-0000-0000-000003000000}"/>
            </a:ext>
          </a:extLst>
        </xdr:cNvPr>
        <xdr:cNvCxnSpPr>
          <a:stCxn id="32" idx="2"/>
        </xdr:cNvCxnSpPr>
      </xdr:nvCxnSpPr>
      <xdr:spPr>
        <a:xfrm flipH="1">
          <a:off x="9609758" y="50160192"/>
          <a:ext cx="79327" cy="43826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11</xdr:col>
      <xdr:colOff>257175</xdr:colOff>
      <xdr:row>139</xdr:row>
      <xdr:rowOff>152400</xdr:rowOff>
    </xdr:from>
    <xdr:to>
      <xdr:col>19</xdr:col>
      <xdr:colOff>208946</xdr:colOff>
      <xdr:row>157</xdr:row>
      <xdr:rowOff>190044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8"/>
        <a:stretch>
          <a:fillRect/>
        </a:stretch>
      </xdr:blipFill>
      <xdr:spPr>
        <a:xfrm>
          <a:off x="8620125" y="29013150"/>
          <a:ext cx="4828571" cy="3638094"/>
        </a:xfrm>
        <a:prstGeom prst="rect">
          <a:avLst/>
        </a:prstGeom>
        <a:ln>
          <a:solidFill>
            <a:schemeClr val="tx1"/>
          </a:solidFill>
        </a:ln>
      </xdr:spPr>
    </xdr:pic>
    <xdr:clientData/>
  </xdr:twoCellAnchor>
  <xdr:twoCellAnchor editAs="oneCell">
    <xdr:from>
      <xdr:col>10</xdr:col>
      <xdr:colOff>954984</xdr:colOff>
      <xdr:row>32</xdr:row>
      <xdr:rowOff>114300</xdr:rowOff>
    </xdr:from>
    <xdr:to>
      <xdr:col>19</xdr:col>
      <xdr:colOff>27071</xdr:colOff>
      <xdr:row>46</xdr:row>
      <xdr:rowOff>26801</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9"/>
        <a:stretch>
          <a:fillRect/>
        </a:stretch>
      </xdr:blipFill>
      <xdr:spPr>
        <a:xfrm>
          <a:off x="7870134" y="7219950"/>
          <a:ext cx="5396687" cy="3274826"/>
        </a:xfrm>
        <a:prstGeom prst="rect">
          <a:avLst/>
        </a:prstGeom>
        <a:ln>
          <a:solidFill>
            <a:schemeClr val="tx1"/>
          </a:solidFill>
        </a:ln>
      </xdr:spPr>
    </xdr:pic>
    <xdr:clientData/>
  </xdr:twoCellAnchor>
  <xdr:twoCellAnchor editAs="oneCell">
    <xdr:from>
      <xdr:col>10</xdr:col>
      <xdr:colOff>656398</xdr:colOff>
      <xdr:row>37</xdr:row>
      <xdr:rowOff>31060</xdr:rowOff>
    </xdr:from>
    <xdr:to>
      <xdr:col>14</xdr:col>
      <xdr:colOff>260542</xdr:colOff>
      <xdr:row>45</xdr:row>
      <xdr:rowOff>4750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0"/>
        <a:stretch>
          <a:fillRect/>
        </a:stretch>
      </xdr:blipFill>
      <xdr:spPr>
        <a:xfrm>
          <a:off x="7571548" y="8108260"/>
          <a:ext cx="2880744" cy="1754865"/>
        </a:xfrm>
        <a:prstGeom prst="rect">
          <a:avLst/>
        </a:prstGeom>
        <a:ln>
          <a:solidFill>
            <a:schemeClr val="tx1"/>
          </a:solidFill>
        </a:ln>
      </xdr:spPr>
    </xdr:pic>
    <xdr:clientData/>
  </xdr:twoCellAnchor>
  <xdr:twoCellAnchor>
    <xdr:from>
      <xdr:col>1</xdr:col>
      <xdr:colOff>273917</xdr:colOff>
      <xdr:row>375</xdr:row>
      <xdr:rowOff>1</xdr:rowOff>
    </xdr:from>
    <xdr:to>
      <xdr:col>8</xdr:col>
      <xdr:colOff>449036</xdr:colOff>
      <xdr:row>396</xdr:row>
      <xdr:rowOff>116581</xdr:rowOff>
    </xdr:to>
    <xdr:grpSp>
      <xdr:nvGrpSpPr>
        <xdr:cNvPr id="8" name="Group 7">
          <a:extLst>
            <a:ext uri="{FF2B5EF4-FFF2-40B4-BE49-F238E27FC236}">
              <a16:creationId xmlns:a16="http://schemas.microsoft.com/office/drawing/2014/main" id="{00000000-0008-0000-0000-000008000000}"/>
            </a:ext>
          </a:extLst>
        </xdr:cNvPr>
        <xdr:cNvGrpSpPr/>
      </xdr:nvGrpSpPr>
      <xdr:grpSpPr>
        <a:xfrm>
          <a:off x="883517" y="75418951"/>
          <a:ext cx="5020169" cy="3983730"/>
          <a:chOff x="894521" y="68961000"/>
          <a:chExt cx="4659857" cy="3757379"/>
        </a:xfrm>
      </xdr:grpSpPr>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894521" y="68961000"/>
            <a:ext cx="4659857" cy="3757379"/>
          </a:xfrm>
          <a:prstGeom prst="rect">
            <a:avLst/>
          </a:prstGeom>
          <a:ln>
            <a:solidFill>
              <a:sysClr val="windowText" lastClr="000000"/>
            </a:solidFill>
          </a:ln>
        </xdr:spPr>
      </xdr:pic>
      <xdr:sp macro="" textlink="">
        <xdr:nvSpPr>
          <xdr:cNvPr id="7" name="Rectangle 6">
            <a:extLst>
              <a:ext uri="{FF2B5EF4-FFF2-40B4-BE49-F238E27FC236}">
                <a16:creationId xmlns:a16="http://schemas.microsoft.com/office/drawing/2014/main" id="{00000000-0008-0000-0000-000007000000}"/>
              </a:ext>
            </a:extLst>
          </xdr:cNvPr>
          <xdr:cNvSpPr/>
        </xdr:nvSpPr>
        <xdr:spPr>
          <a:xfrm>
            <a:off x="2824370" y="70087436"/>
            <a:ext cx="621195" cy="1043608"/>
          </a:xfrm>
          <a:prstGeom prst="rect">
            <a:avLst/>
          </a:prstGeom>
          <a:no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twoCellAnchor>
    <xdr:from>
      <xdr:col>1</xdr:col>
      <xdr:colOff>541683</xdr:colOff>
      <xdr:row>276</xdr:row>
      <xdr:rowOff>122466</xdr:rowOff>
    </xdr:from>
    <xdr:to>
      <xdr:col>9</xdr:col>
      <xdr:colOff>340178</xdr:colOff>
      <xdr:row>306</xdr:row>
      <xdr:rowOff>37806</xdr:rowOff>
    </xdr:to>
    <xdr:grpSp>
      <xdr:nvGrpSpPr>
        <xdr:cNvPr id="43" name="Group 42">
          <a:extLst>
            <a:ext uri="{FF2B5EF4-FFF2-40B4-BE49-F238E27FC236}">
              <a16:creationId xmlns:a16="http://schemas.microsoft.com/office/drawing/2014/main" id="{00000000-0008-0000-0000-000013000000}"/>
            </a:ext>
          </a:extLst>
        </xdr:cNvPr>
        <xdr:cNvGrpSpPr/>
      </xdr:nvGrpSpPr>
      <xdr:grpSpPr>
        <a:xfrm>
          <a:off x="1151283" y="57266116"/>
          <a:ext cx="5424595" cy="5439840"/>
          <a:chOff x="1466850" y="2290762"/>
          <a:chExt cx="3924300" cy="4562475"/>
        </a:xfrm>
      </xdr:grpSpPr>
      <xdr:pic>
        <xdr:nvPicPr>
          <xdr:cNvPr id="44" name="Picture 43">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12"/>
          <a:stretch>
            <a:fillRect/>
          </a:stretch>
        </xdr:blipFill>
        <xdr:spPr>
          <a:xfrm>
            <a:off x="1466850" y="2290762"/>
            <a:ext cx="3924300" cy="4562475"/>
          </a:xfrm>
          <a:prstGeom prst="rect">
            <a:avLst/>
          </a:prstGeom>
          <a:ln>
            <a:solidFill>
              <a:schemeClr val="tx1"/>
            </a:solidFill>
          </a:ln>
        </xdr:spPr>
      </xdr:pic>
      <xdr:sp macro="" textlink="">
        <xdr:nvSpPr>
          <xdr:cNvPr id="45" name="Rectangle 44">
            <a:extLst>
              <a:ext uri="{FF2B5EF4-FFF2-40B4-BE49-F238E27FC236}">
                <a16:creationId xmlns:a16="http://schemas.microsoft.com/office/drawing/2014/main" id="{00000000-0008-0000-0000-000015000000}"/>
              </a:ext>
            </a:extLst>
          </xdr:cNvPr>
          <xdr:cNvSpPr/>
        </xdr:nvSpPr>
        <xdr:spPr>
          <a:xfrm>
            <a:off x="2545666" y="2975903"/>
            <a:ext cx="1287194" cy="1131277"/>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46" name="Rectangle 45">
            <a:extLst>
              <a:ext uri="{FF2B5EF4-FFF2-40B4-BE49-F238E27FC236}">
                <a16:creationId xmlns:a16="http://schemas.microsoft.com/office/drawing/2014/main" id="{00000000-0008-0000-0000-000016000000}"/>
              </a:ext>
            </a:extLst>
          </xdr:cNvPr>
          <xdr:cNvSpPr/>
        </xdr:nvSpPr>
        <xdr:spPr>
          <a:xfrm>
            <a:off x="2545666" y="4107180"/>
            <a:ext cx="1546274" cy="163830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47" name="TextBox 4">
            <a:extLst>
              <a:ext uri="{FF2B5EF4-FFF2-40B4-BE49-F238E27FC236}">
                <a16:creationId xmlns:a16="http://schemas.microsoft.com/office/drawing/2014/main" id="{00000000-0008-0000-0000-000017000000}"/>
              </a:ext>
            </a:extLst>
          </xdr:cNvPr>
          <xdr:cNvSpPr txBox="1"/>
        </xdr:nvSpPr>
        <xdr:spPr>
          <a:xfrm>
            <a:off x="2843589" y="2960034"/>
            <a:ext cx="906011" cy="297994"/>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600" b="1"/>
              <a:t>Wing A</a:t>
            </a:r>
          </a:p>
        </xdr:txBody>
      </xdr:sp>
      <xdr:sp macro="" textlink="">
        <xdr:nvSpPr>
          <xdr:cNvPr id="48" name="TextBox 7">
            <a:extLst>
              <a:ext uri="{FF2B5EF4-FFF2-40B4-BE49-F238E27FC236}">
                <a16:creationId xmlns:a16="http://schemas.microsoft.com/office/drawing/2014/main" id="{00000000-0008-0000-0000-000018000000}"/>
              </a:ext>
            </a:extLst>
          </xdr:cNvPr>
          <xdr:cNvSpPr txBox="1"/>
        </xdr:nvSpPr>
        <xdr:spPr>
          <a:xfrm>
            <a:off x="2931808" y="5431840"/>
            <a:ext cx="796950" cy="297994"/>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600" b="1"/>
              <a:t>Wing B</a:t>
            </a:r>
          </a:p>
        </xdr:txBody>
      </xdr:sp>
      <xdr:sp macro="" textlink="">
        <xdr:nvSpPr>
          <xdr:cNvPr id="49" name="Arrow: Right 25">
            <a:extLst>
              <a:ext uri="{FF2B5EF4-FFF2-40B4-BE49-F238E27FC236}">
                <a16:creationId xmlns:a16="http://schemas.microsoft.com/office/drawing/2014/main" id="{00000000-0008-0000-0000-00001A000000}"/>
              </a:ext>
            </a:extLst>
          </xdr:cNvPr>
          <xdr:cNvSpPr/>
        </xdr:nvSpPr>
        <xdr:spPr>
          <a:xfrm rot="16200000">
            <a:off x="5029786" y="5116536"/>
            <a:ext cx="281940" cy="247944"/>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50" name="TextBox 8">
            <a:extLst>
              <a:ext uri="{FF2B5EF4-FFF2-40B4-BE49-F238E27FC236}">
                <a16:creationId xmlns:a16="http://schemas.microsoft.com/office/drawing/2014/main" id="{00000000-0008-0000-0000-000022000000}"/>
              </a:ext>
            </a:extLst>
          </xdr:cNvPr>
          <xdr:cNvSpPr txBox="1"/>
        </xdr:nvSpPr>
        <xdr:spPr>
          <a:xfrm>
            <a:off x="5004380" y="5376148"/>
            <a:ext cx="333746"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t>N</a:t>
            </a:r>
          </a:p>
        </xdr:txBody>
      </xdr:sp>
    </xdr:grpSp>
    <xdr:clientData/>
  </xdr:twoCellAnchor>
  <xdr:twoCellAnchor editAs="oneCell">
    <xdr:from>
      <xdr:col>21</xdr:col>
      <xdr:colOff>136072</xdr:colOff>
      <xdr:row>314</xdr:row>
      <xdr:rowOff>13607</xdr:rowOff>
    </xdr:from>
    <xdr:to>
      <xdr:col>27</xdr:col>
      <xdr:colOff>544285</xdr:colOff>
      <xdr:row>336</xdr:row>
      <xdr:rowOff>72796</xdr:rowOff>
    </xdr:to>
    <xdr:pic>
      <xdr:nvPicPr>
        <xdr:cNvPr id="10" name="Picture 9"/>
        <xdr:cNvPicPr>
          <a:picLocks noChangeAspect="1"/>
        </xdr:cNvPicPr>
      </xdr:nvPicPr>
      <xdr:blipFill>
        <a:blip xmlns:r="http://schemas.openxmlformats.org/officeDocument/2006/relationships" r:embed="rId13">
          <a:extLst>
            <a:ext uri="{BEBA8EAE-BF5A-486C-A8C5-ECC9F3942E4B}">
              <a14:imgProps xmlns:a14="http://schemas.microsoft.com/office/drawing/2010/main">
                <a14:imgLayer r:embed="rId14">
                  <a14:imgEffect>
                    <a14:sharpenSoften amount="25000"/>
                  </a14:imgEffect>
                </a14:imgLayer>
              </a14:imgProps>
            </a:ext>
          </a:extLst>
        </a:blip>
        <a:stretch>
          <a:fillRect/>
        </a:stretch>
      </xdr:blipFill>
      <xdr:spPr>
        <a:xfrm>
          <a:off x="14627679" y="66157928"/>
          <a:ext cx="4082142" cy="4250189"/>
        </a:xfrm>
        <a:prstGeom prst="rect">
          <a:avLst/>
        </a:prstGeom>
        <a:ln>
          <a:solidFill>
            <a:sysClr val="windowText" lastClr="000000"/>
          </a:solidFill>
        </a:ln>
      </xdr:spPr>
    </xdr:pic>
    <xdr:clientData/>
  </xdr:twoCellAnchor>
  <xdr:twoCellAnchor>
    <xdr:from>
      <xdr:col>1</xdr:col>
      <xdr:colOff>128067</xdr:colOff>
      <xdr:row>312</xdr:row>
      <xdr:rowOff>29740</xdr:rowOff>
    </xdr:from>
    <xdr:to>
      <xdr:col>9</xdr:col>
      <xdr:colOff>228729</xdr:colOff>
      <xdr:row>334</xdr:row>
      <xdr:rowOff>89647</xdr:rowOff>
    </xdr:to>
    <xdr:grpSp>
      <xdr:nvGrpSpPr>
        <xdr:cNvPr id="71" name="Group 70"/>
        <xdr:cNvGrpSpPr/>
      </xdr:nvGrpSpPr>
      <xdr:grpSpPr>
        <a:xfrm>
          <a:off x="737667" y="63802790"/>
          <a:ext cx="5726762" cy="4111207"/>
          <a:chOff x="1181421" y="65886711"/>
          <a:chExt cx="5479485" cy="4250907"/>
        </a:xfrm>
      </xdr:grpSpPr>
      <xdr:grpSp>
        <xdr:nvGrpSpPr>
          <xdr:cNvPr id="13" name="Group 12"/>
          <xdr:cNvGrpSpPr/>
        </xdr:nvGrpSpPr>
        <xdr:grpSpPr>
          <a:xfrm>
            <a:off x="1181421" y="65886711"/>
            <a:ext cx="5479485" cy="4250907"/>
            <a:chOff x="701292" y="64594155"/>
            <a:chExt cx="4943579" cy="3523791"/>
          </a:xfrm>
        </xdr:grpSpPr>
        <xdr:pic>
          <xdr:nvPicPr>
            <xdr:cNvPr id="11" name="Picture 10"/>
            <xdr:cNvPicPr>
              <a:picLocks noChangeAspect="1"/>
            </xdr:cNvPicPr>
          </xdr:nvPicPr>
          <xdr:blipFill>
            <a:blip xmlns:r="http://schemas.openxmlformats.org/officeDocument/2006/relationships" r:embed="rId15"/>
            <a:stretch>
              <a:fillRect/>
            </a:stretch>
          </xdr:blipFill>
          <xdr:spPr>
            <a:xfrm>
              <a:off x="701292" y="64603575"/>
              <a:ext cx="4943579" cy="3514257"/>
            </a:xfrm>
            <a:prstGeom prst="rect">
              <a:avLst/>
            </a:prstGeom>
            <a:ln>
              <a:solidFill>
                <a:sysClr val="windowText" lastClr="000000"/>
              </a:solidFill>
            </a:ln>
          </xdr:spPr>
        </xdr:pic>
        <xdr:sp macro="" textlink="">
          <xdr:nvSpPr>
            <xdr:cNvPr id="12" name="TextBox 11"/>
            <xdr:cNvSpPr txBox="1"/>
          </xdr:nvSpPr>
          <xdr:spPr>
            <a:xfrm>
              <a:off x="3150577" y="65759135"/>
              <a:ext cx="527539" cy="3297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solidFill>
                    <a:srgbClr val="FF0000"/>
                  </a:solidFill>
                  <a:latin typeface="Times New Roman" panose="02020603050405020304" pitchFamily="18" charset="0"/>
                  <a:cs typeface="Times New Roman" panose="02020603050405020304" pitchFamily="18" charset="0"/>
                </a:rPr>
                <a:t>1</a:t>
              </a:r>
            </a:p>
          </xdr:txBody>
        </xdr:sp>
        <xdr:sp macro="" textlink="">
          <xdr:nvSpPr>
            <xdr:cNvPr id="52" name="TextBox 51"/>
            <xdr:cNvSpPr txBox="1"/>
          </xdr:nvSpPr>
          <xdr:spPr>
            <a:xfrm>
              <a:off x="2806212" y="66220732"/>
              <a:ext cx="527539" cy="2124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solidFill>
                    <a:srgbClr val="FF0000"/>
                  </a:solidFill>
                  <a:latin typeface="Times New Roman" panose="02020603050405020304" pitchFamily="18" charset="0"/>
                  <a:cs typeface="Times New Roman" panose="02020603050405020304" pitchFamily="18" charset="0"/>
                </a:rPr>
                <a:t>2</a:t>
              </a:r>
            </a:p>
          </xdr:txBody>
        </xdr:sp>
        <xdr:sp macro="" textlink="">
          <xdr:nvSpPr>
            <xdr:cNvPr id="53" name="TextBox 52"/>
            <xdr:cNvSpPr txBox="1"/>
          </xdr:nvSpPr>
          <xdr:spPr>
            <a:xfrm>
              <a:off x="1509347" y="66572424"/>
              <a:ext cx="527539" cy="2124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solidFill>
                    <a:srgbClr val="FF0000"/>
                  </a:solidFill>
                  <a:latin typeface="Times New Roman" panose="02020603050405020304" pitchFamily="18" charset="0"/>
                  <a:cs typeface="Times New Roman" panose="02020603050405020304" pitchFamily="18" charset="0"/>
                </a:rPr>
                <a:t>3</a:t>
              </a:r>
            </a:p>
          </xdr:txBody>
        </xdr:sp>
        <xdr:sp macro="" textlink="">
          <xdr:nvSpPr>
            <xdr:cNvPr id="55" name="TextBox 54"/>
            <xdr:cNvSpPr txBox="1"/>
          </xdr:nvSpPr>
          <xdr:spPr>
            <a:xfrm>
              <a:off x="1619250" y="66088847"/>
              <a:ext cx="527539" cy="2124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solidFill>
                    <a:srgbClr val="FF0000"/>
                  </a:solidFill>
                  <a:latin typeface="Times New Roman" panose="02020603050405020304" pitchFamily="18" charset="0"/>
                  <a:cs typeface="Times New Roman" panose="02020603050405020304" pitchFamily="18" charset="0"/>
                </a:rPr>
                <a:t>4</a:t>
              </a:r>
            </a:p>
          </xdr:txBody>
        </xdr:sp>
        <xdr:sp macro="" textlink="">
          <xdr:nvSpPr>
            <xdr:cNvPr id="56" name="TextBox 55"/>
            <xdr:cNvSpPr txBox="1"/>
          </xdr:nvSpPr>
          <xdr:spPr>
            <a:xfrm>
              <a:off x="1831732" y="64608809"/>
              <a:ext cx="527539" cy="2124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solidFill>
                    <a:srgbClr val="FF0000"/>
                  </a:solidFill>
                  <a:latin typeface="Times New Roman" panose="02020603050405020304" pitchFamily="18" charset="0"/>
                  <a:cs typeface="Times New Roman" panose="02020603050405020304" pitchFamily="18" charset="0"/>
                </a:rPr>
                <a:t>5</a:t>
              </a:r>
            </a:p>
          </xdr:txBody>
        </xdr:sp>
        <xdr:sp macro="" textlink="">
          <xdr:nvSpPr>
            <xdr:cNvPr id="58" name="TextBox 57"/>
            <xdr:cNvSpPr txBox="1"/>
          </xdr:nvSpPr>
          <xdr:spPr>
            <a:xfrm>
              <a:off x="2659674" y="64594155"/>
              <a:ext cx="527539" cy="2124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solidFill>
                    <a:srgbClr val="FF0000"/>
                  </a:solidFill>
                  <a:latin typeface="Times New Roman" panose="02020603050405020304" pitchFamily="18" charset="0"/>
                  <a:cs typeface="Times New Roman" panose="02020603050405020304" pitchFamily="18" charset="0"/>
                </a:rPr>
                <a:t>6</a:t>
              </a:r>
            </a:p>
          </xdr:txBody>
        </xdr:sp>
        <xdr:sp macro="" textlink="">
          <xdr:nvSpPr>
            <xdr:cNvPr id="61" name="TextBox 60"/>
            <xdr:cNvSpPr txBox="1"/>
          </xdr:nvSpPr>
          <xdr:spPr>
            <a:xfrm>
              <a:off x="1043760" y="67905466"/>
              <a:ext cx="2369256" cy="2124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000" b="1" baseline="0">
                  <a:solidFill>
                    <a:srgbClr val="FF0000"/>
                  </a:solidFill>
                  <a:latin typeface="Times New Roman" panose="02020603050405020304" pitchFamily="18" charset="0"/>
                  <a:cs typeface="Times New Roman" panose="02020603050405020304" pitchFamily="18" charset="0"/>
                </a:rPr>
                <a:t>EP Area </a:t>
              </a:r>
              <a:r>
                <a:rPr lang="en-IN" sz="1000" b="1">
                  <a:solidFill>
                    <a:srgbClr val="FF0000"/>
                  </a:solidFill>
                  <a:effectLst/>
                  <a:latin typeface="Times New Roman" panose="02020603050405020304" pitchFamily="18" charset="0"/>
                  <a:ea typeface="+mn-ea"/>
                  <a:cs typeface="Times New Roman" panose="02020603050405020304" pitchFamily="18" charset="0"/>
                </a:rPr>
                <a:t>Not</a:t>
              </a:r>
              <a:r>
                <a:rPr lang="en-IN" sz="1000" b="1" baseline="0">
                  <a:solidFill>
                    <a:srgbClr val="FF0000"/>
                  </a:solidFill>
                  <a:effectLst/>
                  <a:latin typeface="Times New Roman" panose="02020603050405020304" pitchFamily="18" charset="0"/>
                  <a:ea typeface="+mn-ea"/>
                  <a:cs typeface="Times New Roman" panose="02020603050405020304" pitchFamily="18" charset="0"/>
                </a:rPr>
                <a:t> Mentioned </a:t>
              </a:r>
              <a:endParaRPr lang="en-IN" sz="1000" b="1">
                <a:solidFill>
                  <a:srgbClr val="FF0000"/>
                </a:solidFill>
                <a:latin typeface="Times New Roman" panose="02020603050405020304" pitchFamily="18" charset="0"/>
                <a:cs typeface="Times New Roman" panose="02020603050405020304" pitchFamily="18" charset="0"/>
              </a:endParaRPr>
            </a:p>
          </xdr:txBody>
        </xdr:sp>
        <xdr:sp macro="" textlink="">
          <xdr:nvSpPr>
            <xdr:cNvPr id="63" name="TextBox 62"/>
            <xdr:cNvSpPr txBox="1"/>
          </xdr:nvSpPr>
          <xdr:spPr>
            <a:xfrm>
              <a:off x="2200785" y="67274844"/>
              <a:ext cx="2369256" cy="3600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N" sz="1000" b="1" baseline="0">
                  <a:solidFill>
                    <a:srgbClr val="FF0000"/>
                  </a:solidFill>
                  <a:latin typeface="Times New Roman" panose="02020603050405020304" pitchFamily="18" charset="0"/>
                  <a:cs typeface="Times New Roman" panose="02020603050405020304" pitchFamily="18" charset="0"/>
                </a:rPr>
                <a:t>Terrace Area  @ 1st Floor &amp; </a:t>
              </a:r>
              <a:r>
                <a:rPr lang="en-IN" sz="1000" b="1" baseline="0">
                  <a:solidFill>
                    <a:srgbClr val="FF0000"/>
                  </a:solidFill>
                  <a:effectLst/>
                  <a:latin typeface="Times New Roman" panose="02020603050405020304" pitchFamily="18" charset="0"/>
                  <a:ea typeface="+mn-ea"/>
                  <a:cs typeface="Times New Roman" panose="02020603050405020304" pitchFamily="18" charset="0"/>
                </a:rPr>
                <a:t>EP </a:t>
              </a:r>
              <a:r>
                <a:rPr lang="en-IN" sz="1000" b="1">
                  <a:solidFill>
                    <a:srgbClr val="FF0000"/>
                  </a:solidFill>
                  <a:effectLst/>
                  <a:latin typeface="Times New Roman" panose="02020603050405020304" pitchFamily="18" charset="0"/>
                  <a:ea typeface="+mn-ea"/>
                  <a:cs typeface="Times New Roman" panose="02020603050405020304" pitchFamily="18" charset="0"/>
                </a:rPr>
                <a:t>Not</a:t>
              </a:r>
              <a:r>
                <a:rPr lang="en-IN" sz="1000" b="1" baseline="0">
                  <a:solidFill>
                    <a:srgbClr val="FF0000"/>
                  </a:solidFill>
                  <a:effectLst/>
                  <a:latin typeface="Times New Roman" panose="02020603050405020304" pitchFamily="18" charset="0"/>
                  <a:ea typeface="+mn-ea"/>
                  <a:cs typeface="Times New Roman" panose="02020603050405020304" pitchFamily="18" charset="0"/>
                </a:rPr>
                <a:t> Mentioned </a:t>
              </a:r>
              <a:endParaRPr lang="en-IN" sz="1000" b="1">
                <a:solidFill>
                  <a:srgbClr val="FF0000"/>
                </a:solidFill>
                <a:latin typeface="Times New Roman" panose="02020603050405020304" pitchFamily="18" charset="0"/>
                <a:cs typeface="Times New Roman" panose="02020603050405020304" pitchFamily="18" charset="0"/>
              </a:endParaRPr>
            </a:p>
          </xdr:txBody>
        </xdr:sp>
        <xdr:sp macro="" textlink="">
          <xdr:nvSpPr>
            <xdr:cNvPr id="64" name="TextBox 63"/>
            <xdr:cNvSpPr txBox="1"/>
          </xdr:nvSpPr>
          <xdr:spPr>
            <a:xfrm>
              <a:off x="3574752" y="67802115"/>
              <a:ext cx="1813210" cy="197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000" b="1" baseline="0">
                  <a:solidFill>
                    <a:schemeClr val="tx1"/>
                  </a:solidFill>
                  <a:latin typeface="Times New Roman" panose="02020603050405020304" pitchFamily="18" charset="0"/>
                  <a:cs typeface="Times New Roman" panose="02020603050405020304" pitchFamily="18" charset="0"/>
                </a:rPr>
                <a:t>Typical 1st to 7th Floor Plan</a:t>
              </a:r>
              <a:endParaRPr lang="en-IN" sz="1000" b="1">
                <a:solidFill>
                  <a:schemeClr val="tx1"/>
                </a:solidFill>
                <a:latin typeface="Times New Roman" panose="02020603050405020304" pitchFamily="18" charset="0"/>
                <a:cs typeface="Times New Roman" panose="02020603050405020304" pitchFamily="18" charset="0"/>
              </a:endParaRPr>
            </a:p>
          </xdr:txBody>
        </xdr:sp>
      </xdr:grpSp>
      <xdr:sp macro="" textlink="">
        <xdr:nvSpPr>
          <xdr:cNvPr id="15" name="Rectangle 14"/>
          <xdr:cNvSpPr/>
        </xdr:nvSpPr>
        <xdr:spPr>
          <a:xfrm>
            <a:off x="1754070" y="69410528"/>
            <a:ext cx="1178019" cy="359578"/>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62" name="Rectangle 61"/>
          <xdr:cNvSpPr/>
        </xdr:nvSpPr>
        <xdr:spPr>
          <a:xfrm>
            <a:off x="2950007" y="68695923"/>
            <a:ext cx="994463" cy="419427"/>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twoCellAnchor>
    <xdr:from>
      <xdr:col>2</xdr:col>
      <xdr:colOff>270729</xdr:colOff>
      <xdr:row>335</xdr:row>
      <xdr:rowOff>33618</xdr:rowOff>
    </xdr:from>
    <xdr:to>
      <xdr:col>7</xdr:col>
      <xdr:colOff>235324</xdr:colOff>
      <xdr:row>357</xdr:row>
      <xdr:rowOff>67236</xdr:rowOff>
    </xdr:to>
    <xdr:grpSp>
      <xdr:nvGrpSpPr>
        <xdr:cNvPr id="70" name="Group 69"/>
        <xdr:cNvGrpSpPr/>
      </xdr:nvGrpSpPr>
      <xdr:grpSpPr>
        <a:xfrm>
          <a:off x="1820129" y="68042118"/>
          <a:ext cx="3184045" cy="4129368"/>
          <a:chOff x="1850758" y="69498882"/>
          <a:chExt cx="2904723" cy="3852387"/>
        </a:xfrm>
      </xdr:grpSpPr>
      <xdr:pic>
        <xdr:nvPicPr>
          <xdr:cNvPr id="51" name="Picture 50" descr="https://vsjcllp.vsjadon.com/upload/insp-219023-843.jpg"/>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1850758" y="69498882"/>
            <a:ext cx="2904723" cy="3852387"/>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grpSp>
        <xdr:nvGrpSpPr>
          <xdr:cNvPr id="69" name="Group 68"/>
          <xdr:cNvGrpSpPr/>
        </xdr:nvGrpSpPr>
        <xdr:grpSpPr>
          <a:xfrm>
            <a:off x="1984416" y="69835622"/>
            <a:ext cx="2464025" cy="3069850"/>
            <a:chOff x="1979544" y="69306022"/>
            <a:chExt cx="2462076" cy="3094829"/>
          </a:xfrm>
        </xdr:grpSpPr>
        <xdr:sp macro="" textlink="">
          <xdr:nvSpPr>
            <xdr:cNvPr id="67" name="TextBox 66"/>
            <xdr:cNvSpPr txBox="1"/>
          </xdr:nvSpPr>
          <xdr:spPr>
            <a:xfrm>
              <a:off x="2035868" y="69306022"/>
              <a:ext cx="2364339" cy="2124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000" b="1" baseline="0">
                  <a:solidFill>
                    <a:srgbClr val="FF0000"/>
                  </a:solidFill>
                  <a:latin typeface="Times New Roman" panose="02020603050405020304" pitchFamily="18" charset="0"/>
                  <a:cs typeface="Times New Roman" panose="02020603050405020304" pitchFamily="18" charset="0"/>
                </a:rPr>
                <a:t>Constructed EP Area</a:t>
              </a:r>
              <a:endParaRPr lang="en-IN" sz="1000" b="1">
                <a:solidFill>
                  <a:srgbClr val="FF0000"/>
                </a:solidFill>
                <a:latin typeface="Times New Roman" panose="02020603050405020304" pitchFamily="18" charset="0"/>
                <a:cs typeface="Times New Roman" panose="02020603050405020304" pitchFamily="18" charset="0"/>
              </a:endParaRPr>
            </a:p>
          </xdr:txBody>
        </xdr:sp>
        <xdr:sp macro="" textlink="">
          <xdr:nvSpPr>
            <xdr:cNvPr id="16" name="Freeform 15"/>
            <xdr:cNvSpPr/>
          </xdr:nvSpPr>
          <xdr:spPr>
            <a:xfrm>
              <a:off x="1979544" y="69491087"/>
              <a:ext cx="1374914" cy="2708413"/>
            </a:xfrm>
            <a:custGeom>
              <a:avLst/>
              <a:gdLst>
                <a:gd name="connsiteX0" fmla="*/ 546653 w 1308653"/>
                <a:gd name="connsiteY0" fmla="*/ 2261152 h 2286000"/>
                <a:gd name="connsiteX1" fmla="*/ 0 w 1308653"/>
                <a:gd name="connsiteY1" fmla="*/ 2286000 h 2286000"/>
                <a:gd name="connsiteX2" fmla="*/ 356153 w 1308653"/>
                <a:gd name="connsiteY2" fmla="*/ 74543 h 2286000"/>
                <a:gd name="connsiteX3" fmla="*/ 1308653 w 1308653"/>
                <a:gd name="connsiteY3" fmla="*/ 0 h 2286000"/>
                <a:gd name="connsiteX4" fmla="*/ 1151283 w 1308653"/>
                <a:gd name="connsiteY4" fmla="*/ 1847022 h 2286000"/>
                <a:gd name="connsiteX5" fmla="*/ 571500 w 1308653"/>
                <a:gd name="connsiteY5" fmla="*/ 1830457 h 2286000"/>
                <a:gd name="connsiteX6" fmla="*/ 546653 w 1308653"/>
                <a:gd name="connsiteY6" fmla="*/ 2261152 h 22860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308653" h="2286000">
                  <a:moveTo>
                    <a:pt x="546653" y="2261152"/>
                  </a:moveTo>
                  <a:lnTo>
                    <a:pt x="0" y="2286000"/>
                  </a:lnTo>
                  <a:lnTo>
                    <a:pt x="356153" y="74543"/>
                  </a:lnTo>
                  <a:lnTo>
                    <a:pt x="1308653" y="0"/>
                  </a:lnTo>
                  <a:lnTo>
                    <a:pt x="1151283" y="1847022"/>
                  </a:lnTo>
                  <a:lnTo>
                    <a:pt x="571500" y="1830457"/>
                  </a:lnTo>
                  <a:lnTo>
                    <a:pt x="546653" y="2261152"/>
                  </a:lnTo>
                  <a:close/>
                </a:path>
              </a:pathLst>
            </a:cu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17" name="Rectangle 16"/>
            <xdr:cNvSpPr/>
          </xdr:nvSpPr>
          <xdr:spPr>
            <a:xfrm>
              <a:off x="2617304" y="71694260"/>
              <a:ext cx="695739" cy="480392"/>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68" name="TextBox 67"/>
            <xdr:cNvSpPr txBox="1"/>
          </xdr:nvSpPr>
          <xdr:spPr>
            <a:xfrm>
              <a:off x="2077281" y="72188371"/>
              <a:ext cx="2364339" cy="2124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000" b="1" baseline="0">
                  <a:solidFill>
                    <a:srgbClr val="FF0000"/>
                  </a:solidFill>
                  <a:latin typeface="Times New Roman" panose="02020603050405020304" pitchFamily="18" charset="0"/>
                  <a:cs typeface="Times New Roman" panose="02020603050405020304" pitchFamily="18" charset="0"/>
                </a:rPr>
                <a:t>Constructed  Terrace Area</a:t>
              </a:r>
              <a:endParaRPr lang="en-IN" sz="1000" b="1">
                <a:solidFill>
                  <a:srgbClr val="FF0000"/>
                </a:solidFill>
                <a:latin typeface="Times New Roman" panose="02020603050405020304" pitchFamily="18" charset="0"/>
                <a:cs typeface="Times New Roman" panose="02020603050405020304" pitchFamily="18" charset="0"/>
              </a:endParaRPr>
            </a:p>
          </xdr:txBody>
        </xdr:sp>
      </xdr:grpSp>
    </xdr:grpSp>
    <xdr:clientData/>
  </xdr:twoCellAnchor>
  <xdr:twoCellAnchor editAs="oneCell">
    <xdr:from>
      <xdr:col>10</xdr:col>
      <xdr:colOff>351598</xdr:colOff>
      <xdr:row>42</xdr:row>
      <xdr:rowOff>50110</xdr:rowOff>
    </xdr:from>
    <xdr:to>
      <xdr:col>18</xdr:col>
      <xdr:colOff>84217</xdr:colOff>
      <xdr:row>45</xdr:row>
      <xdr:rowOff>535721</xdr:rowOff>
    </xdr:to>
    <xdr:pic>
      <xdr:nvPicPr>
        <xdr:cNvPr id="18" name="Picture 17"/>
        <xdr:cNvPicPr>
          <a:picLocks noChangeAspect="1"/>
        </xdr:cNvPicPr>
      </xdr:nvPicPr>
      <xdr:blipFill>
        <a:blip xmlns:r="http://schemas.openxmlformats.org/officeDocument/2006/relationships" r:embed="rId17"/>
        <a:stretch>
          <a:fillRect/>
        </a:stretch>
      </xdr:blipFill>
      <xdr:spPr>
        <a:xfrm>
          <a:off x="7266748" y="9079810"/>
          <a:ext cx="5447619" cy="1314286"/>
        </a:xfrm>
        <a:prstGeom prst="rect">
          <a:avLst/>
        </a:prstGeom>
      </xdr:spPr>
    </xdr:pic>
    <xdr:clientData/>
  </xdr:twoCellAnchor>
  <xdr:twoCellAnchor>
    <xdr:from>
      <xdr:col>0</xdr:col>
      <xdr:colOff>311150</xdr:colOff>
      <xdr:row>228</xdr:row>
      <xdr:rowOff>114300</xdr:rowOff>
    </xdr:from>
    <xdr:to>
      <xdr:col>9</xdr:col>
      <xdr:colOff>600820</xdr:colOff>
      <xdr:row>270</xdr:row>
      <xdr:rowOff>104416</xdr:rowOff>
    </xdr:to>
    <xdr:grpSp>
      <xdr:nvGrpSpPr>
        <xdr:cNvPr id="9" name="Group 8"/>
        <xdr:cNvGrpSpPr/>
      </xdr:nvGrpSpPr>
      <xdr:grpSpPr>
        <a:xfrm>
          <a:off x="311150" y="48418750"/>
          <a:ext cx="6525370" cy="7724416"/>
          <a:chOff x="311150" y="48418750"/>
          <a:chExt cx="6525370" cy="7724416"/>
        </a:xfrm>
      </xdr:grpSpPr>
      <xdr:pic>
        <xdr:nvPicPr>
          <xdr:cNvPr id="57" name="Picture 56"/>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5299123" y="54091166"/>
            <a:ext cx="1537397" cy="2052000"/>
          </a:xfrm>
          <a:prstGeom prst="rect">
            <a:avLst/>
          </a:prstGeom>
          <a:ln>
            <a:solidFill>
              <a:schemeClr val="tx1"/>
            </a:solidFill>
          </a:ln>
        </xdr:spPr>
      </xdr:pic>
      <xdr:pic>
        <xdr:nvPicPr>
          <xdr:cNvPr id="74" name="Picture 73"/>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tretch>
            <a:fillRect/>
          </a:stretch>
        </xdr:blipFill>
        <xdr:spPr>
          <a:xfrm>
            <a:off x="4736553" y="48418750"/>
            <a:ext cx="2049863" cy="2736000"/>
          </a:xfrm>
          <a:prstGeom prst="rect">
            <a:avLst/>
          </a:prstGeom>
          <a:ln>
            <a:solidFill>
              <a:schemeClr val="tx1"/>
            </a:solidFill>
          </a:ln>
        </xdr:spPr>
      </xdr:pic>
      <xdr:pic>
        <xdr:nvPicPr>
          <xdr:cNvPr id="75" name="Picture 74"/>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a:ext>
            </a:extLst>
          </a:blip>
          <a:stretch>
            <a:fillRect/>
          </a:stretch>
        </xdr:blipFill>
        <xdr:spPr>
          <a:xfrm>
            <a:off x="2542640" y="51254958"/>
            <a:ext cx="2049863" cy="2736000"/>
          </a:xfrm>
          <a:prstGeom prst="rect">
            <a:avLst/>
          </a:prstGeom>
          <a:ln>
            <a:solidFill>
              <a:schemeClr val="tx1"/>
            </a:solidFill>
          </a:ln>
        </xdr:spPr>
      </xdr:pic>
      <xdr:pic>
        <xdr:nvPicPr>
          <xdr:cNvPr id="76" name="Picture 75"/>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a:ext>
            </a:extLst>
          </a:blip>
          <a:stretch>
            <a:fillRect/>
          </a:stretch>
        </xdr:blipFill>
        <xdr:spPr>
          <a:xfrm>
            <a:off x="348728" y="51254958"/>
            <a:ext cx="2049863" cy="2736000"/>
          </a:xfrm>
          <a:prstGeom prst="rect">
            <a:avLst/>
          </a:prstGeom>
          <a:ln>
            <a:solidFill>
              <a:schemeClr val="tx1"/>
            </a:solidFill>
          </a:ln>
        </xdr:spPr>
      </xdr:pic>
      <xdr:pic>
        <xdr:nvPicPr>
          <xdr:cNvPr id="77" name="Picture 76"/>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a:ext>
            </a:extLst>
          </a:blip>
          <a:stretch>
            <a:fillRect/>
          </a:stretch>
        </xdr:blipFill>
        <xdr:spPr>
          <a:xfrm>
            <a:off x="2542641" y="48418750"/>
            <a:ext cx="2049863" cy="2736000"/>
          </a:xfrm>
          <a:prstGeom prst="rect">
            <a:avLst/>
          </a:prstGeom>
          <a:ln>
            <a:solidFill>
              <a:schemeClr val="tx1"/>
            </a:solidFill>
          </a:ln>
        </xdr:spPr>
      </xdr:pic>
      <xdr:pic>
        <xdr:nvPicPr>
          <xdr:cNvPr id="78" name="Picture 77"/>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a:ext>
            </a:extLst>
          </a:blip>
          <a:stretch>
            <a:fillRect/>
          </a:stretch>
        </xdr:blipFill>
        <xdr:spPr>
          <a:xfrm>
            <a:off x="311150" y="54091166"/>
            <a:ext cx="1537397" cy="2052000"/>
          </a:xfrm>
          <a:prstGeom prst="rect">
            <a:avLst/>
          </a:prstGeom>
          <a:ln>
            <a:solidFill>
              <a:schemeClr val="tx1"/>
            </a:solidFill>
          </a:ln>
        </xdr:spPr>
      </xdr:pic>
      <xdr:pic>
        <xdr:nvPicPr>
          <xdr:cNvPr id="79" name="Picture 78"/>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a:ext>
            </a:extLst>
          </a:blip>
          <a:stretch>
            <a:fillRect/>
          </a:stretch>
        </xdr:blipFill>
        <xdr:spPr>
          <a:xfrm>
            <a:off x="4736553" y="51254958"/>
            <a:ext cx="2049863" cy="2736000"/>
          </a:xfrm>
          <a:prstGeom prst="rect">
            <a:avLst/>
          </a:prstGeom>
          <a:ln>
            <a:solidFill>
              <a:schemeClr val="tx1"/>
            </a:solidFill>
          </a:ln>
        </xdr:spPr>
      </xdr:pic>
      <xdr:pic>
        <xdr:nvPicPr>
          <xdr:cNvPr id="80" name="Picture 79"/>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a:ext>
            </a:extLst>
          </a:blip>
          <a:stretch>
            <a:fillRect/>
          </a:stretch>
        </xdr:blipFill>
        <xdr:spPr>
          <a:xfrm>
            <a:off x="3628738" y="54091166"/>
            <a:ext cx="1543811" cy="2052000"/>
          </a:xfrm>
          <a:prstGeom prst="rect">
            <a:avLst/>
          </a:prstGeom>
          <a:ln>
            <a:solidFill>
              <a:schemeClr val="tx1"/>
            </a:solidFill>
          </a:ln>
        </xdr:spPr>
      </xdr:pic>
      <xdr:pic>
        <xdr:nvPicPr>
          <xdr:cNvPr id="81" name="Picture 80"/>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a:ext>
            </a:extLst>
          </a:blip>
          <a:stretch>
            <a:fillRect/>
          </a:stretch>
        </xdr:blipFill>
        <xdr:spPr>
          <a:xfrm>
            <a:off x="348729" y="48418750"/>
            <a:ext cx="2049863" cy="2736000"/>
          </a:xfrm>
          <a:prstGeom prst="rect">
            <a:avLst/>
          </a:prstGeom>
          <a:ln>
            <a:solidFill>
              <a:schemeClr val="tx1"/>
            </a:solidFill>
          </a:ln>
        </xdr:spPr>
      </xdr:pic>
      <xdr:pic>
        <xdr:nvPicPr>
          <xdr:cNvPr id="82" name="Picture 81"/>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a:ext>
            </a:extLst>
          </a:blip>
          <a:stretch>
            <a:fillRect/>
          </a:stretch>
        </xdr:blipFill>
        <xdr:spPr>
          <a:xfrm>
            <a:off x="1969944" y="54091166"/>
            <a:ext cx="1537397" cy="2052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0</xdr:colOff>
      <xdr:row>12</xdr:row>
      <xdr:rowOff>0</xdr:rowOff>
    </xdr:from>
    <xdr:to>
      <xdr:col>11</xdr:col>
      <xdr:colOff>400050</xdr:colOff>
      <xdr:row>21</xdr:row>
      <xdr:rowOff>66675</xdr:rowOff>
    </xdr:to>
    <xdr:pic>
      <xdr:nvPicPr>
        <xdr:cNvPr id="4111" name="Picture 1">
          <a:extLst>
            <a:ext uri="{FF2B5EF4-FFF2-40B4-BE49-F238E27FC236}">
              <a16:creationId xmlns:a16="http://schemas.microsoft.com/office/drawing/2014/main" id="{00000000-0008-0000-0100-00000F1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57850" y="2286000"/>
          <a:ext cx="1619250" cy="21621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11</xdr:row>
      <xdr:rowOff>0</xdr:rowOff>
    </xdr:from>
    <xdr:to>
      <xdr:col>21</xdr:col>
      <xdr:colOff>209550</xdr:colOff>
      <xdr:row>49</xdr:row>
      <xdr:rowOff>76200</xdr:rowOff>
    </xdr:to>
    <xdr:pic>
      <xdr:nvPicPr>
        <xdr:cNvPr id="2170" name="Picture 1">
          <a:extLst>
            <a:ext uri="{FF2B5EF4-FFF2-40B4-BE49-F238E27FC236}">
              <a16:creationId xmlns:a16="http://schemas.microsoft.com/office/drawing/2014/main" id="{00000000-0008-0000-0300-00007A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52650"/>
          <a:ext cx="13011150" cy="7315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50</xdr:row>
      <xdr:rowOff>0</xdr:rowOff>
    </xdr:from>
    <xdr:to>
      <xdr:col>22</xdr:col>
      <xdr:colOff>209550</xdr:colOff>
      <xdr:row>88</xdr:row>
      <xdr:rowOff>76200</xdr:rowOff>
    </xdr:to>
    <xdr:pic>
      <xdr:nvPicPr>
        <xdr:cNvPr id="2171" name="Picture 3">
          <a:extLst>
            <a:ext uri="{FF2B5EF4-FFF2-40B4-BE49-F238E27FC236}">
              <a16:creationId xmlns:a16="http://schemas.microsoft.com/office/drawing/2014/main" id="{00000000-0008-0000-0300-00007B0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9600" y="9582150"/>
          <a:ext cx="13011150" cy="7315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vEdw4fqxgX1CD1mA7"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59"/>
  <sheetViews>
    <sheetView tabSelected="1" showWhiteSpace="0" view="pageBreakPreview" zoomScaleNormal="100" zoomScaleSheetLayoutView="100" zoomScalePageLayoutView="85" workbookViewId="0">
      <selection activeCell="F9" sqref="F9:J9"/>
    </sheetView>
  </sheetViews>
  <sheetFormatPr defaultRowHeight="14.5" x14ac:dyDescent="0.35"/>
  <cols>
    <col min="1" max="1" width="8.7265625" customWidth="1"/>
    <col min="2" max="2" width="13.453125" customWidth="1"/>
    <col min="3" max="3" width="14.453125" customWidth="1"/>
    <col min="4" max="4" width="7.26953125" customWidth="1"/>
    <col min="5" max="5" width="5.54296875" customWidth="1"/>
    <col min="6" max="6" width="9" customWidth="1"/>
    <col min="7" max="8" width="9.81640625" customWidth="1"/>
    <col min="9" max="9" width="11.1796875" customWidth="1"/>
    <col min="10" max="10" width="14.453125" customWidth="1"/>
    <col min="11" max="11" width="21.7265625" customWidth="1"/>
  </cols>
  <sheetData>
    <row r="1" spans="1:15" ht="45" customHeight="1" x14ac:dyDescent="0.35">
      <c r="A1" s="122" t="s">
        <v>189</v>
      </c>
      <c r="B1" s="123"/>
      <c r="C1" s="123"/>
      <c r="D1" s="123"/>
      <c r="E1" s="123"/>
      <c r="F1" s="123"/>
      <c r="G1" s="123"/>
      <c r="H1" s="123"/>
      <c r="I1" s="123"/>
      <c r="J1" s="124"/>
    </row>
    <row r="2" spans="1:15" x14ac:dyDescent="0.35">
      <c r="A2" s="169" t="s">
        <v>43</v>
      </c>
      <c r="B2" s="170"/>
      <c r="C2" s="170"/>
      <c r="D2" s="170"/>
      <c r="E2" s="170"/>
      <c r="F2" s="170"/>
      <c r="G2" s="170"/>
      <c r="H2" s="170"/>
      <c r="I2" s="170"/>
      <c r="J2" s="171"/>
    </row>
    <row r="3" spans="1:15" x14ac:dyDescent="0.35">
      <c r="A3" s="140" t="s">
        <v>0</v>
      </c>
      <c r="B3" s="141"/>
      <c r="C3" s="141"/>
      <c r="D3" s="141"/>
      <c r="E3" s="142"/>
      <c r="F3" s="172" t="str">
        <f ca="1">TEXT(TODAY(),"DD/MM/YYYY")</f>
        <v>19/08/2025</v>
      </c>
      <c r="G3" s="173"/>
      <c r="H3" s="173"/>
      <c r="I3" s="173"/>
      <c r="J3" s="174"/>
    </row>
    <row r="4" spans="1:15" x14ac:dyDescent="0.35">
      <c r="A4" s="140" t="s">
        <v>1</v>
      </c>
      <c r="B4" s="141"/>
      <c r="C4" s="141"/>
      <c r="D4" s="141"/>
      <c r="E4" s="142"/>
      <c r="F4" s="160" t="s">
        <v>112</v>
      </c>
      <c r="G4" s="161"/>
      <c r="H4" s="161"/>
      <c r="I4" s="161"/>
      <c r="J4" s="162"/>
    </row>
    <row r="5" spans="1:15" x14ac:dyDescent="0.35">
      <c r="A5" s="140" t="s">
        <v>2</v>
      </c>
      <c r="B5" s="141"/>
      <c r="C5" s="141"/>
      <c r="D5" s="141"/>
      <c r="E5" s="142"/>
      <c r="F5" s="175">
        <v>45880</v>
      </c>
      <c r="G5" s="176"/>
      <c r="H5" s="176"/>
      <c r="I5" s="176"/>
      <c r="J5" s="177"/>
    </row>
    <row r="6" spans="1:15" x14ac:dyDescent="0.35">
      <c r="A6" s="140" t="s">
        <v>3</v>
      </c>
      <c r="B6" s="141"/>
      <c r="C6" s="141"/>
      <c r="D6" s="141"/>
      <c r="E6" s="142"/>
      <c r="F6" s="52" t="s">
        <v>219</v>
      </c>
      <c r="G6" s="53"/>
      <c r="H6" s="53"/>
      <c r="I6" s="53"/>
      <c r="J6" s="54"/>
      <c r="K6" s="52" t="s">
        <v>219</v>
      </c>
      <c r="L6" s="53"/>
      <c r="M6" s="53"/>
      <c r="N6" s="53"/>
      <c r="O6" s="54"/>
    </row>
    <row r="7" spans="1:15" ht="15" customHeight="1" x14ac:dyDescent="0.35">
      <c r="A7" s="140" t="s">
        <v>4</v>
      </c>
      <c r="B7" s="141"/>
      <c r="C7" s="141"/>
      <c r="D7" s="141"/>
      <c r="E7" s="142"/>
      <c r="F7" s="52" t="s">
        <v>220</v>
      </c>
      <c r="G7" s="53"/>
      <c r="H7" s="53"/>
      <c r="I7" s="53"/>
      <c r="J7" s="54"/>
    </row>
    <row r="8" spans="1:15" x14ac:dyDescent="0.35">
      <c r="A8" s="140" t="s">
        <v>5</v>
      </c>
      <c r="B8" s="141"/>
      <c r="C8" s="141"/>
      <c r="D8" s="141"/>
      <c r="E8" s="142"/>
      <c r="F8" s="178" t="s">
        <v>85</v>
      </c>
      <c r="G8" s="179"/>
      <c r="H8" s="179"/>
      <c r="I8" s="179"/>
      <c r="J8" s="180"/>
    </row>
    <row r="9" spans="1:15" x14ac:dyDescent="0.35">
      <c r="A9" s="160" t="s">
        <v>194</v>
      </c>
      <c r="B9" s="141"/>
      <c r="C9" s="141"/>
      <c r="D9" s="141"/>
      <c r="E9" s="142"/>
      <c r="F9" s="160" t="s">
        <v>238</v>
      </c>
      <c r="G9" s="161"/>
      <c r="H9" s="161"/>
      <c r="I9" s="161"/>
      <c r="J9" s="162"/>
    </row>
    <row r="10" spans="1:15" x14ac:dyDescent="0.35">
      <c r="A10" s="160" t="s">
        <v>193</v>
      </c>
      <c r="B10" s="141"/>
      <c r="C10" s="141"/>
      <c r="D10" s="141"/>
      <c r="E10" s="142"/>
      <c r="F10" s="231" t="s">
        <v>247</v>
      </c>
      <c r="G10" s="232"/>
      <c r="H10" s="232"/>
      <c r="I10" s="232"/>
      <c r="J10" s="233"/>
      <c r="K10" s="244" t="s">
        <v>196</v>
      </c>
      <c r="L10" s="245"/>
      <c r="M10" s="245"/>
      <c r="N10" s="245"/>
      <c r="O10" s="246"/>
    </row>
    <row r="11" spans="1:15" x14ac:dyDescent="0.35">
      <c r="A11" s="160" t="s">
        <v>78</v>
      </c>
      <c r="B11" s="161"/>
      <c r="C11" s="161"/>
      <c r="D11" s="161"/>
      <c r="E11" s="162"/>
      <c r="F11" s="160" t="s">
        <v>221</v>
      </c>
      <c r="G11" s="161"/>
      <c r="H11" s="161"/>
      <c r="I11" s="161"/>
      <c r="J11" s="162"/>
    </row>
    <row r="12" spans="1:15" ht="30.75" customHeight="1" x14ac:dyDescent="0.35">
      <c r="A12" s="140" t="s">
        <v>6</v>
      </c>
      <c r="B12" s="141"/>
      <c r="C12" s="141"/>
      <c r="D12" s="141"/>
      <c r="E12" s="142"/>
      <c r="F12" s="52" t="s">
        <v>140</v>
      </c>
      <c r="G12" s="53"/>
      <c r="H12" s="53"/>
      <c r="I12" s="53"/>
      <c r="J12" s="54"/>
    </row>
    <row r="13" spans="1:15" x14ac:dyDescent="0.35">
      <c r="A13" s="160" t="s">
        <v>178</v>
      </c>
      <c r="B13" s="141"/>
      <c r="C13" s="141"/>
      <c r="D13" s="141"/>
      <c r="E13" s="142"/>
      <c r="F13" s="52" t="s">
        <v>179</v>
      </c>
      <c r="G13" s="53"/>
      <c r="H13" s="53"/>
      <c r="I13" s="53"/>
      <c r="J13" s="54"/>
    </row>
    <row r="14" spans="1:15" ht="31.5" customHeight="1" x14ac:dyDescent="0.35">
      <c r="A14" s="183" t="s">
        <v>58</v>
      </c>
      <c r="B14" s="183"/>
      <c r="C14" s="52" t="s">
        <v>101</v>
      </c>
      <c r="D14" s="53"/>
      <c r="E14" s="53"/>
      <c r="F14" s="53"/>
      <c r="G14" s="53"/>
      <c r="H14" s="53"/>
      <c r="I14" s="53"/>
      <c r="J14" s="54"/>
    </row>
    <row r="15" spans="1:15" x14ac:dyDescent="0.35">
      <c r="A15" s="2" t="s">
        <v>79</v>
      </c>
      <c r="B15" s="52" t="s">
        <v>48</v>
      </c>
      <c r="C15" s="53"/>
      <c r="D15" s="54"/>
      <c r="E15" s="19" t="s">
        <v>135</v>
      </c>
      <c r="F15" s="158" t="s">
        <v>102</v>
      </c>
      <c r="G15" s="159"/>
      <c r="H15" s="5" t="s">
        <v>59</v>
      </c>
      <c r="I15" s="163" t="s">
        <v>100</v>
      </c>
      <c r="J15" s="164"/>
    </row>
    <row r="16" spans="1:15" x14ac:dyDescent="0.35">
      <c r="A16" s="3" t="s">
        <v>7</v>
      </c>
      <c r="B16" s="125" t="s">
        <v>86</v>
      </c>
      <c r="C16" s="126"/>
      <c r="D16" s="126"/>
      <c r="E16" s="127"/>
      <c r="F16" s="4" t="s">
        <v>60</v>
      </c>
      <c r="G16" s="125" t="s">
        <v>87</v>
      </c>
      <c r="H16" s="126"/>
      <c r="I16" s="126"/>
      <c r="J16" s="127"/>
    </row>
    <row r="17" spans="1:10" x14ac:dyDescent="0.35">
      <c r="A17" s="3" t="s">
        <v>8</v>
      </c>
      <c r="B17" s="125" t="s">
        <v>87</v>
      </c>
      <c r="C17" s="126"/>
      <c r="D17" s="126"/>
      <c r="E17" s="127"/>
      <c r="F17" s="4" t="s">
        <v>61</v>
      </c>
      <c r="G17" s="125">
        <v>421204</v>
      </c>
      <c r="H17" s="126"/>
      <c r="I17" s="126"/>
      <c r="J17" s="127"/>
    </row>
    <row r="18" spans="1:10" ht="32.25" customHeight="1" x14ac:dyDescent="0.35">
      <c r="A18" s="72" t="s">
        <v>62</v>
      </c>
      <c r="B18" s="72"/>
      <c r="C18" s="166" t="s">
        <v>88</v>
      </c>
      <c r="D18" s="167"/>
      <c r="E18" s="168"/>
      <c r="F18" s="48" t="s">
        <v>50</v>
      </c>
      <c r="G18" s="48"/>
      <c r="H18" s="87" t="s">
        <v>89</v>
      </c>
      <c r="I18" s="87"/>
      <c r="J18" s="88"/>
    </row>
    <row r="19" spans="1:10" ht="15" customHeight="1" x14ac:dyDescent="0.35">
      <c r="A19" s="146" t="s">
        <v>136</v>
      </c>
      <c r="B19" s="147"/>
      <c r="C19" s="147"/>
      <c r="D19" s="147"/>
      <c r="E19" s="148"/>
      <c r="F19" s="188" t="s">
        <v>99</v>
      </c>
      <c r="G19" s="189"/>
      <c r="H19" s="189"/>
      <c r="I19" s="189"/>
      <c r="J19" s="190"/>
    </row>
    <row r="20" spans="1:10" x14ac:dyDescent="0.35">
      <c r="A20" s="149"/>
      <c r="B20" s="150"/>
      <c r="C20" s="150"/>
      <c r="D20" s="150"/>
      <c r="E20" s="151"/>
      <c r="F20" s="191"/>
      <c r="G20" s="192"/>
      <c r="H20" s="192"/>
      <c r="I20" s="192"/>
      <c r="J20" s="193"/>
    </row>
    <row r="21" spans="1:10" ht="15" customHeight="1" x14ac:dyDescent="0.35">
      <c r="A21" s="146" t="s">
        <v>80</v>
      </c>
      <c r="B21" s="186"/>
      <c r="C21" s="186"/>
      <c r="D21" s="186"/>
      <c r="E21" s="187"/>
      <c r="F21" s="146" t="s">
        <v>44</v>
      </c>
      <c r="G21" s="147"/>
      <c r="H21" s="147"/>
      <c r="I21" s="147"/>
      <c r="J21" s="148"/>
    </row>
    <row r="22" spans="1:10" x14ac:dyDescent="0.35">
      <c r="A22" s="152" t="s">
        <v>9</v>
      </c>
      <c r="B22" s="153"/>
      <c r="C22" s="153"/>
      <c r="D22" s="153"/>
      <c r="E22" s="154"/>
      <c r="F22" s="155" t="s">
        <v>90</v>
      </c>
      <c r="G22" s="156"/>
      <c r="H22" s="156"/>
      <c r="I22" s="156"/>
      <c r="J22" s="157"/>
    </row>
    <row r="23" spans="1:10" x14ac:dyDescent="0.35">
      <c r="A23" s="152" t="s">
        <v>10</v>
      </c>
      <c r="B23" s="153"/>
      <c r="C23" s="153"/>
      <c r="D23" s="153"/>
      <c r="E23" s="154"/>
      <c r="F23" s="143" t="s">
        <v>51</v>
      </c>
      <c r="G23" s="181"/>
      <c r="H23" s="181"/>
      <c r="I23" s="181"/>
      <c r="J23" s="182"/>
    </row>
    <row r="24" spans="1:10" x14ac:dyDescent="0.35">
      <c r="A24" s="152" t="s">
        <v>11</v>
      </c>
      <c r="B24" s="153"/>
      <c r="C24" s="153"/>
      <c r="D24" s="153"/>
      <c r="E24" s="154"/>
      <c r="F24" s="155" t="s">
        <v>91</v>
      </c>
      <c r="G24" s="156"/>
      <c r="H24" s="156"/>
      <c r="I24" s="156"/>
      <c r="J24" s="157"/>
    </row>
    <row r="25" spans="1:10" x14ac:dyDescent="0.35">
      <c r="A25" s="152" t="s">
        <v>27</v>
      </c>
      <c r="B25" s="153"/>
      <c r="C25" s="153"/>
      <c r="D25" s="153"/>
      <c r="E25" s="154"/>
      <c r="F25" s="143" t="s">
        <v>63</v>
      </c>
      <c r="G25" s="144"/>
      <c r="H25" s="144"/>
      <c r="I25" s="144"/>
      <c r="J25" s="145"/>
    </row>
    <row r="26" spans="1:10" x14ac:dyDescent="0.35">
      <c r="A26" s="184" t="s">
        <v>12</v>
      </c>
      <c r="B26" s="185"/>
      <c r="C26" s="184" t="s">
        <v>13</v>
      </c>
      <c r="D26" s="185"/>
      <c r="E26" s="184" t="s">
        <v>14</v>
      </c>
      <c r="F26" s="185"/>
      <c r="G26" s="184" t="s">
        <v>49</v>
      </c>
      <c r="H26" s="185"/>
      <c r="I26" s="184" t="s">
        <v>15</v>
      </c>
      <c r="J26" s="185"/>
    </row>
    <row r="27" spans="1:10" x14ac:dyDescent="0.35">
      <c r="A27" s="130" t="s">
        <v>233</v>
      </c>
      <c r="B27" s="131"/>
      <c r="C27" s="130" t="s">
        <v>213</v>
      </c>
      <c r="D27" s="131"/>
      <c r="E27" s="130" t="s">
        <v>214</v>
      </c>
      <c r="F27" s="131"/>
      <c r="G27" s="130" t="s">
        <v>215</v>
      </c>
      <c r="H27" s="131"/>
      <c r="I27" s="130" t="s">
        <v>213</v>
      </c>
      <c r="J27" s="131"/>
    </row>
    <row r="28" spans="1:10" x14ac:dyDescent="0.35">
      <c r="A28" s="200" t="s">
        <v>16</v>
      </c>
      <c r="B28" s="201"/>
      <c r="C28" s="130" t="s">
        <v>217</v>
      </c>
      <c r="D28" s="131"/>
      <c r="E28" s="130" t="s">
        <v>217</v>
      </c>
      <c r="F28" s="131"/>
      <c r="G28" s="130" t="s">
        <v>216</v>
      </c>
      <c r="H28" s="131"/>
      <c r="I28" s="130" t="s">
        <v>217</v>
      </c>
      <c r="J28" s="131"/>
    </row>
    <row r="29" spans="1:10" x14ac:dyDescent="0.35">
      <c r="A29" s="125" t="s">
        <v>56</v>
      </c>
      <c r="B29" s="126"/>
      <c r="C29" s="126"/>
      <c r="D29" s="126"/>
      <c r="E29" s="126"/>
      <c r="F29" s="126"/>
      <c r="G29" s="126"/>
      <c r="H29" s="126"/>
      <c r="I29" s="126"/>
      <c r="J29" s="127"/>
    </row>
    <row r="30" spans="1:10" x14ac:dyDescent="0.35">
      <c r="A30" s="125" t="s">
        <v>92</v>
      </c>
      <c r="B30" s="126"/>
      <c r="C30" s="126"/>
      <c r="D30" s="126"/>
      <c r="E30" s="126"/>
      <c r="F30" s="126"/>
      <c r="G30" s="126"/>
      <c r="H30" s="126"/>
      <c r="I30" s="126"/>
      <c r="J30" s="127"/>
    </row>
    <row r="31" spans="1:10" x14ac:dyDescent="0.35">
      <c r="A31" s="195" t="s">
        <v>40</v>
      </c>
      <c r="B31" s="196"/>
      <c r="C31" s="125" t="s">
        <v>195</v>
      </c>
      <c r="D31" s="126"/>
      <c r="E31" s="126"/>
      <c r="F31" s="126"/>
      <c r="G31" s="126"/>
      <c r="H31" s="126"/>
      <c r="I31" s="126"/>
      <c r="J31" s="127"/>
    </row>
    <row r="32" spans="1:10" x14ac:dyDescent="0.35">
      <c r="A32" s="195" t="s">
        <v>190</v>
      </c>
      <c r="B32" s="196"/>
      <c r="C32" s="197" t="s">
        <v>191</v>
      </c>
      <c r="D32" s="126"/>
      <c r="E32" s="126"/>
      <c r="F32" s="126"/>
      <c r="G32" s="126"/>
      <c r="H32" s="126"/>
      <c r="I32" s="126"/>
      <c r="J32" s="127"/>
    </row>
    <row r="33" spans="1:18" x14ac:dyDescent="0.35">
      <c r="A33" s="195" t="s">
        <v>17</v>
      </c>
      <c r="B33" s="199"/>
      <c r="C33" s="199"/>
      <c r="D33" s="199"/>
      <c r="E33" s="199"/>
      <c r="F33" s="199"/>
      <c r="G33" s="199"/>
      <c r="H33" s="199"/>
      <c r="I33" s="199"/>
      <c r="J33" s="196"/>
    </row>
    <row r="34" spans="1:18" ht="15" customHeight="1" x14ac:dyDescent="0.35">
      <c r="A34" s="48" t="s">
        <v>103</v>
      </c>
      <c r="B34" s="48"/>
      <c r="C34" s="48"/>
      <c r="D34" s="48"/>
      <c r="E34" s="48"/>
      <c r="F34" s="48"/>
      <c r="G34" s="48"/>
      <c r="H34" s="48"/>
      <c r="I34" s="48"/>
      <c r="J34" s="48"/>
    </row>
    <row r="35" spans="1:18" x14ac:dyDescent="0.35">
      <c r="A35" s="48"/>
      <c r="B35" s="48"/>
      <c r="C35" s="48"/>
      <c r="D35" s="48"/>
      <c r="E35" s="48"/>
      <c r="F35" s="48"/>
      <c r="G35" s="48"/>
      <c r="H35" s="48"/>
      <c r="I35" s="48"/>
      <c r="J35" s="48"/>
    </row>
    <row r="36" spans="1:18" ht="16.5" customHeight="1" x14ac:dyDescent="0.35">
      <c r="A36" s="72" t="s">
        <v>64</v>
      </c>
      <c r="B36" s="132"/>
      <c r="C36" s="132"/>
      <c r="D36" s="132"/>
      <c r="E36" s="132"/>
      <c r="F36" s="134">
        <v>2119.6999999999998</v>
      </c>
      <c r="G36" s="134"/>
      <c r="H36" s="134"/>
      <c r="I36" s="134"/>
      <c r="J36" s="134"/>
    </row>
    <row r="37" spans="1:18" x14ac:dyDescent="0.35">
      <c r="A37" s="132" t="s">
        <v>18</v>
      </c>
      <c r="B37" s="132"/>
      <c r="C37" s="132"/>
      <c r="D37" s="132"/>
      <c r="E37" s="132"/>
      <c r="F37" s="133">
        <f>2331.67/F36</f>
        <v>1.1000000000000001</v>
      </c>
      <c r="G37" s="133"/>
      <c r="H37" s="133"/>
      <c r="I37" s="133"/>
      <c r="J37" s="133"/>
    </row>
    <row r="38" spans="1:18" x14ac:dyDescent="0.35">
      <c r="A38" s="132" t="s">
        <v>19</v>
      </c>
      <c r="B38" s="132"/>
      <c r="C38" s="132"/>
      <c r="D38" s="132"/>
      <c r="E38" s="132"/>
      <c r="F38" s="133">
        <f>F40/F36-F37</f>
        <v>1.8193329244704439</v>
      </c>
      <c r="G38" s="133"/>
      <c r="H38" s="133"/>
      <c r="I38" s="133"/>
      <c r="J38" s="133"/>
    </row>
    <row r="39" spans="1:18" x14ac:dyDescent="0.35">
      <c r="A39" s="132" t="s">
        <v>20</v>
      </c>
      <c r="B39" s="132"/>
      <c r="C39" s="132"/>
      <c r="D39" s="132"/>
      <c r="E39" s="132"/>
      <c r="F39" s="133">
        <f>F37+F38</f>
        <v>2.919332924470444</v>
      </c>
      <c r="G39" s="133"/>
      <c r="H39" s="133"/>
      <c r="I39" s="133"/>
      <c r="J39" s="133"/>
    </row>
    <row r="40" spans="1:18" x14ac:dyDescent="0.35">
      <c r="A40" s="72" t="s">
        <v>65</v>
      </c>
      <c r="B40" s="132"/>
      <c r="C40" s="132"/>
      <c r="D40" s="132"/>
      <c r="E40" s="132"/>
      <c r="F40" s="194">
        <v>6188.11</v>
      </c>
      <c r="G40" s="194"/>
      <c r="H40" s="194"/>
      <c r="I40" s="194"/>
      <c r="J40" s="194"/>
    </row>
    <row r="41" spans="1:18" x14ac:dyDescent="0.35">
      <c r="A41" s="132" t="s">
        <v>21</v>
      </c>
      <c r="B41" s="132"/>
      <c r="C41" s="132"/>
      <c r="D41" s="132"/>
      <c r="E41" s="132"/>
      <c r="F41" s="72" t="s">
        <v>183</v>
      </c>
      <c r="G41" s="72"/>
      <c r="H41" s="72"/>
      <c r="I41" s="72"/>
      <c r="J41" s="72"/>
      <c r="L41">
        <f>3820.7+2367.35</f>
        <v>6188.0499999999993</v>
      </c>
    </row>
    <row r="42" spans="1:18" x14ac:dyDescent="0.35">
      <c r="A42" s="165" t="s">
        <v>66</v>
      </c>
      <c r="B42" s="165"/>
      <c r="C42" s="165"/>
      <c r="D42" s="165"/>
      <c r="E42" s="165"/>
      <c r="F42" s="165"/>
      <c r="G42" s="165"/>
      <c r="H42" s="165"/>
      <c r="I42" s="165"/>
      <c r="J42" s="165"/>
    </row>
    <row r="43" spans="1:18" x14ac:dyDescent="0.35">
      <c r="A43" s="48" t="s">
        <v>222</v>
      </c>
      <c r="B43" s="48"/>
      <c r="C43" s="139" t="s">
        <v>199</v>
      </c>
      <c r="D43" s="139"/>
      <c r="E43" s="139"/>
      <c r="F43" s="139"/>
      <c r="G43" s="4" t="s">
        <v>57</v>
      </c>
      <c r="H43" s="74">
        <v>45706</v>
      </c>
      <c r="I43" s="74"/>
      <c r="J43" s="74"/>
      <c r="K43" s="237"/>
      <c r="L43" s="237"/>
      <c r="M43" s="237"/>
      <c r="N43" s="237"/>
      <c r="O43" s="238"/>
      <c r="P43" s="238"/>
      <c r="Q43" s="238"/>
    </row>
    <row r="44" spans="1:18" x14ac:dyDescent="0.35">
      <c r="A44" s="48" t="s">
        <v>243</v>
      </c>
      <c r="B44" s="48"/>
      <c r="C44" s="139" t="s">
        <v>199</v>
      </c>
      <c r="D44" s="139"/>
      <c r="E44" s="139"/>
      <c r="F44" s="139"/>
      <c r="G44" s="4" t="s">
        <v>57</v>
      </c>
      <c r="H44" s="74">
        <v>45706</v>
      </c>
      <c r="I44" s="74"/>
      <c r="J44" s="74"/>
    </row>
    <row r="45" spans="1:18" ht="35.25" customHeight="1" x14ac:dyDescent="0.35">
      <c r="A45" s="48" t="s">
        <v>244</v>
      </c>
      <c r="B45" s="48"/>
      <c r="C45" s="48" t="s">
        <v>198</v>
      </c>
      <c r="D45" s="48"/>
      <c r="E45" s="48"/>
      <c r="F45" s="48"/>
      <c r="G45" s="4" t="s">
        <v>57</v>
      </c>
      <c r="H45" s="49">
        <v>45706</v>
      </c>
      <c r="I45" s="49" t="s">
        <v>45</v>
      </c>
      <c r="J45" s="49"/>
      <c r="P45" s="50" t="s">
        <v>93</v>
      </c>
      <c r="Q45" s="50" t="s">
        <v>45</v>
      </c>
      <c r="R45" s="51"/>
    </row>
    <row r="46" spans="1:18" ht="48" customHeight="1" x14ac:dyDescent="0.35">
      <c r="A46" s="48" t="s">
        <v>245</v>
      </c>
      <c r="B46" s="48"/>
      <c r="C46" s="48" t="s">
        <v>246</v>
      </c>
      <c r="D46" s="48"/>
      <c r="E46" s="48"/>
      <c r="F46" s="48"/>
      <c r="G46" s="4" t="s">
        <v>57</v>
      </c>
      <c r="H46" s="49">
        <v>44399</v>
      </c>
      <c r="I46" s="49" t="s">
        <v>45</v>
      </c>
      <c r="J46" s="49"/>
      <c r="L46" s="239" t="s">
        <v>187</v>
      </c>
      <c r="M46" s="239"/>
      <c r="N46" s="239"/>
      <c r="O46" s="239"/>
      <c r="P46" s="50" t="s">
        <v>93</v>
      </c>
      <c r="Q46" s="50" t="s">
        <v>45</v>
      </c>
      <c r="R46" s="51"/>
    </row>
    <row r="47" spans="1:18" x14ac:dyDescent="0.35">
      <c r="A47" s="75" t="s">
        <v>76</v>
      </c>
      <c r="B47" s="75"/>
      <c r="C47" s="76" t="s">
        <v>48</v>
      </c>
      <c r="D47" s="76"/>
      <c r="E47" s="76"/>
      <c r="F47" s="76" t="s">
        <v>77</v>
      </c>
      <c r="G47" s="39" t="s">
        <v>57</v>
      </c>
      <c r="H47" s="77" t="s">
        <v>48</v>
      </c>
      <c r="I47" s="77" t="s">
        <v>52</v>
      </c>
      <c r="J47" s="77"/>
      <c r="L47" s="239"/>
      <c r="M47" s="239"/>
      <c r="N47" s="239"/>
      <c r="O47" s="239"/>
    </row>
    <row r="48" spans="1:18" x14ac:dyDescent="0.35">
      <c r="A48" s="72" t="s">
        <v>70</v>
      </c>
      <c r="B48" s="72"/>
      <c r="C48" s="72"/>
      <c r="D48" s="89">
        <v>41801</v>
      </c>
      <c r="E48" s="90"/>
      <c r="F48" s="72" t="s">
        <v>67</v>
      </c>
      <c r="G48" s="94"/>
      <c r="H48" s="91">
        <v>46022</v>
      </c>
      <c r="I48" s="92"/>
      <c r="J48" s="92"/>
      <c r="L48" s="239"/>
      <c r="M48" s="239"/>
      <c r="N48" s="239"/>
      <c r="O48" s="239"/>
    </row>
    <row r="49" spans="1:15" x14ac:dyDescent="0.35">
      <c r="A49" s="93" t="s">
        <v>22</v>
      </c>
      <c r="B49" s="93"/>
      <c r="C49" s="93"/>
      <c r="D49" s="93"/>
      <c r="E49" s="93"/>
      <c r="F49" s="93"/>
      <c r="G49" s="93"/>
      <c r="H49" s="93"/>
      <c r="I49" s="93"/>
      <c r="J49" s="93"/>
      <c r="L49" s="239"/>
      <c r="M49" s="239"/>
      <c r="N49" s="239"/>
      <c r="O49" s="239"/>
    </row>
    <row r="50" spans="1:15" ht="30.75" customHeight="1" x14ac:dyDescent="0.35">
      <c r="A50" s="72" t="s">
        <v>74</v>
      </c>
      <c r="B50" s="72"/>
      <c r="C50" s="72"/>
      <c r="D50" s="73">
        <f>F40</f>
        <v>6188.11</v>
      </c>
      <c r="E50" s="73"/>
      <c r="F50" s="135" t="s">
        <v>184</v>
      </c>
      <c r="G50" s="135"/>
      <c r="H50" s="136" t="s">
        <v>234</v>
      </c>
      <c r="I50" s="136"/>
      <c r="J50" s="136"/>
      <c r="K50" s="247" t="s">
        <v>185</v>
      </c>
      <c r="L50" s="247"/>
      <c r="M50" s="248"/>
    </row>
    <row r="51" spans="1:15" x14ac:dyDescent="0.35">
      <c r="A51" s="86" t="s">
        <v>68</v>
      </c>
      <c r="B51" s="87"/>
      <c r="C51" s="86" t="s">
        <v>239</v>
      </c>
      <c r="D51" s="87"/>
      <c r="E51" s="87"/>
      <c r="F51" s="87"/>
      <c r="G51" s="87"/>
      <c r="H51" s="87"/>
      <c r="I51" s="87"/>
      <c r="J51" s="88"/>
    </row>
    <row r="52" spans="1:15" ht="15" customHeight="1" x14ac:dyDescent="0.35">
      <c r="A52" s="78" t="s">
        <v>113</v>
      </c>
      <c r="B52" s="79"/>
      <c r="C52" s="78" t="s">
        <v>239</v>
      </c>
      <c r="D52" s="79"/>
      <c r="E52" s="79"/>
      <c r="F52" s="79"/>
      <c r="G52" s="79"/>
      <c r="H52" s="79"/>
      <c r="I52" s="79"/>
      <c r="J52" s="80"/>
    </row>
    <row r="53" spans="1:15" x14ac:dyDescent="0.35">
      <c r="A53" s="125" t="s">
        <v>46</v>
      </c>
      <c r="B53" s="126"/>
      <c r="C53" s="126"/>
      <c r="D53" s="126"/>
      <c r="E53" s="127"/>
      <c r="F53" s="86" t="s">
        <v>182</v>
      </c>
      <c r="G53" s="87"/>
      <c r="H53" s="87"/>
      <c r="I53" s="87"/>
      <c r="J53" s="88"/>
    </row>
    <row r="54" spans="1:15" ht="15" thickBot="1" x14ac:dyDescent="0.4">
      <c r="A54" s="125" t="s">
        <v>53</v>
      </c>
      <c r="B54" s="126"/>
      <c r="C54" s="126"/>
      <c r="D54" s="126"/>
      <c r="E54" s="126"/>
      <c r="F54" s="126"/>
      <c r="G54" s="126"/>
      <c r="H54" s="126"/>
      <c r="I54" s="126"/>
      <c r="J54" s="127"/>
    </row>
    <row r="55" spans="1:15" ht="15" customHeight="1" x14ac:dyDescent="0.35">
      <c r="A55" s="81" t="s">
        <v>144</v>
      </c>
      <c r="B55" s="82"/>
      <c r="C55" s="83" t="s">
        <v>186</v>
      </c>
      <c r="D55" s="84"/>
      <c r="E55" s="84"/>
      <c r="F55" s="84"/>
      <c r="G55" s="84"/>
      <c r="H55" s="84"/>
      <c r="I55" s="84"/>
      <c r="J55" s="85"/>
      <c r="K55" s="20" t="str">
        <f ca="1">(IF(F59&gt;99%,"All work completed. Please provide OC.",IF(F59&gt;89.8%,"Plinth, RCC, Brick, Plaster, Flooring, Painting work Completed. Finishing work is in process.",IF(F59&lt;94%,(IF(C59=0,"Work not yet Started.",IF(D59=25%,"Piling work in process",IF(D59=50%,"Excavation work in process",IF(D59=100%,"Excavation work Completed. ","0")))&amp;(IF(C60=0%,"",IF(C60=L61,"Footing work is process",IF(C60=L62,"Footing work Completed",IF(C60=L63,"1st Basement Completed",IF(C60=L64,"1st &amp; 2nd Basement Completed",IF(C60=L65,"1st to 3rd Basement Completed",IF(C60=L66,"1st to 4th Basement Completed",IF(C60=L67,"Plinth work is process",IF(C60=L68,"Plinth work completed","0")))))))))))&amp;(IF(C61=(D56+G56+I56),", RCC Slab",IF(C61&gt;0,", RCC upto "&amp;C61&amp;" Slab",""))&amp;(IF(C62=I56,", Brickwork",IF(C62&gt;0,", Brickwork upto "&amp;C62&amp;" Floor",""))&amp;(IF(C63=I56,", Internal Plaster",IF(C63&gt;0,", Internal Plaster upto "&amp;C63&amp;" Floor",""))&amp;(IF(C64=I56,", External Plaster",IF(C64&gt;0,", External Plaster upto "&amp;C64&amp;" Floor",""))&amp;(IF(C65=I56,", Flooring",IF(C65&gt;0,", Flooring upto "&amp;C65&amp;" Floor",""))&amp;(IF(C66=I56,", Painting",IF(C66&gt;0,", Painting upto "&amp;C66&amp;" Floor",""))&amp;(IF(C67&gt;0,", Finishing upto "&amp;C67&amp;" Floor","")&amp;(IF(C61&gt;0.5," Completed",""))))))))))))))</f>
        <v>Excavation work Completed. Plinth work completed, RCC Slab, Brickwork, Internal Plaster, External Plaster, Flooring upto 11 Floor, Painting upto 9 Floor Completed</v>
      </c>
      <c r="L55" s="21"/>
    </row>
    <row r="56" spans="1:15" ht="15.5" x14ac:dyDescent="0.35">
      <c r="A56" s="22" t="s">
        <v>145</v>
      </c>
      <c r="B56" s="23">
        <v>0</v>
      </c>
      <c r="C56" s="23" t="s">
        <v>146</v>
      </c>
      <c r="D56" s="23">
        <v>1</v>
      </c>
      <c r="E56" s="102" t="s">
        <v>147</v>
      </c>
      <c r="F56" s="106"/>
      <c r="G56" s="23">
        <v>0</v>
      </c>
      <c r="H56" s="23" t="s">
        <v>148</v>
      </c>
      <c r="I56" s="102">
        <f ca="1">--TRIM(RIGHT(SUBSTITUTE(LEFT(C55,_xlfn.AGGREGATE(16,6,FIND({0,1,2,3,4,5,6,7,8,9},C55,ROW(INDIRECT("1:"&amp;LEN(C55)))),1))," ",REPT(" ",LEN(C55))),LEN(C55)))</f>
        <v>13</v>
      </c>
      <c r="J56" s="103"/>
      <c r="K56" s="24"/>
      <c r="L56" s="25"/>
    </row>
    <row r="57" spans="1:15" ht="33" customHeight="1" x14ac:dyDescent="0.35">
      <c r="A57" s="104" t="s">
        <v>149</v>
      </c>
      <c r="B57" s="105"/>
      <c r="C57" s="99" t="str">
        <f ca="1">K55</f>
        <v>Excavation work Completed. Plinth work completed, RCC Slab, Brickwork, Internal Plaster, External Plaster, Flooring upto 11 Floor, Painting upto 9 Floor Completed</v>
      </c>
      <c r="D57" s="100"/>
      <c r="E57" s="100"/>
      <c r="F57" s="100"/>
      <c r="G57" s="100"/>
      <c r="H57" s="100"/>
      <c r="I57" s="100"/>
      <c r="J57" s="101"/>
      <c r="K57" s="24" t="s">
        <v>150</v>
      </c>
      <c r="L57" s="25"/>
    </row>
    <row r="58" spans="1:15" ht="15.75" customHeight="1" x14ac:dyDescent="0.35">
      <c r="A58" s="95" t="s">
        <v>32</v>
      </c>
      <c r="B58" s="96"/>
      <c r="C58" s="33" t="s">
        <v>151</v>
      </c>
      <c r="D58" s="97" t="s">
        <v>152</v>
      </c>
      <c r="E58" s="97"/>
      <c r="F58" s="97" t="s">
        <v>153</v>
      </c>
      <c r="G58" s="97"/>
      <c r="H58" s="97" t="s">
        <v>154</v>
      </c>
      <c r="I58" s="97"/>
      <c r="J58" s="98"/>
      <c r="K58" s="26" t="s">
        <v>155</v>
      </c>
      <c r="L58" s="27">
        <f ca="1">I56*25%</f>
        <v>3.25</v>
      </c>
    </row>
    <row r="59" spans="1:15" ht="15.75" customHeight="1" x14ac:dyDescent="0.35">
      <c r="A59" s="68" t="s">
        <v>156</v>
      </c>
      <c r="B59" s="69"/>
      <c r="C59" s="34">
        <f ca="1">L60</f>
        <v>13</v>
      </c>
      <c r="D59" s="55">
        <f ca="1">((100/I56)*C59)/100</f>
        <v>1</v>
      </c>
      <c r="E59" s="56"/>
      <c r="F59" s="57">
        <f ca="1">(((C60/I56*10)+(40/(D56+G56+I56)*C61)+(7.5/(I56)*C62)+(7.5/(I56)*C63)+(10/I56*C64)+(10/I56*C65)+(5/I56*C66)+(5/I56*C67)+(5/I56*C68))/100)</f>
        <v>0.86923076923076936</v>
      </c>
      <c r="G59" s="57"/>
      <c r="H59" s="59">
        <f ca="1">((((C59/I56)*20)+((C60/I56)*25)+(30/(I56+G56+D56)*C61)+(5/I56*C62)+(5/I56*C63)+(5/I56*C64)+(5/I56*C65)+(0/I56*C66)+(0/I56*C67)+(5/I56*C68))/100)</f>
        <v>0.94230769230769229</v>
      </c>
      <c r="I59" s="60"/>
      <c r="J59" s="61"/>
      <c r="K59" s="26" t="s">
        <v>157</v>
      </c>
      <c r="L59" s="28">
        <f ca="1">I56*50%</f>
        <v>6.5</v>
      </c>
    </row>
    <row r="60" spans="1:15" ht="15.5" x14ac:dyDescent="0.35">
      <c r="A60" s="68" t="s">
        <v>33</v>
      </c>
      <c r="B60" s="69"/>
      <c r="C60" s="35">
        <f ca="1">L68</f>
        <v>13</v>
      </c>
      <c r="D60" s="55">
        <f ca="1">((100/I56)*C60)/100</f>
        <v>1</v>
      </c>
      <c r="E60" s="56"/>
      <c r="F60" s="57"/>
      <c r="G60" s="57"/>
      <c r="H60" s="62"/>
      <c r="I60" s="63"/>
      <c r="J60" s="64"/>
      <c r="K60" s="26" t="s">
        <v>158</v>
      </c>
      <c r="L60" s="28">
        <f ca="1">I56</f>
        <v>13</v>
      </c>
    </row>
    <row r="61" spans="1:15" ht="15.75" customHeight="1" x14ac:dyDescent="0.35">
      <c r="A61" s="68" t="s">
        <v>176</v>
      </c>
      <c r="B61" s="69"/>
      <c r="C61" s="35">
        <v>14</v>
      </c>
      <c r="D61" s="55">
        <f ca="1">((100/(D56+G56+I56))*C61)/100</f>
        <v>1</v>
      </c>
      <c r="E61" s="56"/>
      <c r="F61" s="57"/>
      <c r="G61" s="57"/>
      <c r="H61" s="62"/>
      <c r="I61" s="63"/>
      <c r="J61" s="64"/>
      <c r="K61" s="26" t="s">
        <v>159</v>
      </c>
      <c r="L61" s="29">
        <f ca="1">(IF(B56&gt;1,(I56/(B56+2)),I56/4))</f>
        <v>3.25</v>
      </c>
    </row>
    <row r="62" spans="1:15" ht="15.75" customHeight="1" x14ac:dyDescent="0.35">
      <c r="A62" s="68" t="s">
        <v>160</v>
      </c>
      <c r="B62" s="69" t="s">
        <v>161</v>
      </c>
      <c r="C62" s="34">
        <v>13</v>
      </c>
      <c r="D62" s="55">
        <f ca="1">((100/I56)*C62)/100</f>
        <v>1</v>
      </c>
      <c r="E62" s="56"/>
      <c r="F62" s="57"/>
      <c r="G62" s="57"/>
      <c r="H62" s="62"/>
      <c r="I62" s="63"/>
      <c r="J62" s="64"/>
      <c r="K62" s="26" t="s">
        <v>162</v>
      </c>
      <c r="L62" s="29">
        <f ca="1">(IF(B56&gt;1,(I56/(B56+2)+L61),I56/4+L61))</f>
        <v>6.5</v>
      </c>
    </row>
    <row r="63" spans="1:15" ht="15" customHeight="1" x14ac:dyDescent="0.35">
      <c r="A63" s="68" t="s">
        <v>163</v>
      </c>
      <c r="B63" s="69" t="s">
        <v>161</v>
      </c>
      <c r="C63" s="34">
        <v>13</v>
      </c>
      <c r="D63" s="55">
        <f ca="1">((100/I56)*C63)/100</f>
        <v>1</v>
      </c>
      <c r="E63" s="56"/>
      <c r="F63" s="57"/>
      <c r="G63" s="57"/>
      <c r="H63" s="62"/>
      <c r="I63" s="63"/>
      <c r="J63" s="64"/>
      <c r="K63" s="26" t="s">
        <v>164</v>
      </c>
      <c r="L63" s="29">
        <f>(IF(B56&gt;1,(I56/(B56+2)+L62),0))</f>
        <v>0</v>
      </c>
    </row>
    <row r="64" spans="1:15" ht="15.75" customHeight="1" x14ac:dyDescent="0.35">
      <c r="A64" s="70" t="s">
        <v>165</v>
      </c>
      <c r="B64" s="71" t="s">
        <v>166</v>
      </c>
      <c r="C64" s="34">
        <v>13</v>
      </c>
      <c r="D64" s="55">
        <f ca="1">((100/(I56))*C64)/100</f>
        <v>1</v>
      </c>
      <c r="E64" s="56"/>
      <c r="F64" s="57"/>
      <c r="G64" s="57"/>
      <c r="H64" s="62"/>
      <c r="I64" s="63"/>
      <c r="J64" s="64"/>
      <c r="K64" s="26" t="s">
        <v>167</v>
      </c>
      <c r="L64" s="29">
        <f>(IF(B56&gt;2,(I56/(B56+2)+L63),0))</f>
        <v>0</v>
      </c>
    </row>
    <row r="65" spans="1:12" ht="15.75" customHeight="1" x14ac:dyDescent="0.35">
      <c r="A65" s="68" t="s">
        <v>168</v>
      </c>
      <c r="B65" s="69" t="s">
        <v>168</v>
      </c>
      <c r="C65" s="34">
        <v>11</v>
      </c>
      <c r="D65" s="55">
        <f ca="1">((100/I56)*C65)/100</f>
        <v>0.84615384615384615</v>
      </c>
      <c r="E65" s="56"/>
      <c r="F65" s="57"/>
      <c r="G65" s="57"/>
      <c r="H65" s="62"/>
      <c r="I65" s="63"/>
      <c r="J65" s="64"/>
      <c r="K65" s="26" t="s">
        <v>169</v>
      </c>
      <c r="L65" s="30">
        <f>(IF(B56&gt;3,(I56/(B56+2)+L64),0))</f>
        <v>0</v>
      </c>
    </row>
    <row r="66" spans="1:12" ht="15" customHeight="1" x14ac:dyDescent="0.35">
      <c r="A66" s="68" t="s">
        <v>170</v>
      </c>
      <c r="B66" s="69"/>
      <c r="C66" s="34">
        <v>9</v>
      </c>
      <c r="D66" s="55">
        <f ca="1">((100/I56)*C66)/100</f>
        <v>0.69230769230769229</v>
      </c>
      <c r="E66" s="56"/>
      <c r="F66" s="57"/>
      <c r="G66" s="57"/>
      <c r="H66" s="62"/>
      <c r="I66" s="63"/>
      <c r="J66" s="64"/>
      <c r="K66" s="26" t="s">
        <v>171</v>
      </c>
      <c r="L66" s="29">
        <f>(IF(B56&gt;4,(I56/(B56+2)+L65),0))</f>
        <v>0</v>
      </c>
    </row>
    <row r="67" spans="1:12" ht="15.75" customHeight="1" x14ac:dyDescent="0.35">
      <c r="A67" s="68" t="s">
        <v>172</v>
      </c>
      <c r="B67" s="69" t="s">
        <v>172</v>
      </c>
      <c r="C67" s="34">
        <v>0</v>
      </c>
      <c r="D67" s="55">
        <f ca="1">((100/(I56))*C67)/100</f>
        <v>0</v>
      </c>
      <c r="E67" s="56"/>
      <c r="F67" s="57"/>
      <c r="G67" s="57"/>
      <c r="H67" s="62"/>
      <c r="I67" s="63"/>
      <c r="J67" s="64"/>
      <c r="K67" s="26" t="s">
        <v>173</v>
      </c>
      <c r="L67" s="29">
        <f ca="1">(IF(B56=1,(I56/(B56+3)+L62),IF(B56=0,(I56/4+L62),IF(B56&gt;1,0))))</f>
        <v>9.75</v>
      </c>
    </row>
    <row r="68" spans="1:12" ht="16.5" customHeight="1" thickBot="1" x14ac:dyDescent="0.4">
      <c r="A68" s="137" t="s">
        <v>174</v>
      </c>
      <c r="B68" s="138"/>
      <c r="C68" s="36">
        <v>0</v>
      </c>
      <c r="D68" s="128">
        <f ca="1">((100/(I56))*C68)/100</f>
        <v>0</v>
      </c>
      <c r="E68" s="129"/>
      <c r="F68" s="58"/>
      <c r="G68" s="58"/>
      <c r="H68" s="65"/>
      <c r="I68" s="66"/>
      <c r="J68" s="67"/>
      <c r="K68" s="31" t="s">
        <v>175</v>
      </c>
      <c r="L68" s="32">
        <f ca="1">(IF(B56&gt;1.5,(I56/(B56+2)+L62+MAX(0,L63-L62)+MAX(0,L64-L63)+MAX(0,L65-L64)+MAX(0,L66-L65)+MAX(0,L67-L66)),IF(B56=1,(I56/(B56+3)+L67),IF(B56=0,I56/4+L67))))</f>
        <v>13</v>
      </c>
    </row>
    <row r="69" spans="1:12" ht="15" customHeight="1" x14ac:dyDescent="0.35">
      <c r="A69" s="81" t="s">
        <v>144</v>
      </c>
      <c r="B69" s="82"/>
      <c r="C69" s="83" t="s">
        <v>177</v>
      </c>
      <c r="D69" s="84"/>
      <c r="E69" s="84"/>
      <c r="F69" s="84"/>
      <c r="G69" s="84"/>
      <c r="H69" s="84"/>
      <c r="I69" s="84"/>
      <c r="J69" s="85"/>
      <c r="K69" s="20" t="str">
        <f ca="1">(IF(F73&gt;99%,"All work completed. Please provide OC.",IF(F73&gt;89.8%,"Plinth, RCC, Brick, Plaster, Flooring, Painting work Completed. Finishing work is in process.",IF(F73&lt;94%,(IF(C73=0,"Work not yet Started.",IF(D73=25%,"Piling work in process",IF(D73=50%,"Excavation work in process",IF(D73=100%,"Excavation work Completed. ","0")))&amp;(IF(C74=0%,"",IF(C74=L75,"Footing work is process",IF(C74=L76,"Footing work Completed",IF(C74=L77,"1st Basement Completed",IF(C74=L78,"1st &amp; 2nd Basement Completed",IF(C74=L79,"1st to 3rd Basement Completed",IF(C74=L80,"1st to 4th Basement Completed",IF(C74=L81,"Plinth work is process",IF(C74=L82,"Plinth work completed","0")))))))))))&amp;(IF(C75=(D70+G70+I70),", RCC Slab",IF(C75&gt;0,", RCC upto "&amp;C75&amp;" Slab",""))&amp;(IF(C76=I70,", Brickwork",IF(C76&gt;0,", Brickwork upto "&amp;C76&amp;" Floor",""))&amp;(IF(C77=I70,", Internal Plaster",IF(C77&gt;0,", Internal Plaster upto "&amp;C77&amp;" Floor",""))&amp;(IF(C78=I70,", External Plaster",IF(C78&gt;0,", External Plaster upto "&amp;C78&amp;" Floor",""))&amp;(IF(C79=I70,", Flooring",IF(C79&gt;0,", Flooring upto "&amp;C79&amp;" Floor",""))&amp;(IF(C80=I70,", Painting",IF(C80&gt;0,", Painting upto "&amp;C80&amp;" Floor",""))&amp;(IF(C81&gt;0,", Finishing upto "&amp;C81&amp;" Floor","")&amp;(IF(C75&gt;0.5," Completed",""))))))))))))))</f>
        <v>Excavation work Completed. Plinth work completed, RCC Slab, Brickwork, Internal Plaster, External Plaster, Flooring upto 10 Floor, Painting upto 6 Floor Completed</v>
      </c>
      <c r="L69" s="21"/>
    </row>
    <row r="70" spans="1:12" ht="15.5" x14ac:dyDescent="0.35">
      <c r="A70" s="22" t="s">
        <v>145</v>
      </c>
      <c r="B70" s="23">
        <v>0</v>
      </c>
      <c r="C70" s="23" t="s">
        <v>146</v>
      </c>
      <c r="D70" s="23">
        <v>1</v>
      </c>
      <c r="E70" s="102" t="s">
        <v>147</v>
      </c>
      <c r="F70" s="106"/>
      <c r="G70" s="23">
        <v>0</v>
      </c>
      <c r="H70" s="23" t="s">
        <v>148</v>
      </c>
      <c r="I70" s="102">
        <f ca="1">--TRIM(RIGHT(SUBSTITUTE(LEFT(C69,_xlfn.AGGREGATE(16,6,FIND({0,1,2,3,4,5,6,7,8,9},C69,ROW(INDIRECT("1:"&amp;LEN(C69)))),1))," ",REPT(" ",LEN(C69))),LEN(C69)))</f>
        <v>13</v>
      </c>
      <c r="J70" s="103"/>
      <c r="K70" s="24"/>
      <c r="L70" s="25"/>
    </row>
    <row r="71" spans="1:12" ht="32" customHeight="1" x14ac:dyDescent="0.35">
      <c r="A71" s="104" t="s">
        <v>149</v>
      </c>
      <c r="B71" s="105"/>
      <c r="C71" s="99" t="str">
        <f ca="1">K69</f>
        <v>Excavation work Completed. Plinth work completed, RCC Slab, Brickwork, Internal Plaster, External Plaster, Flooring upto 10 Floor, Painting upto 6 Floor Completed</v>
      </c>
      <c r="D71" s="100"/>
      <c r="E71" s="100"/>
      <c r="F71" s="100"/>
      <c r="G71" s="100"/>
      <c r="H71" s="100"/>
      <c r="I71" s="100"/>
      <c r="J71" s="101"/>
      <c r="K71" s="24" t="s">
        <v>150</v>
      </c>
      <c r="L71" s="25"/>
    </row>
    <row r="72" spans="1:12" ht="15.75" customHeight="1" x14ac:dyDescent="0.35">
      <c r="A72" s="95" t="s">
        <v>32</v>
      </c>
      <c r="B72" s="96"/>
      <c r="C72" s="33" t="s">
        <v>151</v>
      </c>
      <c r="D72" s="97" t="s">
        <v>152</v>
      </c>
      <c r="E72" s="97"/>
      <c r="F72" s="97" t="s">
        <v>153</v>
      </c>
      <c r="G72" s="97"/>
      <c r="H72" s="97" t="s">
        <v>154</v>
      </c>
      <c r="I72" s="97"/>
      <c r="J72" s="98"/>
      <c r="K72" s="26" t="s">
        <v>155</v>
      </c>
      <c r="L72" s="27">
        <f ca="1">I70*25%</f>
        <v>3.25</v>
      </c>
    </row>
    <row r="73" spans="1:12" ht="15.75" customHeight="1" x14ac:dyDescent="0.35">
      <c r="A73" s="68" t="s">
        <v>156</v>
      </c>
      <c r="B73" s="69"/>
      <c r="C73" s="34">
        <f ca="1">L74</f>
        <v>13</v>
      </c>
      <c r="D73" s="55">
        <f ca="1">((100/I70)*C73)/100</f>
        <v>1</v>
      </c>
      <c r="E73" s="56"/>
      <c r="F73" s="57">
        <f ca="1">(((C74/I70*10)+(40/(D70+G70+I70)*C75)+(7.5/(I70)*C76)+(7.5/(I70)*C77)+(10/I70*C78)+(10/I70*C79)+(5/I70*C80)+(5/I70*C81)+(5/I70*C82))/100)</f>
        <v>0.85</v>
      </c>
      <c r="G73" s="57"/>
      <c r="H73" s="59">
        <f ca="1">((((C73/I70)*20)+((C74/I70)*25)+(30/(I70+G70+D70)*C75)+(5/I70*C76)+(5/I70*C77)+(5/I70*C78)+(5/I70*C79)+(0/I70*C80)+(0/I70*C81)+(5/I70*C82))/100)</f>
        <v>0.93846153846153835</v>
      </c>
      <c r="I73" s="60"/>
      <c r="J73" s="61"/>
      <c r="K73" s="26" t="s">
        <v>157</v>
      </c>
      <c r="L73" s="28">
        <f ca="1">I70*50%</f>
        <v>6.5</v>
      </c>
    </row>
    <row r="74" spans="1:12" ht="15.5" x14ac:dyDescent="0.35">
      <c r="A74" s="68" t="s">
        <v>33</v>
      </c>
      <c r="B74" s="69"/>
      <c r="C74" s="35">
        <f ca="1">L82</f>
        <v>13</v>
      </c>
      <c r="D74" s="55">
        <f ca="1">((100/I70)*C74)/100</f>
        <v>1</v>
      </c>
      <c r="E74" s="56"/>
      <c r="F74" s="57"/>
      <c r="G74" s="57"/>
      <c r="H74" s="62"/>
      <c r="I74" s="63"/>
      <c r="J74" s="64"/>
      <c r="K74" s="26" t="s">
        <v>158</v>
      </c>
      <c r="L74" s="28">
        <f ca="1">I70</f>
        <v>13</v>
      </c>
    </row>
    <row r="75" spans="1:12" ht="15.75" customHeight="1" x14ac:dyDescent="0.35">
      <c r="A75" s="68" t="s">
        <v>176</v>
      </c>
      <c r="B75" s="69"/>
      <c r="C75" s="35">
        <v>14</v>
      </c>
      <c r="D75" s="55">
        <f ca="1">((100/(D70+G70+I70))*C75)/100</f>
        <v>1</v>
      </c>
      <c r="E75" s="56"/>
      <c r="F75" s="57"/>
      <c r="G75" s="57"/>
      <c r="H75" s="62"/>
      <c r="I75" s="63"/>
      <c r="J75" s="64"/>
      <c r="K75" s="26" t="s">
        <v>159</v>
      </c>
      <c r="L75" s="29">
        <f ca="1">(IF(B70&gt;1,(I70/(B70+2)),I70/4))</f>
        <v>3.25</v>
      </c>
    </row>
    <row r="76" spans="1:12" ht="15.75" customHeight="1" x14ac:dyDescent="0.35">
      <c r="A76" s="68" t="s">
        <v>160</v>
      </c>
      <c r="B76" s="69" t="s">
        <v>161</v>
      </c>
      <c r="C76" s="34">
        <v>13</v>
      </c>
      <c r="D76" s="55">
        <f ca="1">((100/I70)*C76)/100</f>
        <v>1</v>
      </c>
      <c r="E76" s="56"/>
      <c r="F76" s="57"/>
      <c r="G76" s="57"/>
      <c r="H76" s="62"/>
      <c r="I76" s="63"/>
      <c r="J76" s="64"/>
      <c r="K76" s="26" t="s">
        <v>162</v>
      </c>
      <c r="L76" s="29">
        <f ca="1">(IF(B70&gt;1,(I70/(B70+2)+L75),I70/4+L75))</f>
        <v>6.5</v>
      </c>
    </row>
    <row r="77" spans="1:12" ht="15" customHeight="1" x14ac:dyDescent="0.35">
      <c r="A77" s="68" t="s">
        <v>163</v>
      </c>
      <c r="B77" s="69" t="s">
        <v>161</v>
      </c>
      <c r="C77" s="34">
        <v>13</v>
      </c>
      <c r="D77" s="55">
        <f ca="1">((100/I70)*C77)/100</f>
        <v>1</v>
      </c>
      <c r="E77" s="56"/>
      <c r="F77" s="57"/>
      <c r="G77" s="57"/>
      <c r="H77" s="62"/>
      <c r="I77" s="63"/>
      <c r="J77" s="64"/>
      <c r="K77" s="26" t="s">
        <v>164</v>
      </c>
      <c r="L77" s="29">
        <f>(IF(B70&gt;1,(I70/(B70+2)+L76),0))</f>
        <v>0</v>
      </c>
    </row>
    <row r="78" spans="1:12" ht="15.75" customHeight="1" x14ac:dyDescent="0.35">
      <c r="A78" s="70" t="s">
        <v>165</v>
      </c>
      <c r="B78" s="71" t="s">
        <v>166</v>
      </c>
      <c r="C78" s="34">
        <v>13</v>
      </c>
      <c r="D78" s="55">
        <f ca="1">((100/(I70))*C78)/100</f>
        <v>1</v>
      </c>
      <c r="E78" s="56"/>
      <c r="F78" s="57"/>
      <c r="G78" s="57"/>
      <c r="H78" s="62"/>
      <c r="I78" s="63"/>
      <c r="J78" s="64"/>
      <c r="K78" s="26" t="s">
        <v>167</v>
      </c>
      <c r="L78" s="29">
        <f>(IF(B70&gt;2,(I70/(B70+2)+L77),0))</f>
        <v>0</v>
      </c>
    </row>
    <row r="79" spans="1:12" ht="15.75" customHeight="1" x14ac:dyDescent="0.35">
      <c r="A79" s="68" t="s">
        <v>168</v>
      </c>
      <c r="B79" s="69" t="s">
        <v>168</v>
      </c>
      <c r="C79" s="34">
        <v>10</v>
      </c>
      <c r="D79" s="55">
        <f ca="1">((100/I70)*C79)/100</f>
        <v>0.76923076923076916</v>
      </c>
      <c r="E79" s="56"/>
      <c r="F79" s="57"/>
      <c r="G79" s="57"/>
      <c r="H79" s="62"/>
      <c r="I79" s="63"/>
      <c r="J79" s="64"/>
      <c r="K79" s="26" t="s">
        <v>169</v>
      </c>
      <c r="L79" s="30">
        <f>(IF(B70&gt;3,(I70/(B70+2)+L78),0))</f>
        <v>0</v>
      </c>
    </row>
    <row r="80" spans="1:12" ht="15" customHeight="1" x14ac:dyDescent="0.35">
      <c r="A80" s="68" t="s">
        <v>170</v>
      </c>
      <c r="B80" s="69"/>
      <c r="C80" s="34">
        <v>6</v>
      </c>
      <c r="D80" s="55">
        <f ca="1">((100/I70)*C80)/100</f>
        <v>0.46153846153846151</v>
      </c>
      <c r="E80" s="56"/>
      <c r="F80" s="57"/>
      <c r="G80" s="57"/>
      <c r="H80" s="62"/>
      <c r="I80" s="63"/>
      <c r="J80" s="64"/>
      <c r="K80" s="26" t="s">
        <v>171</v>
      </c>
      <c r="L80" s="29">
        <f>(IF(B70&gt;4,(I70/(B70+2)+L79),0))</f>
        <v>0</v>
      </c>
    </row>
    <row r="81" spans="1:12" ht="15.75" customHeight="1" x14ac:dyDescent="0.35">
      <c r="A81" s="68" t="s">
        <v>172</v>
      </c>
      <c r="B81" s="69" t="s">
        <v>172</v>
      </c>
      <c r="C81" s="34">
        <v>0</v>
      </c>
      <c r="D81" s="55">
        <f ca="1">((100/(I70))*C81)/100</f>
        <v>0</v>
      </c>
      <c r="E81" s="56"/>
      <c r="F81" s="57"/>
      <c r="G81" s="57"/>
      <c r="H81" s="62"/>
      <c r="I81" s="63"/>
      <c r="J81" s="64"/>
      <c r="K81" s="26" t="s">
        <v>173</v>
      </c>
      <c r="L81" s="29">
        <f ca="1">(IF(B70=1,(I70/(B70+3)+L76),IF(B70=0,(I70/4+L76),IF(B70&gt;1,0))))</f>
        <v>9.75</v>
      </c>
    </row>
    <row r="82" spans="1:12" ht="16.5" customHeight="1" thickBot="1" x14ac:dyDescent="0.4">
      <c r="A82" s="137" t="s">
        <v>174</v>
      </c>
      <c r="B82" s="138"/>
      <c r="C82" s="36">
        <v>0</v>
      </c>
      <c r="D82" s="128">
        <f ca="1">((100/(I70))*C82)/100</f>
        <v>0</v>
      </c>
      <c r="E82" s="129"/>
      <c r="F82" s="58"/>
      <c r="G82" s="58"/>
      <c r="H82" s="65"/>
      <c r="I82" s="66"/>
      <c r="J82" s="67"/>
      <c r="K82" s="31" t="s">
        <v>175</v>
      </c>
      <c r="L82" s="32">
        <f ca="1">(IF(B70&gt;1.5,(I70/(B70+2)+L76+MAX(0,L77-L76)+MAX(0,L78-L77)+MAX(0,L79-L78)+MAX(0,L80-L79)+MAX(0,L81-L80)),IF(B70=1,(I70/(B70+3)+L81),IF(B70=0,I70/4+L81))))</f>
        <v>13</v>
      </c>
    </row>
    <row r="83" spans="1:12" x14ac:dyDescent="0.35">
      <c r="A83" s="125" t="s">
        <v>54</v>
      </c>
      <c r="B83" s="126"/>
      <c r="C83" s="126"/>
      <c r="D83" s="126"/>
      <c r="E83" s="126"/>
      <c r="F83" s="126"/>
      <c r="G83" s="126"/>
      <c r="H83" s="126"/>
      <c r="I83" s="126"/>
      <c r="J83" s="127"/>
    </row>
    <row r="84" spans="1:12" x14ac:dyDescent="0.35">
      <c r="A84" s="72" t="s">
        <v>47</v>
      </c>
      <c r="B84" s="72"/>
      <c r="C84" s="72"/>
      <c r="D84" s="72"/>
      <c r="E84" s="72"/>
      <c r="F84" s="72"/>
      <c r="G84" s="72"/>
      <c r="H84" s="72"/>
      <c r="I84" s="72"/>
      <c r="J84" s="72"/>
    </row>
    <row r="85" spans="1:12" ht="15" customHeight="1" x14ac:dyDescent="0.35">
      <c r="A85" s="251" t="s">
        <v>242</v>
      </c>
      <c r="B85" s="251"/>
      <c r="C85" s="251"/>
      <c r="D85" s="251"/>
      <c r="E85" s="251"/>
      <c r="F85" s="251"/>
      <c r="G85" s="251"/>
      <c r="H85" s="251"/>
      <c r="I85" s="251"/>
      <c r="J85" s="251"/>
    </row>
    <row r="86" spans="1:12" x14ac:dyDescent="0.35">
      <c r="A86" s="251"/>
      <c r="B86" s="251"/>
      <c r="C86" s="251"/>
      <c r="D86" s="251"/>
      <c r="E86" s="251"/>
      <c r="F86" s="251"/>
      <c r="G86" s="251"/>
      <c r="H86" s="251"/>
      <c r="I86" s="251"/>
      <c r="J86" s="251"/>
    </row>
    <row r="87" spans="1:12" ht="2.25" customHeight="1" x14ac:dyDescent="0.35">
      <c r="A87" s="251"/>
      <c r="B87" s="251"/>
      <c r="C87" s="251"/>
      <c r="D87" s="251"/>
      <c r="E87" s="251"/>
      <c r="F87" s="251"/>
      <c r="G87" s="251"/>
      <c r="H87" s="251"/>
      <c r="I87" s="251"/>
      <c r="J87" s="251"/>
    </row>
    <row r="88" spans="1:12" x14ac:dyDescent="0.35">
      <c r="A88" s="165" t="s">
        <v>23</v>
      </c>
      <c r="B88" s="165"/>
      <c r="C88" s="165"/>
      <c r="D88" s="165"/>
      <c r="E88" s="165"/>
      <c r="F88" s="165"/>
      <c r="G88" s="165"/>
      <c r="H88" s="165"/>
      <c r="I88" s="165"/>
      <c r="J88" s="165"/>
    </row>
    <row r="89" spans="1:12" x14ac:dyDescent="0.35">
      <c r="A89" s="72" t="s">
        <v>75</v>
      </c>
      <c r="B89" s="132"/>
      <c r="C89" s="132"/>
      <c r="D89" s="132"/>
      <c r="E89" s="132"/>
      <c r="F89" s="132"/>
      <c r="G89" s="227">
        <v>5350</v>
      </c>
      <c r="H89" s="227"/>
      <c r="I89" s="227"/>
      <c r="J89" s="227"/>
    </row>
    <row r="90" spans="1:12" x14ac:dyDescent="0.35">
      <c r="A90" s="72" t="s">
        <v>142</v>
      </c>
      <c r="B90" s="132"/>
      <c r="C90" s="132"/>
      <c r="D90" s="132"/>
      <c r="E90" s="132"/>
      <c r="F90" s="132"/>
      <c r="G90" s="227" t="s">
        <v>143</v>
      </c>
      <c r="H90" s="227"/>
      <c r="I90" s="227"/>
      <c r="J90" s="227"/>
    </row>
    <row r="91" spans="1:12" x14ac:dyDescent="0.35">
      <c r="A91" s="72" t="s">
        <v>69</v>
      </c>
      <c r="B91" s="132"/>
      <c r="C91" s="132"/>
      <c r="D91" s="132"/>
      <c r="E91" s="132"/>
      <c r="F91" s="132"/>
      <c r="G91" s="221" t="s">
        <v>137</v>
      </c>
      <c r="H91" s="221"/>
      <c r="I91" s="221"/>
      <c r="J91" s="221"/>
    </row>
    <row r="92" spans="1:12" ht="17.25" hidden="1" customHeight="1" x14ac:dyDescent="0.35">
      <c r="A92" s="72" t="s">
        <v>81</v>
      </c>
      <c r="B92" s="72"/>
      <c r="C92" s="72"/>
      <c r="D92" s="72"/>
      <c r="E92" s="72"/>
      <c r="F92" s="72"/>
      <c r="G92" s="221" t="s">
        <v>48</v>
      </c>
      <c r="H92" s="221"/>
      <c r="I92" s="221"/>
      <c r="J92" s="221"/>
    </row>
    <row r="93" spans="1:12" ht="17.25" hidden="1" customHeight="1" x14ac:dyDescent="0.35">
      <c r="A93" s="72" t="s">
        <v>82</v>
      </c>
      <c r="B93" s="72"/>
      <c r="C93" s="72"/>
      <c r="D93" s="72"/>
      <c r="E93" s="72"/>
      <c r="F93" s="72"/>
      <c r="G93" s="221" t="s">
        <v>48</v>
      </c>
      <c r="H93" s="221"/>
      <c r="I93" s="221"/>
      <c r="J93" s="221"/>
    </row>
    <row r="94" spans="1:12" hidden="1" x14ac:dyDescent="0.35">
      <c r="A94" s="48" t="s">
        <v>139</v>
      </c>
      <c r="B94" s="48"/>
      <c r="C94" s="48"/>
      <c r="D94" s="48"/>
      <c r="E94" s="48"/>
      <c r="F94" s="48"/>
      <c r="G94" s="221" t="s">
        <v>48</v>
      </c>
      <c r="H94" s="221"/>
      <c r="I94" s="221"/>
      <c r="J94" s="221"/>
    </row>
    <row r="95" spans="1:12" ht="15" customHeight="1" x14ac:dyDescent="0.35">
      <c r="A95" s="72" t="s">
        <v>71</v>
      </c>
      <c r="B95" s="72"/>
      <c r="C95" s="72"/>
      <c r="D95" s="72"/>
      <c r="E95" s="72"/>
      <c r="F95" s="72"/>
      <c r="G95" s="221" t="s">
        <v>180</v>
      </c>
      <c r="H95" s="221"/>
      <c r="I95" s="221"/>
      <c r="J95" s="221"/>
    </row>
    <row r="96" spans="1:12" ht="17.25" customHeight="1" x14ac:dyDescent="0.35">
      <c r="A96" s="72" t="s">
        <v>73</v>
      </c>
      <c r="B96" s="132"/>
      <c r="C96" s="132"/>
      <c r="D96" s="132"/>
      <c r="E96" s="132"/>
      <c r="F96" s="132"/>
      <c r="G96" s="221" t="s">
        <v>141</v>
      </c>
      <c r="H96" s="221"/>
      <c r="I96" s="221"/>
      <c r="J96" s="221"/>
    </row>
    <row r="97" spans="1:12" ht="15" customHeight="1" x14ac:dyDescent="0.35">
      <c r="A97" s="72" t="s">
        <v>138</v>
      </c>
      <c r="B97" s="72"/>
      <c r="C97" s="72"/>
      <c r="D97" s="72"/>
      <c r="E97" s="72"/>
      <c r="F97" s="72"/>
      <c r="G97" s="221" t="s">
        <v>181</v>
      </c>
      <c r="H97" s="221"/>
      <c r="I97" s="221"/>
      <c r="J97" s="221"/>
    </row>
    <row r="98" spans="1:12" ht="17.25" hidden="1" customHeight="1" x14ac:dyDescent="0.35">
      <c r="A98" s="72" t="s">
        <v>24</v>
      </c>
      <c r="B98" s="72"/>
      <c r="C98" s="72"/>
      <c r="D98" s="72"/>
      <c r="E98" s="72"/>
      <c r="F98" s="72"/>
      <c r="G98" s="221" t="s">
        <v>48</v>
      </c>
      <c r="H98" s="221"/>
      <c r="I98" s="221"/>
      <c r="J98" s="221"/>
    </row>
    <row r="99" spans="1:12" s="1" customFormat="1" ht="14.25" customHeight="1" x14ac:dyDescent="0.35">
      <c r="A99" s="165" t="s">
        <v>83</v>
      </c>
      <c r="B99" s="243"/>
      <c r="C99" s="243"/>
      <c r="D99" s="243"/>
      <c r="E99" s="243"/>
      <c r="F99" s="243"/>
      <c r="G99" s="227">
        <f>G89*0.8</f>
        <v>4280</v>
      </c>
      <c r="H99" s="227"/>
      <c r="I99" s="227"/>
      <c r="J99" s="227"/>
    </row>
    <row r="100" spans="1:12" s="1" customFormat="1" ht="15" x14ac:dyDescent="0.35">
      <c r="A100" s="224" t="s">
        <v>240</v>
      </c>
      <c r="B100" s="224"/>
      <c r="C100" s="224"/>
      <c r="D100" s="224"/>
      <c r="E100" s="224"/>
      <c r="F100" s="224"/>
      <c r="G100" s="224"/>
      <c r="H100" s="224"/>
      <c r="I100" s="224"/>
      <c r="J100" s="224"/>
    </row>
    <row r="101" spans="1:12" s="1" customFormat="1" ht="15" x14ac:dyDescent="0.35">
      <c r="A101" s="224" t="s">
        <v>207</v>
      </c>
      <c r="B101" s="224"/>
      <c r="C101" s="224" t="s">
        <v>208</v>
      </c>
      <c r="D101" s="224"/>
      <c r="E101" s="224"/>
      <c r="F101" s="224" t="s">
        <v>209</v>
      </c>
      <c r="G101" s="224"/>
      <c r="H101" s="224"/>
      <c r="I101" s="224" t="s">
        <v>210</v>
      </c>
      <c r="J101" s="224"/>
    </row>
    <row r="102" spans="1:12" s="1" customFormat="1" ht="15.5" x14ac:dyDescent="0.35">
      <c r="A102" s="222" t="s">
        <v>105</v>
      </c>
      <c r="B102" s="222"/>
      <c r="C102" s="225">
        <f>COUNT(D121:E126)</f>
        <v>6</v>
      </c>
      <c r="D102" s="225"/>
      <c r="E102" s="225"/>
      <c r="F102" s="225">
        <f>SUM(D121:E126)</f>
        <v>1031.4064799999999</v>
      </c>
      <c r="G102" s="225"/>
      <c r="H102" s="225"/>
      <c r="I102" s="225">
        <f>SUM(G121:G126)</f>
        <v>1547.1097199999999</v>
      </c>
      <c r="J102" s="225"/>
    </row>
    <row r="103" spans="1:12" s="1" customFormat="1" ht="15.5" x14ac:dyDescent="0.35">
      <c r="A103" s="222" t="s">
        <v>229</v>
      </c>
      <c r="B103" s="222"/>
      <c r="C103" s="225">
        <f>COUNT(D159:E172)</f>
        <v>14</v>
      </c>
      <c r="D103" s="225"/>
      <c r="E103" s="225"/>
      <c r="F103" s="225">
        <f>SUM(D159:E172)</f>
        <v>2398.0039199999997</v>
      </c>
      <c r="G103" s="225"/>
      <c r="H103" s="225"/>
      <c r="I103" s="225">
        <f>SUM(G159:G172)</f>
        <v>3597.0058799999997</v>
      </c>
      <c r="J103" s="225"/>
    </row>
    <row r="104" spans="1:12" s="1" customFormat="1" ht="15" x14ac:dyDescent="0.35">
      <c r="A104" s="224" t="s">
        <v>211</v>
      </c>
      <c r="B104" s="224"/>
      <c r="C104" s="226">
        <f>C102+C103</f>
        <v>20</v>
      </c>
      <c r="D104" s="224"/>
      <c r="E104" s="224"/>
      <c r="F104" s="226">
        <f>F102+F103</f>
        <v>3429.4103999999998</v>
      </c>
      <c r="G104" s="224"/>
      <c r="H104" s="224"/>
      <c r="I104" s="226">
        <f>I102+I103</f>
        <v>5144.1155999999992</v>
      </c>
      <c r="J104" s="224"/>
    </row>
    <row r="105" spans="1:12" s="1" customFormat="1" ht="15" x14ac:dyDescent="0.35">
      <c r="A105" s="223" t="s">
        <v>236</v>
      </c>
      <c r="B105" s="224"/>
      <c r="C105" s="224"/>
      <c r="D105" s="224"/>
      <c r="E105" s="224"/>
      <c r="F105" s="224"/>
      <c r="G105" s="224"/>
      <c r="H105" s="224"/>
      <c r="I105" s="224"/>
      <c r="J105" s="224"/>
    </row>
    <row r="106" spans="1:12" s="1" customFormat="1" ht="15" x14ac:dyDescent="0.35">
      <c r="A106" s="224" t="s">
        <v>207</v>
      </c>
      <c r="B106" s="224"/>
      <c r="C106" s="224" t="s">
        <v>208</v>
      </c>
      <c r="D106" s="224"/>
      <c r="E106" s="224"/>
      <c r="F106" s="224" t="s">
        <v>209</v>
      </c>
      <c r="G106" s="224"/>
      <c r="H106" s="224"/>
      <c r="I106" s="224" t="s">
        <v>210</v>
      </c>
      <c r="J106" s="224"/>
    </row>
    <row r="107" spans="1:12" s="1" customFormat="1" ht="15.5" x14ac:dyDescent="0.35">
      <c r="A107" s="222" t="s">
        <v>105</v>
      </c>
      <c r="B107" s="222"/>
      <c r="C107" s="225">
        <f>COUNT(D128:E131)*7+COUNT(D133:E134,D136)+COUNT(D138:E141)+COUNT(D143:E146)+COUNT(D148)*2+COUNT(D153:E154,D156)</f>
        <v>44</v>
      </c>
      <c r="D107" s="225"/>
      <c r="E107" s="225"/>
      <c r="F107" s="225">
        <f>SUM(D128:E131)*7+SUM(D133:E134,D136)+SUM(D138:E141)+SUM(D143:E146)+SUM(D148)*2+SUM(D153:E154,D156)</f>
        <v>21050.272151999994</v>
      </c>
      <c r="G107" s="225"/>
      <c r="H107" s="225"/>
      <c r="I107" s="225">
        <f>SUM(G128:H131)*7+SUM(G133:H134,G136)+SUM(G138:H141)+SUM(G143:H146)+SUM(G148)*2+SUM(G153:H154,G156)</f>
        <v>30522.894620400002</v>
      </c>
      <c r="J107" s="225"/>
      <c r="K107" s="1">
        <f>13*4-2</f>
        <v>50</v>
      </c>
      <c r="L107" s="45">
        <f>C107+C112</f>
        <v>50</v>
      </c>
    </row>
    <row r="108" spans="1:12" s="1" customFormat="1" ht="15.5" x14ac:dyDescent="0.35">
      <c r="A108" s="222" t="s">
        <v>229</v>
      </c>
      <c r="B108" s="222"/>
      <c r="C108" s="225">
        <f>COUNT(D174:E179)*7+COUNT(D181:E185)+COUNT(D188:E193)+COUNT(D196:E198)*2+COUNT(D202:E207)+COUNT(D209:E212)</f>
        <v>69</v>
      </c>
      <c r="D108" s="225"/>
      <c r="E108" s="225"/>
      <c r="F108" s="225">
        <f>SUM(D174:E179)*7+SUM(D181:E185)+SUM(D188:E193)+SUM(D196:E198)*2+SUM(D202:E207)+SUM(D209:E212)</f>
        <v>34970.083200000001</v>
      </c>
      <c r="G108" s="225"/>
      <c r="H108" s="225"/>
      <c r="I108" s="225">
        <f>SUM(G174:H179)*7+SUM(G181:H185)+SUM(G188:H193)+SUM(G196:H198)*2+SUM(G202:H207)+SUM(G209:H212)</f>
        <v>50706.620639999994</v>
      </c>
      <c r="J108" s="225"/>
      <c r="K108" s="1">
        <f>13*6-3</f>
        <v>75</v>
      </c>
      <c r="L108" s="45">
        <f>C108+C113</f>
        <v>75</v>
      </c>
    </row>
    <row r="109" spans="1:12" s="1" customFormat="1" ht="15" x14ac:dyDescent="0.35">
      <c r="A109" s="224" t="s">
        <v>211</v>
      </c>
      <c r="B109" s="224"/>
      <c r="C109" s="226">
        <f>C107+C108</f>
        <v>113</v>
      </c>
      <c r="D109" s="224"/>
      <c r="E109" s="224"/>
      <c r="F109" s="226">
        <f>F107+F108</f>
        <v>56020.355351999999</v>
      </c>
      <c r="G109" s="224"/>
      <c r="H109" s="224"/>
      <c r="I109" s="226">
        <f>I107+I108</f>
        <v>81229.515260399989</v>
      </c>
      <c r="J109" s="224"/>
    </row>
    <row r="110" spans="1:12" s="1" customFormat="1" ht="15" x14ac:dyDescent="0.35">
      <c r="A110" s="223" t="s">
        <v>237</v>
      </c>
      <c r="B110" s="224"/>
      <c r="C110" s="224"/>
      <c r="D110" s="224"/>
      <c r="E110" s="224"/>
      <c r="F110" s="224"/>
      <c r="G110" s="224"/>
      <c r="H110" s="224"/>
      <c r="I110" s="224"/>
      <c r="J110" s="224"/>
    </row>
    <row r="111" spans="1:12" s="1" customFormat="1" ht="15.75" customHeight="1" x14ac:dyDescent="0.35">
      <c r="A111" s="224" t="s">
        <v>207</v>
      </c>
      <c r="B111" s="224"/>
      <c r="C111" s="224" t="s">
        <v>208</v>
      </c>
      <c r="D111" s="224"/>
      <c r="E111" s="224"/>
      <c r="F111" s="224" t="s">
        <v>209</v>
      </c>
      <c r="G111" s="224"/>
      <c r="H111" s="224"/>
      <c r="I111" s="224" t="s">
        <v>210</v>
      </c>
      <c r="J111" s="224"/>
    </row>
    <row r="112" spans="1:12" s="1" customFormat="1" ht="15.5" x14ac:dyDescent="0.35">
      <c r="A112" s="222" t="s">
        <v>105</v>
      </c>
      <c r="B112" s="222"/>
      <c r="C112" s="225">
        <f>COUNT(D149:E151)*2</f>
        <v>6</v>
      </c>
      <c r="D112" s="225"/>
      <c r="E112" s="225"/>
      <c r="F112" s="225">
        <f>SUM(D149:E151)*2</f>
        <v>2595.8247119999996</v>
      </c>
      <c r="G112" s="225"/>
      <c r="H112" s="225"/>
      <c r="I112" s="225">
        <f>SUM(G149:H151)*2</f>
        <v>3763.9458323999993</v>
      </c>
      <c r="J112" s="225"/>
    </row>
    <row r="113" spans="1:12" s="1" customFormat="1" ht="15.5" x14ac:dyDescent="0.35">
      <c r="A113" s="222" t="s">
        <v>229</v>
      </c>
      <c r="B113" s="222"/>
      <c r="C113" s="225">
        <f>COUNT(D195,D199:E200)*2</f>
        <v>6</v>
      </c>
      <c r="D113" s="225"/>
      <c r="E113" s="225"/>
      <c r="F113" s="225">
        <f>SUM(D195,D199:E200)*2</f>
        <v>2619.8499599999996</v>
      </c>
      <c r="G113" s="225"/>
      <c r="H113" s="225"/>
      <c r="I113" s="225">
        <f>SUM(G195,G199:G200)*2</f>
        <v>3798.7824419999993</v>
      </c>
      <c r="J113" s="225"/>
    </row>
    <row r="114" spans="1:12" s="1" customFormat="1" ht="15" x14ac:dyDescent="0.35">
      <c r="A114" s="224" t="s">
        <v>211</v>
      </c>
      <c r="B114" s="224"/>
      <c r="C114" s="226">
        <f t="shared" ref="C114:F114" si="0">SUM(C112:E113)</f>
        <v>12</v>
      </c>
      <c r="D114" s="224"/>
      <c r="E114" s="224"/>
      <c r="F114" s="226">
        <f t="shared" si="0"/>
        <v>5215.6746719999992</v>
      </c>
      <c r="G114" s="224"/>
      <c r="H114" s="224"/>
      <c r="I114" s="226">
        <f>SUM(I111:K112)</f>
        <v>3763.9458323999993</v>
      </c>
      <c r="J114" s="224"/>
    </row>
    <row r="115" spans="1:12" s="1" customFormat="1" ht="15" x14ac:dyDescent="0.35">
      <c r="A115" s="224" t="s">
        <v>235</v>
      </c>
      <c r="B115" s="224"/>
      <c r="C115" s="226">
        <f>C104+C109+C114</f>
        <v>145</v>
      </c>
      <c r="D115" s="224"/>
      <c r="E115" s="224"/>
      <c r="F115" s="226">
        <f>F104+F109+F114</f>
        <v>64665.440424</v>
      </c>
      <c r="G115" s="224"/>
      <c r="H115" s="224"/>
      <c r="I115" s="226">
        <f>I104+I109+I114</f>
        <v>90137.576692799994</v>
      </c>
      <c r="J115" s="224"/>
    </row>
    <row r="116" spans="1:12" ht="15" x14ac:dyDescent="0.35">
      <c r="A116" s="224" t="s">
        <v>224</v>
      </c>
      <c r="B116" s="224"/>
      <c r="C116" s="224"/>
      <c r="D116" s="224"/>
      <c r="E116" s="224"/>
      <c r="F116" s="224"/>
      <c r="G116" s="224"/>
      <c r="H116" s="224"/>
      <c r="I116" s="224"/>
      <c r="J116" s="224"/>
    </row>
    <row r="117" spans="1:12" ht="15.5" x14ac:dyDescent="0.35">
      <c r="A117" s="184" t="s">
        <v>225</v>
      </c>
      <c r="B117" s="234"/>
      <c r="C117" s="234"/>
      <c r="D117" s="234"/>
      <c r="E117" s="234"/>
      <c r="F117" s="234"/>
      <c r="G117" s="234"/>
      <c r="H117" s="234"/>
      <c r="I117" s="234"/>
      <c r="J117" s="185"/>
      <c r="K117" s="110">
        <v>10.763999999999999</v>
      </c>
      <c r="L117" s="111"/>
    </row>
    <row r="118" spans="1:12" ht="42" x14ac:dyDescent="0.35">
      <c r="A118" s="42" t="s">
        <v>226</v>
      </c>
      <c r="B118" s="6" t="s">
        <v>227</v>
      </c>
      <c r="C118" s="6" t="s">
        <v>28</v>
      </c>
      <c r="D118" s="241" t="s">
        <v>72</v>
      </c>
      <c r="E118" s="242"/>
      <c r="F118" s="41" t="s">
        <v>29</v>
      </c>
      <c r="G118" s="6" t="s">
        <v>104</v>
      </c>
      <c r="H118" s="6" t="s">
        <v>30</v>
      </c>
      <c r="I118" s="235" t="s">
        <v>84</v>
      </c>
      <c r="J118" s="236"/>
    </row>
    <row r="119" spans="1:12" ht="15" x14ac:dyDescent="0.35">
      <c r="A119" s="228" t="s">
        <v>105</v>
      </c>
      <c r="B119" s="229"/>
      <c r="C119" s="229"/>
      <c r="D119" s="229"/>
      <c r="E119" s="229"/>
      <c r="F119" s="229"/>
      <c r="G119" s="229"/>
      <c r="H119" s="229"/>
      <c r="I119" s="229"/>
      <c r="J119" s="230"/>
    </row>
    <row r="120" spans="1:12" ht="15" x14ac:dyDescent="0.35">
      <c r="A120" s="240" t="s">
        <v>230</v>
      </c>
      <c r="B120" s="108"/>
      <c r="C120" s="108"/>
      <c r="D120" s="108"/>
      <c r="E120" s="108"/>
      <c r="F120" s="108"/>
      <c r="G120" s="108"/>
      <c r="H120" s="108"/>
      <c r="I120" s="108"/>
      <c r="J120" s="109"/>
    </row>
    <row r="121" spans="1:12" ht="15.5" x14ac:dyDescent="0.35">
      <c r="A121" s="43">
        <v>15</v>
      </c>
      <c r="B121" s="44" t="s">
        <v>228</v>
      </c>
      <c r="C121" s="8" t="s">
        <v>94</v>
      </c>
      <c r="D121" s="110">
        <f>(3*3+0.9*3)*10.764</f>
        <v>125.93879999999999</v>
      </c>
      <c r="E121" s="111"/>
      <c r="F121" s="8">
        <v>0</v>
      </c>
      <c r="G121" s="8">
        <f>D121*1.5+F121</f>
        <v>188.90819999999997</v>
      </c>
      <c r="H121" s="8" t="s">
        <v>48</v>
      </c>
      <c r="I121" s="112" t="str">
        <f>A120</f>
        <v>Ground Floor For Commercial &amp; Parking</v>
      </c>
      <c r="J121" s="113"/>
    </row>
    <row r="122" spans="1:12" ht="15.5" x14ac:dyDescent="0.35">
      <c r="A122" s="43">
        <v>16</v>
      </c>
      <c r="B122" s="44" t="s">
        <v>228</v>
      </c>
      <c r="C122" s="8" t="s">
        <v>94</v>
      </c>
      <c r="D122" s="110">
        <f>(5.25*2.25+1.05*1.2+0.9*2.25)*10.764</f>
        <v>162.50949</v>
      </c>
      <c r="E122" s="111"/>
      <c r="F122" s="8">
        <v>0</v>
      </c>
      <c r="G122" s="8">
        <f t="shared" ref="G122:G126" si="1">D122*1.5+F122</f>
        <v>243.76423499999999</v>
      </c>
      <c r="H122" s="8" t="s">
        <v>48</v>
      </c>
      <c r="I122" s="114"/>
      <c r="J122" s="115"/>
    </row>
    <row r="123" spans="1:12" ht="15.5" x14ac:dyDescent="0.35">
      <c r="A123" s="43">
        <v>17</v>
      </c>
      <c r="B123" s="44" t="s">
        <v>228</v>
      </c>
      <c r="C123" s="8" t="s">
        <v>94</v>
      </c>
      <c r="D123" s="110">
        <f>(3.65*3+0.9*3)*10.764</f>
        <v>146.92859999999999</v>
      </c>
      <c r="E123" s="111"/>
      <c r="F123" s="8">
        <v>0</v>
      </c>
      <c r="G123" s="8">
        <f t="shared" si="1"/>
        <v>220.3929</v>
      </c>
      <c r="H123" s="8" t="s">
        <v>48</v>
      </c>
      <c r="I123" s="114"/>
      <c r="J123" s="115"/>
    </row>
    <row r="124" spans="1:12" ht="15.5" x14ac:dyDescent="0.35">
      <c r="A124" s="43">
        <v>18</v>
      </c>
      <c r="B124" s="44" t="s">
        <v>228</v>
      </c>
      <c r="C124" s="8" t="s">
        <v>94</v>
      </c>
      <c r="D124" s="110">
        <f>(3.65*3+0.9*3)*10.764</f>
        <v>146.92859999999999</v>
      </c>
      <c r="E124" s="111"/>
      <c r="F124" s="8">
        <v>0</v>
      </c>
      <c r="G124" s="8">
        <f t="shared" si="1"/>
        <v>220.3929</v>
      </c>
      <c r="H124" s="8" t="s">
        <v>48</v>
      </c>
      <c r="I124" s="114"/>
      <c r="J124" s="115"/>
    </row>
    <row r="125" spans="1:12" ht="15.5" x14ac:dyDescent="0.35">
      <c r="A125" s="43">
        <v>19</v>
      </c>
      <c r="B125" s="44" t="s">
        <v>228</v>
      </c>
      <c r="C125" s="8" t="s">
        <v>94</v>
      </c>
      <c r="D125" s="110">
        <f>(2.25*3.75+2.65*3.5+0.9*3.75)*10.764</f>
        <v>226.98584999999997</v>
      </c>
      <c r="E125" s="111"/>
      <c r="F125" s="8">
        <v>0</v>
      </c>
      <c r="G125" s="8">
        <f t="shared" si="1"/>
        <v>340.47877499999993</v>
      </c>
      <c r="H125" s="8" t="s">
        <v>48</v>
      </c>
      <c r="I125" s="114"/>
      <c r="J125" s="115"/>
    </row>
    <row r="126" spans="1:12" ht="15.5" x14ac:dyDescent="0.35">
      <c r="A126" s="43">
        <v>20</v>
      </c>
      <c r="B126" s="44" t="s">
        <v>228</v>
      </c>
      <c r="C126" s="8" t="s">
        <v>94</v>
      </c>
      <c r="D126" s="110">
        <f>(2.5*3.2+3.5*2.8+3.15*0.9)*10.764</f>
        <v>222.11513999999997</v>
      </c>
      <c r="E126" s="111"/>
      <c r="F126" s="8">
        <v>0</v>
      </c>
      <c r="G126" s="8">
        <f t="shared" si="1"/>
        <v>333.17270999999994</v>
      </c>
      <c r="H126" s="8" t="s">
        <v>48</v>
      </c>
      <c r="I126" s="114"/>
      <c r="J126" s="115"/>
    </row>
    <row r="127" spans="1:12" ht="15" x14ac:dyDescent="0.35">
      <c r="A127" s="107" t="s">
        <v>232</v>
      </c>
      <c r="B127" s="108"/>
      <c r="C127" s="108"/>
      <c r="D127" s="108"/>
      <c r="E127" s="108"/>
      <c r="F127" s="108"/>
      <c r="G127" s="108"/>
      <c r="H127" s="108"/>
      <c r="I127" s="108"/>
      <c r="J127" s="109"/>
      <c r="K127" s="9">
        <f>3.35*3+2.5*2.4+2.4*3+3.2*2.8+1.2*2.45+1.25*2.15+0.9*1.2+2.15+2.65*1.25+2*(0.45+0.55)+2*0.45*2</f>
        <v>48.179999999999993</v>
      </c>
      <c r="L127">
        <f>3.35*3+2.5*2.4+2.4*3+3.2*2.8+1.2*2.45+1.25*2.15+0.9*1.2+2.15+2.65*1.25+2*(0.45+0.55)+3+0.9*(2.4+3)</f>
        <v>54.239999999999995</v>
      </c>
    </row>
    <row r="128" spans="1:12" ht="15.5" x14ac:dyDescent="0.35">
      <c r="A128" s="8">
        <v>1</v>
      </c>
      <c r="B128" s="44" t="s">
        <v>228</v>
      </c>
      <c r="C128" s="8" t="s">
        <v>107</v>
      </c>
      <c r="D128" s="110">
        <f>(52.45+(3+2.4+3))*10.764</f>
        <v>654.98939999999993</v>
      </c>
      <c r="E128" s="111"/>
      <c r="F128" s="8">
        <v>0</v>
      </c>
      <c r="G128" s="8">
        <f>D128*1.45+F128</f>
        <v>949.73462999999992</v>
      </c>
      <c r="H128" s="8" t="s">
        <v>48</v>
      </c>
      <c r="I128" s="112" t="str">
        <f>A127</f>
        <v>1st to 7th Floor</v>
      </c>
      <c r="J128" s="113"/>
      <c r="K128">
        <f>3.35*3+2.4*2.25+3*3+1.2*(2.25+0.9)+0.5*2.2</f>
        <v>29.330000000000002</v>
      </c>
    </row>
    <row r="129" spans="1:12" ht="15.5" x14ac:dyDescent="0.35">
      <c r="A129" s="8">
        <v>2</v>
      </c>
      <c r="B129" s="44" t="s">
        <v>228</v>
      </c>
      <c r="C129" s="8" t="s">
        <v>108</v>
      </c>
      <c r="D129" s="110">
        <f>(33.15+(3+2.25))*10.764</f>
        <v>413.33759999999995</v>
      </c>
      <c r="E129" s="111"/>
      <c r="F129" s="8">
        <v>0</v>
      </c>
      <c r="G129" s="8">
        <f>D129*1.45+F129</f>
        <v>599.33951999999988</v>
      </c>
      <c r="H129" s="8" t="s">
        <v>48</v>
      </c>
      <c r="I129" s="114"/>
      <c r="J129" s="115"/>
    </row>
    <row r="130" spans="1:12" ht="15.5" x14ac:dyDescent="0.35">
      <c r="A130" s="8">
        <v>3</v>
      </c>
      <c r="B130" s="44" t="s">
        <v>228</v>
      </c>
      <c r="C130" s="8" t="s">
        <v>108</v>
      </c>
      <c r="D130" s="110">
        <f>(32.94+(3+2.25))*10.764</f>
        <v>411.07715999999994</v>
      </c>
      <c r="E130" s="111"/>
      <c r="F130" s="8">
        <v>0</v>
      </c>
      <c r="G130" s="8">
        <f>D130*1.45+F130</f>
        <v>596.06188199999985</v>
      </c>
      <c r="H130" s="8" t="s">
        <v>48</v>
      </c>
      <c r="I130" s="114"/>
      <c r="J130" s="115"/>
      <c r="K130">
        <f>3.05*2.85+3*3.15+1.2*(1.8+0.9)+0.9*0.9+2.1*1.5+0.5*2.1+2.1</f>
        <v>28.492500000000003</v>
      </c>
    </row>
    <row r="131" spans="1:12" ht="15.5" x14ac:dyDescent="0.35">
      <c r="A131" s="8">
        <v>4</v>
      </c>
      <c r="B131" s="44" t="s">
        <v>228</v>
      </c>
      <c r="C131" s="8" t="s">
        <v>106</v>
      </c>
      <c r="D131" s="110">
        <f>(30.83+2*1.35)*10.764</f>
        <v>360.91692</v>
      </c>
      <c r="E131" s="111"/>
      <c r="F131" s="8">
        <v>0</v>
      </c>
      <c r="G131" s="8">
        <f>D131*1.45+F131</f>
        <v>523.32953399999997</v>
      </c>
      <c r="H131" s="8" t="s">
        <v>48</v>
      </c>
      <c r="I131" s="116"/>
      <c r="J131" s="117"/>
    </row>
    <row r="132" spans="1:12" ht="15" x14ac:dyDescent="0.35">
      <c r="A132" s="107" t="s">
        <v>109</v>
      </c>
      <c r="B132" s="108"/>
      <c r="C132" s="108"/>
      <c r="D132" s="108"/>
      <c r="E132" s="108"/>
      <c r="F132" s="108"/>
      <c r="G132" s="108"/>
      <c r="H132" s="108"/>
      <c r="I132" s="108"/>
      <c r="J132" s="109"/>
    </row>
    <row r="133" spans="1:12" ht="15.5" x14ac:dyDescent="0.35">
      <c r="A133" s="8">
        <v>1</v>
      </c>
      <c r="B133" s="44" t="s">
        <v>228</v>
      </c>
      <c r="C133" s="8" t="s">
        <v>107</v>
      </c>
      <c r="D133" s="110">
        <f>(52.45+(3+2.4+3))*10.764</f>
        <v>654.98939999999993</v>
      </c>
      <c r="E133" s="111"/>
      <c r="F133" s="8">
        <v>0</v>
      </c>
      <c r="G133" s="8">
        <f>D133*1.45+F133</f>
        <v>949.73462999999992</v>
      </c>
      <c r="H133" s="8" t="s">
        <v>48</v>
      </c>
      <c r="I133" s="112" t="str">
        <f>A132</f>
        <v>8th Floor</v>
      </c>
      <c r="J133" s="113"/>
    </row>
    <row r="134" spans="1:12" ht="15.5" x14ac:dyDescent="0.35">
      <c r="A134" s="8">
        <v>2</v>
      </c>
      <c r="B134" s="44" t="s">
        <v>228</v>
      </c>
      <c r="C134" s="8" t="s">
        <v>108</v>
      </c>
      <c r="D134" s="110">
        <f>(33.15+(3+2.25))*10.764</f>
        <v>413.33759999999995</v>
      </c>
      <c r="E134" s="111"/>
      <c r="F134" s="8">
        <v>0</v>
      </c>
      <c r="G134" s="8">
        <f>D134*1.45+F134</f>
        <v>599.33951999999988</v>
      </c>
      <c r="H134" s="8" t="s">
        <v>48</v>
      </c>
      <c r="I134" s="114"/>
      <c r="J134" s="115"/>
    </row>
    <row r="135" spans="1:12" ht="15.5" x14ac:dyDescent="0.35">
      <c r="A135" s="38">
        <v>3</v>
      </c>
      <c r="B135" s="119" t="s">
        <v>110</v>
      </c>
      <c r="C135" s="119"/>
      <c r="D135" s="119"/>
      <c r="E135" s="119"/>
      <c r="F135" s="119"/>
      <c r="G135" s="119"/>
      <c r="H135" s="119"/>
      <c r="I135" s="114"/>
      <c r="J135" s="115"/>
    </row>
    <row r="136" spans="1:12" ht="15.5" x14ac:dyDescent="0.35">
      <c r="A136" s="8">
        <v>4</v>
      </c>
      <c r="B136" s="44" t="s">
        <v>228</v>
      </c>
      <c r="C136" s="8" t="s">
        <v>106</v>
      </c>
      <c r="D136" s="110">
        <f>(30.83+2*1.35)*10.764</f>
        <v>360.91692</v>
      </c>
      <c r="E136" s="111"/>
      <c r="F136" s="8">
        <v>0</v>
      </c>
      <c r="G136" s="8">
        <f>D136*1.45+F136</f>
        <v>523.32953399999997</v>
      </c>
      <c r="H136" s="8" t="s">
        <v>48</v>
      </c>
      <c r="I136" s="116"/>
      <c r="J136" s="117"/>
    </row>
    <row r="137" spans="1:12" ht="15" x14ac:dyDescent="0.35">
      <c r="A137" s="107" t="s">
        <v>111</v>
      </c>
      <c r="B137" s="108"/>
      <c r="C137" s="108"/>
      <c r="D137" s="108"/>
      <c r="E137" s="108"/>
      <c r="F137" s="108"/>
      <c r="G137" s="108"/>
      <c r="H137" s="108"/>
      <c r="I137" s="108"/>
      <c r="J137" s="109"/>
    </row>
    <row r="138" spans="1:12" ht="15.5" x14ac:dyDescent="0.35">
      <c r="A138" s="8">
        <v>1</v>
      </c>
      <c r="B138" s="44" t="s">
        <v>228</v>
      </c>
      <c r="C138" s="8" t="s">
        <v>107</v>
      </c>
      <c r="D138" s="110">
        <f>(52.45+(3+2.4+3))*10.764</f>
        <v>654.98939999999993</v>
      </c>
      <c r="E138" s="111"/>
      <c r="F138" s="8">
        <v>0</v>
      </c>
      <c r="G138" s="8">
        <f>D138*1.45+F138</f>
        <v>949.73462999999992</v>
      </c>
      <c r="H138" s="8" t="s">
        <v>48</v>
      </c>
      <c r="I138" s="112" t="str">
        <f>A137</f>
        <v>9th Floor</v>
      </c>
      <c r="J138" s="113"/>
    </row>
    <row r="139" spans="1:12" ht="15.5" x14ac:dyDescent="0.35">
      <c r="A139" s="8">
        <v>2</v>
      </c>
      <c r="B139" s="44" t="s">
        <v>228</v>
      </c>
      <c r="C139" s="8" t="s">
        <v>108</v>
      </c>
      <c r="D139" s="110">
        <f>(33.15+(3+2.25))*10.764</f>
        <v>413.33759999999995</v>
      </c>
      <c r="E139" s="111"/>
      <c r="F139" s="8">
        <v>0</v>
      </c>
      <c r="G139" s="8">
        <f>D139*1.45+F139</f>
        <v>599.33951999999988</v>
      </c>
      <c r="H139" s="8" t="s">
        <v>48</v>
      </c>
      <c r="I139" s="114"/>
      <c r="J139" s="115"/>
    </row>
    <row r="140" spans="1:12" ht="15.5" x14ac:dyDescent="0.35">
      <c r="A140" s="8">
        <v>3</v>
      </c>
      <c r="B140" s="44" t="s">
        <v>228</v>
      </c>
      <c r="C140" s="8" t="s">
        <v>108</v>
      </c>
      <c r="D140" s="110">
        <f>(32.94+(3+2.25))*10.764</f>
        <v>411.07715999999994</v>
      </c>
      <c r="E140" s="111"/>
      <c r="F140" s="8">
        <v>0</v>
      </c>
      <c r="G140" s="8">
        <f>D140*1.45+F140</f>
        <v>596.06188199999985</v>
      </c>
      <c r="H140" s="8" t="s">
        <v>48</v>
      </c>
      <c r="I140" s="114"/>
      <c r="J140" s="115"/>
    </row>
    <row r="141" spans="1:12" ht="15.5" x14ac:dyDescent="0.35">
      <c r="A141" s="8">
        <v>4</v>
      </c>
      <c r="B141" s="44" t="s">
        <v>228</v>
      </c>
      <c r="C141" s="8" t="s">
        <v>106</v>
      </c>
      <c r="D141" s="110">
        <f>(30.83+2*1.35)*10.764</f>
        <v>360.91692</v>
      </c>
      <c r="E141" s="111"/>
      <c r="F141" s="8">
        <v>0</v>
      </c>
      <c r="G141" s="8">
        <f>D141*1.45+F141</f>
        <v>523.32953399999997</v>
      </c>
      <c r="H141" s="8" t="s">
        <v>48</v>
      </c>
      <c r="I141" s="116"/>
      <c r="J141" s="117"/>
    </row>
    <row r="142" spans="1:12" ht="15" x14ac:dyDescent="0.35">
      <c r="A142" s="120" t="s">
        <v>200</v>
      </c>
      <c r="B142" s="120"/>
      <c r="C142" s="120"/>
      <c r="D142" s="120"/>
      <c r="E142" s="120"/>
      <c r="F142" s="120"/>
      <c r="G142" s="120"/>
      <c r="H142" s="120"/>
      <c r="I142" s="120"/>
      <c r="J142" s="120"/>
      <c r="K142">
        <f>0.6*(3+2.4+3)</f>
        <v>5.04</v>
      </c>
    </row>
    <row r="143" spans="1:12" ht="15.5" x14ac:dyDescent="0.35">
      <c r="A143" s="47">
        <v>1</v>
      </c>
      <c r="B143" s="44" t="s">
        <v>228</v>
      </c>
      <c r="C143" s="47" t="s">
        <v>107</v>
      </c>
      <c r="D143" s="220">
        <f>(55.85+5.88)*10.764</f>
        <v>664.46172000000001</v>
      </c>
      <c r="E143" s="220"/>
      <c r="F143" s="47">
        <v>0</v>
      </c>
      <c r="G143" s="47">
        <f>D143*1.45+F143</f>
        <v>963.46949399999994</v>
      </c>
      <c r="H143" s="47" t="s">
        <v>48</v>
      </c>
      <c r="I143" s="119" t="str">
        <f>A142</f>
        <v>10th Floor</v>
      </c>
      <c r="J143" s="119"/>
      <c r="K143">
        <f>4.4*3+3.45*2.25+3*3+1.2*(2.25+0.9)+0.5*2.2</f>
        <v>34.842500000000001</v>
      </c>
      <c r="L143">
        <f>0.6*(3+2.25+3)</f>
        <v>4.95</v>
      </c>
    </row>
    <row r="144" spans="1:12" ht="15.5" x14ac:dyDescent="0.35">
      <c r="A144" s="47">
        <v>2</v>
      </c>
      <c r="B144" s="44" t="s">
        <v>228</v>
      </c>
      <c r="C144" s="47" t="s">
        <v>108</v>
      </c>
      <c r="D144" s="220">
        <f>(35.46+5.775)*10.764</f>
        <v>443.85353999999995</v>
      </c>
      <c r="E144" s="220"/>
      <c r="F144" s="47">
        <v>0</v>
      </c>
      <c r="G144" s="47">
        <f>D144*1.45+F144</f>
        <v>643.58763299999987</v>
      </c>
      <c r="H144" s="47" t="s">
        <v>48</v>
      </c>
      <c r="I144" s="119"/>
      <c r="J144" s="119"/>
    </row>
    <row r="145" spans="1:12" ht="15.5" x14ac:dyDescent="0.35">
      <c r="A145" s="47">
        <v>3</v>
      </c>
      <c r="B145" s="44" t="s">
        <v>228</v>
      </c>
      <c r="C145" s="47" t="s">
        <v>108</v>
      </c>
      <c r="D145" s="220">
        <f>(35.46+5.775)*10.764</f>
        <v>443.85353999999995</v>
      </c>
      <c r="E145" s="220"/>
      <c r="F145" s="47">
        <v>0</v>
      </c>
      <c r="G145" s="47">
        <f>D145*1.45+F145</f>
        <v>643.58763299999987</v>
      </c>
      <c r="H145" s="47" t="s">
        <v>48</v>
      </c>
      <c r="I145" s="119"/>
      <c r="J145" s="119"/>
      <c r="K145">
        <f>3.95*2.85+2.12*2.83+3.15*3+1.2*(1.8+0.9)+0.9*0.9+2.12*1.15</f>
        <v>33.195099999999996</v>
      </c>
    </row>
    <row r="146" spans="1:12" ht="15.5" x14ac:dyDescent="0.35">
      <c r="A146" s="47">
        <v>4</v>
      </c>
      <c r="B146" s="44" t="s">
        <v>228</v>
      </c>
      <c r="C146" s="47" t="s">
        <v>108</v>
      </c>
      <c r="D146" s="220">
        <f>(32.53+5.579)*10.764</f>
        <v>410.20527599999997</v>
      </c>
      <c r="E146" s="220"/>
      <c r="F146" s="47">
        <v>0</v>
      </c>
      <c r="G146" s="47">
        <f>D146*1.45+F146</f>
        <v>594.79765019999991</v>
      </c>
      <c r="H146" s="47" t="s">
        <v>48</v>
      </c>
      <c r="I146" s="119"/>
      <c r="J146" s="119"/>
      <c r="L146" s="10" t="s">
        <v>231</v>
      </c>
    </row>
    <row r="147" spans="1:12" ht="15" x14ac:dyDescent="0.35">
      <c r="A147" s="120" t="s">
        <v>201</v>
      </c>
      <c r="B147" s="120"/>
      <c r="C147" s="120"/>
      <c r="D147" s="120"/>
      <c r="E147" s="120"/>
      <c r="F147" s="120"/>
      <c r="G147" s="120"/>
      <c r="H147" s="120"/>
      <c r="I147" s="120"/>
      <c r="J147" s="120"/>
      <c r="K147">
        <f>4.4*3+4.5*2.4+3.2*2.8+3.45*3+2.4*1.2+1.25*2.1+0.9*(1.2+1)+1.4*1.15+0.5*(2+2)</f>
        <v>54.405000000000001</v>
      </c>
      <c r="L147" s="10">
        <f>0.7*(3+2.4+3)</f>
        <v>5.88</v>
      </c>
    </row>
    <row r="148" spans="1:12" ht="15.5" x14ac:dyDescent="0.35">
      <c r="A148" s="47">
        <v>1</v>
      </c>
      <c r="B148" s="44" t="s">
        <v>228</v>
      </c>
      <c r="C148" s="47" t="s">
        <v>107</v>
      </c>
      <c r="D148" s="220">
        <f>(55.85+5.88)*10.764</f>
        <v>664.46172000000001</v>
      </c>
      <c r="E148" s="220"/>
      <c r="F148" s="47">
        <v>0</v>
      </c>
      <c r="G148" s="47">
        <f>D148*1.45+F148</f>
        <v>963.46949399999994</v>
      </c>
      <c r="H148" s="47" t="s">
        <v>48</v>
      </c>
      <c r="I148" s="119" t="str">
        <f>A147</f>
        <v>11th &amp; 12th Floor</v>
      </c>
      <c r="J148" s="119"/>
      <c r="L148" s="10">
        <f>0.7*(3+2.25+3)</f>
        <v>5.7749999999999995</v>
      </c>
    </row>
    <row r="149" spans="1:12" ht="15.5" x14ac:dyDescent="0.35">
      <c r="A149" s="47">
        <v>2</v>
      </c>
      <c r="B149" s="47" t="s">
        <v>212</v>
      </c>
      <c r="C149" s="47" t="s">
        <v>108</v>
      </c>
      <c r="D149" s="220">
        <f>(35.46+5.775)*10.764</f>
        <v>443.85353999999995</v>
      </c>
      <c r="E149" s="220"/>
      <c r="F149" s="47">
        <v>0</v>
      </c>
      <c r="G149" s="47">
        <f>D149*1.45+F149</f>
        <v>643.58763299999987</v>
      </c>
      <c r="H149" s="47" t="s">
        <v>48</v>
      </c>
      <c r="I149" s="119"/>
      <c r="J149" s="119"/>
      <c r="L149" s="10">
        <f>0.7*(3+2.25+3)</f>
        <v>5.7749999999999995</v>
      </c>
    </row>
    <row r="150" spans="1:12" ht="15.5" x14ac:dyDescent="0.35">
      <c r="A150" s="47">
        <v>3</v>
      </c>
      <c r="B150" s="47" t="s">
        <v>212</v>
      </c>
      <c r="C150" s="47" t="s">
        <v>108</v>
      </c>
      <c r="D150" s="220">
        <f>(35.46+5.775)*10.764</f>
        <v>443.85353999999995</v>
      </c>
      <c r="E150" s="220"/>
      <c r="F150" s="47">
        <v>0</v>
      </c>
      <c r="G150" s="47">
        <f>D150*1.45+F150</f>
        <v>643.58763299999987</v>
      </c>
      <c r="H150" s="47" t="s">
        <v>48</v>
      </c>
      <c r="I150" s="119"/>
      <c r="J150" s="119"/>
      <c r="L150" s="10">
        <f>0.7*(2.85+2.12+3)</f>
        <v>5.5789999999999997</v>
      </c>
    </row>
    <row r="151" spans="1:12" ht="15.5" x14ac:dyDescent="0.35">
      <c r="A151" s="47">
        <v>4</v>
      </c>
      <c r="B151" s="47" t="s">
        <v>212</v>
      </c>
      <c r="C151" s="47" t="s">
        <v>108</v>
      </c>
      <c r="D151" s="220">
        <f>(32.53+5.579)*10.764</f>
        <v>410.20527599999997</v>
      </c>
      <c r="E151" s="220"/>
      <c r="F151" s="47">
        <v>0</v>
      </c>
      <c r="G151" s="47">
        <f>D151*1.45+F151</f>
        <v>594.79765019999991</v>
      </c>
      <c r="H151" s="47" t="s">
        <v>48</v>
      </c>
      <c r="I151" s="119"/>
      <c r="J151" s="119"/>
    </row>
    <row r="152" spans="1:12" ht="15" x14ac:dyDescent="0.35">
      <c r="A152" s="107" t="s">
        <v>202</v>
      </c>
      <c r="B152" s="108"/>
      <c r="C152" s="108"/>
      <c r="D152" s="108"/>
      <c r="E152" s="108"/>
      <c r="F152" s="108"/>
      <c r="G152" s="108"/>
      <c r="H152" s="108"/>
      <c r="I152" s="108"/>
      <c r="J152" s="109"/>
    </row>
    <row r="153" spans="1:12" ht="15.5" x14ac:dyDescent="0.35">
      <c r="A153" s="8">
        <v>1</v>
      </c>
      <c r="B153" s="44" t="s">
        <v>228</v>
      </c>
      <c r="C153" s="8" t="s">
        <v>107</v>
      </c>
      <c r="D153" s="110">
        <f>(58.74+5.88)*10.764</f>
        <v>695.56968000000006</v>
      </c>
      <c r="E153" s="111"/>
      <c r="F153" s="8">
        <v>0</v>
      </c>
      <c r="G153" s="8">
        <f>D153*1.45+F153</f>
        <v>1008.576036</v>
      </c>
      <c r="H153" s="8" t="s">
        <v>48</v>
      </c>
      <c r="I153" s="112" t="str">
        <f>A152</f>
        <v>13th Floor Part Refuge Area</v>
      </c>
      <c r="J153" s="113"/>
    </row>
    <row r="154" spans="1:12" ht="15.5" x14ac:dyDescent="0.35">
      <c r="A154" s="8">
        <v>2</v>
      </c>
      <c r="B154" s="44" t="s">
        <v>228</v>
      </c>
      <c r="C154" s="8" t="s">
        <v>108</v>
      </c>
      <c r="D154" s="110">
        <f>(36.75+0.75*(3+2.25+6.15))*10.764</f>
        <v>487.60919999999993</v>
      </c>
      <c r="E154" s="111"/>
      <c r="F154" s="8">
        <v>0</v>
      </c>
      <c r="G154" s="8">
        <f>D154*1.45+F154</f>
        <v>707.03333999999984</v>
      </c>
      <c r="H154" s="8" t="s">
        <v>48</v>
      </c>
      <c r="I154" s="114"/>
      <c r="J154" s="115"/>
    </row>
    <row r="155" spans="1:12" ht="15.5" x14ac:dyDescent="0.35">
      <c r="A155" s="38">
        <v>3</v>
      </c>
      <c r="B155" s="119" t="s">
        <v>110</v>
      </c>
      <c r="C155" s="119"/>
      <c r="D155" s="119"/>
      <c r="E155" s="119"/>
      <c r="F155" s="119"/>
      <c r="G155" s="119"/>
      <c r="H155" s="119"/>
      <c r="I155" s="114"/>
      <c r="J155" s="115"/>
    </row>
    <row r="156" spans="1:12" ht="15.5" x14ac:dyDescent="0.35">
      <c r="A156" s="8">
        <v>4</v>
      </c>
      <c r="B156" s="44" t="s">
        <v>228</v>
      </c>
      <c r="C156" s="8" t="s">
        <v>108</v>
      </c>
      <c r="D156" s="110">
        <f>(33.81+5.579)*10.764</f>
        <v>423.98319600000002</v>
      </c>
      <c r="E156" s="111"/>
      <c r="F156" s="8">
        <v>0</v>
      </c>
      <c r="G156" s="8">
        <f>D156*1.45+F156</f>
        <v>614.77563420000001</v>
      </c>
      <c r="H156" s="8" t="s">
        <v>48</v>
      </c>
      <c r="I156" s="116"/>
      <c r="J156" s="117"/>
      <c r="K156" s="110">
        <v>10.763999999999999</v>
      </c>
      <c r="L156" s="111"/>
    </row>
    <row r="157" spans="1:12" ht="15.75" customHeight="1" x14ac:dyDescent="0.35">
      <c r="A157" s="121" t="s">
        <v>95</v>
      </c>
      <c r="B157" s="121"/>
      <c r="C157" s="121"/>
      <c r="D157" s="121"/>
      <c r="E157" s="121"/>
      <c r="F157" s="121"/>
      <c r="G157" s="121"/>
      <c r="H157" s="121"/>
      <c r="I157" s="121"/>
      <c r="J157" s="121"/>
    </row>
    <row r="158" spans="1:12" ht="15.75" customHeight="1" x14ac:dyDescent="0.35">
      <c r="A158" s="120" t="s">
        <v>230</v>
      </c>
      <c r="B158" s="120"/>
      <c r="C158" s="120"/>
      <c r="D158" s="120"/>
      <c r="E158" s="120"/>
      <c r="F158" s="120"/>
      <c r="G158" s="120"/>
      <c r="H158" s="120"/>
      <c r="I158" s="120"/>
      <c r="J158" s="120"/>
    </row>
    <row r="159" spans="1:12" ht="15.5" x14ac:dyDescent="0.35">
      <c r="A159" s="43">
        <v>1</v>
      </c>
      <c r="B159" s="44" t="s">
        <v>228</v>
      </c>
      <c r="C159" s="46" t="s">
        <v>94</v>
      </c>
      <c r="D159" s="119">
        <f>(2.75*2.75+2.1*0.9+2.75*0.9)*10.764</f>
        <v>128.38761</v>
      </c>
      <c r="E159" s="119"/>
      <c r="F159" s="46">
        <v>0</v>
      </c>
      <c r="G159" s="46">
        <f>D159*1.5+F159</f>
        <v>192.58141499999999</v>
      </c>
      <c r="H159" s="46" t="s">
        <v>48</v>
      </c>
      <c r="I159" s="119" t="str">
        <f>A158</f>
        <v>Ground Floor For Commercial &amp; Parking</v>
      </c>
      <c r="J159" s="119"/>
    </row>
    <row r="160" spans="1:12" ht="15.5" x14ac:dyDescent="0.35">
      <c r="A160" s="43">
        <v>2</v>
      </c>
      <c r="B160" s="44" t="s">
        <v>228</v>
      </c>
      <c r="C160" s="46" t="s">
        <v>94</v>
      </c>
      <c r="D160" s="119">
        <f>(2.25*4.85+0.7*0.9+2.25*0.9)*10.764</f>
        <v>146.04057</v>
      </c>
      <c r="E160" s="119"/>
      <c r="F160" s="46">
        <v>0</v>
      </c>
      <c r="G160" s="46">
        <f t="shared" ref="G160:G172" si="2">D160*1.5+F160</f>
        <v>219.060855</v>
      </c>
      <c r="H160" s="46" t="s">
        <v>48</v>
      </c>
      <c r="I160" s="119"/>
      <c r="J160" s="119"/>
    </row>
    <row r="161" spans="1:13" ht="15.5" x14ac:dyDescent="0.35">
      <c r="A161" s="43">
        <v>3</v>
      </c>
      <c r="B161" s="44" t="s">
        <v>228</v>
      </c>
      <c r="C161" s="46" t="s">
        <v>94</v>
      </c>
      <c r="D161" s="119">
        <f>(3*5.15+3*0.9)*10.764</f>
        <v>195.36660000000001</v>
      </c>
      <c r="E161" s="119"/>
      <c r="F161" s="46">
        <v>0</v>
      </c>
      <c r="G161" s="46">
        <f t="shared" si="2"/>
        <v>293.04989999999998</v>
      </c>
      <c r="H161" s="46" t="s">
        <v>48</v>
      </c>
      <c r="I161" s="119"/>
      <c r="J161" s="119"/>
    </row>
    <row r="162" spans="1:13" ht="15.5" x14ac:dyDescent="0.35">
      <c r="A162" s="43">
        <v>4</v>
      </c>
      <c r="B162" s="44" t="s">
        <v>228</v>
      </c>
      <c r="C162" s="46" t="s">
        <v>94</v>
      </c>
      <c r="D162" s="119">
        <f>(3.35*2.5+3*2.65+3.35*0.9)*10.764</f>
        <v>208.17576</v>
      </c>
      <c r="E162" s="119"/>
      <c r="F162" s="46">
        <v>0</v>
      </c>
      <c r="G162" s="46">
        <f t="shared" si="2"/>
        <v>312.26364000000001</v>
      </c>
      <c r="H162" s="46" t="s">
        <v>48</v>
      </c>
      <c r="I162" s="119"/>
      <c r="J162" s="119"/>
    </row>
    <row r="163" spans="1:13" ht="15.5" x14ac:dyDescent="0.35">
      <c r="A163" s="43">
        <v>5</v>
      </c>
      <c r="B163" s="44" t="s">
        <v>228</v>
      </c>
      <c r="C163" s="46" t="s">
        <v>94</v>
      </c>
      <c r="D163" s="119">
        <f>(3.3*4.35+3.3*0.9)*10.764</f>
        <v>186.48629999999997</v>
      </c>
      <c r="E163" s="119"/>
      <c r="F163" s="46">
        <v>0</v>
      </c>
      <c r="G163" s="46">
        <f t="shared" si="2"/>
        <v>279.72944999999993</v>
      </c>
      <c r="H163" s="46" t="s">
        <v>48</v>
      </c>
      <c r="I163" s="119"/>
      <c r="J163" s="119"/>
    </row>
    <row r="164" spans="1:13" ht="15.5" x14ac:dyDescent="0.35">
      <c r="A164" s="43">
        <v>6</v>
      </c>
      <c r="B164" s="44" t="s">
        <v>228</v>
      </c>
      <c r="C164" s="46" t="s">
        <v>94</v>
      </c>
      <c r="D164" s="119">
        <f>(2.35*4.5+2.35*0.9)*10.764</f>
        <v>136.59515999999999</v>
      </c>
      <c r="E164" s="119"/>
      <c r="F164" s="46">
        <v>0</v>
      </c>
      <c r="G164" s="46">
        <f t="shared" si="2"/>
        <v>204.89274</v>
      </c>
      <c r="H164" s="46" t="s">
        <v>48</v>
      </c>
      <c r="I164" s="119"/>
      <c r="J164" s="119"/>
    </row>
    <row r="165" spans="1:13" ht="15.5" x14ac:dyDescent="0.35">
      <c r="A165" s="43">
        <v>7</v>
      </c>
      <c r="B165" s="44" t="s">
        <v>228</v>
      </c>
      <c r="C165" s="46" t="s">
        <v>94</v>
      </c>
      <c r="D165" s="119">
        <f>(6.25*2.4+0.9*2.4)*10.764</f>
        <v>184.71024</v>
      </c>
      <c r="E165" s="119"/>
      <c r="F165" s="46">
        <v>0</v>
      </c>
      <c r="G165" s="46">
        <f t="shared" si="2"/>
        <v>277.06536</v>
      </c>
      <c r="H165" s="46" t="s">
        <v>48</v>
      </c>
      <c r="I165" s="119"/>
      <c r="J165" s="119"/>
    </row>
    <row r="166" spans="1:13" ht="15.5" x14ac:dyDescent="0.35">
      <c r="A166" s="43">
        <v>8</v>
      </c>
      <c r="B166" s="44" t="s">
        <v>228</v>
      </c>
      <c r="C166" s="46" t="s">
        <v>94</v>
      </c>
      <c r="D166" s="119">
        <f>(4.65*3+0.9*3)*10.764</f>
        <v>179.22060000000002</v>
      </c>
      <c r="E166" s="119"/>
      <c r="F166" s="46">
        <v>0</v>
      </c>
      <c r="G166" s="46">
        <f t="shared" si="2"/>
        <v>268.83090000000004</v>
      </c>
      <c r="H166" s="46" t="s">
        <v>48</v>
      </c>
      <c r="I166" s="119"/>
      <c r="J166" s="119"/>
    </row>
    <row r="167" spans="1:13" ht="15.5" x14ac:dyDescent="0.35">
      <c r="A167" s="43">
        <v>9</v>
      </c>
      <c r="B167" s="44" t="s">
        <v>228</v>
      </c>
      <c r="C167" s="46" t="s">
        <v>94</v>
      </c>
      <c r="D167" s="119">
        <f>(4.8*2.25+0.9*2.25)*10.764</f>
        <v>138.04829999999998</v>
      </c>
      <c r="E167" s="119"/>
      <c r="F167" s="46">
        <v>0</v>
      </c>
      <c r="G167" s="46">
        <f t="shared" si="2"/>
        <v>207.07244999999998</v>
      </c>
      <c r="H167" s="46" t="s">
        <v>48</v>
      </c>
      <c r="I167" s="119"/>
      <c r="J167" s="119"/>
    </row>
    <row r="168" spans="1:13" ht="15.5" x14ac:dyDescent="0.35">
      <c r="A168" s="43">
        <v>10</v>
      </c>
      <c r="B168" s="44" t="s">
        <v>228</v>
      </c>
      <c r="C168" s="46" t="s">
        <v>94</v>
      </c>
      <c r="D168" s="119">
        <f>(6.25*2.25+0.9*2.25)*10.764</f>
        <v>173.16584999999998</v>
      </c>
      <c r="E168" s="119"/>
      <c r="F168" s="46">
        <v>0</v>
      </c>
      <c r="G168" s="46">
        <f t="shared" si="2"/>
        <v>259.74877499999997</v>
      </c>
      <c r="H168" s="46" t="s">
        <v>48</v>
      </c>
      <c r="I168" s="119"/>
      <c r="J168" s="119"/>
    </row>
    <row r="169" spans="1:13" ht="15.5" x14ac:dyDescent="0.35">
      <c r="A169" s="43">
        <v>11</v>
      </c>
      <c r="B169" s="44" t="s">
        <v>228</v>
      </c>
      <c r="C169" s="46" t="s">
        <v>94</v>
      </c>
      <c r="D169" s="119">
        <f>(6.1*3+0.9*3)*10.764</f>
        <v>226.04399999999995</v>
      </c>
      <c r="E169" s="119"/>
      <c r="F169" s="46">
        <v>0</v>
      </c>
      <c r="G169" s="46">
        <f t="shared" si="2"/>
        <v>339.06599999999992</v>
      </c>
      <c r="H169" s="46" t="s">
        <v>48</v>
      </c>
      <c r="I169" s="119"/>
      <c r="J169" s="119"/>
    </row>
    <row r="170" spans="1:13" ht="15.5" x14ac:dyDescent="0.35">
      <c r="A170" s="43">
        <v>12</v>
      </c>
      <c r="B170" s="44" t="s">
        <v>228</v>
      </c>
      <c r="C170" s="46" t="s">
        <v>94</v>
      </c>
      <c r="D170" s="119">
        <f>(6.1*3+0.9*3)*10.764</f>
        <v>226.04399999999995</v>
      </c>
      <c r="E170" s="119"/>
      <c r="F170" s="46">
        <v>0</v>
      </c>
      <c r="G170" s="46">
        <f t="shared" si="2"/>
        <v>339.06599999999992</v>
      </c>
      <c r="H170" s="46" t="s">
        <v>48</v>
      </c>
      <c r="I170" s="119"/>
      <c r="J170" s="119"/>
    </row>
    <row r="171" spans="1:13" ht="15.5" x14ac:dyDescent="0.35">
      <c r="A171" s="43">
        <v>13</v>
      </c>
      <c r="B171" s="44" t="s">
        <v>228</v>
      </c>
      <c r="C171" s="46" t="s">
        <v>94</v>
      </c>
      <c r="D171" s="119">
        <f>(4.5*2.25+1.05*1.15+0.9*2.25)*10.764</f>
        <v>143.78012999999999</v>
      </c>
      <c r="E171" s="119"/>
      <c r="F171" s="46">
        <v>0</v>
      </c>
      <c r="G171" s="46">
        <f t="shared" si="2"/>
        <v>215.67019499999998</v>
      </c>
      <c r="H171" s="46" t="s">
        <v>48</v>
      </c>
      <c r="I171" s="119"/>
      <c r="J171" s="119"/>
    </row>
    <row r="172" spans="1:13" ht="19.5" customHeight="1" x14ac:dyDescent="0.35">
      <c r="A172" s="43">
        <v>14</v>
      </c>
      <c r="B172" s="44" t="s">
        <v>228</v>
      </c>
      <c r="C172" s="46" t="s">
        <v>94</v>
      </c>
      <c r="D172" s="119">
        <f>(3*3+0.9*3)*10.764</f>
        <v>125.93879999999999</v>
      </c>
      <c r="E172" s="119"/>
      <c r="F172" s="46">
        <v>0</v>
      </c>
      <c r="G172" s="46">
        <f t="shared" si="2"/>
        <v>188.90819999999997</v>
      </c>
      <c r="H172" s="46" t="s">
        <v>48</v>
      </c>
      <c r="I172" s="119"/>
      <c r="J172" s="119"/>
    </row>
    <row r="173" spans="1:13" ht="15" x14ac:dyDescent="0.35">
      <c r="A173" s="120" t="s">
        <v>232</v>
      </c>
      <c r="B173" s="120"/>
      <c r="C173" s="120"/>
      <c r="D173" s="120"/>
      <c r="E173" s="120"/>
      <c r="F173" s="120"/>
      <c r="G173" s="120"/>
      <c r="H173" s="120"/>
      <c r="I173" s="120"/>
      <c r="J173" s="120"/>
      <c r="K173">
        <f>3*3.03+2.25*2.4+3.18*3+1.2*(1.5+0.9)+1.5*0.9+0.9*(3+2.25)</f>
        <v>32.984999999999999</v>
      </c>
      <c r="L173">
        <f>K173*10.764</f>
        <v>355.05053999999996</v>
      </c>
    </row>
    <row r="174" spans="1:13" ht="15.5" x14ac:dyDescent="0.35">
      <c r="A174" s="46">
        <v>1</v>
      </c>
      <c r="B174" s="44" t="s">
        <v>228</v>
      </c>
      <c r="C174" s="46" t="s">
        <v>108</v>
      </c>
      <c r="D174" s="119">
        <f>(33.65+0.9*3+0.75*2.25)*10.764</f>
        <v>409.43565000000001</v>
      </c>
      <c r="E174" s="119"/>
      <c r="F174" s="46">
        <v>0</v>
      </c>
      <c r="G174" s="46">
        <f t="shared" ref="G174:G179" si="3">D174*1.45+F174</f>
        <v>593.68169249999994</v>
      </c>
      <c r="H174" s="46" t="s">
        <v>48</v>
      </c>
      <c r="I174" s="119" t="str">
        <f>A173</f>
        <v>1st to 7th Floor</v>
      </c>
      <c r="J174" s="119"/>
    </row>
    <row r="175" spans="1:13" ht="15.5" x14ac:dyDescent="0.35">
      <c r="A175" s="46">
        <v>2</v>
      </c>
      <c r="B175" s="44" t="s">
        <v>228</v>
      </c>
      <c r="C175" s="46" t="s">
        <v>108</v>
      </c>
      <c r="D175" s="119">
        <f>(39.76+0.9*(2+3.1))*10.764</f>
        <v>477.38339999999994</v>
      </c>
      <c r="E175" s="119"/>
      <c r="F175" s="46">
        <v>0</v>
      </c>
      <c r="G175" s="46">
        <f t="shared" si="3"/>
        <v>692.20592999999985</v>
      </c>
      <c r="H175" s="46" t="s">
        <v>48</v>
      </c>
      <c r="I175" s="119"/>
      <c r="J175" s="119"/>
      <c r="K175">
        <f>3.05*4.25+6.25*2.4+2.35*3+3.3*3+1.2*(2.25+2.25)+1.8*1.2</f>
        <v>52.472499999999997</v>
      </c>
      <c r="L175">
        <f>0.9*(2.4+3)</f>
        <v>4.8600000000000003</v>
      </c>
      <c r="M175">
        <f>(K175+L175)*10.764</f>
        <v>617.12702999999988</v>
      </c>
    </row>
    <row r="176" spans="1:13" ht="15.5" x14ac:dyDescent="0.35">
      <c r="A176" s="46">
        <v>3</v>
      </c>
      <c r="B176" s="44" t="s">
        <v>228</v>
      </c>
      <c r="C176" s="46" t="s">
        <v>108</v>
      </c>
      <c r="D176" s="119">
        <f>(61.55+0.9*(2.4+3))*10.764</f>
        <v>714.83723999999995</v>
      </c>
      <c r="E176" s="119"/>
      <c r="F176" s="46">
        <v>0</v>
      </c>
      <c r="G176" s="46">
        <f t="shared" si="3"/>
        <v>1036.5139979999999</v>
      </c>
      <c r="H176" s="46" t="s">
        <v>48</v>
      </c>
      <c r="I176" s="119"/>
      <c r="J176" s="119"/>
    </row>
    <row r="177" spans="1:12" ht="15.5" x14ac:dyDescent="0.35">
      <c r="A177" s="46">
        <v>4</v>
      </c>
      <c r="B177" s="44" t="s">
        <v>228</v>
      </c>
      <c r="C177" s="46" t="s">
        <v>108</v>
      </c>
      <c r="D177" s="119">
        <f>(45.9+2.25*0.75)*10.764</f>
        <v>512.23185000000001</v>
      </c>
      <c r="E177" s="119"/>
      <c r="F177" s="46">
        <v>0</v>
      </c>
      <c r="G177" s="46">
        <f t="shared" si="3"/>
        <v>742.73618250000004</v>
      </c>
      <c r="H177" s="46" t="s">
        <v>48</v>
      </c>
      <c r="I177" s="119"/>
      <c r="J177" s="119"/>
    </row>
    <row r="178" spans="1:12" ht="15.5" x14ac:dyDescent="0.35">
      <c r="A178" s="46">
        <v>5</v>
      </c>
      <c r="B178" s="44" t="s">
        <v>228</v>
      </c>
      <c r="C178" s="46" t="s">
        <v>108</v>
      </c>
      <c r="D178" s="119">
        <f>(36.96+0.9*2.25)*10.764</f>
        <v>419.63453999999996</v>
      </c>
      <c r="E178" s="119"/>
      <c r="F178" s="46">
        <v>0</v>
      </c>
      <c r="G178" s="46">
        <f t="shared" si="3"/>
        <v>608.47008299999993</v>
      </c>
      <c r="H178" s="46" t="s">
        <v>48</v>
      </c>
      <c r="I178" s="119"/>
      <c r="J178" s="119"/>
    </row>
    <row r="179" spans="1:12" ht="15.5" x14ac:dyDescent="0.35">
      <c r="A179" s="46">
        <v>6</v>
      </c>
      <c r="B179" s="44" t="s">
        <v>228</v>
      </c>
      <c r="C179" s="46" t="s">
        <v>108</v>
      </c>
      <c r="D179" s="119">
        <f>(33.3+0.9*(2.25) +3)*10.764</f>
        <v>412.53029999999995</v>
      </c>
      <c r="E179" s="119"/>
      <c r="F179" s="46">
        <v>0</v>
      </c>
      <c r="G179" s="46">
        <f t="shared" si="3"/>
        <v>598.16893499999992</v>
      </c>
      <c r="H179" s="46" t="s">
        <v>48</v>
      </c>
      <c r="I179" s="119"/>
      <c r="J179" s="119"/>
    </row>
    <row r="180" spans="1:12" ht="15" x14ac:dyDescent="0.35">
      <c r="A180" s="107" t="s">
        <v>109</v>
      </c>
      <c r="B180" s="108"/>
      <c r="C180" s="108"/>
      <c r="D180" s="108"/>
      <c r="E180" s="108"/>
      <c r="F180" s="108"/>
      <c r="G180" s="108"/>
      <c r="H180" s="108"/>
      <c r="I180" s="108"/>
      <c r="J180" s="109"/>
    </row>
    <row r="181" spans="1:12" ht="15.5" x14ac:dyDescent="0.35">
      <c r="A181" s="8">
        <v>1</v>
      </c>
      <c r="B181" s="44" t="s">
        <v>228</v>
      </c>
      <c r="C181" s="8" t="s">
        <v>108</v>
      </c>
      <c r="D181" s="110">
        <f>(33.65+0.9*3+0.75*2.25)*10.764</f>
        <v>409.43565000000001</v>
      </c>
      <c r="E181" s="111"/>
      <c r="F181" s="8">
        <v>0</v>
      </c>
      <c r="G181" s="8">
        <f>D181*1.45+F181</f>
        <v>593.68169249999994</v>
      </c>
      <c r="H181" s="8" t="s">
        <v>48</v>
      </c>
      <c r="I181" s="112" t="str">
        <f>A180</f>
        <v>8th Floor</v>
      </c>
      <c r="J181" s="113"/>
    </row>
    <row r="182" spans="1:12" ht="15.5" x14ac:dyDescent="0.35">
      <c r="A182" s="8">
        <v>2</v>
      </c>
      <c r="B182" s="44" t="s">
        <v>228</v>
      </c>
      <c r="C182" s="8" t="s">
        <v>108</v>
      </c>
      <c r="D182" s="110">
        <f>(39.76+0.9*(2+3.1))*10.764</f>
        <v>477.38339999999994</v>
      </c>
      <c r="E182" s="111"/>
      <c r="F182" s="8">
        <v>0</v>
      </c>
      <c r="G182" s="8">
        <f>D182*1.45+F182</f>
        <v>692.20592999999985</v>
      </c>
      <c r="H182" s="8" t="s">
        <v>48</v>
      </c>
      <c r="I182" s="114"/>
      <c r="J182" s="115"/>
    </row>
    <row r="183" spans="1:12" ht="15.5" x14ac:dyDescent="0.35">
      <c r="A183" s="8">
        <v>3</v>
      </c>
      <c r="B183" s="44" t="s">
        <v>228</v>
      </c>
      <c r="C183" s="8" t="s">
        <v>108</v>
      </c>
      <c r="D183" s="110">
        <f>(61.55+0.9*(2.4+3))*10.764</f>
        <v>714.83723999999995</v>
      </c>
      <c r="E183" s="111"/>
      <c r="F183" s="8">
        <v>0</v>
      </c>
      <c r="G183" s="8">
        <f>D183*1.45+F183</f>
        <v>1036.5139979999999</v>
      </c>
      <c r="H183" s="8" t="s">
        <v>48</v>
      </c>
      <c r="I183" s="114"/>
      <c r="J183" s="115"/>
    </row>
    <row r="184" spans="1:12" ht="15.5" x14ac:dyDescent="0.35">
      <c r="A184" s="8">
        <v>4</v>
      </c>
      <c r="B184" s="44" t="s">
        <v>228</v>
      </c>
      <c r="C184" s="8" t="s">
        <v>108</v>
      </c>
      <c r="D184" s="110">
        <f>(45.9+2.25*0.75)*10.764</f>
        <v>512.23185000000001</v>
      </c>
      <c r="E184" s="111"/>
      <c r="F184" s="8">
        <v>0</v>
      </c>
      <c r="G184" s="8">
        <f>D184*1.45+F184</f>
        <v>742.73618250000004</v>
      </c>
      <c r="H184" s="8" t="s">
        <v>48</v>
      </c>
      <c r="I184" s="114"/>
      <c r="J184" s="115"/>
    </row>
    <row r="185" spans="1:12" ht="15.5" x14ac:dyDescent="0.35">
      <c r="A185" s="8">
        <v>5</v>
      </c>
      <c r="B185" s="44" t="s">
        <v>228</v>
      </c>
      <c r="C185" s="8" t="s">
        <v>108</v>
      </c>
      <c r="D185" s="110">
        <f>(36.96+0.9*2.25)*10.764</f>
        <v>419.63453999999996</v>
      </c>
      <c r="E185" s="111"/>
      <c r="F185" s="8">
        <v>0</v>
      </c>
      <c r="G185" s="8">
        <f>D185*1.45+F185</f>
        <v>608.47008299999993</v>
      </c>
      <c r="H185" s="8" t="s">
        <v>48</v>
      </c>
      <c r="I185" s="114"/>
      <c r="J185" s="115"/>
    </row>
    <row r="186" spans="1:12" ht="19.5" customHeight="1" x14ac:dyDescent="0.35">
      <c r="A186" s="8">
        <v>6</v>
      </c>
      <c r="B186" s="110" t="s">
        <v>110</v>
      </c>
      <c r="C186" s="118"/>
      <c r="D186" s="118"/>
      <c r="E186" s="118"/>
      <c r="F186" s="118"/>
      <c r="G186" s="118"/>
      <c r="H186" s="111"/>
      <c r="I186" s="116"/>
      <c r="J186" s="117"/>
    </row>
    <row r="187" spans="1:12" ht="15" x14ac:dyDescent="0.35">
      <c r="A187" s="107" t="s">
        <v>111</v>
      </c>
      <c r="B187" s="108"/>
      <c r="C187" s="108"/>
      <c r="D187" s="108"/>
      <c r="E187" s="108"/>
      <c r="F187" s="108"/>
      <c r="G187" s="108"/>
      <c r="H187" s="108"/>
      <c r="I187" s="108"/>
      <c r="J187" s="109"/>
      <c r="L187">
        <f>0.7*(3+2.25+3.18)</f>
        <v>5.9009999999999998</v>
      </c>
    </row>
    <row r="188" spans="1:12" ht="15.5" x14ac:dyDescent="0.35">
      <c r="A188" s="8">
        <v>1</v>
      </c>
      <c r="B188" s="44" t="s">
        <v>228</v>
      </c>
      <c r="C188" s="8" t="s">
        <v>108</v>
      </c>
      <c r="D188" s="110">
        <f>(34.3+5.9)*10.764</f>
        <v>432.7127999999999</v>
      </c>
      <c r="E188" s="111"/>
      <c r="F188" s="8">
        <v>0</v>
      </c>
      <c r="G188" s="8">
        <f t="shared" ref="G188:G193" si="4">D188*1.45+F188</f>
        <v>627.43355999999983</v>
      </c>
      <c r="H188" s="8" t="s">
        <v>48</v>
      </c>
      <c r="I188" s="112" t="str">
        <f>A187</f>
        <v>9th Floor</v>
      </c>
      <c r="J188" s="113"/>
      <c r="K188">
        <f>2.9*4.55+2*3.6+3.1*3.45+1.2*(1.8+0.9)+2.2*0.9+1.25*2.2+0.5*2</f>
        <v>40.059999999999995</v>
      </c>
      <c r="L188">
        <f>0.7*(2.9+2+3.1)</f>
        <v>5.6</v>
      </c>
    </row>
    <row r="189" spans="1:12" ht="15.5" x14ac:dyDescent="0.35">
      <c r="A189" s="8">
        <v>2</v>
      </c>
      <c r="B189" s="44" t="s">
        <v>228</v>
      </c>
      <c r="C189" s="8" t="s">
        <v>108</v>
      </c>
      <c r="D189" s="110">
        <f>(40.84+5.6)*10.764</f>
        <v>499.88016000000005</v>
      </c>
      <c r="E189" s="111"/>
      <c r="F189" s="8">
        <v>0</v>
      </c>
      <c r="G189" s="8">
        <f t="shared" si="4"/>
        <v>724.826232</v>
      </c>
      <c r="H189" s="8" t="s">
        <v>48</v>
      </c>
      <c r="I189" s="114"/>
      <c r="J189" s="115"/>
      <c r="L189">
        <f>0.7*(3.5+2.4+3)</f>
        <v>6.2299999999999995</v>
      </c>
    </row>
    <row r="190" spans="1:12" ht="15.5" x14ac:dyDescent="0.35">
      <c r="A190" s="8">
        <v>3</v>
      </c>
      <c r="B190" s="44" t="s">
        <v>228</v>
      </c>
      <c r="C190" s="8" t="s">
        <v>107</v>
      </c>
      <c r="D190" s="110">
        <f>(62.39+6.23)*10.764</f>
        <v>738.62567999999999</v>
      </c>
      <c r="E190" s="111"/>
      <c r="F190" s="8">
        <v>0</v>
      </c>
      <c r="G190" s="8">
        <f t="shared" si="4"/>
        <v>1071.0072359999999</v>
      </c>
      <c r="H190" s="8" t="s">
        <v>48</v>
      </c>
      <c r="I190" s="114"/>
      <c r="J190" s="115"/>
      <c r="L190">
        <f>0.7*(3+2.25+3)</f>
        <v>5.7749999999999995</v>
      </c>
    </row>
    <row r="191" spans="1:12" ht="15.5" x14ac:dyDescent="0.35">
      <c r="A191" s="8">
        <v>4</v>
      </c>
      <c r="B191" s="44" t="s">
        <v>228</v>
      </c>
      <c r="C191" s="8" t="s">
        <v>108</v>
      </c>
      <c r="D191" s="110">
        <f>(41.96+5.775)*10.764</f>
        <v>513.81953999999996</v>
      </c>
      <c r="E191" s="111"/>
      <c r="F191" s="8">
        <v>0</v>
      </c>
      <c r="G191" s="8">
        <f t="shared" si="4"/>
        <v>745.03833299999997</v>
      </c>
      <c r="H191" s="8" t="s">
        <v>48</v>
      </c>
      <c r="I191" s="114"/>
      <c r="J191" s="115"/>
      <c r="L191">
        <f>0.7*(3+2.25+3)</f>
        <v>5.7749999999999995</v>
      </c>
    </row>
    <row r="192" spans="1:12" ht="15.5" x14ac:dyDescent="0.35">
      <c r="A192" s="8">
        <v>5</v>
      </c>
      <c r="B192" s="44" t="s">
        <v>228</v>
      </c>
      <c r="C192" s="8" t="s">
        <v>108</v>
      </c>
      <c r="D192" s="110">
        <f>(35.67+5.775)*10.764</f>
        <v>446.11397999999997</v>
      </c>
      <c r="E192" s="111"/>
      <c r="F192" s="8">
        <v>0</v>
      </c>
      <c r="G192" s="8">
        <f t="shared" si="4"/>
        <v>646.86527099999989</v>
      </c>
      <c r="H192" s="8" t="s">
        <v>48</v>
      </c>
      <c r="I192" s="114"/>
      <c r="J192" s="115"/>
      <c r="L192">
        <f>0.7*(2.85+2.25+3)</f>
        <v>5.669999999999999</v>
      </c>
    </row>
    <row r="193" spans="1:10" ht="15.5" x14ac:dyDescent="0.35">
      <c r="A193" s="8">
        <v>6</v>
      </c>
      <c r="B193" s="44" t="s">
        <v>228</v>
      </c>
      <c r="C193" s="8" t="s">
        <v>108</v>
      </c>
      <c r="D193" s="110">
        <f>(34.38+5.67)*10.764</f>
        <v>431.09820000000002</v>
      </c>
      <c r="E193" s="111"/>
      <c r="F193" s="8">
        <v>0</v>
      </c>
      <c r="G193" s="8">
        <f t="shared" si="4"/>
        <v>625.09239000000002</v>
      </c>
      <c r="H193" s="8" t="s">
        <v>48</v>
      </c>
      <c r="I193" s="116"/>
      <c r="J193" s="117"/>
    </row>
    <row r="194" spans="1:10" ht="15" x14ac:dyDescent="0.35">
      <c r="A194" s="120" t="s">
        <v>203</v>
      </c>
      <c r="B194" s="120"/>
      <c r="C194" s="120"/>
      <c r="D194" s="120"/>
      <c r="E194" s="120"/>
      <c r="F194" s="120"/>
      <c r="G194" s="120"/>
      <c r="H194" s="120"/>
      <c r="I194" s="120"/>
      <c r="J194" s="120"/>
    </row>
    <row r="195" spans="1:10" ht="15.5" x14ac:dyDescent="0.35">
      <c r="A195" s="47">
        <v>1</v>
      </c>
      <c r="B195" s="47" t="s">
        <v>212</v>
      </c>
      <c r="C195" s="47" t="s">
        <v>108</v>
      </c>
      <c r="D195" s="119">
        <f>(34.3+5.9)*10.764</f>
        <v>432.7127999999999</v>
      </c>
      <c r="E195" s="119"/>
      <c r="F195" s="47">
        <v>0</v>
      </c>
      <c r="G195" s="47">
        <f t="shared" ref="G195:G200" si="5">D195*1.45+F195</f>
        <v>627.43355999999983</v>
      </c>
      <c r="H195" s="47" t="s">
        <v>48</v>
      </c>
      <c r="I195" s="119" t="str">
        <f>A194</f>
        <v>10th &amp; 11th Floor</v>
      </c>
      <c r="J195" s="119"/>
    </row>
    <row r="196" spans="1:10" ht="15.5" x14ac:dyDescent="0.35">
      <c r="A196" s="47">
        <v>2</v>
      </c>
      <c r="B196" s="44" t="s">
        <v>228</v>
      </c>
      <c r="C196" s="47" t="s">
        <v>108</v>
      </c>
      <c r="D196" s="119">
        <f>(40.84+5.6)*10.764</f>
        <v>499.88016000000005</v>
      </c>
      <c r="E196" s="119"/>
      <c r="F196" s="47">
        <v>0</v>
      </c>
      <c r="G196" s="47">
        <f t="shared" si="5"/>
        <v>724.826232</v>
      </c>
      <c r="H196" s="47" t="s">
        <v>48</v>
      </c>
      <c r="I196" s="119"/>
      <c r="J196" s="119"/>
    </row>
    <row r="197" spans="1:10" ht="15.5" x14ac:dyDescent="0.35">
      <c r="A197" s="47">
        <v>3</v>
      </c>
      <c r="B197" s="44" t="s">
        <v>228</v>
      </c>
      <c r="C197" s="47" t="s">
        <v>107</v>
      </c>
      <c r="D197" s="119">
        <f>(62.39+6.23)*10.764</f>
        <v>738.62567999999999</v>
      </c>
      <c r="E197" s="119"/>
      <c r="F197" s="47">
        <v>0</v>
      </c>
      <c r="G197" s="47">
        <f t="shared" si="5"/>
        <v>1071.0072359999999</v>
      </c>
      <c r="H197" s="47" t="s">
        <v>48</v>
      </c>
      <c r="I197" s="119"/>
      <c r="J197" s="119"/>
    </row>
    <row r="198" spans="1:10" ht="15.5" x14ac:dyDescent="0.35">
      <c r="A198" s="47">
        <v>4</v>
      </c>
      <c r="B198" s="44" t="s">
        <v>228</v>
      </c>
      <c r="C198" s="47" t="s">
        <v>108</v>
      </c>
      <c r="D198" s="119">
        <f>(41.96+5.775)*10.764</f>
        <v>513.81953999999996</v>
      </c>
      <c r="E198" s="119"/>
      <c r="F198" s="47">
        <v>0</v>
      </c>
      <c r="G198" s="47">
        <f t="shared" si="5"/>
        <v>745.03833299999997</v>
      </c>
      <c r="H198" s="47" t="s">
        <v>48</v>
      </c>
      <c r="I198" s="119"/>
      <c r="J198" s="119"/>
    </row>
    <row r="199" spans="1:10" ht="15.5" x14ac:dyDescent="0.35">
      <c r="A199" s="47">
        <v>5</v>
      </c>
      <c r="B199" s="47" t="s">
        <v>212</v>
      </c>
      <c r="C199" s="47" t="s">
        <v>108</v>
      </c>
      <c r="D199" s="119">
        <f>(35.67+5.775)*10.764</f>
        <v>446.11397999999997</v>
      </c>
      <c r="E199" s="119"/>
      <c r="F199" s="47">
        <v>0</v>
      </c>
      <c r="G199" s="47">
        <f t="shared" si="5"/>
        <v>646.86527099999989</v>
      </c>
      <c r="H199" s="47" t="s">
        <v>48</v>
      </c>
      <c r="I199" s="119"/>
      <c r="J199" s="119"/>
    </row>
    <row r="200" spans="1:10" ht="19.5" customHeight="1" x14ac:dyDescent="0.35">
      <c r="A200" s="47">
        <v>6</v>
      </c>
      <c r="B200" s="47" t="s">
        <v>212</v>
      </c>
      <c r="C200" s="47" t="s">
        <v>108</v>
      </c>
      <c r="D200" s="119">
        <f>(34.38+5.67)*10.764</f>
        <v>431.09820000000002</v>
      </c>
      <c r="E200" s="119"/>
      <c r="F200" s="47">
        <v>0</v>
      </c>
      <c r="G200" s="47">
        <f t="shared" si="5"/>
        <v>625.09239000000002</v>
      </c>
      <c r="H200" s="47" t="s">
        <v>48</v>
      </c>
      <c r="I200" s="119"/>
      <c r="J200" s="119"/>
    </row>
    <row r="201" spans="1:10" ht="15" x14ac:dyDescent="0.35">
      <c r="A201" s="107" t="s">
        <v>204</v>
      </c>
      <c r="B201" s="108"/>
      <c r="C201" s="108"/>
      <c r="D201" s="108"/>
      <c r="E201" s="108"/>
      <c r="F201" s="108"/>
      <c r="G201" s="108"/>
      <c r="H201" s="108"/>
      <c r="I201" s="108"/>
      <c r="J201" s="109"/>
    </row>
    <row r="202" spans="1:10" ht="15.5" x14ac:dyDescent="0.35">
      <c r="A202" s="8">
        <v>1</v>
      </c>
      <c r="B202" s="44" t="s">
        <v>228</v>
      </c>
      <c r="C202" s="8" t="s">
        <v>108</v>
      </c>
      <c r="D202" s="110">
        <f>(34.3+5.9)*10.764</f>
        <v>432.7127999999999</v>
      </c>
      <c r="E202" s="111"/>
      <c r="F202" s="8">
        <v>0</v>
      </c>
      <c r="G202" s="8">
        <f t="shared" ref="G202:G207" si="6">D202*1.45+F202</f>
        <v>627.43355999999983</v>
      </c>
      <c r="H202" s="8" t="s">
        <v>48</v>
      </c>
      <c r="I202" s="112" t="str">
        <f>A201</f>
        <v>12th Floor</v>
      </c>
      <c r="J202" s="113"/>
    </row>
    <row r="203" spans="1:10" ht="15.5" x14ac:dyDescent="0.35">
      <c r="A203" s="8">
        <v>2</v>
      </c>
      <c r="B203" s="44" t="s">
        <v>228</v>
      </c>
      <c r="C203" s="8" t="s">
        <v>108</v>
      </c>
      <c r="D203" s="110">
        <f>(40.84+5.6)*10.764</f>
        <v>499.88016000000005</v>
      </c>
      <c r="E203" s="111"/>
      <c r="F203" s="8">
        <v>0</v>
      </c>
      <c r="G203" s="8">
        <f t="shared" si="6"/>
        <v>724.826232</v>
      </c>
      <c r="H203" s="8" t="s">
        <v>48</v>
      </c>
      <c r="I203" s="114"/>
      <c r="J203" s="115"/>
    </row>
    <row r="204" spans="1:10" ht="15.5" x14ac:dyDescent="0.35">
      <c r="A204" s="8">
        <v>3</v>
      </c>
      <c r="B204" s="44" t="s">
        <v>228</v>
      </c>
      <c r="C204" s="8" t="s">
        <v>107</v>
      </c>
      <c r="D204" s="110">
        <f>(62.39+6.23)*10.764</f>
        <v>738.62567999999999</v>
      </c>
      <c r="E204" s="111"/>
      <c r="F204" s="8">
        <v>0</v>
      </c>
      <c r="G204" s="8">
        <f t="shared" si="6"/>
        <v>1071.0072359999999</v>
      </c>
      <c r="H204" s="8" t="s">
        <v>48</v>
      </c>
      <c r="I204" s="114"/>
      <c r="J204" s="115"/>
    </row>
    <row r="205" spans="1:10" ht="15.5" x14ac:dyDescent="0.35">
      <c r="A205" s="8">
        <v>4</v>
      </c>
      <c r="B205" s="44" t="s">
        <v>228</v>
      </c>
      <c r="C205" s="8" t="s">
        <v>108</v>
      </c>
      <c r="D205" s="110">
        <f>(41.96+5.775)*10.764</f>
        <v>513.81953999999996</v>
      </c>
      <c r="E205" s="111"/>
      <c r="F205" s="8">
        <v>0</v>
      </c>
      <c r="G205" s="8">
        <f t="shared" si="6"/>
        <v>745.03833299999997</v>
      </c>
      <c r="H205" s="8" t="s">
        <v>48</v>
      </c>
      <c r="I205" s="114"/>
      <c r="J205" s="115"/>
    </row>
    <row r="206" spans="1:10" ht="15.5" x14ac:dyDescent="0.35">
      <c r="A206" s="8">
        <v>5</v>
      </c>
      <c r="B206" s="44" t="s">
        <v>228</v>
      </c>
      <c r="C206" s="8" t="s">
        <v>108</v>
      </c>
      <c r="D206" s="110">
        <f>(35.67+5.775)*10.764</f>
        <v>446.11397999999997</v>
      </c>
      <c r="E206" s="111"/>
      <c r="F206" s="8">
        <v>0</v>
      </c>
      <c r="G206" s="8">
        <f t="shared" si="6"/>
        <v>646.86527099999989</v>
      </c>
      <c r="H206" s="8" t="s">
        <v>48</v>
      </c>
      <c r="I206" s="114"/>
      <c r="J206" s="115"/>
    </row>
    <row r="207" spans="1:10" ht="15.5" x14ac:dyDescent="0.35">
      <c r="A207" s="8">
        <v>6</v>
      </c>
      <c r="B207" s="44" t="s">
        <v>228</v>
      </c>
      <c r="C207" s="8" t="s">
        <v>108</v>
      </c>
      <c r="D207" s="110">
        <f>(34.38+5.67)*10.764</f>
        <v>431.09820000000002</v>
      </c>
      <c r="E207" s="111"/>
      <c r="F207" s="8">
        <v>0</v>
      </c>
      <c r="G207" s="8">
        <f t="shared" si="6"/>
        <v>625.09239000000002</v>
      </c>
      <c r="H207" s="8" t="s">
        <v>48</v>
      </c>
      <c r="I207" s="116"/>
      <c r="J207" s="117"/>
    </row>
    <row r="208" spans="1:10" ht="15" x14ac:dyDescent="0.35">
      <c r="A208" s="107" t="s">
        <v>205</v>
      </c>
      <c r="B208" s="108"/>
      <c r="C208" s="108"/>
      <c r="D208" s="108"/>
      <c r="E208" s="108"/>
      <c r="F208" s="108"/>
      <c r="G208" s="108"/>
      <c r="H208" s="108"/>
      <c r="I208" s="108"/>
      <c r="J208" s="109"/>
    </row>
    <row r="209" spans="1:12" ht="15.5" x14ac:dyDescent="0.35">
      <c r="A209" s="8">
        <v>1</v>
      </c>
      <c r="B209" s="44" t="s">
        <v>228</v>
      </c>
      <c r="C209" s="8" t="s">
        <v>108</v>
      </c>
      <c r="D209" s="110">
        <f>(34.3+5.9)*10.764</f>
        <v>432.7127999999999</v>
      </c>
      <c r="E209" s="111"/>
      <c r="F209" s="8">
        <v>0</v>
      </c>
      <c r="G209" s="8">
        <f t="shared" ref="G209:G212" si="7">D209*1.45+F209</f>
        <v>627.43355999999983</v>
      </c>
      <c r="H209" s="8" t="s">
        <v>48</v>
      </c>
      <c r="I209" s="112" t="str">
        <f>A208</f>
        <v>13th Floor Part Refuge Area &amp; Society Office</v>
      </c>
      <c r="J209" s="113"/>
    </row>
    <row r="210" spans="1:12" ht="15.5" x14ac:dyDescent="0.35">
      <c r="A210" s="8">
        <v>2</v>
      </c>
      <c r="B210" s="44" t="s">
        <v>228</v>
      </c>
      <c r="C210" s="8" t="s">
        <v>108</v>
      </c>
      <c r="D210" s="110">
        <f>(40.84+5.6)*10.764</f>
        <v>499.88016000000005</v>
      </c>
      <c r="E210" s="111"/>
      <c r="F210" s="8">
        <v>0</v>
      </c>
      <c r="G210" s="8">
        <f t="shared" si="7"/>
        <v>724.826232</v>
      </c>
      <c r="H210" s="8" t="s">
        <v>48</v>
      </c>
      <c r="I210" s="114"/>
      <c r="J210" s="115"/>
    </row>
    <row r="211" spans="1:12" ht="15.5" x14ac:dyDescent="0.35">
      <c r="A211" s="8">
        <v>3</v>
      </c>
      <c r="B211" s="44" t="s">
        <v>228</v>
      </c>
      <c r="C211" s="8" t="s">
        <v>107</v>
      </c>
      <c r="D211" s="110">
        <f>(62.39+6.23)*10.764</f>
        <v>738.62567999999999</v>
      </c>
      <c r="E211" s="111"/>
      <c r="F211" s="8">
        <v>0</v>
      </c>
      <c r="G211" s="8">
        <f t="shared" si="7"/>
        <v>1071.0072359999999</v>
      </c>
      <c r="H211" s="8" t="s">
        <v>48</v>
      </c>
      <c r="I211" s="114"/>
      <c r="J211" s="115"/>
      <c r="L211">
        <f>(3+2.25+3)*0.65</f>
        <v>5.3624999999999998</v>
      </c>
    </row>
    <row r="212" spans="1:12" ht="15.5" x14ac:dyDescent="0.35">
      <c r="A212" s="8">
        <v>4</v>
      </c>
      <c r="B212" s="44" t="s">
        <v>228</v>
      </c>
      <c r="C212" s="8" t="s">
        <v>108</v>
      </c>
      <c r="D212" s="110">
        <f>(41.96+5.775)*10.764</f>
        <v>513.81953999999996</v>
      </c>
      <c r="E212" s="111"/>
      <c r="F212" s="8">
        <v>0</v>
      </c>
      <c r="G212" s="8">
        <f t="shared" si="7"/>
        <v>745.03833299999997</v>
      </c>
      <c r="H212" s="8" t="s">
        <v>48</v>
      </c>
      <c r="I212" s="114"/>
      <c r="J212" s="115"/>
    </row>
    <row r="213" spans="1:12" ht="15.5" x14ac:dyDescent="0.35">
      <c r="A213" s="8">
        <v>5</v>
      </c>
      <c r="B213" s="110" t="s">
        <v>206</v>
      </c>
      <c r="C213" s="118"/>
      <c r="D213" s="118"/>
      <c r="E213" s="118"/>
      <c r="F213" s="118"/>
      <c r="G213" s="118"/>
      <c r="H213" s="111"/>
      <c r="I213" s="114"/>
      <c r="J213" s="115"/>
    </row>
    <row r="214" spans="1:12" s="11" customFormat="1" ht="15.5" x14ac:dyDescent="0.35">
      <c r="A214" s="8">
        <v>6</v>
      </c>
      <c r="B214" s="110" t="s">
        <v>110</v>
      </c>
      <c r="C214" s="118"/>
      <c r="D214" s="118"/>
      <c r="E214" s="118"/>
      <c r="F214" s="118"/>
      <c r="G214" s="118"/>
      <c r="H214" s="111"/>
      <c r="I214" s="116"/>
      <c r="J214" s="117"/>
      <c r="L214" s="37" t="s">
        <v>197</v>
      </c>
    </row>
    <row r="215" spans="1:12" ht="232.5" customHeight="1" x14ac:dyDescent="0.35">
      <c r="A215" s="214" t="s">
        <v>248</v>
      </c>
      <c r="B215" s="215"/>
      <c r="C215" s="215"/>
      <c r="D215" s="215"/>
      <c r="E215" s="215"/>
      <c r="F215" s="215"/>
      <c r="G215" s="215"/>
      <c r="H215" s="215"/>
      <c r="I215" s="215"/>
      <c r="J215" s="216"/>
    </row>
    <row r="216" spans="1:12" x14ac:dyDescent="0.35">
      <c r="A216" s="211" t="s">
        <v>25</v>
      </c>
      <c r="B216" s="212"/>
      <c r="C216" s="212"/>
      <c r="D216" s="212"/>
      <c r="E216" s="212"/>
      <c r="F216" s="212"/>
      <c r="G216" s="212"/>
      <c r="H216" s="212"/>
      <c r="I216" s="212"/>
      <c r="J216" s="213"/>
    </row>
    <row r="217" spans="1:12" x14ac:dyDescent="0.35">
      <c r="A217" s="140" t="s">
        <v>31</v>
      </c>
      <c r="B217" s="141"/>
      <c r="C217" s="141"/>
      <c r="D217" s="141"/>
      <c r="E217" s="141"/>
      <c r="F217" s="141"/>
      <c r="G217" s="141"/>
      <c r="H217" s="141"/>
      <c r="I217" s="141"/>
      <c r="J217" s="142"/>
    </row>
    <row r="218" spans="1:12" x14ac:dyDescent="0.35">
      <c r="A218" s="211" t="s">
        <v>26</v>
      </c>
      <c r="B218" s="212"/>
      <c r="C218" s="212"/>
      <c r="D218" s="212"/>
      <c r="E218" s="212"/>
      <c r="F218" s="212"/>
      <c r="G218" s="212"/>
      <c r="H218" s="212"/>
      <c r="I218" s="212"/>
      <c r="J218" s="213"/>
    </row>
    <row r="219" spans="1:12" ht="16.5" customHeight="1" x14ac:dyDescent="0.35">
      <c r="A219" s="160" t="s">
        <v>36</v>
      </c>
      <c r="B219" s="161"/>
      <c r="C219" s="161"/>
      <c r="D219" s="161"/>
      <c r="E219" s="161"/>
      <c r="F219" s="161"/>
      <c r="G219" s="161"/>
      <c r="H219" s="161"/>
      <c r="I219" s="161"/>
      <c r="J219" s="162"/>
    </row>
    <row r="220" spans="1:12" x14ac:dyDescent="0.35">
      <c r="A220" s="217" t="s">
        <v>55</v>
      </c>
      <c r="B220" s="218"/>
      <c r="C220" s="218"/>
      <c r="D220" s="218"/>
      <c r="E220" s="218"/>
      <c r="F220" s="218"/>
      <c r="G220" s="218"/>
      <c r="H220" s="218"/>
      <c r="I220" s="218"/>
      <c r="J220" s="219"/>
    </row>
    <row r="221" spans="1:12" x14ac:dyDescent="0.35">
      <c r="A221" s="160" t="s">
        <v>37</v>
      </c>
      <c r="B221" s="161"/>
      <c r="C221" s="161"/>
      <c r="D221" s="161"/>
      <c r="E221" s="161"/>
      <c r="F221" s="161"/>
      <c r="G221" s="161"/>
      <c r="H221" s="161"/>
      <c r="I221" s="161"/>
      <c r="J221" s="162"/>
    </row>
    <row r="222" spans="1:12" ht="30.75" hidden="1" customHeight="1" x14ac:dyDescent="0.35">
      <c r="A222" s="160" t="s">
        <v>38</v>
      </c>
      <c r="B222" s="161"/>
      <c r="C222" s="161"/>
      <c r="D222" s="161"/>
      <c r="E222" s="161"/>
      <c r="F222" s="161"/>
      <c r="G222" s="161"/>
      <c r="H222" s="161"/>
      <c r="I222" s="161"/>
      <c r="J222" s="162"/>
    </row>
    <row r="223" spans="1:12" ht="15" customHeight="1" x14ac:dyDescent="0.35">
      <c r="A223" s="52" t="s">
        <v>39</v>
      </c>
      <c r="B223" s="53"/>
      <c r="C223" s="53"/>
      <c r="D223" s="53"/>
      <c r="E223" s="53"/>
      <c r="F223" s="53"/>
      <c r="G223" s="53"/>
      <c r="H223" s="53"/>
      <c r="I223" s="53"/>
      <c r="J223" s="54"/>
    </row>
    <row r="224" spans="1:12" x14ac:dyDescent="0.35">
      <c r="A224" s="202" t="s">
        <v>188</v>
      </c>
      <c r="B224" s="203"/>
      <c r="C224" s="203"/>
      <c r="D224" s="203"/>
      <c r="E224" s="203"/>
      <c r="F224" s="203"/>
      <c r="G224" s="203"/>
      <c r="H224" s="203"/>
      <c r="I224" s="203"/>
      <c r="J224" s="204"/>
    </row>
    <row r="225" spans="1:10" x14ac:dyDescent="0.35">
      <c r="A225" s="205"/>
      <c r="B225" s="206"/>
      <c r="C225" s="206"/>
      <c r="D225" s="206"/>
      <c r="E225" s="206"/>
      <c r="F225" s="206"/>
      <c r="G225" s="206"/>
      <c r="H225" s="206"/>
      <c r="I225" s="206"/>
      <c r="J225" s="207"/>
    </row>
    <row r="226" spans="1:10" x14ac:dyDescent="0.35">
      <c r="A226" s="205"/>
      <c r="B226" s="206"/>
      <c r="C226" s="206"/>
      <c r="D226" s="206"/>
      <c r="E226" s="206"/>
      <c r="F226" s="206"/>
      <c r="G226" s="206"/>
      <c r="H226" s="206"/>
      <c r="I226" s="206"/>
      <c r="J226" s="207"/>
    </row>
    <row r="227" spans="1:10" x14ac:dyDescent="0.35">
      <c r="A227" s="208"/>
      <c r="B227" s="209"/>
      <c r="C227" s="209"/>
      <c r="D227" s="209"/>
      <c r="E227" s="209"/>
      <c r="F227" s="209"/>
      <c r="G227" s="209"/>
      <c r="H227" s="209"/>
      <c r="I227" s="209"/>
      <c r="J227" s="210"/>
    </row>
    <row r="228" spans="1:10" x14ac:dyDescent="0.35">
      <c r="A228" s="40" t="s">
        <v>192</v>
      </c>
    </row>
    <row r="241" spans="2:8" x14ac:dyDescent="0.35">
      <c r="B241" s="198"/>
      <c r="C241" s="198"/>
      <c r="G241" s="198"/>
      <c r="H241" s="198"/>
    </row>
    <row r="254" spans="2:8" x14ac:dyDescent="0.35">
      <c r="B254" s="198"/>
      <c r="C254" s="198"/>
    </row>
    <row r="265" spans="2:3" x14ac:dyDescent="0.35">
      <c r="B265" s="198"/>
      <c r="C265" s="198"/>
    </row>
    <row r="271" spans="2:3" x14ac:dyDescent="0.35">
      <c r="B271" s="198"/>
      <c r="C271" s="198"/>
    </row>
    <row r="275" spans="1:1" x14ac:dyDescent="0.35">
      <c r="A275" s="10" t="s">
        <v>218</v>
      </c>
    </row>
    <row r="311" spans="1:1" x14ac:dyDescent="0.35">
      <c r="A311" s="40" t="s">
        <v>241</v>
      </c>
    </row>
    <row r="351" ht="18" customHeight="1" x14ac:dyDescent="0.35"/>
    <row r="359" spans="1:1" x14ac:dyDescent="0.35">
      <c r="A359" s="40" t="s">
        <v>223</v>
      </c>
    </row>
  </sheetData>
  <mergeCells count="400">
    <mergeCell ref="A94:F94"/>
    <mergeCell ref="A99:F99"/>
    <mergeCell ref="A73:B73"/>
    <mergeCell ref="K10:O10"/>
    <mergeCell ref="A201:J201"/>
    <mergeCell ref="K50:M50"/>
    <mergeCell ref="F102:H102"/>
    <mergeCell ref="I102:J102"/>
    <mergeCell ref="C103:E103"/>
    <mergeCell ref="F103:H103"/>
    <mergeCell ref="I103:J103"/>
    <mergeCell ref="A104:B104"/>
    <mergeCell ref="C104:E104"/>
    <mergeCell ref="F104:H104"/>
    <mergeCell ref="I104:J104"/>
    <mergeCell ref="A92:F92"/>
    <mergeCell ref="A93:F93"/>
    <mergeCell ref="G93:J93"/>
    <mergeCell ref="G92:J92"/>
    <mergeCell ref="A90:F90"/>
    <mergeCell ref="G90:J90"/>
    <mergeCell ref="G89:J89"/>
    <mergeCell ref="D82:E82"/>
    <mergeCell ref="A69:B69"/>
    <mergeCell ref="D202:E202"/>
    <mergeCell ref="I202:J207"/>
    <mergeCell ref="D203:E203"/>
    <mergeCell ref="D204:E204"/>
    <mergeCell ref="D205:E205"/>
    <mergeCell ref="D206:E206"/>
    <mergeCell ref="D207:E207"/>
    <mergeCell ref="D189:E189"/>
    <mergeCell ref="D190:E190"/>
    <mergeCell ref="D191:E191"/>
    <mergeCell ref="D192:E192"/>
    <mergeCell ref="D193:E193"/>
    <mergeCell ref="A194:J194"/>
    <mergeCell ref="D195:E195"/>
    <mergeCell ref="I195:J200"/>
    <mergeCell ref="D196:E196"/>
    <mergeCell ref="D197:E197"/>
    <mergeCell ref="D198:E198"/>
    <mergeCell ref="D199:E199"/>
    <mergeCell ref="D200:E200"/>
    <mergeCell ref="K156:L156"/>
    <mergeCell ref="A105:J105"/>
    <mergeCell ref="A106:B106"/>
    <mergeCell ref="C106:E106"/>
    <mergeCell ref="F106:H106"/>
    <mergeCell ref="I106:J106"/>
    <mergeCell ref="C107:E107"/>
    <mergeCell ref="F107:H107"/>
    <mergeCell ref="I107:J107"/>
    <mergeCell ref="C108:E108"/>
    <mergeCell ref="F108:H108"/>
    <mergeCell ref="I108:J108"/>
    <mergeCell ref="A114:B114"/>
    <mergeCell ref="C114:E114"/>
    <mergeCell ref="F114:H114"/>
    <mergeCell ref="I114:J114"/>
    <mergeCell ref="C112:E112"/>
    <mergeCell ref="A120:J120"/>
    <mergeCell ref="A152:J152"/>
    <mergeCell ref="D153:E153"/>
    <mergeCell ref="I153:J156"/>
    <mergeCell ref="D131:E131"/>
    <mergeCell ref="D123:E123"/>
    <mergeCell ref="D118:E118"/>
    <mergeCell ref="K43:N43"/>
    <mergeCell ref="O43:Q43"/>
    <mergeCell ref="A44:B44"/>
    <mergeCell ref="C44:F44"/>
    <mergeCell ref="H44:J44"/>
    <mergeCell ref="L46:O49"/>
    <mergeCell ref="K117:L117"/>
    <mergeCell ref="A137:J137"/>
    <mergeCell ref="D138:E138"/>
    <mergeCell ref="I138:J141"/>
    <mergeCell ref="D139:E139"/>
    <mergeCell ref="D140:E140"/>
    <mergeCell ref="D141:E141"/>
    <mergeCell ref="I112:J112"/>
    <mergeCell ref="C113:E113"/>
    <mergeCell ref="F113:H113"/>
    <mergeCell ref="I113:J113"/>
    <mergeCell ref="A100:J100"/>
    <mergeCell ref="A101:B101"/>
    <mergeCell ref="C101:E101"/>
    <mergeCell ref="F101:H101"/>
    <mergeCell ref="I101:J101"/>
    <mergeCell ref="C102:E102"/>
    <mergeCell ref="A89:F89"/>
    <mergeCell ref="B265:C265"/>
    <mergeCell ref="B271:C271"/>
    <mergeCell ref="A10:E10"/>
    <mergeCell ref="F10:J10"/>
    <mergeCell ref="E56:F56"/>
    <mergeCell ref="I56:J56"/>
    <mergeCell ref="A57:B57"/>
    <mergeCell ref="A52:B52"/>
    <mergeCell ref="A116:J116"/>
    <mergeCell ref="A117:J117"/>
    <mergeCell ref="I118:J118"/>
    <mergeCell ref="A88:J88"/>
    <mergeCell ref="A95:F95"/>
    <mergeCell ref="A96:F96"/>
    <mergeCell ref="G96:J96"/>
    <mergeCell ref="G91:J91"/>
    <mergeCell ref="A80:B80"/>
    <mergeCell ref="I128:J131"/>
    <mergeCell ref="G94:J94"/>
    <mergeCell ref="A91:F91"/>
    <mergeCell ref="D143:E143"/>
    <mergeCell ref="I143:J146"/>
    <mergeCell ref="D144:E144"/>
    <mergeCell ref="D145:E145"/>
    <mergeCell ref="D121:E121"/>
    <mergeCell ref="I121:J126"/>
    <mergeCell ref="A119:J119"/>
    <mergeCell ref="A98:F98"/>
    <mergeCell ref="G98:J98"/>
    <mergeCell ref="A115:B115"/>
    <mergeCell ref="C115:E115"/>
    <mergeCell ref="F115:H115"/>
    <mergeCell ref="I115:J115"/>
    <mergeCell ref="G95:J95"/>
    <mergeCell ref="G97:J97"/>
    <mergeCell ref="A102:B102"/>
    <mergeCell ref="A103:B103"/>
    <mergeCell ref="A107:B107"/>
    <mergeCell ref="A108:B108"/>
    <mergeCell ref="A112:B112"/>
    <mergeCell ref="A113:B113"/>
    <mergeCell ref="A110:J110"/>
    <mergeCell ref="F112:H112"/>
    <mergeCell ref="A109:B109"/>
    <mergeCell ref="C109:E109"/>
    <mergeCell ref="F109:H109"/>
    <mergeCell ref="I109:J109"/>
    <mergeCell ref="A111:B111"/>
    <mergeCell ref="C111:E111"/>
    <mergeCell ref="F111:H111"/>
    <mergeCell ref="I111:J111"/>
    <mergeCell ref="G99:J99"/>
    <mergeCell ref="A97:F97"/>
    <mergeCell ref="B254:C254"/>
    <mergeCell ref="D126:E126"/>
    <mergeCell ref="D125:E125"/>
    <mergeCell ref="B241:C241"/>
    <mergeCell ref="D122:E122"/>
    <mergeCell ref="D170:E170"/>
    <mergeCell ref="D168:E168"/>
    <mergeCell ref="D179:E179"/>
    <mergeCell ref="D175:E175"/>
    <mergeCell ref="D176:E176"/>
    <mergeCell ref="A219:J219"/>
    <mergeCell ref="A142:J142"/>
    <mergeCell ref="D124:E124"/>
    <mergeCell ref="D146:E146"/>
    <mergeCell ref="A147:J147"/>
    <mergeCell ref="D148:E148"/>
    <mergeCell ref="I148:J151"/>
    <mergeCell ref="D149:E149"/>
    <mergeCell ref="D150:E150"/>
    <mergeCell ref="D151:E151"/>
    <mergeCell ref="A208:J208"/>
    <mergeCell ref="D209:E209"/>
    <mergeCell ref="I209:J214"/>
    <mergeCell ref="D210:E210"/>
    <mergeCell ref="A223:J223"/>
    <mergeCell ref="A218:J218"/>
    <mergeCell ref="A215:J215"/>
    <mergeCell ref="A216:J216"/>
    <mergeCell ref="A127:J127"/>
    <mergeCell ref="A220:J220"/>
    <mergeCell ref="A221:J221"/>
    <mergeCell ref="D156:E156"/>
    <mergeCell ref="D133:E133"/>
    <mergeCell ref="D136:E136"/>
    <mergeCell ref="D174:E174"/>
    <mergeCell ref="I174:J179"/>
    <mergeCell ref="D178:E178"/>
    <mergeCell ref="D128:E128"/>
    <mergeCell ref="D169:E169"/>
    <mergeCell ref="D129:E129"/>
    <mergeCell ref="D130:E130"/>
    <mergeCell ref="D211:E211"/>
    <mergeCell ref="D212:E212"/>
    <mergeCell ref="B213:H213"/>
    <mergeCell ref="B214:H214"/>
    <mergeCell ref="A187:J187"/>
    <mergeCell ref="D188:E188"/>
    <mergeCell ref="I188:J193"/>
    <mergeCell ref="G241:H241"/>
    <mergeCell ref="I133:J136"/>
    <mergeCell ref="A217:J217"/>
    <mergeCell ref="A41:E41"/>
    <mergeCell ref="A33:J33"/>
    <mergeCell ref="A28:B28"/>
    <mergeCell ref="C28:D28"/>
    <mergeCell ref="E28:F28"/>
    <mergeCell ref="C57:J57"/>
    <mergeCell ref="A58:B58"/>
    <mergeCell ref="D58:E58"/>
    <mergeCell ref="A68:B68"/>
    <mergeCell ref="D64:E64"/>
    <mergeCell ref="F58:G58"/>
    <mergeCell ref="A65:B65"/>
    <mergeCell ref="D65:E65"/>
    <mergeCell ref="A66:B66"/>
    <mergeCell ref="D66:E66"/>
    <mergeCell ref="A67:B67"/>
    <mergeCell ref="D67:E67"/>
    <mergeCell ref="H59:J68"/>
    <mergeCell ref="A60:B60"/>
    <mergeCell ref="A224:J227"/>
    <mergeCell ref="A222:J222"/>
    <mergeCell ref="A39:E39"/>
    <mergeCell ref="G28:H28"/>
    <mergeCell ref="A27:B27"/>
    <mergeCell ref="E26:F26"/>
    <mergeCell ref="F40:J40"/>
    <mergeCell ref="G26:H26"/>
    <mergeCell ref="C27:D27"/>
    <mergeCell ref="F38:J38"/>
    <mergeCell ref="A31:B31"/>
    <mergeCell ref="C31:J31"/>
    <mergeCell ref="A32:B32"/>
    <mergeCell ref="C32:J32"/>
    <mergeCell ref="A36:E36"/>
    <mergeCell ref="A34:J35"/>
    <mergeCell ref="I26:J26"/>
    <mergeCell ref="F23:J23"/>
    <mergeCell ref="A14:B14"/>
    <mergeCell ref="C14:J14"/>
    <mergeCell ref="I27:J27"/>
    <mergeCell ref="A26:B26"/>
    <mergeCell ref="E27:F27"/>
    <mergeCell ref="G27:H27"/>
    <mergeCell ref="C26:D26"/>
    <mergeCell ref="A21:E21"/>
    <mergeCell ref="F21:J21"/>
    <mergeCell ref="F19:J20"/>
    <mergeCell ref="A7:E7"/>
    <mergeCell ref="F7:J7"/>
    <mergeCell ref="A11:E11"/>
    <mergeCell ref="F11:J11"/>
    <mergeCell ref="A12:E12"/>
    <mergeCell ref="A9:E9"/>
    <mergeCell ref="F8:J8"/>
    <mergeCell ref="B15:D15"/>
    <mergeCell ref="G17:J17"/>
    <mergeCell ref="F12:J12"/>
    <mergeCell ref="B16:E16"/>
    <mergeCell ref="A2:J2"/>
    <mergeCell ref="A3:E3"/>
    <mergeCell ref="F3:J3"/>
    <mergeCell ref="A4:E4"/>
    <mergeCell ref="F4:J4"/>
    <mergeCell ref="A6:E6"/>
    <mergeCell ref="F6:J6"/>
    <mergeCell ref="A5:E5"/>
    <mergeCell ref="F5:J5"/>
    <mergeCell ref="F41:J41"/>
    <mergeCell ref="C43:F43"/>
    <mergeCell ref="A8:E8"/>
    <mergeCell ref="F25:J25"/>
    <mergeCell ref="G16:J16"/>
    <mergeCell ref="F18:G18"/>
    <mergeCell ref="A19:E20"/>
    <mergeCell ref="A22:E22"/>
    <mergeCell ref="H18:J18"/>
    <mergeCell ref="A23:E23"/>
    <mergeCell ref="B17:E17"/>
    <mergeCell ref="A18:B18"/>
    <mergeCell ref="F22:J22"/>
    <mergeCell ref="A24:E24"/>
    <mergeCell ref="A25:E25"/>
    <mergeCell ref="F24:J24"/>
    <mergeCell ref="F15:G15"/>
    <mergeCell ref="F9:J9"/>
    <mergeCell ref="A13:E13"/>
    <mergeCell ref="A38:E38"/>
    <mergeCell ref="F13:J13"/>
    <mergeCell ref="I15:J15"/>
    <mergeCell ref="A42:J42"/>
    <mergeCell ref="C18:E18"/>
    <mergeCell ref="A1:J1"/>
    <mergeCell ref="A53:E53"/>
    <mergeCell ref="F53:J53"/>
    <mergeCell ref="A43:B43"/>
    <mergeCell ref="A83:J83"/>
    <mergeCell ref="A84:J84"/>
    <mergeCell ref="A85:J87"/>
    <mergeCell ref="A54:J54"/>
    <mergeCell ref="D68:E68"/>
    <mergeCell ref="I28:J28"/>
    <mergeCell ref="A29:J29"/>
    <mergeCell ref="A30:J30"/>
    <mergeCell ref="A37:E37"/>
    <mergeCell ref="F37:J37"/>
    <mergeCell ref="F36:J36"/>
    <mergeCell ref="D80:E80"/>
    <mergeCell ref="D78:E78"/>
    <mergeCell ref="A79:B79"/>
    <mergeCell ref="D79:E79"/>
    <mergeCell ref="F50:G50"/>
    <mergeCell ref="H50:J50"/>
    <mergeCell ref="A82:B82"/>
    <mergeCell ref="F39:J39"/>
    <mergeCell ref="A40:E40"/>
    <mergeCell ref="D159:E159"/>
    <mergeCell ref="A157:J157"/>
    <mergeCell ref="A158:J158"/>
    <mergeCell ref="A132:J132"/>
    <mergeCell ref="D134:E134"/>
    <mergeCell ref="D154:E154"/>
    <mergeCell ref="B135:H135"/>
    <mergeCell ref="B155:H155"/>
    <mergeCell ref="I159:J172"/>
    <mergeCell ref="D171:E171"/>
    <mergeCell ref="D172:E172"/>
    <mergeCell ref="A180:J180"/>
    <mergeCell ref="D181:E181"/>
    <mergeCell ref="I181:J186"/>
    <mergeCell ref="D184:E184"/>
    <mergeCell ref="D183:E183"/>
    <mergeCell ref="D182:E182"/>
    <mergeCell ref="D185:E185"/>
    <mergeCell ref="B186:H186"/>
    <mergeCell ref="D160:E160"/>
    <mergeCell ref="D177:E177"/>
    <mergeCell ref="D161:E161"/>
    <mergeCell ref="D163:E163"/>
    <mergeCell ref="D164:E164"/>
    <mergeCell ref="D165:E165"/>
    <mergeCell ref="A173:J173"/>
    <mergeCell ref="D162:E162"/>
    <mergeCell ref="D166:E166"/>
    <mergeCell ref="D167:E167"/>
    <mergeCell ref="A72:B72"/>
    <mergeCell ref="D72:E72"/>
    <mergeCell ref="F72:G72"/>
    <mergeCell ref="H72:J72"/>
    <mergeCell ref="C71:J71"/>
    <mergeCell ref="H58:J58"/>
    <mergeCell ref="A59:B59"/>
    <mergeCell ref="D59:E59"/>
    <mergeCell ref="F59:G68"/>
    <mergeCell ref="A61:B61"/>
    <mergeCell ref="D61:E61"/>
    <mergeCell ref="A62:B62"/>
    <mergeCell ref="D62:E62"/>
    <mergeCell ref="D60:E60"/>
    <mergeCell ref="I70:J70"/>
    <mergeCell ref="A71:B71"/>
    <mergeCell ref="C69:J69"/>
    <mergeCell ref="E70:F70"/>
    <mergeCell ref="A50:C50"/>
    <mergeCell ref="A47:B47"/>
    <mergeCell ref="C47:F47"/>
    <mergeCell ref="H47:J47"/>
    <mergeCell ref="P46:R46"/>
    <mergeCell ref="A63:B63"/>
    <mergeCell ref="D63:E63"/>
    <mergeCell ref="A64:B64"/>
    <mergeCell ref="C52:J52"/>
    <mergeCell ref="A55:B55"/>
    <mergeCell ref="C55:J55"/>
    <mergeCell ref="A51:B51"/>
    <mergeCell ref="C51:J51"/>
    <mergeCell ref="D48:E48"/>
    <mergeCell ref="H48:J48"/>
    <mergeCell ref="A49:J49"/>
    <mergeCell ref="A46:B46"/>
    <mergeCell ref="F48:G48"/>
    <mergeCell ref="A45:B45"/>
    <mergeCell ref="C45:F45"/>
    <mergeCell ref="H45:J45"/>
    <mergeCell ref="P45:R45"/>
    <mergeCell ref="K6:O6"/>
    <mergeCell ref="D73:E73"/>
    <mergeCell ref="F73:G82"/>
    <mergeCell ref="H73:J82"/>
    <mergeCell ref="A74:B74"/>
    <mergeCell ref="D74:E74"/>
    <mergeCell ref="A75:B75"/>
    <mergeCell ref="D75:E75"/>
    <mergeCell ref="A76:B76"/>
    <mergeCell ref="D76:E76"/>
    <mergeCell ref="A77:B77"/>
    <mergeCell ref="D77:E77"/>
    <mergeCell ref="A78:B78"/>
    <mergeCell ref="D81:E81"/>
    <mergeCell ref="A81:B81"/>
    <mergeCell ref="C46:F46"/>
    <mergeCell ref="A48:C48"/>
    <mergeCell ref="D50:E50"/>
    <mergeCell ref="H43:J43"/>
    <mergeCell ref="H46:J46"/>
  </mergeCells>
  <phoneticPr fontId="0" type="noConversion"/>
  <hyperlinks>
    <hyperlink ref="C32" r:id="rId1"/>
  </hyperlinks>
  <pageMargins left="0.39370078740157483" right="0.39370078740157483" top="0.78740157480314965" bottom="0.78740157480314965" header="0.19685039370078741" footer="0.19685039370078741"/>
  <pageSetup paperSize="9" scale="91" fitToHeight="0" orientation="portrait" r:id="rId2"/>
  <headerFooter>
    <oddHeader>&amp;C&amp;G</oddHeader>
    <oddFooter>&amp;L&amp;"Times New Roman,Bold"Ref No: &amp;F&amp;C&amp;G&amp;R&amp;P</oddFooter>
  </headerFooter>
  <rowBreaks count="4" manualBreakCount="4">
    <brk id="227" max="9" man="1"/>
    <brk id="274" max="9" man="1"/>
    <brk id="310" max="9" man="1"/>
    <brk id="358" max="9"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0"/>
  <sheetViews>
    <sheetView workbookViewId="0">
      <selection activeCell="C8" sqref="C8"/>
    </sheetView>
  </sheetViews>
  <sheetFormatPr defaultRowHeight="14.5" x14ac:dyDescent="0.35"/>
  <cols>
    <col min="2" max="2" width="11.7265625" customWidth="1"/>
  </cols>
  <sheetData>
    <row r="2" spans="1:15" x14ac:dyDescent="0.35">
      <c r="A2" t="s">
        <v>114</v>
      </c>
      <c r="B2" s="12" t="s">
        <v>115</v>
      </c>
      <c r="C2" s="12">
        <v>13</v>
      </c>
    </row>
    <row r="3" spans="1:15" x14ac:dyDescent="0.35">
      <c r="B3" t="s">
        <v>116</v>
      </c>
      <c r="C3" t="s">
        <v>117</v>
      </c>
    </row>
    <row r="4" spans="1:15" x14ac:dyDescent="0.35">
      <c r="A4" t="s">
        <v>118</v>
      </c>
      <c r="B4" s="7">
        <v>10</v>
      </c>
      <c r="C4" s="7">
        <v>10</v>
      </c>
      <c r="D4" s="13"/>
      <c r="E4" s="13">
        <f>(100/B4)*C4</f>
        <v>100</v>
      </c>
    </row>
    <row r="5" spans="1:15" x14ac:dyDescent="0.35">
      <c r="A5" t="s">
        <v>119</v>
      </c>
      <c r="B5" t="s">
        <v>120</v>
      </c>
      <c r="C5" t="s">
        <v>121</v>
      </c>
      <c r="E5" s="13">
        <f>(100/B6)*C6</f>
        <v>71.428571428571431</v>
      </c>
      <c r="I5" s="7" t="s">
        <v>122</v>
      </c>
      <c r="J5" s="7" t="s">
        <v>123</v>
      </c>
      <c r="K5" s="7" t="s">
        <v>124</v>
      </c>
      <c r="L5" s="7" t="s">
        <v>35</v>
      </c>
      <c r="M5" s="7" t="s">
        <v>41</v>
      </c>
      <c r="N5" s="7" t="s">
        <v>125</v>
      </c>
      <c r="O5" s="7" t="s">
        <v>42</v>
      </c>
    </row>
    <row r="6" spans="1:15" x14ac:dyDescent="0.35">
      <c r="B6" s="7">
        <f>C2+1</f>
        <v>14</v>
      </c>
      <c r="C6" s="7">
        <v>10</v>
      </c>
      <c r="E6" s="13">
        <f>(100/B8)*C8</f>
        <v>69.230769230769226</v>
      </c>
      <c r="F6" s="14" t="s">
        <v>126</v>
      </c>
      <c r="I6" s="14">
        <f>C4</f>
        <v>10</v>
      </c>
      <c r="J6" s="14">
        <f>40/B6*C6</f>
        <v>28.571428571428573</v>
      </c>
      <c r="K6" s="14">
        <f>15/B8*C8</f>
        <v>10.384615384615383</v>
      </c>
      <c r="L6" s="14">
        <f>10/B10*C10</f>
        <v>6.9230769230769234</v>
      </c>
      <c r="M6" s="14">
        <f>10/B12*C12</f>
        <v>3.8461538461538463</v>
      </c>
      <c r="N6" s="14">
        <f>5/B14*C14</f>
        <v>0</v>
      </c>
      <c r="O6" s="14">
        <f>5/B16*C16</f>
        <v>0</v>
      </c>
    </row>
    <row r="7" spans="1:15" x14ac:dyDescent="0.35">
      <c r="A7" t="s">
        <v>127</v>
      </c>
      <c r="B7" t="s">
        <v>128</v>
      </c>
      <c r="C7" t="s">
        <v>129</v>
      </c>
      <c r="E7" s="13">
        <f>(100/B10)*C10</f>
        <v>69.230769230769226</v>
      </c>
      <c r="F7" s="7" t="s">
        <v>130</v>
      </c>
      <c r="G7" s="7"/>
      <c r="H7" s="7"/>
      <c r="I7" s="7">
        <f>I6+20</f>
        <v>30</v>
      </c>
      <c r="J7" s="7">
        <f>30/B6*C6</f>
        <v>21.428571428571427</v>
      </c>
      <c r="K7" s="7">
        <f>15/B8*C8</f>
        <v>10.384615384615383</v>
      </c>
      <c r="L7" s="7">
        <f>10/B10*C10</f>
        <v>6.9230769230769234</v>
      </c>
      <c r="M7" s="7">
        <f>5/B12*C12</f>
        <v>1.9230769230769231</v>
      </c>
      <c r="N7" s="7">
        <f>5/B14*C14</f>
        <v>0</v>
      </c>
      <c r="O7" s="7">
        <f>5/B16*C16</f>
        <v>0</v>
      </c>
    </row>
    <row r="8" spans="1:15" x14ac:dyDescent="0.35">
      <c r="B8" s="7">
        <f>C2</f>
        <v>13</v>
      </c>
      <c r="C8" s="7">
        <v>9</v>
      </c>
      <c r="D8" s="13"/>
      <c r="E8" s="13">
        <f>(100/B12)*C12</f>
        <v>38.46153846153846</v>
      </c>
    </row>
    <row r="9" spans="1:15" x14ac:dyDescent="0.35">
      <c r="A9" t="s">
        <v>131</v>
      </c>
      <c r="B9" t="s">
        <v>128</v>
      </c>
      <c r="C9" t="s">
        <v>129</v>
      </c>
      <c r="E9" s="13">
        <f>(100/B14)*C14</f>
        <v>0</v>
      </c>
    </row>
    <row r="10" spans="1:15" x14ac:dyDescent="0.35">
      <c r="B10" s="7">
        <f>C2</f>
        <v>13</v>
      </c>
      <c r="C10" s="7">
        <v>9</v>
      </c>
      <c r="D10" s="13"/>
      <c r="E10" s="13">
        <f>(100/B16)*C16</f>
        <v>0</v>
      </c>
    </row>
    <row r="11" spans="1:15" x14ac:dyDescent="0.35">
      <c r="A11" t="s">
        <v>41</v>
      </c>
      <c r="B11" t="s">
        <v>128</v>
      </c>
      <c r="C11" t="s">
        <v>129</v>
      </c>
    </row>
    <row r="12" spans="1:15" x14ac:dyDescent="0.35">
      <c r="B12" s="7">
        <f>C2</f>
        <v>13</v>
      </c>
      <c r="C12" s="7">
        <v>5</v>
      </c>
      <c r="D12" s="13"/>
      <c r="F12" s="7"/>
      <c r="G12" s="7" t="s">
        <v>126</v>
      </c>
      <c r="H12" s="7" t="s">
        <v>132</v>
      </c>
      <c r="L12" s="13" t="s">
        <v>133</v>
      </c>
    </row>
    <row r="13" spans="1:15" ht="29" x14ac:dyDescent="0.35">
      <c r="A13" s="15" t="s">
        <v>125</v>
      </c>
      <c r="B13" t="s">
        <v>128</v>
      </c>
      <c r="C13" t="s">
        <v>129</v>
      </c>
      <c r="F13" s="7" t="s">
        <v>33</v>
      </c>
      <c r="G13" s="7">
        <f>I6</f>
        <v>10</v>
      </c>
      <c r="H13" s="7">
        <f>I7</f>
        <v>30</v>
      </c>
      <c r="L13" s="13" t="s">
        <v>133</v>
      </c>
    </row>
    <row r="14" spans="1:15" x14ac:dyDescent="0.35">
      <c r="B14" s="7">
        <f>C2</f>
        <v>13</v>
      </c>
      <c r="C14" s="7">
        <v>0</v>
      </c>
      <c r="D14" s="13"/>
      <c r="F14" s="7" t="s">
        <v>34</v>
      </c>
      <c r="G14" s="7">
        <f>J6</f>
        <v>28.571428571428573</v>
      </c>
      <c r="H14" s="7">
        <f>J7</f>
        <v>21.428571428571427</v>
      </c>
      <c r="L14" s="13"/>
    </row>
    <row r="15" spans="1:15" x14ac:dyDescent="0.35">
      <c r="A15" t="s">
        <v>42</v>
      </c>
      <c r="B15" t="s">
        <v>128</v>
      </c>
      <c r="C15" t="s">
        <v>129</v>
      </c>
      <c r="F15" s="7" t="s">
        <v>124</v>
      </c>
      <c r="G15" s="7">
        <f>K6</f>
        <v>10.384615384615383</v>
      </c>
      <c r="H15" s="7">
        <f>K7</f>
        <v>10.384615384615383</v>
      </c>
      <c r="L15" s="13"/>
    </row>
    <row r="16" spans="1:15" x14ac:dyDescent="0.35">
      <c r="B16" s="7">
        <f>C2</f>
        <v>13</v>
      </c>
      <c r="C16" s="7">
        <v>0</v>
      </c>
      <c r="D16" s="13"/>
      <c r="F16" s="7" t="s">
        <v>35</v>
      </c>
      <c r="G16" s="7">
        <f>L6</f>
        <v>6.9230769230769234</v>
      </c>
      <c r="H16" s="7">
        <f>L7</f>
        <v>6.9230769230769234</v>
      </c>
      <c r="L16" s="13"/>
    </row>
    <row r="17" spans="6:12" x14ac:dyDescent="0.35">
      <c r="F17" s="7" t="s">
        <v>41</v>
      </c>
      <c r="G17" s="7">
        <f>M6</f>
        <v>3.8461538461538463</v>
      </c>
      <c r="H17" s="7">
        <f>M7</f>
        <v>1.9230769230769231</v>
      </c>
      <c r="L17" s="13"/>
    </row>
    <row r="18" spans="6:12" ht="29" x14ac:dyDescent="0.35">
      <c r="F18" s="16" t="s">
        <v>125</v>
      </c>
      <c r="G18" s="7">
        <f>N6</f>
        <v>0</v>
      </c>
      <c r="H18" s="7">
        <f>N7</f>
        <v>0</v>
      </c>
      <c r="L18" s="13"/>
    </row>
    <row r="19" spans="6:12" x14ac:dyDescent="0.35">
      <c r="F19" s="7" t="s">
        <v>42</v>
      </c>
      <c r="G19" s="7">
        <f>O6</f>
        <v>0</v>
      </c>
      <c r="H19" s="7">
        <f>O7</f>
        <v>0</v>
      </c>
      <c r="L19" s="13"/>
    </row>
    <row r="20" spans="6:12" x14ac:dyDescent="0.35">
      <c r="F20" s="7" t="s">
        <v>134</v>
      </c>
      <c r="G20" s="7">
        <f>G13+G14+G15+G16+G17+G18+G19</f>
        <v>59.725274725274723</v>
      </c>
      <c r="H20" s="7">
        <f>H13+H14+H15+H16+H17+H18+H19</f>
        <v>70.659340659340657</v>
      </c>
      <c r="L20" s="13"/>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0"/>
  <sheetViews>
    <sheetView workbookViewId="0">
      <selection activeCell="C3" sqref="C3"/>
    </sheetView>
  </sheetViews>
  <sheetFormatPr defaultRowHeight="14.5" x14ac:dyDescent="0.35"/>
  <cols>
    <col min="2" max="2" width="11.7265625" customWidth="1"/>
  </cols>
  <sheetData>
    <row r="2" spans="1:15" x14ac:dyDescent="0.35">
      <c r="A2" t="s">
        <v>114</v>
      </c>
      <c r="B2" s="12" t="s">
        <v>115</v>
      </c>
      <c r="C2" s="12">
        <v>13</v>
      </c>
    </row>
    <row r="3" spans="1:15" x14ac:dyDescent="0.35">
      <c r="B3" t="s">
        <v>116</v>
      </c>
      <c r="C3" t="s">
        <v>117</v>
      </c>
    </row>
    <row r="4" spans="1:15" x14ac:dyDescent="0.35">
      <c r="A4" t="s">
        <v>118</v>
      </c>
      <c r="B4" s="7">
        <v>10</v>
      </c>
      <c r="C4" s="7">
        <v>10</v>
      </c>
      <c r="D4" s="13"/>
      <c r="E4" s="13">
        <f>(100/B4)*C4</f>
        <v>100</v>
      </c>
    </row>
    <row r="5" spans="1:15" x14ac:dyDescent="0.35">
      <c r="A5" t="s">
        <v>119</v>
      </c>
      <c r="B5" t="s">
        <v>120</v>
      </c>
      <c r="C5" t="s">
        <v>121</v>
      </c>
      <c r="E5" s="17">
        <f>(100/B6)*C6</f>
        <v>64.285714285714292</v>
      </c>
      <c r="I5" s="7" t="s">
        <v>122</v>
      </c>
      <c r="J5" s="7" t="s">
        <v>123</v>
      </c>
      <c r="K5" s="7" t="s">
        <v>124</v>
      </c>
      <c r="L5" s="7" t="s">
        <v>35</v>
      </c>
      <c r="M5" s="7" t="s">
        <v>41</v>
      </c>
      <c r="N5" s="7" t="s">
        <v>125</v>
      </c>
      <c r="O5" s="7" t="s">
        <v>42</v>
      </c>
    </row>
    <row r="6" spans="1:15" x14ac:dyDescent="0.35">
      <c r="B6" s="7">
        <f>C2+1</f>
        <v>14</v>
      </c>
      <c r="C6" s="7">
        <v>9</v>
      </c>
      <c r="E6" s="17">
        <f>(100/B8)*C8</f>
        <v>61.53846153846154</v>
      </c>
      <c r="F6" s="14" t="s">
        <v>126</v>
      </c>
      <c r="I6" s="14">
        <f>C4</f>
        <v>10</v>
      </c>
      <c r="J6" s="14">
        <f>40/B6*C6</f>
        <v>25.714285714285715</v>
      </c>
      <c r="K6" s="14">
        <f>15/B8*C8</f>
        <v>9.2307692307692299</v>
      </c>
      <c r="L6" s="14">
        <f>10/B10*C10</f>
        <v>6.1538461538461542</v>
      </c>
      <c r="M6" s="14">
        <f>10/B12*C12</f>
        <v>0</v>
      </c>
      <c r="N6" s="14">
        <f>5/B14*C14</f>
        <v>0</v>
      </c>
      <c r="O6" s="14">
        <f>5/B16*C16</f>
        <v>0</v>
      </c>
    </row>
    <row r="7" spans="1:15" x14ac:dyDescent="0.35">
      <c r="A7" t="s">
        <v>127</v>
      </c>
      <c r="B7" t="s">
        <v>128</v>
      </c>
      <c r="C7" t="s">
        <v>129</v>
      </c>
      <c r="E7" s="13">
        <f>(100/B10)*C10</f>
        <v>61.53846153846154</v>
      </c>
      <c r="F7" s="7" t="s">
        <v>130</v>
      </c>
      <c r="G7" s="7"/>
      <c r="H7" s="7"/>
      <c r="I7" s="7">
        <f>I6+20</f>
        <v>30</v>
      </c>
      <c r="J7" s="7">
        <f>30/B6*C6</f>
        <v>19.285714285714285</v>
      </c>
      <c r="K7" s="7">
        <f>15/B8*C8</f>
        <v>9.2307692307692299</v>
      </c>
      <c r="L7" s="7">
        <f>10/B10*C10</f>
        <v>6.1538461538461542</v>
      </c>
      <c r="M7" s="7">
        <f>5/B12*C12</f>
        <v>0</v>
      </c>
      <c r="N7" s="7">
        <f>5/B14*C14</f>
        <v>0</v>
      </c>
      <c r="O7" s="7">
        <f>5/B16*C16</f>
        <v>0</v>
      </c>
    </row>
    <row r="8" spans="1:15" x14ac:dyDescent="0.35">
      <c r="B8" s="7">
        <f>C2</f>
        <v>13</v>
      </c>
      <c r="C8" s="7">
        <v>8</v>
      </c>
      <c r="D8" s="13"/>
      <c r="E8" s="13">
        <f>(100/B12)*C12</f>
        <v>0</v>
      </c>
    </row>
    <row r="9" spans="1:15" x14ac:dyDescent="0.35">
      <c r="A9" t="s">
        <v>131</v>
      </c>
      <c r="B9" t="s">
        <v>128</v>
      </c>
      <c r="C9" t="s">
        <v>129</v>
      </c>
      <c r="E9" s="13">
        <f>(100/B14)*C14</f>
        <v>0</v>
      </c>
    </row>
    <row r="10" spans="1:15" x14ac:dyDescent="0.35">
      <c r="B10" s="7">
        <f>C2</f>
        <v>13</v>
      </c>
      <c r="C10" s="7">
        <v>8</v>
      </c>
      <c r="D10" s="13"/>
      <c r="E10" s="13">
        <f>(100/B16)*C16</f>
        <v>0</v>
      </c>
    </row>
    <row r="11" spans="1:15" x14ac:dyDescent="0.35">
      <c r="A11" t="s">
        <v>41</v>
      </c>
      <c r="B11" t="s">
        <v>128</v>
      </c>
      <c r="C11" t="s">
        <v>129</v>
      </c>
    </row>
    <row r="12" spans="1:15" x14ac:dyDescent="0.35">
      <c r="B12" s="7">
        <f>C2</f>
        <v>13</v>
      </c>
      <c r="C12" s="7">
        <v>0</v>
      </c>
      <c r="D12" s="13"/>
      <c r="F12" s="7"/>
      <c r="G12" s="7" t="s">
        <v>126</v>
      </c>
      <c r="H12" s="7" t="s">
        <v>132</v>
      </c>
      <c r="L12" s="13" t="s">
        <v>133</v>
      </c>
    </row>
    <row r="13" spans="1:15" ht="29" x14ac:dyDescent="0.35">
      <c r="A13" s="15" t="s">
        <v>125</v>
      </c>
      <c r="B13" t="s">
        <v>128</v>
      </c>
      <c r="C13" t="s">
        <v>129</v>
      </c>
      <c r="F13" s="7" t="s">
        <v>33</v>
      </c>
      <c r="G13" s="7">
        <f>I6</f>
        <v>10</v>
      </c>
      <c r="H13" s="7">
        <f>I7</f>
        <v>30</v>
      </c>
      <c r="L13" s="13" t="s">
        <v>133</v>
      </c>
    </row>
    <row r="14" spans="1:15" x14ac:dyDescent="0.35">
      <c r="B14" s="7">
        <f>C2</f>
        <v>13</v>
      </c>
      <c r="C14" s="7">
        <v>0</v>
      </c>
      <c r="D14" s="13"/>
      <c r="F14" s="7" t="s">
        <v>34</v>
      </c>
      <c r="G14" s="7">
        <f>J6</f>
        <v>25.714285714285715</v>
      </c>
      <c r="H14" s="7">
        <f>J7</f>
        <v>19.285714285714285</v>
      </c>
      <c r="L14" s="13"/>
    </row>
    <row r="15" spans="1:15" x14ac:dyDescent="0.35">
      <c r="A15" t="s">
        <v>42</v>
      </c>
      <c r="B15" t="s">
        <v>128</v>
      </c>
      <c r="C15" t="s">
        <v>129</v>
      </c>
      <c r="F15" s="7" t="s">
        <v>124</v>
      </c>
      <c r="G15" s="7">
        <f>K6</f>
        <v>9.2307692307692299</v>
      </c>
      <c r="H15" s="7">
        <f>K7</f>
        <v>9.2307692307692299</v>
      </c>
      <c r="L15" s="13"/>
    </row>
    <row r="16" spans="1:15" x14ac:dyDescent="0.35">
      <c r="B16" s="7">
        <f>C2</f>
        <v>13</v>
      </c>
      <c r="C16" s="7">
        <v>0</v>
      </c>
      <c r="D16" s="13"/>
      <c r="F16" s="7" t="s">
        <v>35</v>
      </c>
      <c r="G16" s="7">
        <f>L6</f>
        <v>6.1538461538461542</v>
      </c>
      <c r="H16" s="7">
        <f>L7</f>
        <v>6.1538461538461542</v>
      </c>
      <c r="L16" s="13"/>
    </row>
    <row r="17" spans="6:12" x14ac:dyDescent="0.35">
      <c r="F17" s="7" t="s">
        <v>41</v>
      </c>
      <c r="G17" s="7">
        <f>M6</f>
        <v>0</v>
      </c>
      <c r="H17" s="7">
        <f>M7</f>
        <v>0</v>
      </c>
      <c r="L17" s="13"/>
    </row>
    <row r="18" spans="6:12" ht="29" x14ac:dyDescent="0.35">
      <c r="F18" s="16" t="s">
        <v>125</v>
      </c>
      <c r="G18" s="7">
        <f>N6</f>
        <v>0</v>
      </c>
      <c r="H18" s="7">
        <f>N7</f>
        <v>0</v>
      </c>
      <c r="L18" s="13"/>
    </row>
    <row r="19" spans="6:12" x14ac:dyDescent="0.35">
      <c r="F19" s="7" t="s">
        <v>42</v>
      </c>
      <c r="G19" s="7">
        <f>O6</f>
        <v>0</v>
      </c>
      <c r="H19" s="7">
        <f>O7</f>
        <v>0</v>
      </c>
      <c r="L19" s="13"/>
    </row>
    <row r="20" spans="6:12" x14ac:dyDescent="0.35">
      <c r="F20" s="7" t="s">
        <v>134</v>
      </c>
      <c r="G20" s="18">
        <f>G13+G14+G15+G16+G17+G18+G19</f>
        <v>51.098901098901102</v>
      </c>
      <c r="H20" s="18">
        <f>H13+H14+H15+H16+H17+H18+H19</f>
        <v>64.670329670329679</v>
      </c>
      <c r="L20" s="13"/>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E9"/>
  <sheetViews>
    <sheetView topLeftCell="B1" workbookViewId="0">
      <selection activeCell="D6" sqref="D6"/>
    </sheetView>
  </sheetViews>
  <sheetFormatPr defaultRowHeight="14.5" x14ac:dyDescent="0.35"/>
  <sheetData>
    <row r="1" spans="3:5" x14ac:dyDescent="0.35">
      <c r="C1" s="249" t="s">
        <v>96</v>
      </c>
      <c r="D1" s="250" t="s">
        <v>97</v>
      </c>
      <c r="E1" s="250" t="s">
        <v>98</v>
      </c>
    </row>
    <row r="2" spans="3:5" x14ac:dyDescent="0.35">
      <c r="C2" s="249"/>
      <c r="D2" s="250"/>
      <c r="E2" s="250"/>
    </row>
    <row r="3" spans="3:5" x14ac:dyDescent="0.35">
      <c r="C3">
        <v>537</v>
      </c>
      <c r="D3" s="9">
        <f>E3/C3</f>
        <v>4283.0540037243945</v>
      </c>
      <c r="E3">
        <v>2300000</v>
      </c>
    </row>
    <row r="4" spans="3:5" x14ac:dyDescent="0.35">
      <c r="C4">
        <v>975</v>
      </c>
      <c r="D4" s="9">
        <f>E4/C4</f>
        <v>4499.4871794871797</v>
      </c>
      <c r="E4">
        <v>4387000</v>
      </c>
    </row>
    <row r="5" spans="3:5" x14ac:dyDescent="0.35">
      <c r="D5" s="9">
        <f>AVERAGE(D3:D4)</f>
        <v>4391.2705916057876</v>
      </c>
    </row>
    <row r="9" spans="3:5" ht="19.5" customHeight="1" x14ac:dyDescent="0.35"/>
  </sheetData>
  <mergeCells count="3">
    <mergeCell ref="C1:C2"/>
    <mergeCell ref="D1:D2"/>
    <mergeCell ref="E1:E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Sheet1</vt:lpstr>
      <vt:lpstr>C %</vt:lpstr>
      <vt:lpstr>C % (2)</vt:lpstr>
      <vt:lpstr>Sheet3</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Hp Elitebook 840 G6</cp:lastModifiedBy>
  <cp:lastPrinted>2025-05-21T14:56:43Z</cp:lastPrinted>
  <dcterms:created xsi:type="dcterms:W3CDTF">2013-11-23T05:32:33Z</dcterms:created>
  <dcterms:modified xsi:type="dcterms:W3CDTF">2025-08-19T13:01:33Z</dcterms:modified>
</cp:coreProperties>
</file>