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aug 25\AXIS\DUMP\"/>
    </mc:Choice>
  </mc:AlternateContent>
  <xr:revisionPtr revIDLastSave="0" documentId="13_ncr:1_{D26B7B11-7758-4A23-8B39-19639B73E794}" xr6:coauthVersionLast="47" xr6:coauthVersionMax="47" xr10:uidLastSave="{00000000-0000-0000-0000-000000000000}"/>
  <bookViews>
    <workbookView xWindow="-120" yWindow="-120" windowWidth="20730" windowHeight="11160" xr2:uid="{00000000-000D-0000-FFFF-FFFF00000000}"/>
  </bookViews>
  <sheets>
    <sheet name="Report" sheetId="1" r:id="rId1"/>
    <sheet name="Flat detail" sheetId="3" r:id="rId2"/>
    <sheet name="valuation" sheetId="5" r:id="rId3"/>
    <sheet name="Note" sheetId="4" r:id="rId4"/>
  </sheets>
  <definedNames>
    <definedName name="_xlnm.Print_Area" localSheetId="0">Report!$A$1:$H$754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38" i="1" l="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15" i="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492" i="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469" i="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46" i="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23" i="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00" i="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377" i="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54" i="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31" i="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08" i="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K178" i="1"/>
  <c r="K192" i="1"/>
  <c r="F558" i="1"/>
  <c r="F548" i="1"/>
  <c r="F533" i="1"/>
  <c r="F524" i="1"/>
  <c r="F497" i="1"/>
  <c r="F448" i="1"/>
  <c r="F419" i="1"/>
  <c r="F405" i="1"/>
  <c r="F387" i="1"/>
  <c r="F386" i="1"/>
  <c r="F335" i="1"/>
  <c r="F317" i="1"/>
  <c r="F288" i="1"/>
  <c r="D570" i="1"/>
  <c r="F570" i="1" s="1"/>
  <c r="D564" i="1"/>
  <c r="F564" i="1" s="1"/>
  <c r="D563" i="1"/>
  <c r="F563" i="1" s="1"/>
  <c r="D562" i="1"/>
  <c r="F562" i="1" s="1"/>
  <c r="G560" i="1"/>
  <c r="D558" i="1"/>
  <c r="E557" i="1"/>
  <c r="D557" i="1"/>
  <c r="F557" i="1" s="1"/>
  <c r="E556" i="1"/>
  <c r="F556" i="1" s="1"/>
  <c r="D556" i="1"/>
  <c r="E555" i="1"/>
  <c r="D555" i="1"/>
  <c r="F555" i="1" s="1"/>
  <c r="D554" i="1"/>
  <c r="F554" i="1" s="1"/>
  <c r="D553" i="1"/>
  <c r="F553" i="1" s="1"/>
  <c r="D552" i="1"/>
  <c r="F552" i="1" s="1"/>
  <c r="D551" i="1"/>
  <c r="F551" i="1" s="1"/>
  <c r="D550" i="1"/>
  <c r="F550" i="1" s="1"/>
  <c r="D549" i="1"/>
  <c r="F549" i="1" s="1"/>
  <c r="D548" i="1"/>
  <c r="D547" i="1"/>
  <c r="F547" i="1" s="1"/>
  <c r="D546" i="1"/>
  <c r="F546" i="1" s="1"/>
  <c r="D545" i="1"/>
  <c r="F545" i="1" s="1"/>
  <c r="D544" i="1"/>
  <c r="F544" i="1" s="1"/>
  <c r="D543" i="1"/>
  <c r="F543" i="1" s="1"/>
  <c r="D542" i="1"/>
  <c r="F542" i="1" s="1"/>
  <c r="D541" i="1"/>
  <c r="F541" i="1" s="1"/>
  <c r="D540" i="1"/>
  <c r="F540" i="1" s="1"/>
  <c r="D539" i="1"/>
  <c r="F539" i="1" s="1"/>
  <c r="D538" i="1"/>
  <c r="F538" i="1" s="1"/>
  <c r="G537" i="1"/>
  <c r="D537" i="1"/>
  <c r="F537" i="1" s="1"/>
  <c r="D535" i="1"/>
  <c r="F535" i="1" s="1"/>
  <c r="E534" i="1"/>
  <c r="D534" i="1"/>
  <c r="D533" i="1"/>
  <c r="E532" i="1"/>
  <c r="D532" i="1"/>
  <c r="F532" i="1" s="1"/>
  <c r="D531" i="1"/>
  <c r="F531" i="1" s="1"/>
  <c r="D529" i="1"/>
  <c r="F529" i="1" s="1"/>
  <c r="D528" i="1"/>
  <c r="F528" i="1" s="1"/>
  <c r="D527" i="1"/>
  <c r="F527" i="1" s="1"/>
  <c r="D526" i="1"/>
  <c r="F526" i="1" s="1"/>
  <c r="D525" i="1"/>
  <c r="F525" i="1" s="1"/>
  <c r="D524" i="1"/>
  <c r="D523" i="1"/>
  <c r="F523" i="1" s="1"/>
  <c r="D522" i="1"/>
  <c r="F522" i="1" s="1"/>
  <c r="D521" i="1"/>
  <c r="F521" i="1" s="1"/>
  <c r="D520" i="1"/>
  <c r="F520" i="1" s="1"/>
  <c r="D519" i="1"/>
  <c r="F519" i="1" s="1"/>
  <c r="D518" i="1"/>
  <c r="F518" i="1" s="1"/>
  <c r="D517" i="1"/>
  <c r="F517" i="1" s="1"/>
  <c r="D516" i="1"/>
  <c r="F516" i="1" s="1"/>
  <c r="D515" i="1"/>
  <c r="F515" i="1" s="1"/>
  <c r="G514" i="1"/>
  <c r="D514" i="1"/>
  <c r="F514" i="1" s="1"/>
  <c r="E512" i="1"/>
  <c r="D512" i="1"/>
  <c r="F512" i="1" s="1"/>
  <c r="D511" i="1"/>
  <c r="F511" i="1" s="1"/>
  <c r="E510" i="1"/>
  <c r="D510" i="1"/>
  <c r="F510" i="1" s="1"/>
  <c r="D509" i="1"/>
  <c r="F509" i="1" s="1"/>
  <c r="E508" i="1"/>
  <c r="D508" i="1"/>
  <c r="D507" i="1"/>
  <c r="F507" i="1" s="1"/>
  <c r="D506" i="1"/>
  <c r="F506" i="1" s="1"/>
  <c r="D505" i="1"/>
  <c r="F505" i="1" s="1"/>
  <c r="D504" i="1"/>
  <c r="F504" i="1" s="1"/>
  <c r="D503" i="1"/>
  <c r="F503" i="1" s="1"/>
  <c r="D502" i="1"/>
  <c r="F502" i="1" s="1"/>
  <c r="D501" i="1"/>
  <c r="F501" i="1" s="1"/>
  <c r="D500" i="1"/>
  <c r="F500" i="1" s="1"/>
  <c r="D499" i="1"/>
  <c r="F499" i="1" s="1"/>
  <c r="D498" i="1"/>
  <c r="F498" i="1" s="1"/>
  <c r="D497" i="1"/>
  <c r="D496" i="1"/>
  <c r="F496" i="1" s="1"/>
  <c r="D495" i="1"/>
  <c r="F495" i="1" s="1"/>
  <c r="D494" i="1"/>
  <c r="F494" i="1" s="1"/>
  <c r="D493" i="1"/>
  <c r="F493" i="1" s="1"/>
  <c r="D492" i="1"/>
  <c r="F492" i="1" s="1"/>
  <c r="G491" i="1"/>
  <c r="D491" i="1"/>
  <c r="F491" i="1" s="1"/>
  <c r="E489" i="1"/>
  <c r="D489" i="1"/>
  <c r="F489" i="1" s="1"/>
  <c r="D488" i="1"/>
  <c r="F488" i="1" s="1"/>
  <c r="E487" i="1"/>
  <c r="D487" i="1"/>
  <c r="D486" i="1"/>
  <c r="F486" i="1" s="1"/>
  <c r="E485" i="1"/>
  <c r="D485" i="1"/>
  <c r="F485" i="1" s="1"/>
  <c r="D484" i="1"/>
  <c r="F484" i="1" s="1"/>
  <c r="D483" i="1"/>
  <c r="F483" i="1" s="1"/>
  <c r="D482" i="1"/>
  <c r="F482" i="1" s="1"/>
  <c r="D481" i="1"/>
  <c r="F481" i="1" s="1"/>
  <c r="D480" i="1"/>
  <c r="F480" i="1" s="1"/>
  <c r="D479" i="1"/>
  <c r="F479" i="1" s="1"/>
  <c r="D478" i="1"/>
  <c r="F478" i="1" s="1"/>
  <c r="D477" i="1"/>
  <c r="F477" i="1" s="1"/>
  <c r="D476" i="1"/>
  <c r="F476" i="1" s="1"/>
  <c r="D475" i="1"/>
  <c r="F475" i="1" s="1"/>
  <c r="D474" i="1"/>
  <c r="F474" i="1" s="1"/>
  <c r="D473" i="1"/>
  <c r="F473" i="1" s="1"/>
  <c r="D472" i="1"/>
  <c r="F472" i="1" s="1"/>
  <c r="D471" i="1"/>
  <c r="F471" i="1" s="1"/>
  <c r="D470" i="1"/>
  <c r="F470" i="1" s="1"/>
  <c r="D469" i="1"/>
  <c r="F469" i="1" s="1"/>
  <c r="G468" i="1"/>
  <c r="D468" i="1"/>
  <c r="F468" i="1" s="1"/>
  <c r="E466" i="1"/>
  <c r="D466" i="1"/>
  <c r="F466" i="1" s="1"/>
  <c r="D465" i="1"/>
  <c r="F465" i="1" s="1"/>
  <c r="E464" i="1"/>
  <c r="D464" i="1"/>
  <c r="F464" i="1" s="1"/>
  <c r="D463" i="1"/>
  <c r="F463" i="1" s="1"/>
  <c r="E462" i="1"/>
  <c r="D462" i="1"/>
  <c r="D460" i="1"/>
  <c r="F460" i="1" s="1"/>
  <c r="D459" i="1"/>
  <c r="F459" i="1" s="1"/>
  <c r="D458" i="1"/>
  <c r="F458" i="1" s="1"/>
  <c r="D457" i="1"/>
  <c r="F457" i="1" s="1"/>
  <c r="D456" i="1"/>
  <c r="F456" i="1" s="1"/>
  <c r="D455" i="1"/>
  <c r="F455" i="1" s="1"/>
  <c r="D454" i="1"/>
  <c r="F454" i="1" s="1"/>
  <c r="D453" i="1"/>
  <c r="F453" i="1" s="1"/>
  <c r="D452" i="1"/>
  <c r="F452" i="1" s="1"/>
  <c r="D451" i="1"/>
  <c r="F451" i="1" s="1"/>
  <c r="D450" i="1"/>
  <c r="F450" i="1" s="1"/>
  <c r="D449" i="1"/>
  <c r="F449" i="1" s="1"/>
  <c r="D448" i="1"/>
  <c r="D447" i="1"/>
  <c r="F447" i="1" s="1"/>
  <c r="D446" i="1"/>
  <c r="F446" i="1" s="1"/>
  <c r="G445" i="1"/>
  <c r="D445" i="1"/>
  <c r="F445" i="1" s="1"/>
  <c r="D443" i="1"/>
  <c r="F443" i="1" s="1"/>
  <c r="E442" i="1"/>
  <c r="D442" i="1"/>
  <c r="D441" i="1"/>
  <c r="F441" i="1" s="1"/>
  <c r="E440" i="1"/>
  <c r="D440" i="1"/>
  <c r="D439" i="1"/>
  <c r="F439" i="1" s="1"/>
  <c r="D437" i="1"/>
  <c r="F437" i="1" s="1"/>
  <c r="D436" i="1"/>
  <c r="F436" i="1" s="1"/>
  <c r="D435" i="1"/>
  <c r="F435" i="1" s="1"/>
  <c r="D434" i="1"/>
  <c r="F434" i="1" s="1"/>
  <c r="D433" i="1"/>
  <c r="F433" i="1" s="1"/>
  <c r="D432" i="1"/>
  <c r="F432" i="1" s="1"/>
  <c r="D431" i="1"/>
  <c r="F431" i="1" s="1"/>
  <c r="D430" i="1"/>
  <c r="F430" i="1" s="1"/>
  <c r="D429" i="1"/>
  <c r="F429" i="1" s="1"/>
  <c r="D428" i="1"/>
  <c r="F428" i="1" s="1"/>
  <c r="D427" i="1"/>
  <c r="F427" i="1" s="1"/>
  <c r="D426" i="1"/>
  <c r="F426" i="1" s="1"/>
  <c r="D425" i="1"/>
  <c r="F425" i="1" s="1"/>
  <c r="D424" i="1"/>
  <c r="F424" i="1" s="1"/>
  <c r="D423" i="1"/>
  <c r="F423" i="1" s="1"/>
  <c r="G422" i="1"/>
  <c r="D422" i="1"/>
  <c r="F422" i="1" s="1"/>
  <c r="E420" i="1"/>
  <c r="F420" i="1" s="1"/>
  <c r="D420" i="1"/>
  <c r="D419" i="1"/>
  <c r="E418" i="1"/>
  <c r="D418" i="1"/>
  <c r="F418" i="1" s="1"/>
  <c r="D417" i="1"/>
  <c r="F417" i="1" s="1"/>
  <c r="E416" i="1"/>
  <c r="D416" i="1"/>
  <c r="F416" i="1" s="1"/>
  <c r="D415" i="1"/>
  <c r="F415" i="1" s="1"/>
  <c r="D414" i="1"/>
  <c r="F414" i="1" s="1"/>
  <c r="D413" i="1"/>
  <c r="F413" i="1" s="1"/>
  <c r="D412" i="1"/>
  <c r="F412" i="1" s="1"/>
  <c r="D411" i="1"/>
  <c r="F411" i="1" s="1"/>
  <c r="D410" i="1"/>
  <c r="F410" i="1" s="1"/>
  <c r="D409" i="1"/>
  <c r="F409" i="1" s="1"/>
  <c r="D408" i="1"/>
  <c r="F408" i="1" s="1"/>
  <c r="D407" i="1"/>
  <c r="F407" i="1" s="1"/>
  <c r="D406" i="1"/>
  <c r="F406" i="1" s="1"/>
  <c r="D405" i="1"/>
  <c r="D404" i="1"/>
  <c r="F404" i="1" s="1"/>
  <c r="D403" i="1"/>
  <c r="F403" i="1" s="1"/>
  <c r="D402" i="1"/>
  <c r="F402" i="1" s="1"/>
  <c r="D401" i="1"/>
  <c r="F401" i="1" s="1"/>
  <c r="D400" i="1"/>
  <c r="F400" i="1" s="1"/>
  <c r="G399" i="1"/>
  <c r="D399" i="1"/>
  <c r="F399" i="1" s="1"/>
  <c r="E397" i="1"/>
  <c r="D397" i="1"/>
  <c r="F397" i="1" s="1"/>
  <c r="D396" i="1"/>
  <c r="F396" i="1" s="1"/>
  <c r="E395" i="1"/>
  <c r="F395" i="1" s="1"/>
  <c r="D395" i="1"/>
  <c r="D394" i="1"/>
  <c r="F394" i="1" s="1"/>
  <c r="E393" i="1"/>
  <c r="D393" i="1"/>
  <c r="D391" i="1"/>
  <c r="F391" i="1" s="1"/>
  <c r="D390" i="1"/>
  <c r="F390" i="1" s="1"/>
  <c r="D389" i="1"/>
  <c r="F389" i="1" s="1"/>
  <c r="D388" i="1"/>
  <c r="F388" i="1" s="1"/>
  <c r="D387" i="1"/>
  <c r="D386" i="1"/>
  <c r="D385" i="1"/>
  <c r="F385" i="1" s="1"/>
  <c r="D384" i="1"/>
  <c r="F384" i="1" s="1"/>
  <c r="D383" i="1"/>
  <c r="F383" i="1" s="1"/>
  <c r="D382" i="1"/>
  <c r="F382" i="1" s="1"/>
  <c r="D381" i="1"/>
  <c r="F381" i="1" s="1"/>
  <c r="D380" i="1"/>
  <c r="F380" i="1" s="1"/>
  <c r="D379" i="1"/>
  <c r="F379" i="1" s="1"/>
  <c r="D378" i="1"/>
  <c r="F378" i="1" s="1"/>
  <c r="D377" i="1"/>
  <c r="F377" i="1" s="1"/>
  <c r="G376" i="1"/>
  <c r="D376" i="1"/>
  <c r="F376" i="1" s="1"/>
  <c r="D374" i="1"/>
  <c r="F374" i="1" s="1"/>
  <c r="E373" i="1"/>
  <c r="D373" i="1"/>
  <c r="D372" i="1"/>
  <c r="F372" i="1" s="1"/>
  <c r="E371" i="1"/>
  <c r="D371" i="1"/>
  <c r="F371" i="1" s="1"/>
  <c r="D370" i="1"/>
  <c r="F370" i="1" s="1"/>
  <c r="D368" i="1"/>
  <c r="F368" i="1" s="1"/>
  <c r="D367" i="1"/>
  <c r="F367" i="1" s="1"/>
  <c r="D366" i="1"/>
  <c r="F366" i="1" s="1"/>
  <c r="D365" i="1"/>
  <c r="F365" i="1" s="1"/>
  <c r="D364" i="1"/>
  <c r="F364" i="1" s="1"/>
  <c r="D363" i="1"/>
  <c r="F363" i="1" s="1"/>
  <c r="D362" i="1"/>
  <c r="F362" i="1" s="1"/>
  <c r="D361" i="1"/>
  <c r="F361" i="1" s="1"/>
  <c r="D360" i="1"/>
  <c r="F360" i="1" s="1"/>
  <c r="D359" i="1"/>
  <c r="F359" i="1" s="1"/>
  <c r="D358" i="1"/>
  <c r="F358" i="1" s="1"/>
  <c r="D357" i="1"/>
  <c r="F357" i="1" s="1"/>
  <c r="D356" i="1"/>
  <c r="F356" i="1" s="1"/>
  <c r="D355" i="1"/>
  <c r="F355" i="1" s="1"/>
  <c r="D354" i="1"/>
  <c r="F354" i="1" s="1"/>
  <c r="G353" i="1"/>
  <c r="D353" i="1"/>
  <c r="F353" i="1" s="1"/>
  <c r="D351" i="1"/>
  <c r="F351" i="1" s="1"/>
  <c r="E350" i="1"/>
  <c r="D350" i="1"/>
  <c r="F350" i="1" s="1"/>
  <c r="D349" i="1"/>
  <c r="F349" i="1" s="1"/>
  <c r="E348" i="1"/>
  <c r="D348" i="1"/>
  <c r="F348" i="1" s="1"/>
  <c r="D347" i="1"/>
  <c r="F347" i="1" s="1"/>
  <c r="D346" i="1"/>
  <c r="F346" i="1" s="1"/>
  <c r="D345" i="1"/>
  <c r="F345" i="1" s="1"/>
  <c r="D344" i="1"/>
  <c r="F344" i="1" s="1"/>
  <c r="D343" i="1"/>
  <c r="F343" i="1" s="1"/>
  <c r="D342" i="1"/>
  <c r="F342" i="1" s="1"/>
  <c r="D341" i="1"/>
  <c r="F341" i="1" s="1"/>
  <c r="D340" i="1"/>
  <c r="F340" i="1" s="1"/>
  <c r="D339" i="1"/>
  <c r="F339" i="1" s="1"/>
  <c r="D338" i="1"/>
  <c r="F338" i="1" s="1"/>
  <c r="D337" i="1"/>
  <c r="F337" i="1" s="1"/>
  <c r="D336" i="1"/>
  <c r="F336" i="1" s="1"/>
  <c r="D335" i="1"/>
  <c r="D334" i="1"/>
  <c r="F334" i="1" s="1"/>
  <c r="D333" i="1"/>
  <c r="F333" i="1" s="1"/>
  <c r="D332" i="1"/>
  <c r="F332" i="1" s="1"/>
  <c r="D331" i="1"/>
  <c r="F331" i="1" s="1"/>
  <c r="G330" i="1"/>
  <c r="D330" i="1"/>
  <c r="F330" i="1" s="1"/>
  <c r="E328" i="1"/>
  <c r="D328" i="1"/>
  <c r="D327" i="1"/>
  <c r="F327" i="1" s="1"/>
  <c r="E326" i="1"/>
  <c r="D326" i="1"/>
  <c r="F326" i="1" s="1"/>
  <c r="D325" i="1"/>
  <c r="F325" i="1" s="1"/>
  <c r="E324" i="1"/>
  <c r="D324" i="1"/>
  <c r="F324" i="1" s="1"/>
  <c r="D323" i="1"/>
  <c r="F323" i="1" s="1"/>
  <c r="D322" i="1"/>
  <c r="F322" i="1" s="1"/>
  <c r="D321" i="1"/>
  <c r="F321" i="1" s="1"/>
  <c r="D320" i="1"/>
  <c r="F320" i="1" s="1"/>
  <c r="D319" i="1"/>
  <c r="F319" i="1" s="1"/>
  <c r="D318" i="1"/>
  <c r="F318" i="1" s="1"/>
  <c r="D317" i="1"/>
  <c r="D316" i="1"/>
  <c r="F316" i="1" s="1"/>
  <c r="D315" i="1"/>
  <c r="F315" i="1" s="1"/>
  <c r="D314" i="1"/>
  <c r="F314" i="1" s="1"/>
  <c r="D313" i="1"/>
  <c r="F313" i="1" s="1"/>
  <c r="D312" i="1"/>
  <c r="F312" i="1" s="1"/>
  <c r="D311" i="1"/>
  <c r="F311" i="1" s="1"/>
  <c r="D310" i="1"/>
  <c r="F310" i="1" s="1"/>
  <c r="D309" i="1"/>
  <c r="F309" i="1" s="1"/>
  <c r="D308" i="1"/>
  <c r="F308" i="1" s="1"/>
  <c r="G307" i="1"/>
  <c r="D307" i="1"/>
  <c r="F307" i="1" s="1"/>
  <c r="E305" i="1"/>
  <c r="D305" i="1"/>
  <c r="F305" i="1" s="1"/>
  <c r="D304" i="1"/>
  <c r="F304" i="1" s="1"/>
  <c r="E303" i="1"/>
  <c r="D303" i="1"/>
  <c r="D302" i="1"/>
  <c r="F302" i="1" s="1"/>
  <c r="E301" i="1"/>
  <c r="D301" i="1"/>
  <c r="D300" i="1"/>
  <c r="F300" i="1" s="1"/>
  <c r="D299" i="1"/>
  <c r="F299" i="1" s="1"/>
  <c r="D298" i="1"/>
  <c r="F298" i="1" s="1"/>
  <c r="D297" i="1"/>
  <c r="F297" i="1" s="1"/>
  <c r="D296" i="1"/>
  <c r="F296" i="1" s="1"/>
  <c r="D295" i="1"/>
  <c r="F295" i="1" s="1"/>
  <c r="D294" i="1"/>
  <c r="F294" i="1" s="1"/>
  <c r="D293" i="1"/>
  <c r="F293" i="1" s="1"/>
  <c r="D292" i="1"/>
  <c r="F292" i="1" s="1"/>
  <c r="D291" i="1"/>
  <c r="F291" i="1" s="1"/>
  <c r="D290" i="1"/>
  <c r="F290" i="1" s="1"/>
  <c r="D289" i="1"/>
  <c r="F289" i="1" s="1"/>
  <c r="D288" i="1"/>
  <c r="D287" i="1"/>
  <c r="F287" i="1" s="1"/>
  <c r="D286" i="1"/>
  <c r="F286" i="1" s="1"/>
  <c r="D285" i="1"/>
  <c r="F285" i="1" s="1"/>
  <c r="D284" i="1"/>
  <c r="F284" i="1" s="1"/>
  <c r="C16" i="1"/>
  <c r="F303" i="1" l="1"/>
  <c r="F442" i="1"/>
  <c r="F462" i="1"/>
  <c r="F508" i="1"/>
  <c r="F301" i="1"/>
  <c r="F328" i="1"/>
  <c r="F373" i="1"/>
  <c r="F393" i="1"/>
  <c r="F440" i="1"/>
  <c r="F487" i="1"/>
  <c r="F534" i="1"/>
  <c r="F147" i="1"/>
  <c r="D147" i="1"/>
  <c r="C147" i="1"/>
  <c r="C78" i="1"/>
  <c r="A285" i="1" l="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J235" i="1"/>
  <c r="I146" i="1" l="1"/>
  <c r="D252" i="1"/>
  <c r="F137" i="1" l="1"/>
  <c r="J145" i="1"/>
  <c r="I145" i="1"/>
  <c r="G284" i="1"/>
  <c r="I251" i="1"/>
  <c r="J117" i="1"/>
  <c r="J116" i="1"/>
  <c r="J115" i="1"/>
  <c r="J114" i="1"/>
  <c r="H109" i="1"/>
  <c r="D121" i="1" l="1"/>
  <c r="D119" i="1"/>
  <c r="D117" i="1"/>
  <c r="D115" i="1"/>
  <c r="J112" i="1"/>
  <c r="J113" i="1" s="1"/>
  <c r="J118" i="1" s="1"/>
  <c r="J119" i="1" s="1"/>
  <c r="C113" i="1" s="1"/>
  <c r="D120" i="1"/>
  <c r="D118" i="1"/>
  <c r="D116" i="1"/>
  <c r="D114" i="1"/>
  <c r="J110" i="1"/>
  <c r="J111" i="1"/>
  <c r="J109" i="1"/>
  <c r="C112" i="1" l="1"/>
  <c r="G112" i="1" s="1"/>
  <c r="E112" i="1"/>
  <c r="D113" i="1"/>
  <c r="D112" i="1" l="1"/>
  <c r="I106" i="1" s="1"/>
  <c r="C110" i="1" s="1"/>
  <c r="E42" i="1"/>
  <c r="E3" i="1" l="1"/>
  <c r="J103" i="1" l="1"/>
  <c r="J102" i="1"/>
  <c r="J101" i="1"/>
  <c r="J100" i="1"/>
  <c r="J87" i="1"/>
  <c r="J86" i="1"/>
  <c r="J85" i="1"/>
  <c r="J84" i="1"/>
  <c r="C76" i="1"/>
  <c r="C82" i="1" l="1"/>
  <c r="D82" i="1" s="1"/>
  <c r="J77" i="1"/>
  <c r="D91" i="1"/>
  <c r="D89" i="1"/>
  <c r="D87" i="1"/>
  <c r="D85" i="1"/>
  <c r="J82" i="1"/>
  <c r="J83" i="1" s="1"/>
  <c r="J88" i="1" s="1"/>
  <c r="C83" i="1" s="1"/>
  <c r="D88" i="1"/>
  <c r="D84" i="1"/>
  <c r="D90" i="1"/>
  <c r="D86" i="1"/>
  <c r="J80" i="1"/>
  <c r="H93" i="1"/>
  <c r="D107" i="1" l="1"/>
  <c r="D105" i="1"/>
  <c r="D103" i="1"/>
  <c r="D101" i="1"/>
  <c r="J98" i="1"/>
  <c r="J99" i="1" s="1"/>
  <c r="J104" i="1" s="1"/>
  <c r="J105" i="1" s="1"/>
  <c r="C99" i="1" s="1"/>
  <c r="D106" i="1"/>
  <c r="D102" i="1"/>
  <c r="J96" i="1"/>
  <c r="J97" i="1"/>
  <c r="C98" i="1" s="1"/>
  <c r="J93" i="1"/>
  <c r="D104" i="1"/>
  <c r="D100" i="1"/>
  <c r="E82" i="1"/>
  <c r="I74" i="1" s="1"/>
  <c r="D83" i="1"/>
  <c r="G82" i="1"/>
  <c r="E98" i="1" l="1"/>
  <c r="D99" i="1"/>
  <c r="G98" i="1"/>
  <c r="D98" i="1"/>
  <c r="I90" i="1" l="1"/>
  <c r="I211" i="1" l="1"/>
  <c r="I212" i="1"/>
  <c r="I201" i="1"/>
  <c r="I234" i="1" l="1"/>
  <c r="I235" i="1" l="1"/>
  <c r="J154" i="1"/>
  <c r="F145" i="1" l="1"/>
  <c r="F148" i="1" s="1"/>
  <c r="F146" i="1"/>
  <c r="F140" i="1"/>
  <c r="F141" i="1"/>
  <c r="D275" i="1"/>
  <c r="D273" i="1"/>
  <c r="D272" i="1"/>
  <c r="D271" i="1"/>
  <c r="D270" i="1"/>
  <c r="D269" i="1"/>
  <c r="D268" i="1"/>
  <c r="D267" i="1"/>
  <c r="I265" i="1" s="1"/>
  <c r="I266" i="1" s="1"/>
  <c r="D266" i="1"/>
  <c r="D265" i="1"/>
  <c r="D264" i="1"/>
  <c r="D263" i="1"/>
  <c r="D258" i="1"/>
  <c r="D259" i="1"/>
  <c r="D260" i="1"/>
  <c r="D261" i="1"/>
  <c r="D262" i="1"/>
  <c r="D257" i="1"/>
  <c r="D256" i="1"/>
  <c r="D255" i="1"/>
  <c r="D253" i="1"/>
  <c r="D249" i="1"/>
  <c r="D250" i="1"/>
  <c r="D251" i="1"/>
  <c r="D248" i="1"/>
  <c r="D246" i="1"/>
  <c r="D247" i="1"/>
  <c r="D245" i="1"/>
  <c r="D244" i="1"/>
  <c r="J243" i="1" s="1"/>
  <c r="D239" i="1"/>
  <c r="D240" i="1"/>
  <c r="D241" i="1"/>
  <c r="D242" i="1"/>
  <c r="D243" i="1"/>
  <c r="D238" i="1"/>
  <c r="D237" i="1"/>
  <c r="D236" i="1"/>
  <c r="J234" i="1" s="1"/>
  <c r="D231" i="1"/>
  <c r="D230" i="1"/>
  <c r="D229" i="1"/>
  <c r="D228" i="1"/>
  <c r="D227" i="1"/>
  <c r="D224" i="1"/>
  <c r="D223" i="1"/>
  <c r="D219" i="1"/>
  <c r="D218" i="1"/>
  <c r="D217" i="1"/>
  <c r="D216" i="1"/>
  <c r="D214" i="1"/>
  <c r="D213" i="1"/>
  <c r="D212" i="1"/>
  <c r="D211" i="1"/>
  <c r="D210" i="1"/>
  <c r="D209" i="1"/>
  <c r="D208" i="1"/>
  <c r="D207" i="1"/>
  <c r="D205" i="1"/>
  <c r="D204" i="1"/>
  <c r="D203" i="1"/>
  <c r="D202" i="1"/>
  <c r="D200" i="1"/>
  <c r="D199" i="1"/>
  <c r="D198" i="1"/>
  <c r="D197" i="1"/>
  <c r="D196" i="1"/>
  <c r="D195" i="1"/>
  <c r="K195" i="1" s="1"/>
  <c r="D194" i="1"/>
  <c r="K194" i="1" s="1"/>
  <c r="D193" i="1"/>
  <c r="K193" i="1" s="1"/>
  <c r="D191" i="1"/>
  <c r="K191" i="1" s="1"/>
  <c r="D190" i="1"/>
  <c r="K190" i="1" s="1"/>
  <c r="D189" i="1"/>
  <c r="K189" i="1" s="1"/>
  <c r="D188" i="1"/>
  <c r="K188" i="1" s="1"/>
  <c r="D187" i="1"/>
  <c r="K187" i="1" s="1"/>
  <c r="D186" i="1"/>
  <c r="K186" i="1" s="1"/>
  <c r="D185" i="1"/>
  <c r="K185" i="1" s="1"/>
  <c r="D184" i="1"/>
  <c r="K184" i="1" s="1"/>
  <c r="D183" i="1"/>
  <c r="K183" i="1" s="1"/>
  <c r="D182" i="1"/>
  <c r="K182" i="1" s="1"/>
  <c r="D181" i="1"/>
  <c r="K181" i="1" s="1"/>
  <c r="D180" i="1"/>
  <c r="K180" i="1" s="1"/>
  <c r="D179" i="1"/>
  <c r="K179" i="1" s="1"/>
  <c r="K203" i="1"/>
  <c r="J217" i="1"/>
  <c r="K202" i="1"/>
  <c r="J216" i="1"/>
  <c r="D146" i="1" l="1"/>
  <c r="C146" i="1"/>
  <c r="D141" i="1"/>
  <c r="C141" i="1"/>
  <c r="F142" i="1"/>
  <c r="F149" i="1" s="1"/>
  <c r="K217" i="1"/>
  <c r="J231" i="1"/>
  <c r="D177" i="1"/>
  <c r="K177" i="1" s="1"/>
  <c r="D176" i="1"/>
  <c r="K176" i="1" s="1"/>
  <c r="D175" i="1"/>
  <c r="K175" i="1" s="1"/>
  <c r="D174" i="1"/>
  <c r="K174" i="1" s="1"/>
  <c r="D173" i="1"/>
  <c r="K173" i="1" s="1"/>
  <c r="D172" i="1"/>
  <c r="K172" i="1" s="1"/>
  <c r="D171" i="1"/>
  <c r="K171" i="1" s="1"/>
  <c r="D170" i="1"/>
  <c r="K170" i="1" s="1"/>
  <c r="D169" i="1"/>
  <c r="K169" i="1" s="1"/>
  <c r="D166" i="1"/>
  <c r="D165" i="1"/>
  <c r="I163" i="1" s="1"/>
  <c r="D164" i="1"/>
  <c r="D163" i="1"/>
  <c r="D162" i="1"/>
  <c r="D159" i="1"/>
  <c r="D161" i="1"/>
  <c r="D160" i="1"/>
  <c r="D158" i="1"/>
  <c r="D157" i="1"/>
  <c r="K157" i="1" s="1"/>
  <c r="D156" i="1"/>
  <c r="C145" i="1" l="1"/>
  <c r="C148" i="1" s="1"/>
  <c r="D145" i="1"/>
  <c r="D148" i="1" s="1"/>
  <c r="K137" i="1"/>
  <c r="K138" i="1" s="1"/>
  <c r="C140" i="1"/>
  <c r="C142" i="1" s="1"/>
  <c r="C149" i="1" s="1"/>
  <c r="D140" i="1"/>
  <c r="D142" i="1" s="1"/>
  <c r="D149" i="1" s="1"/>
  <c r="G255" i="1" l="1"/>
  <c r="J140" i="1" l="1"/>
  <c r="G156" i="1"/>
  <c r="G169" i="1"/>
  <c r="G179" i="1"/>
  <c r="G193" i="1"/>
  <c r="G221" i="1"/>
  <c r="G207" i="1"/>
  <c r="G236" i="1"/>
  <c r="G275" i="1"/>
  <c r="K216" i="1" l="1"/>
  <c r="J230" i="1"/>
  <c r="G6" i="5" l="1"/>
  <c r="G7" i="5"/>
  <c r="G5" i="5"/>
  <c r="F12" i="5"/>
  <c r="G12" i="5" s="1"/>
  <c r="F8" i="5"/>
  <c r="G8" i="5" s="1"/>
  <c r="I154" i="1" l="1"/>
  <c r="F11" i="5"/>
  <c r="G11" i="5" s="1"/>
  <c r="F9" i="5" l="1"/>
  <c r="G9" i="5" s="1"/>
  <c r="F10" i="5"/>
  <c r="G10" i="5" s="1"/>
  <c r="G13" i="5" l="1"/>
  <c r="F13" i="5"/>
  <c r="E7" i="1" l="1"/>
  <c r="E43" i="1" l="1"/>
  <c r="E44" i="1" s="1"/>
  <c r="D587" i="1" l="1"/>
  <c r="D68" i="1"/>
  <c r="L33" i="3" l="1"/>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 r="D36" i="3" s="1"/>
  <c r="E36" i="3"/>
</calcChain>
</file>

<file path=xl/sharedStrings.xml><?xml version="1.0" encoding="utf-8"?>
<sst xmlns="http://schemas.openxmlformats.org/spreadsheetml/2006/main" count="964" uniqueCount="425">
  <si>
    <t xml:space="preserve">Valuation Report </t>
  </si>
  <si>
    <t>Date:</t>
  </si>
  <si>
    <t>CPC Name:</t>
  </si>
  <si>
    <t>Date Of Property Visit</t>
  </si>
  <si>
    <t>Name of the builder group</t>
  </si>
  <si>
    <t>Name of the builder company</t>
  </si>
  <si>
    <t>Name of the Project</t>
  </si>
  <si>
    <t>Name / No of the Building</t>
  </si>
  <si>
    <t>Docouments Provided</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</si>
  <si>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</si>
  <si>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</si>
  <si>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</si>
  <si>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</si>
  <si>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</si>
  <si>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</si>
  <si>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</si>
  <si>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</si>
  <si>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</si>
  <si>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</si>
  <si>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</si>
  <si>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</si>
  <si>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</si>
  <si>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</si>
  <si>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</si>
  <si>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</si>
  <si>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</si>
  <si>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</si>
  <si>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</si>
  <si>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</si>
  <si>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</si>
  <si>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</si>
  <si>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</si>
  <si>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</si>
  <si>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</si>
  <si>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</si>
  <si>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</si>
  <si>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</si>
  <si>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</si>
  <si>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</si>
  <si>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</si>
  <si>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</si>
  <si>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Dated</t>
  </si>
  <si>
    <t xml:space="preserve">Date of approval: </t>
  </si>
  <si>
    <t>Expected Completion</t>
  </si>
  <si>
    <t>Building wise Construction details</t>
  </si>
  <si>
    <t>Approved no of units</t>
  </si>
  <si>
    <t>Approved no of Floors</t>
  </si>
  <si>
    <t>Type of Work</t>
  </si>
  <si>
    <t>Plinth</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</si>
  <si>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</si>
  <si>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</si>
  <si>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</si>
  <si>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</si>
  <si>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</si>
  <si>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</si>
  <si>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</si>
  <si>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</si>
  <si>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</si>
  <si>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</si>
  <si>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</si>
  <si>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</si>
  <si>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</si>
  <si>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</si>
  <si>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</si>
  <si>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</si>
  <si>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</si>
  <si>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</si>
  <si>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</si>
  <si>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</si>
  <si>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</si>
  <si>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</si>
  <si>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</si>
  <si>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</si>
  <si>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</si>
  <si>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</si>
  <si>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</si>
  <si>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</si>
  <si>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</si>
  <si>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</si>
  <si>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</si>
  <si>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</si>
  <si>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</si>
  <si>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</si>
  <si>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</si>
  <si>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</si>
  <si>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</si>
  <si>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</si>
  <si>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</si>
  <si>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</si>
  <si>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</si>
  <si>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</si>
  <si>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</si>
  <si>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</si>
  <si>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</si>
  <si>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</si>
  <si>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</si>
  <si>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Basement</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</si>
  <si>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</si>
  <si>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</si>
  <si>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</si>
  <si>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</si>
  <si>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</si>
  <si>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t>Flat/Shop No.</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</si>
  <si>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</si>
  <si>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</si>
  <si>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</si>
  <si>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</si>
  <si>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</si>
  <si>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</si>
  <si>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</si>
  <si>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</si>
  <si>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</si>
  <si>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</si>
  <si>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</si>
  <si>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</si>
  <si>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60 Years After Completion</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</si>
  <si>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</si>
  <si>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</si>
  <si>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</si>
  <si>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</si>
  <si>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</si>
  <si>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</si>
  <si>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</si>
  <si>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</si>
  <si>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</si>
  <si>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Legal Services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</si>
  <si>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</si>
  <si>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</si>
  <si>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</si>
  <si>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</si>
  <si>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</si>
  <si>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</si>
  <si>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</si>
  <si>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</si>
  <si>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in process</t>
  </si>
  <si>
    <t>Plinth completed</t>
  </si>
  <si>
    <t>All work Completed. OC Received.</t>
  </si>
  <si>
    <t>Report By :</t>
  </si>
  <si>
    <t>Market Research Data</t>
  </si>
  <si>
    <t>Source</t>
  </si>
  <si>
    <t>Distance from proposed property</t>
  </si>
  <si>
    <t>Net Carpet</t>
  </si>
  <si>
    <t>Market Value</t>
  </si>
  <si>
    <t>Average</t>
  </si>
  <si>
    <t xml:space="preserve">Valuation Adopted </t>
  </si>
  <si>
    <t>Saleable Area</t>
  </si>
  <si>
    <t>Rate on Saleable</t>
  </si>
  <si>
    <t>Dhanashree</t>
  </si>
  <si>
    <t>housing</t>
  </si>
  <si>
    <t>24/10/2020.</t>
  </si>
  <si>
    <t>5BHK</t>
  </si>
  <si>
    <t>magicbricks</t>
  </si>
  <si>
    <t>3BHK</t>
  </si>
  <si>
    <t>99Acers</t>
  </si>
  <si>
    <t>4BHK</t>
  </si>
  <si>
    <t>2BHK</t>
  </si>
  <si>
    <t>1BHK</t>
  </si>
  <si>
    <t>Middle Class</t>
  </si>
  <si>
    <t>Developing</t>
  </si>
  <si>
    <t xml:space="preserve">Cement, Aggregate, Steel, etc </t>
  </si>
  <si>
    <t xml:space="preserve">A Wing </t>
  </si>
  <si>
    <t>ITSS Unit-01</t>
  </si>
  <si>
    <t>ITSS Unit-02</t>
  </si>
  <si>
    <t>ITSS Unit-03</t>
  </si>
  <si>
    <t>ITSS Unit-04</t>
  </si>
  <si>
    <t>ITSS Unit-05</t>
  </si>
  <si>
    <t>ITSS Unit-06</t>
  </si>
  <si>
    <t>ITSS Unit-07</t>
  </si>
  <si>
    <t>ITSS Unit-08</t>
  </si>
  <si>
    <t>ITSS Unit-09</t>
  </si>
  <si>
    <t>ITSS Unit-10</t>
  </si>
  <si>
    <t>ITSS Unit-11</t>
  </si>
  <si>
    <t>Office</t>
  </si>
  <si>
    <t xml:space="preserve">B Wing </t>
  </si>
  <si>
    <t>Ground Floor for Commercial &amp; Parking</t>
  </si>
  <si>
    <t>Shop</t>
  </si>
  <si>
    <t>Refuge Area</t>
  </si>
  <si>
    <t>IT Office -1401</t>
  </si>
  <si>
    <t>IT Office -1402</t>
  </si>
  <si>
    <t>IT Office -1403</t>
  </si>
  <si>
    <t>IT Office -1404</t>
  </si>
  <si>
    <t>IT Office -1405</t>
  </si>
  <si>
    <t>IT Office -1406</t>
  </si>
  <si>
    <t>IT Office -1407</t>
  </si>
  <si>
    <t>IT Office -1408</t>
  </si>
  <si>
    <t>IT Office -1409</t>
  </si>
  <si>
    <t>Lotus Park</t>
  </si>
  <si>
    <t>Road Number 16</t>
  </si>
  <si>
    <t>Commercial</t>
  </si>
  <si>
    <t>Plot No</t>
  </si>
  <si>
    <t>A Wing</t>
  </si>
  <si>
    <t>B Wing</t>
  </si>
  <si>
    <t>Wheather the construction is as per approved Building plan : Under Construction</t>
  </si>
  <si>
    <t>NEW APF</t>
  </si>
  <si>
    <t>Commercial Area Details : Shop</t>
  </si>
  <si>
    <t>Thane</t>
  </si>
  <si>
    <t>D-1</t>
  </si>
  <si>
    <t>M/s. Squarefeet Construction</t>
  </si>
  <si>
    <t>600000/-</t>
  </si>
  <si>
    <t>Builder Rate</t>
  </si>
  <si>
    <t>1.5 to 4.5 Cr fpr Shop</t>
  </si>
  <si>
    <t>27/01/2021.</t>
  </si>
  <si>
    <t>ITSS Unit P3-01</t>
  </si>
  <si>
    <t>ITSS Unit P3-02</t>
  </si>
  <si>
    <t>ITSS Unit P3-03</t>
  </si>
  <si>
    <t>ITSS Unit P3-04</t>
  </si>
  <si>
    <t>ITSS Unit P3-05</t>
  </si>
  <si>
    <t>ITSS Unit P3-06</t>
  </si>
  <si>
    <t>ITSS Unit P3-07</t>
  </si>
  <si>
    <t>ITSS Unit P3-08</t>
  </si>
  <si>
    <t>ITSS Unit P3-09</t>
  </si>
  <si>
    <t>2nd Podium Floor for Parking</t>
  </si>
  <si>
    <t xml:space="preserve">3rd Podium Floor </t>
  </si>
  <si>
    <t>1st to 3rd, 6th, 9th, 10th, 12th, 13th Floor</t>
  </si>
  <si>
    <t>5th &amp; 8th Floor (Refuge Area)</t>
  </si>
  <si>
    <t>14th Floor</t>
  </si>
  <si>
    <t>IT Office -1410</t>
  </si>
  <si>
    <t>IT Office -1411</t>
  </si>
  <si>
    <t>IT Office -1412</t>
  </si>
  <si>
    <t>IT Office -1413</t>
  </si>
  <si>
    <t xml:space="preserve">1st to 4th Floor </t>
  </si>
  <si>
    <t>ITSS Unit-S501</t>
  </si>
  <si>
    <t>IT Office -101,...,1301</t>
  </si>
  <si>
    <t>IT Office -102,...,1302</t>
  </si>
  <si>
    <t>IT Office -103,...,1303</t>
  </si>
  <si>
    <t>IT Office -104,...,1304</t>
  </si>
  <si>
    <t>IT Office -106,...,1306</t>
  </si>
  <si>
    <t>IT Office -107,...,1307</t>
  </si>
  <si>
    <t>IT Office -108,...,1308</t>
  </si>
  <si>
    <t>IT Office -109,...,1309</t>
  </si>
  <si>
    <t>IT Office -110,...,1310</t>
  </si>
  <si>
    <t>IT Office -111,...,1311</t>
  </si>
  <si>
    <t>IT Office -113,...,1313</t>
  </si>
  <si>
    <t>IT Office -105,...,1305</t>
  </si>
  <si>
    <t>IT Office -112,...,1312</t>
  </si>
  <si>
    <t>IT Office -404,...,1104</t>
  </si>
  <si>
    <t>IT Office -402,...,1102</t>
  </si>
  <si>
    <t>IT Office -403,...,1103</t>
  </si>
  <si>
    <t>IT Office -405,...,1105</t>
  </si>
  <si>
    <t>IT Office -406,...,1106</t>
  </si>
  <si>
    <t>IT Office -407,...,1107</t>
  </si>
  <si>
    <t>IT Office -408,...,1108</t>
  </si>
  <si>
    <t>IT Office -409,...,1109</t>
  </si>
  <si>
    <t>IT Office -401,...,1101</t>
  </si>
  <si>
    <t>IT Office -411,...,1111</t>
  </si>
  <si>
    <t>IT Office -410,...,1110</t>
  </si>
  <si>
    <t>IT Office -412,...,1112</t>
  </si>
  <si>
    <t>IT Office -413,...,1113</t>
  </si>
  <si>
    <t>IT Office -501 &amp; 801</t>
  </si>
  <si>
    <t>IT Office -502 &amp; 802</t>
  </si>
  <si>
    <t>IT Office -503 &amp; 803</t>
  </si>
  <si>
    <t>IT Office -504 &amp; 804</t>
  </si>
  <si>
    <t>IT Office -505 &amp; 805</t>
  </si>
  <si>
    <t>IT Office -507 &amp; 807</t>
  </si>
  <si>
    <t>IT Office -508 &amp; 808</t>
  </si>
  <si>
    <t>IT Office -509 &amp; 809</t>
  </si>
  <si>
    <t>IT Office -511 &amp; 811</t>
  </si>
  <si>
    <t>IT Office-512 &amp; 812</t>
  </si>
  <si>
    <t>IT Office-513 &amp; 813</t>
  </si>
  <si>
    <t>IT Office -506 &amp; 806</t>
  </si>
  <si>
    <t>IT Office-510 &amp; 810</t>
  </si>
  <si>
    <t>IT Office-S101 to S401</t>
  </si>
  <si>
    <t>IT Office-S102 to S402</t>
  </si>
  <si>
    <t>IT Office-S103 to S403</t>
  </si>
  <si>
    <t>IT Office-S104 to S404</t>
  </si>
  <si>
    <t>IT Office-S105 to S405</t>
  </si>
  <si>
    <t>IT Office-S106 to S406</t>
  </si>
  <si>
    <t>IT Office-S107 to S407</t>
  </si>
  <si>
    <t>IT Office-S108 to S408</t>
  </si>
  <si>
    <t>IT Office-S109 to S409</t>
  </si>
  <si>
    <t>IT Office-S110 to S410</t>
  </si>
  <si>
    <t>IT Office-S111 to S411</t>
  </si>
  <si>
    <t>IT Office-S112 to S412</t>
  </si>
  <si>
    <t>IT Office-S113 to S413</t>
  </si>
  <si>
    <t>IT Office-S114 to S414</t>
  </si>
  <si>
    <t>IT Office-S115 to S415</t>
  </si>
  <si>
    <t>IT Office-S116 to S416</t>
  </si>
  <si>
    <t>IT Office-S117 to S417</t>
  </si>
  <si>
    <t>IT Office-S118 to S418</t>
  </si>
  <si>
    <t>IT Office-S119 to S419</t>
  </si>
  <si>
    <t>Terrace Area</t>
  </si>
  <si>
    <t>ITSS Unit-S01</t>
  </si>
  <si>
    <t>ITSS Unit-S02</t>
  </si>
  <si>
    <t>ITSS Unit-S03</t>
  </si>
  <si>
    <t>ITSS Unit-S04</t>
  </si>
  <si>
    <t>ITSS Unit-S05</t>
  </si>
  <si>
    <t>ITSS Unit-S06</t>
  </si>
  <si>
    <t>ITSS Unit-S07</t>
  </si>
  <si>
    <t>ITSS Unit-S08</t>
  </si>
  <si>
    <t>ITSS Unit-S09</t>
  </si>
  <si>
    <t>ITSS Unit-S10</t>
  </si>
  <si>
    <t>ITSS Unit-S11</t>
  </si>
  <si>
    <t>ITSS Unit-S12</t>
  </si>
  <si>
    <t>ITSS Unit-S13</t>
  </si>
  <si>
    <t>ITSS Unit-S14</t>
  </si>
  <si>
    <t>ITSS Unit-S15</t>
  </si>
  <si>
    <t>ITSS Unit-S16</t>
  </si>
  <si>
    <t>ITSS Unit-S17</t>
  </si>
  <si>
    <t>ITSS Unit-S18</t>
  </si>
  <si>
    <t>Builder Saleable area</t>
  </si>
  <si>
    <t>Construction details:</t>
  </si>
  <si>
    <t>Slab/Floor</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</si>
  <si>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</si>
  <si>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</si>
  <si>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</si>
  <si>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</si>
  <si>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</si>
  <si>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</si>
  <si>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</si>
  <si>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</si>
  <si>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</si>
  <si>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</si>
  <si>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</si>
  <si>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</si>
  <si>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</si>
  <si>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</si>
  <si>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</si>
  <si>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</si>
  <si>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5th Floor (Terrace Floor)</t>
  </si>
  <si>
    <t>Wing B = Gr. + 5th Floor</t>
  </si>
  <si>
    <t>Facade Work &amp; Plumbing</t>
  </si>
  <si>
    <t>All work completed. Full OC received.</t>
  </si>
  <si>
    <t>9000 to 10500</t>
  </si>
  <si>
    <t>sanket</t>
  </si>
  <si>
    <t>Location Link</t>
  </si>
  <si>
    <t>https://goo.gl/maps/f13Xc8wwpNHiZQyJ8</t>
  </si>
  <si>
    <t>Office No. 1031, Wing J, Akshar Business Park, Plot No. 03 Sector 25, Near APMC Market,
Vashi, Navi Mumbai, Maharashtra 400703 TEL: 022-46090378/79/80                                                                                                                                    E mail : vsjcapf@gmail.com. Web site : www.vsjadon.com</t>
  </si>
  <si>
    <t>Axis Thane</t>
  </si>
  <si>
    <t>Centrum Business Square Phase 1 &amp; 2</t>
  </si>
  <si>
    <t>Wing A, B &amp; C</t>
  </si>
  <si>
    <t>Latitude &amp; Longitude</t>
  </si>
  <si>
    <t>19.194990,72.955343</t>
  </si>
  <si>
    <t>Layout :</t>
  </si>
  <si>
    <t>3.8 Km from Thane Railway Station</t>
  </si>
  <si>
    <t>Thane West</t>
  </si>
  <si>
    <t>As per Layout</t>
  </si>
  <si>
    <t>Road Number 16 U /
IIFL India Infoline Pvt Ltd</t>
  </si>
  <si>
    <t>Pipe Line/Road Number 15</t>
  </si>
  <si>
    <t>Ajay Songare</t>
  </si>
  <si>
    <t>Existing 12 M. Wide Road No.16</t>
  </si>
  <si>
    <t>9M Wide Road</t>
  </si>
  <si>
    <t>Pipe Line</t>
  </si>
  <si>
    <t>Plot B-20 &amp; C-12/2</t>
  </si>
  <si>
    <t>03 Wings</t>
  </si>
  <si>
    <t>Ground Floor + Mezz/ 1st Podium Floor for Commercial (Duplex Shop) &amp; Parking</t>
  </si>
  <si>
    <t>Boutique Offices, Power Backup Generator, Double Glazed Glass Facade, Double Glazed Façade, Open Air Restaurant, Cafeteria, Ample Surface, Parking Space, Fully Air-conditioned Designer Entrance Lobbies, Security etc.</t>
  </si>
  <si>
    <t>https://www.squarefeetgroup.in/2/Centrum-Business-Square-Affordable-Commercial-Thane.html#amenities</t>
  </si>
  <si>
    <t xml:space="preserve">C Wing </t>
  </si>
  <si>
    <t>Ground Floor For Parking</t>
  </si>
  <si>
    <t>1st to 3rd Podium Floor For Parking</t>
  </si>
  <si>
    <t>Saleable area Loading :</t>
  </si>
  <si>
    <t>1st Floor For Commercial</t>
  </si>
  <si>
    <t>IT Office No.
(Approved Plan)</t>
  </si>
  <si>
    <t>IT Office No.
(Sale Plan)</t>
  </si>
  <si>
    <t>3rd Floor</t>
  </si>
  <si>
    <t>Provided Contact Details (Name &amp; Contact No.)</t>
  </si>
  <si>
    <t>Site Person - Contact Details (Name &amp; Contact No.)</t>
  </si>
  <si>
    <t>Commercial Area Details : IT Office</t>
  </si>
  <si>
    <t>C Wing</t>
  </si>
  <si>
    <t>Wagale Estate (IT Park)</t>
  </si>
  <si>
    <t>Grand Total</t>
  </si>
  <si>
    <t>MIDC/IFMS/THANEI/E&amp;MD/
SubdnThane PAIII/2023/B17350
Wing A = Gr + Mezzanine Floor</t>
  </si>
  <si>
    <t>Part O. Certificate No.: 
Approved upto:</t>
  </si>
  <si>
    <t>MIDC/DE&amp;PA-III/SPA/THN/D-1/IFMS /C38118/of 2021</t>
  </si>
  <si>
    <t>SIA/MH/INFRA2/436580/2023</t>
  </si>
  <si>
    <t>Wing A = Gr. + Mezz/P1+ P2 &amp; P3 + 1st to 14th Floor
Wing B = Gr. + 1st to 5th Floor</t>
  </si>
  <si>
    <t>Bldg 1 = Gr. + Mezz/P1+ P2 &amp; P3 + 1st to 14th Floor</t>
  </si>
  <si>
    <t>Shopping Arcade Building B Wing</t>
  </si>
  <si>
    <t xml:space="preserve">RERA No. &amp; Name </t>
  </si>
  <si>
    <t>IT Park Building A Wing</t>
  </si>
  <si>
    <t xml:space="preserve">
 P51700054522
Centrum Business Square Phase 2
</t>
  </si>
  <si>
    <t xml:space="preserve">
P51700025651 
Centrum Business Square Phase1
</t>
  </si>
  <si>
    <t xml:space="preserve">
IT Park Building C
</t>
  </si>
  <si>
    <t>Builder Letter For Declaration about CC
 (For Wing C)</t>
  </si>
  <si>
    <t>4th, 7th &amp; 11th Floor (Part Refuge Area)</t>
  </si>
  <si>
    <t>Part O. Certificate No.: 
Approved upto :</t>
  </si>
  <si>
    <t>MIDC/IFMS/THANEI/E&amp;MD/Subdn Thane PAIII/2022/C62851
B wing = G + 4th Floor + 5th Floor (Terrace Floor)</t>
  </si>
  <si>
    <t xml:space="preserve">EC No. (For Wing A)
Valid Up for:
</t>
  </si>
  <si>
    <t>Combined Building
Approval Letter No.
Valid Up for:
(For Wing C)</t>
  </si>
  <si>
    <t xml:space="preserve">Commencement Certificate No.
Valid Up to: 
(For Wing A &amp; B)   
</t>
  </si>
  <si>
    <t>Approved Floor plan No.  
(For Wing C)</t>
  </si>
  <si>
    <t xml:space="preserve">Approved Floor plan No.  
(For Wing A &amp; B)     </t>
  </si>
  <si>
    <t xml:space="preserve">Layout Approval No.
(For Wing A &amp; B)     </t>
  </si>
  <si>
    <t>Matched as per RERA</t>
  </si>
  <si>
    <t>Layout Approval No.</t>
  </si>
  <si>
    <t>Recommended rate of the Office Per Sq. Ft. ( on Saleable area) 
(Wing C)</t>
  </si>
  <si>
    <t>Recommended rate of the shop Per Sq. Ft. ( on Saleable area)
(Wing A &amp; B)</t>
  </si>
  <si>
    <r>
      <t xml:space="preserve">Recommended rate of the Office Per Sq. Ft. ( on Saleable area)
</t>
    </r>
    <r>
      <rPr>
        <b/>
        <sz val="12"/>
        <color indexed="8"/>
        <rFont val="Times New Roman"/>
        <family val="1"/>
      </rPr>
      <t>(Wing A &amp; B)</t>
    </r>
  </si>
  <si>
    <t>By sanjay on 29/06/2024</t>
  </si>
  <si>
    <t>MIDC/DE&amp;PAIII/SPA/THN/C08088 /2023
Wing A = P1 to P3 + 1st to 14th Floor</t>
  </si>
  <si>
    <t>Name of Municipal Corporation/Authority</t>
  </si>
  <si>
    <t>Maharashtra Industrial Development Corporation (MIDC)</t>
  </si>
  <si>
    <t>Centrum Business Square Phase 1</t>
  </si>
  <si>
    <t>Centrum Business Square Phase 2</t>
  </si>
  <si>
    <t xml:space="preserve">O. Certificate No.: </t>
  </si>
  <si>
    <t>NA
Approved upto : NA</t>
  </si>
  <si>
    <t>Wing C = Gr/St + P1 to P3 + 1st to 15th Floor</t>
  </si>
  <si>
    <t>Wing A = Gr. + Mezz/P1+ P2 &amp; P3 + 1st to 14th Floor
Wing B = Gr. + 1st to 5th Floor
Wing C = Wing C = Gr/St + P1 to P3 + 1st to 15th Floor</t>
  </si>
  <si>
    <t>12th Floor</t>
  </si>
  <si>
    <t>Shops - 29, IT Offices - 564</t>
  </si>
  <si>
    <t>Approved Plans, CC, Sale Plans, Combined Building Approval Letter, OC, EC</t>
  </si>
  <si>
    <t xml:space="preserve">Environmental Clearance Certificate (EC) No
Valid Up for: </t>
  </si>
  <si>
    <t>21-199/2024-IA.III</t>
  </si>
  <si>
    <r>
      <t xml:space="preserve">Plot No. D1
</t>
    </r>
    <r>
      <rPr>
        <b/>
        <sz val="12"/>
        <rFont val="Times New Roman"/>
        <family val="1"/>
      </rPr>
      <t>Proposed Floor</t>
    </r>
    <r>
      <rPr>
        <sz val="12"/>
        <rFont val="Times New Roman"/>
        <family val="1"/>
      </rPr>
      <t xml:space="preserve"> - Bldg No.1(Wing A &amp; B) = Gr.+ Mezz/P1+ P2 &amp; P3 + 1st to 13th  + 14th(Pt)Floor
Bldg No.1(Wing C) = Gr/St + P1 to P3 + 1st to 15th Floor
</t>
    </r>
    <r>
      <rPr>
        <b/>
        <sz val="12"/>
        <rFont val="Times New Roman"/>
        <family val="1"/>
      </rPr>
      <t xml:space="preserve">Proposed BUA </t>
    </r>
    <r>
      <rPr>
        <sz val="12"/>
        <rFont val="Times New Roman"/>
        <family val="1"/>
      </rPr>
      <t>= 84,977.30 sq.m.</t>
    </r>
  </si>
  <si>
    <t>MIDC/DE&amp;PA-III/I-109663/2025</t>
  </si>
  <si>
    <t>Wing C = G + 3P + 1st to 15th Floor (48993.27 Sq. M BUA)</t>
  </si>
  <si>
    <t>IT Office</t>
  </si>
  <si>
    <t>ITSS Unit</t>
  </si>
  <si>
    <t>2nd Floor</t>
  </si>
  <si>
    <t>4th Floor For Commercial (Part Refuge Area)</t>
  </si>
  <si>
    <t>5th Floor For Commercial (Part Refuge Area)</t>
  </si>
  <si>
    <t>6th Floor</t>
  </si>
  <si>
    <t>7th Floor For Commercial (Part Refuge Area)</t>
  </si>
  <si>
    <t>8th Floor For Commercial (Part Refuge Area)</t>
  </si>
  <si>
    <t>9th &amp; 10th Floor</t>
  </si>
  <si>
    <t>13th &amp; 14th Floor</t>
  </si>
  <si>
    <t>11th Floor For Commercial (Part Refuge Area)</t>
  </si>
  <si>
    <t>Incubation Center</t>
  </si>
  <si>
    <t>15th Floor (Part Resturant Area)</t>
  </si>
  <si>
    <t xml:space="preserve"> -</t>
  </si>
  <si>
    <t>Open Air Restaurant Area</t>
  </si>
  <si>
    <t xml:space="preserve"> - </t>
  </si>
  <si>
    <t>1. A &amp; B Wing = All work completed. OC Received.
    C Wing = Construction work is in process at the time of visit.
2.We considered  Saleable area for Wing A &amp; B as per Builder Area Sheet
3. We considered  Saleable area for Wing C as per our calculation.
4. We considered Carpet area as per Approved Plan.
5. We considered Gross carpet area = Net carpet + Enclose balcony.
6. We have considered rate by verifying it from market inquire.
7. Car parking is subjected to authentic documentation.
8. Recommended rate should be considered as all inclusive rate if other charges are not mentioned. (Excluding GST &amp; other government Taxes).
9. We update revised approved Plans for Wing A &amp; B. (on 05/07/2021).
10. We have added Wing C (on 07/03/2024).
11. The Declaration about CC letter for wing C provided by the bank is attached below.
12. Recommended Rates / Other charges of the Property have been revised on 29/06/2024.
13. We have updated OC for Wing A from rera Site (On 03/07/2024).
14. We have updated approved EC on 21/12/2024 
15. We have updated approved plans &amp; CC for Wing C on 03/05/2025
11. We have updated part OC for Wing A from RERA Site. (on 07/03/2024)
9. On Site, we meet Mr. Amish sales - 8080799920.</t>
  </si>
  <si>
    <t>Gaurav Panchal</t>
  </si>
  <si>
    <t>As per RERA (Phase 1) -  Completed
                       (Phase 2) -  31/12/2027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</si>
</sst>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0.00_);_(* \(#,##0.00\);_(* &quot;-&quot;??_);_(@_)"/>
    <numFmt numFmtId="165" formatCode="0.0"/>
    <numFmt numFmtId="166" formatCode="_(* #,##0_);_(* \(#,##0\);_(* &quot;-&quot;??_);_(@_)"/>
    <numFmt numFmtId="167" formatCode="dd\/mm\/yyyy"/>
  </numFmts>
  <fonts count="28"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FF0000"/>
      <name val="Calibri"/>
      <family val="2"/>
      <scheme val="minor"/>
    </font>
    <font>
      <sz val="11"/>
      <color rgb="FFFF0000"/>
      <name val="Calibri"/>
      <family val="2"/>
    </font>
    <font>
      <sz val="10"/>
      <name val="Arial"/>
      <family val="2"/>
    </font>
    <font>
      <u/>
      <sz val="11"/>
      <color theme="10"/>
      <name val="Calibri"/>
      <family val="2"/>
    </font>
    <font>
      <sz val="11"/>
      <name val="Calibri"/>
      <family val="2"/>
    </font>
    <font>
      <sz val="11"/>
      <color theme="1"/>
      <name val="Calibri"/>
      <family val="2"/>
    </font>
    <font>
      <sz val="11"/>
      <color rgb="FF000000"/>
      <name val="Calibri"/>
      <family val="2"/>
    </font>
    <font>
      <b/>
      <sz val="11"/>
      <color theme="1"/>
      <name val="Times New Roman"/>
      <family val="1"/>
    </font>
  </fonts>
  <fills count="5">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7" tint="0.5999938962981048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10">
    <xf numFmtId="0" fontId="0" fillId="0" borderId="0"/>
    <xf numFmtId="0" fontId="6" fillId="0" borderId="0"/>
    <xf numFmtId="0" fontId="8" fillId="0" borderId="0"/>
    <xf numFmtId="0" fontId="5" fillId="0" borderId="0"/>
    <xf numFmtId="0" fontId="8" fillId="0" borderId="0"/>
    <xf numFmtId="0" fontId="4" fillId="0" borderId="0"/>
    <xf numFmtId="164" fontId="8" fillId="0" borderId="0" applyFont="0" applyFill="0" applyBorder="0" applyAlignment="0" applyProtection="0"/>
    <xf numFmtId="0" fontId="22" fillId="0" borderId="0"/>
    <xf numFmtId="0" fontId="23" fillId="0" borderId="0" applyNumberFormat="0" applyFill="0" applyBorder="0" applyAlignment="0" applyProtection="0"/>
    <xf numFmtId="9" fontId="26" fillId="0" borderId="0" applyFont="0" applyFill="0" applyBorder="0" applyAlignment="0" applyProtection="0"/>
  </cellStyleXfs>
  <cellXfs count="245">
    <xf numFmtId="0" fontId="0" fillId="0" borderId="0" xfId="0"/>
    <xf numFmtId="0" fontId="0" fillId="2" borderId="1" xfId="0" applyFill="1" applyBorder="1"/>
    <xf numFmtId="0" fontId="0" fillId="0" borderId="2" xfId="0" applyBorder="1"/>
    <xf numFmtId="0" fontId="12" fillId="0" borderId="1" xfId="0" applyFont="1" applyBorder="1"/>
    <xf numFmtId="0" fontId="12" fillId="0" borderId="1" xfId="0" applyFont="1" applyBorder="1" applyAlignment="1">
      <alignment horizontal="center"/>
    </xf>
    <xf numFmtId="0" fontId="0" fillId="0" borderId="1" xfId="0" applyBorder="1"/>
    <xf numFmtId="1" fontId="7" fillId="0" borderId="1" xfId="1" applyNumberFormat="1" applyFont="1" applyBorder="1" applyAlignment="1" applyProtection="1">
      <alignment horizontal="center" vertical="top" wrapText="1"/>
      <protection locked="0"/>
    </xf>
    <xf numFmtId="0" fontId="8" fillId="0" borderId="0" xfId="4"/>
    <xf numFmtId="0" fontId="4" fillId="0" borderId="0" xfId="5"/>
    <xf numFmtId="0" fontId="12" fillId="0" borderId="1" xfId="5" applyFont="1" applyBorder="1" applyAlignment="1">
      <alignment horizontal="center" vertical="top" wrapText="1"/>
    </xf>
    <xf numFmtId="0" fontId="21" fillId="0" borderId="0" xfId="4" applyFont="1"/>
    <xf numFmtId="0" fontId="4" fillId="0" borderId="1" xfId="5" applyBorder="1" applyAlignment="1">
      <alignment horizontal="center" vertical="center"/>
    </xf>
    <xf numFmtId="1" fontId="4" fillId="0" borderId="1" xfId="5" applyNumberFormat="1" applyBorder="1" applyAlignment="1">
      <alignment horizontal="center" vertical="center"/>
    </xf>
    <xf numFmtId="0" fontId="12" fillId="0" borderId="1" xfId="5" applyFont="1" applyBorder="1" applyAlignment="1">
      <alignment horizontal="center" vertical="center"/>
    </xf>
    <xf numFmtId="1" fontId="20" fillId="0" borderId="1" xfId="5" applyNumberFormat="1" applyFont="1" applyBorder="1" applyAlignment="1">
      <alignment horizontal="center" vertical="center"/>
    </xf>
    <xf numFmtId="0" fontId="8" fillId="0" borderId="1" xfId="4" applyBorder="1" applyAlignment="1">
      <alignment horizontal="center" vertical="center"/>
    </xf>
    <xf numFmtId="0" fontId="3" fillId="0" borderId="1" xfId="5" applyFont="1" applyBorder="1" applyAlignment="1">
      <alignment horizontal="center" vertical="center"/>
    </xf>
    <xf numFmtId="1" fontId="8" fillId="0" borderId="0" xfId="4" applyNumberFormat="1"/>
    <xf numFmtId="166" fontId="3" fillId="0" borderId="1" xfId="6" applyNumberFormat="1" applyFont="1" applyBorder="1" applyAlignment="1">
      <alignment horizontal="right" vertical="center"/>
    </xf>
    <xf numFmtId="0" fontId="8" fillId="0" borderId="0" xfId="4" applyAlignment="1">
      <alignment wrapText="1"/>
    </xf>
    <xf numFmtId="43" fontId="8" fillId="0" borderId="0" xfId="4" applyNumberFormat="1"/>
    <xf numFmtId="0" fontId="24" fillId="0" borderId="1" xfId="8" applyFont="1" applyBorder="1" applyAlignment="1">
      <alignment horizontal="center" vertical="top" wrapText="1"/>
    </xf>
    <xf numFmtId="0" fontId="2" fillId="0" borderId="1" xfId="5" applyFont="1" applyBorder="1" applyAlignment="1">
      <alignment horizontal="center" vertical="center"/>
    </xf>
    <xf numFmtId="1" fontId="2" fillId="0" borderId="1" xfId="5" applyNumberFormat="1" applyFont="1" applyBorder="1" applyAlignment="1">
      <alignment horizontal="center" vertical="center"/>
    </xf>
    <xf numFmtId="0" fontId="1" fillId="0" borderId="1" xfId="5" applyFont="1" applyBorder="1" applyAlignment="1">
      <alignment horizontal="left" vertical="center"/>
    </xf>
    <xf numFmtId="0" fontId="1" fillId="0" borderId="1" xfId="5" applyFont="1" applyBorder="1" applyAlignment="1">
      <alignment horizontal="center" vertical="center"/>
    </xf>
    <xf numFmtId="0" fontId="12" fillId="0" borderId="1" xfId="5" applyFont="1" applyBorder="1" applyAlignment="1">
      <alignment horizontal="left"/>
    </xf>
    <xf numFmtId="0" fontId="0" fillId="0" borderId="1" xfId="5" applyFont="1" applyBorder="1" applyAlignment="1">
      <alignment horizontal="center" vertical="center"/>
    </xf>
    <xf numFmtId="0" fontId="10" fillId="0" borderId="12" xfId="1" applyFont="1" applyBorder="1" applyProtection="1">
      <protection hidden="1"/>
    </xf>
    <xf numFmtId="0" fontId="10" fillId="0" borderId="0" xfId="1" applyFont="1" applyProtection="1">
      <protection hidden="1"/>
    </xf>
    <xf numFmtId="0" fontId="10" fillId="0" borderId="5" xfId="1" applyFont="1" applyBorder="1" applyAlignment="1" applyProtection="1">
      <alignment horizontal="center" vertical="top"/>
      <protection locked="0"/>
    </xf>
    <xf numFmtId="0" fontId="10" fillId="0" borderId="1" xfId="1" applyFont="1" applyBorder="1" applyAlignment="1" applyProtection="1">
      <alignment horizontal="center" vertical="top"/>
      <protection locked="0"/>
    </xf>
    <xf numFmtId="0" fontId="10" fillId="0" borderId="6" xfId="1" applyFont="1" applyBorder="1" applyAlignment="1" applyProtection="1">
      <alignment horizontal="center" vertical="top"/>
      <protection locked="0"/>
    </xf>
    <xf numFmtId="0" fontId="19" fillId="0" borderId="0" xfId="0" applyFont="1" applyProtection="1">
      <protection hidden="1"/>
    </xf>
    <xf numFmtId="0" fontId="19" fillId="0" borderId="15" xfId="0" applyFont="1" applyBorder="1" applyProtection="1">
      <protection hidden="1"/>
    </xf>
    <xf numFmtId="0" fontId="10" fillId="0" borderId="1" xfId="1" applyFont="1" applyBorder="1" applyAlignment="1" applyProtection="1">
      <alignment horizontal="center" vertical="top" wrapText="1"/>
      <protection locked="0"/>
    </xf>
    <xf numFmtId="1" fontId="9" fillId="0" borderId="1" xfId="1" applyNumberFormat="1" applyFont="1" applyBorder="1" applyAlignment="1" applyProtection="1">
      <alignment horizontal="center" vertical="center" wrapText="1"/>
      <protection locked="0"/>
    </xf>
    <xf numFmtId="0" fontId="15" fillId="0" borderId="1" xfId="1" applyFont="1" applyBorder="1" applyAlignment="1" applyProtection="1">
      <alignment horizontal="left" vertical="top"/>
      <protection locked="0"/>
    </xf>
    <xf numFmtId="0" fontId="16" fillId="0" borderId="1" xfId="1" applyFont="1" applyBorder="1" applyAlignment="1" applyProtection="1">
      <alignment horizontal="left" vertical="top"/>
      <protection locked="0"/>
    </xf>
    <xf numFmtId="1" fontId="11" fillId="0" borderId="1" xfId="1" applyNumberFormat="1" applyFont="1" applyBorder="1" applyAlignment="1" applyProtection="1">
      <alignment horizontal="center" vertical="top" wrapText="1"/>
      <protection locked="0"/>
    </xf>
    <xf numFmtId="0" fontId="10" fillId="0" borderId="0" xfId="1" applyFont="1"/>
    <xf numFmtId="0" fontId="18" fillId="0" borderId="0" xfId="1" applyFont="1"/>
    <xf numFmtId="0" fontId="15" fillId="0" borderId="1" xfId="1" applyFont="1" applyBorder="1" applyAlignment="1" applyProtection="1">
      <alignment vertical="top"/>
      <protection locked="0"/>
    </xf>
    <xf numFmtId="0" fontId="15" fillId="0" borderId="0" xfId="1" applyFont="1"/>
    <xf numFmtId="0" fontId="10" fillId="0" borderId="13" xfId="1" applyFont="1" applyBorder="1" applyProtection="1">
      <protection hidden="1"/>
    </xf>
    <xf numFmtId="0" fontId="10" fillId="0" borderId="14" xfId="1" applyFont="1" applyBorder="1" applyProtection="1">
      <protection hidden="1"/>
    </xf>
    <xf numFmtId="0" fontId="10" fillId="0" borderId="14" xfId="1" applyFont="1" applyBorder="1"/>
    <xf numFmtId="0" fontId="10" fillId="0" borderId="1" xfId="1" applyFont="1" applyBorder="1" applyAlignment="1" applyProtection="1">
      <alignment horizontal="center" wrapText="1"/>
      <protection locked="0"/>
    </xf>
    <xf numFmtId="9" fontId="10" fillId="0" borderId="1" xfId="1" applyNumberFormat="1" applyFont="1" applyBorder="1" applyAlignment="1" applyProtection="1">
      <alignment horizontal="center" vertical="center" wrapText="1"/>
      <protection hidden="1"/>
    </xf>
    <xf numFmtId="0" fontId="19" fillId="0" borderId="14" xfId="0" applyFont="1" applyBorder="1" applyProtection="1">
      <protection hidden="1"/>
    </xf>
    <xf numFmtId="1" fontId="10" fillId="0" borderId="1" xfId="1" applyNumberFormat="1" applyFont="1" applyBorder="1" applyAlignment="1" applyProtection="1">
      <alignment horizontal="center" wrapText="1"/>
      <protection locked="0"/>
    </xf>
    <xf numFmtId="1" fontId="25" fillId="0" borderId="14" xfId="0" applyNumberFormat="1" applyFont="1" applyBorder="1"/>
    <xf numFmtId="1" fontId="25" fillId="0" borderId="14" xfId="0" applyNumberFormat="1" applyFont="1" applyBorder="1" applyAlignment="1">
      <alignment horizontal="right"/>
    </xf>
    <xf numFmtId="0" fontId="10" fillId="0" borderId="8" xfId="1" applyFont="1" applyBorder="1" applyAlignment="1" applyProtection="1">
      <alignment horizontal="center" wrapText="1"/>
      <protection locked="0"/>
    </xf>
    <xf numFmtId="9" fontId="10" fillId="0" borderId="8" xfId="1" applyNumberFormat="1" applyFont="1" applyBorder="1" applyAlignment="1" applyProtection="1">
      <alignment horizontal="center" vertical="center" wrapText="1"/>
      <protection hidden="1"/>
    </xf>
    <xf numFmtId="1" fontId="25" fillId="0" borderId="16" xfId="0" applyNumberFormat="1" applyFont="1" applyBorder="1"/>
    <xf numFmtId="0" fontId="19" fillId="0" borderId="0" xfId="1" applyFont="1"/>
    <xf numFmtId="0" fontId="9" fillId="0" borderId="0" xfId="2" applyFont="1"/>
    <xf numFmtId="0" fontId="10" fillId="0" borderId="0" xfId="0" applyFont="1" applyAlignment="1">
      <alignment horizontal="center" vertical="center"/>
    </xf>
    <xf numFmtId="0" fontId="13" fillId="0" borderId="1" xfId="0" applyFont="1" applyBorder="1" applyAlignment="1" applyProtection="1">
      <alignment horizontal="center" vertical="center"/>
      <protection locked="0"/>
    </xf>
    <xf numFmtId="1" fontId="10" fillId="0" borderId="1" xfId="0" applyNumberFormat="1" applyFont="1" applyBorder="1" applyAlignment="1" applyProtection="1">
      <alignment horizontal="center" vertical="center"/>
      <protection locked="0"/>
    </xf>
    <xf numFmtId="1" fontId="13" fillId="0" borderId="1" xfId="0" applyNumberFormat="1" applyFont="1" applyBorder="1" applyAlignment="1" applyProtection="1">
      <alignment horizontal="center" vertical="center"/>
      <protection locked="0"/>
    </xf>
    <xf numFmtId="0" fontId="13" fillId="0" borderId="0" xfId="0" applyFont="1" applyAlignment="1">
      <alignment horizontal="center" vertical="center"/>
    </xf>
    <xf numFmtId="0" fontId="10" fillId="0" borderId="0" xfId="1" applyFont="1" applyAlignment="1">
      <alignment horizontal="center" vertical="center"/>
    </xf>
    <xf numFmtId="0" fontId="10" fillId="0" borderId="0" xfId="0" applyFont="1"/>
    <xf numFmtId="0" fontId="11" fillId="0" borderId="0" xfId="1" applyFont="1" applyAlignment="1" applyProtection="1">
      <alignment vertical="top"/>
      <protection locked="0"/>
    </xf>
    <xf numFmtId="0" fontId="11" fillId="0" borderId="0" xfId="1" applyFont="1" applyAlignment="1" applyProtection="1">
      <alignment vertical="top" wrapText="1"/>
      <protection locked="0"/>
    </xf>
    <xf numFmtId="0" fontId="10" fillId="0" borderId="0" xfId="1" applyFont="1" applyProtection="1">
      <protection locked="0"/>
    </xf>
    <xf numFmtId="1" fontId="10" fillId="0" borderId="0" xfId="0" applyNumberFormat="1" applyFont="1" applyAlignment="1">
      <alignment horizontal="center" vertical="center"/>
    </xf>
    <xf numFmtId="165" fontId="10" fillId="0" borderId="0" xfId="1" applyNumberFormat="1" applyFont="1" applyAlignment="1">
      <alignment horizontal="center" vertical="center"/>
    </xf>
    <xf numFmtId="0" fontId="16" fillId="0" borderId="0" xfId="1" applyFont="1" applyAlignment="1" applyProtection="1">
      <alignment horizontal="center" vertical="top" wrapText="1"/>
      <protection locked="0"/>
    </xf>
    <xf numFmtId="0" fontId="13" fillId="0" borderId="0" xfId="1" applyFont="1"/>
    <xf numFmtId="1" fontId="16" fillId="0" borderId="3" xfId="1" applyNumberFormat="1" applyFont="1" applyBorder="1" applyAlignment="1" applyProtection="1">
      <alignment horizontal="center" vertical="top" wrapText="1"/>
      <protection locked="0"/>
    </xf>
    <xf numFmtId="9" fontId="16" fillId="0" borderId="4" xfId="9" applyFont="1" applyFill="1" applyBorder="1" applyAlignment="1" applyProtection="1">
      <alignment horizontal="center" vertical="top" wrapText="1"/>
      <protection locked="0"/>
    </xf>
    <xf numFmtId="1" fontId="10" fillId="0" borderId="1" xfId="1" applyNumberFormat="1" applyFont="1" applyBorder="1" applyAlignment="1">
      <alignment horizontal="center"/>
    </xf>
    <xf numFmtId="0" fontId="13" fillId="0" borderId="0" xfId="1" applyFont="1" applyAlignment="1">
      <alignment vertical="top"/>
    </xf>
    <xf numFmtId="0" fontId="13" fillId="0" borderId="0" xfId="1" applyFont="1" applyAlignment="1">
      <alignment horizontal="center" vertical="center"/>
    </xf>
    <xf numFmtId="0" fontId="27" fillId="0" borderId="0" xfId="1" applyFont="1"/>
    <xf numFmtId="14" fontId="13" fillId="0" borderId="0" xfId="1" applyNumberFormat="1" applyFont="1"/>
    <xf numFmtId="0" fontId="27" fillId="2" borderId="0" xfId="1" applyFont="1" applyFill="1"/>
    <xf numFmtId="0" fontId="11" fillId="0" borderId="1" xfId="1" applyFont="1" applyBorder="1" applyAlignment="1" applyProtection="1">
      <alignment vertical="top"/>
      <protection locked="0"/>
    </xf>
    <xf numFmtId="14" fontId="10" fillId="0" borderId="0" xfId="1" applyNumberFormat="1" applyFont="1"/>
    <xf numFmtId="0" fontId="23" fillId="0" borderId="0" xfId="8" applyFill="1" applyAlignment="1">
      <alignment horizontal="center"/>
    </xf>
    <xf numFmtId="1" fontId="10" fillId="0" borderId="0" xfId="1" applyNumberFormat="1" applyFont="1" applyAlignment="1">
      <alignment horizontal="center"/>
    </xf>
    <xf numFmtId="1" fontId="11" fillId="0" borderId="1" xfId="0" applyNumberFormat="1" applyFont="1" applyBorder="1" applyAlignment="1" applyProtection="1">
      <alignment horizontal="center" vertical="center" wrapText="1"/>
      <protection locked="0"/>
    </xf>
    <xf numFmtId="1" fontId="9" fillId="0" borderId="1" xfId="1" applyNumberFormat="1" applyFont="1" applyBorder="1" applyAlignment="1" applyProtection="1">
      <alignment horizontal="center" vertical="center" wrapText="1"/>
      <protection locked="0"/>
    </xf>
    <xf numFmtId="0" fontId="16" fillId="0" borderId="30" xfId="1" applyFont="1" applyBorder="1" applyAlignment="1" applyProtection="1">
      <alignment horizontal="center" vertical="center"/>
      <protection locked="0"/>
    </xf>
    <xf numFmtId="0" fontId="16" fillId="0" borderId="19" xfId="1" applyFont="1" applyBorder="1" applyAlignment="1" applyProtection="1">
      <alignment horizontal="center" vertical="center"/>
      <protection locked="0"/>
    </xf>
    <xf numFmtId="0" fontId="16" fillId="0" borderId="32" xfId="1" applyFont="1" applyBorder="1" applyAlignment="1" applyProtection="1">
      <alignment horizontal="center" vertical="center"/>
      <protection locked="0"/>
    </xf>
    <xf numFmtId="0" fontId="16" fillId="0" borderId="33" xfId="1" applyFont="1" applyBorder="1" applyAlignment="1" applyProtection="1">
      <alignment horizontal="center" vertical="center"/>
      <protection locked="0"/>
    </xf>
    <xf numFmtId="9" fontId="16" fillId="0" borderId="18" xfId="1" applyNumberFormat="1" applyFont="1" applyBorder="1" applyAlignment="1" applyProtection="1">
      <alignment horizontal="center" vertical="center" wrapText="1"/>
      <protection locked="0"/>
    </xf>
    <xf numFmtId="0" fontId="16" fillId="0" borderId="19" xfId="1" applyFont="1" applyBorder="1" applyAlignment="1" applyProtection="1">
      <alignment horizontal="center" vertical="center" wrapText="1"/>
      <protection locked="0"/>
    </xf>
    <xf numFmtId="0" fontId="16" fillId="0" borderId="34" xfId="1" applyFont="1" applyBorder="1" applyAlignment="1" applyProtection="1">
      <alignment horizontal="center" vertical="center" wrapText="1"/>
      <protection locked="0"/>
    </xf>
    <xf numFmtId="0" fontId="16" fillId="0" borderId="33" xfId="1" applyFont="1" applyBorder="1" applyAlignment="1" applyProtection="1">
      <alignment horizontal="center" vertical="center" wrapText="1"/>
      <protection locked="0"/>
    </xf>
    <xf numFmtId="0" fontId="16" fillId="0" borderId="18" xfId="1" applyFont="1" applyBorder="1" applyAlignment="1" applyProtection="1">
      <alignment horizontal="center" vertical="center" wrapText="1"/>
      <protection locked="0"/>
    </xf>
    <xf numFmtId="0" fontId="15" fillId="0" borderId="1" xfId="1" applyFont="1" applyBorder="1" applyAlignment="1" applyProtection="1">
      <alignment horizontal="left" vertical="top"/>
      <protection locked="0"/>
    </xf>
    <xf numFmtId="0" fontId="9" fillId="0" borderId="1" xfId="1" applyFont="1" applyBorder="1" applyAlignment="1" applyProtection="1">
      <alignment horizontal="left" vertical="top"/>
      <protection locked="0"/>
    </xf>
    <xf numFmtId="0" fontId="16" fillId="0" borderId="1" xfId="1" applyFont="1" applyBorder="1" applyAlignment="1" applyProtection="1">
      <alignment horizontal="left" vertical="top"/>
      <protection locked="0"/>
    </xf>
    <xf numFmtId="0" fontId="11" fillId="0" borderId="1" xfId="1" applyFont="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0" fontId="13" fillId="0" borderId="1" xfId="0" applyFont="1" applyBorder="1" applyAlignment="1" applyProtection="1">
      <alignment horizontal="center" vertical="top" wrapText="1"/>
      <protection locked="0"/>
    </xf>
    <xf numFmtId="1" fontId="11" fillId="0" borderId="1" xfId="1" applyNumberFormat="1" applyFont="1" applyBorder="1" applyAlignment="1" applyProtection="1">
      <alignment horizontal="center" vertical="top" wrapText="1"/>
      <protection locked="0"/>
    </xf>
    <xf numFmtId="0" fontId="15" fillId="0" borderId="10" xfId="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1" xfId="1" applyFont="1" applyBorder="1" applyAlignment="1" applyProtection="1">
      <alignment horizontal="left" vertical="top" wrapText="1"/>
      <protection locked="0"/>
    </xf>
    <xf numFmtId="1" fontId="13" fillId="0" borderId="1" xfId="0" applyNumberFormat="1" applyFont="1" applyBorder="1" applyAlignment="1" applyProtection="1">
      <alignment horizontal="center" vertical="top" wrapText="1"/>
      <protection locked="0"/>
    </xf>
    <xf numFmtId="1" fontId="11" fillId="0" borderId="1" xfId="0" applyNumberFormat="1" applyFont="1" applyBorder="1" applyAlignment="1" applyProtection="1">
      <alignment horizontal="center" vertical="top" wrapText="1"/>
      <protection locked="0"/>
    </xf>
    <xf numFmtId="0" fontId="11" fillId="0" borderId="1" xfId="1" applyFont="1" applyBorder="1" applyAlignment="1" applyProtection="1">
      <alignment vertical="top"/>
      <protection locked="0"/>
    </xf>
    <xf numFmtId="0" fontId="9" fillId="0" borderId="1" xfId="1" applyFont="1" applyBorder="1" applyAlignment="1" applyProtection="1">
      <alignment horizontal="left" vertical="top" wrapText="1"/>
      <protection locked="0"/>
    </xf>
    <xf numFmtId="1" fontId="11" fillId="0" borderId="1" xfId="1" applyNumberFormat="1" applyFont="1" applyBorder="1" applyAlignment="1" applyProtection="1">
      <alignment horizontal="center" vertical="center" wrapText="1"/>
      <protection locked="0"/>
    </xf>
    <xf numFmtId="0" fontId="16" fillId="0" borderId="31" xfId="1" applyFont="1" applyBorder="1" applyAlignment="1" applyProtection="1">
      <alignment horizontal="center" vertical="center" wrapText="1"/>
      <protection locked="0"/>
    </xf>
    <xf numFmtId="0" fontId="16" fillId="0" borderId="16" xfId="1" applyFont="1" applyBorder="1" applyAlignment="1" applyProtection="1">
      <alignment horizontal="center" vertical="center" wrapText="1"/>
      <protection locked="0"/>
    </xf>
    <xf numFmtId="0" fontId="13" fillId="0" borderId="10" xfId="1" applyFont="1" applyBorder="1" applyAlignment="1" applyProtection="1">
      <alignment horizontal="left"/>
      <protection locked="0"/>
    </xf>
    <xf numFmtId="0" fontId="13" fillId="0" borderId="17" xfId="1" applyFont="1" applyBorder="1" applyAlignment="1" applyProtection="1">
      <alignment horizontal="left"/>
      <protection locked="0"/>
    </xf>
    <xf numFmtId="0" fontId="13" fillId="0" borderId="11" xfId="1" applyFont="1" applyBorder="1" applyAlignment="1" applyProtection="1">
      <alignment horizontal="left"/>
      <protection locked="0"/>
    </xf>
    <xf numFmtId="0" fontId="23" fillId="0" borderId="10" xfId="8" applyFill="1" applyBorder="1" applyAlignment="1" applyProtection="1">
      <alignment horizontal="left" vertical="center"/>
      <protection locked="0"/>
    </xf>
    <xf numFmtId="0" fontId="10" fillId="0" borderId="17" xfId="1" applyFont="1" applyBorder="1" applyAlignment="1" applyProtection="1">
      <alignment horizontal="left" vertical="center"/>
      <protection locked="0"/>
    </xf>
    <xf numFmtId="0" fontId="10" fillId="0" borderId="11" xfId="1" applyFont="1" applyBorder="1" applyAlignment="1" applyProtection="1">
      <alignment horizontal="left" vertical="center"/>
      <protection locked="0"/>
    </xf>
    <xf numFmtId="0" fontId="15" fillId="0" borderId="1" xfId="1" applyFont="1" applyBorder="1" applyAlignment="1" applyProtection="1">
      <alignment horizontal="left" vertical="top" wrapText="1"/>
      <protection locked="0"/>
    </xf>
    <xf numFmtId="14" fontId="15" fillId="0" borderId="1" xfId="1" applyNumberFormat="1" applyFont="1" applyBorder="1" applyAlignment="1" applyProtection="1">
      <alignment horizontal="left" vertical="top"/>
      <protection locked="0"/>
    </xf>
    <xf numFmtId="0" fontId="9" fillId="0" borderId="18" xfId="1" applyFont="1" applyBorder="1" applyAlignment="1" applyProtection="1">
      <alignment horizontal="left" vertical="top" wrapText="1"/>
      <protection locked="0"/>
    </xf>
    <xf numFmtId="0" fontId="9" fillId="0" borderId="19" xfId="1" applyFont="1" applyBorder="1" applyAlignment="1" applyProtection="1">
      <alignment horizontal="left" vertical="top" wrapText="1"/>
      <protection locked="0"/>
    </xf>
    <xf numFmtId="0" fontId="9" fillId="0" borderId="22" xfId="1" applyFont="1" applyBorder="1" applyAlignment="1" applyProtection="1">
      <alignment horizontal="left" vertical="top" wrapText="1"/>
      <protection locked="0"/>
    </xf>
    <xf numFmtId="0" fontId="9" fillId="0" borderId="23" xfId="1" applyFont="1" applyBorder="1" applyAlignment="1" applyProtection="1">
      <alignment horizontal="left" vertical="top" wrapText="1"/>
      <protection locked="0"/>
    </xf>
    <xf numFmtId="0" fontId="15" fillId="0" borderId="1" xfId="1" applyFont="1" applyBorder="1" applyAlignment="1" applyProtection="1">
      <alignment vertical="top" wrapText="1"/>
      <protection locked="0"/>
    </xf>
    <xf numFmtId="167" fontId="15" fillId="0" borderId="1" xfId="1" applyNumberFormat="1" applyFont="1" applyBorder="1" applyAlignment="1" applyProtection="1">
      <alignment horizontal="left" vertical="top" wrapText="1"/>
      <protection locked="0"/>
    </xf>
    <xf numFmtId="0" fontId="9" fillId="0" borderId="10" xfId="1" applyFont="1" applyBorder="1" applyAlignment="1" applyProtection="1">
      <alignment horizontal="left" vertical="top" wrapText="1"/>
      <protection locked="0"/>
    </xf>
    <xf numFmtId="0" fontId="9" fillId="0" borderId="11" xfId="1" applyFont="1" applyBorder="1" applyAlignment="1" applyProtection="1">
      <alignment horizontal="left" vertical="top" wrapText="1"/>
      <protection locked="0"/>
    </xf>
    <xf numFmtId="0" fontId="16" fillId="0" borderId="10" xfId="1" applyFont="1" applyBorder="1" applyAlignment="1" applyProtection="1">
      <alignment horizontal="left" vertical="top" wrapText="1"/>
      <protection locked="0"/>
    </xf>
    <xf numFmtId="0" fontId="16" fillId="0" borderId="17" xfId="1" applyFont="1" applyBorder="1" applyAlignment="1" applyProtection="1">
      <alignment horizontal="left" vertical="top" wrapText="1"/>
      <protection locked="0"/>
    </xf>
    <xf numFmtId="0" fontId="16" fillId="0" borderId="11" xfId="1" applyFont="1" applyBorder="1" applyAlignment="1" applyProtection="1">
      <alignment horizontal="left" vertical="top" wrapText="1"/>
      <protection locked="0"/>
    </xf>
    <xf numFmtId="0" fontId="11" fillId="4" borderId="10" xfId="1" applyFont="1" applyFill="1" applyBorder="1" applyAlignment="1" applyProtection="1">
      <alignment horizontal="center" vertical="top" wrapText="1"/>
      <protection locked="0"/>
    </xf>
    <xf numFmtId="0" fontId="11" fillId="4" borderId="17" xfId="1" applyFont="1" applyFill="1" applyBorder="1" applyAlignment="1" applyProtection="1">
      <alignment horizontal="center" vertical="top" wrapText="1"/>
      <protection locked="0"/>
    </xf>
    <xf numFmtId="0" fontId="11" fillId="4" borderId="11" xfId="1" applyFont="1" applyFill="1" applyBorder="1" applyAlignment="1" applyProtection="1">
      <alignment horizontal="center" vertical="top" wrapText="1"/>
      <protection locked="0"/>
    </xf>
    <xf numFmtId="14" fontId="15" fillId="0" borderId="1" xfId="1" applyNumberFormat="1" applyFont="1" applyBorder="1" applyAlignment="1" applyProtection="1">
      <alignment horizontal="left" vertical="top" wrapText="1"/>
      <protection locked="0"/>
    </xf>
    <xf numFmtId="1" fontId="9" fillId="0" borderId="18" xfId="1" applyNumberFormat="1" applyFont="1" applyBorder="1" applyAlignment="1" applyProtection="1">
      <alignment horizontal="center" vertical="center" wrapText="1"/>
      <protection locked="0"/>
    </xf>
    <xf numFmtId="1" fontId="9" fillId="0" borderId="19" xfId="1" applyNumberFormat="1" applyFont="1" applyBorder="1" applyAlignment="1" applyProtection="1">
      <alignment horizontal="center" vertical="center" wrapText="1"/>
      <protection locked="0"/>
    </xf>
    <xf numFmtId="1" fontId="9" fillId="0" borderId="20" xfId="1" applyNumberFormat="1" applyFont="1" applyBorder="1" applyAlignment="1" applyProtection="1">
      <alignment horizontal="center" vertical="center" wrapText="1"/>
      <protection locked="0"/>
    </xf>
    <xf numFmtId="1" fontId="9" fillId="0" borderId="21" xfId="1" applyNumberFormat="1" applyFont="1" applyBorder="1" applyAlignment="1" applyProtection="1">
      <alignment horizontal="center" vertical="center" wrapText="1"/>
      <protection locked="0"/>
    </xf>
    <xf numFmtId="1" fontId="9" fillId="0" borderId="22" xfId="1" applyNumberFormat="1" applyFont="1" applyBorder="1" applyAlignment="1" applyProtection="1">
      <alignment horizontal="center" vertical="center" wrapText="1"/>
      <protection locked="0"/>
    </xf>
    <xf numFmtId="1" fontId="9" fillId="0" borderId="23" xfId="1" applyNumberFormat="1" applyFont="1" applyBorder="1" applyAlignment="1" applyProtection="1">
      <alignment horizontal="center" vertical="center" wrapText="1"/>
      <protection locked="0"/>
    </xf>
    <xf numFmtId="1" fontId="9" fillId="0" borderId="10" xfId="1" applyNumberFormat="1" applyFont="1" applyBorder="1" applyAlignment="1" applyProtection="1">
      <alignment horizontal="center" vertical="center" wrapText="1"/>
      <protection locked="0"/>
    </xf>
    <xf numFmtId="1" fontId="9" fillId="0" borderId="11" xfId="1" applyNumberFormat="1" applyFont="1" applyBorder="1" applyAlignment="1" applyProtection="1">
      <alignment horizontal="center" vertical="center" wrapText="1"/>
      <protection locked="0"/>
    </xf>
    <xf numFmtId="1" fontId="11" fillId="0" borderId="1" xfId="0" applyNumberFormat="1" applyFont="1" applyBorder="1" applyAlignment="1" applyProtection="1">
      <alignment horizontal="left" vertical="top" wrapText="1"/>
      <protection locked="0"/>
    </xf>
    <xf numFmtId="0" fontId="16" fillId="0" borderId="1" xfId="2" applyFont="1" applyBorder="1" applyAlignment="1" applyProtection="1">
      <alignment horizontal="left" vertical="top" wrapText="1"/>
      <protection locked="0"/>
    </xf>
    <xf numFmtId="0" fontId="9" fillId="0" borderId="1" xfId="1" applyFont="1" applyBorder="1" applyAlignment="1" applyProtection="1">
      <alignment vertical="top"/>
      <protection locked="0"/>
    </xf>
    <xf numFmtId="0" fontId="11" fillId="0" borderId="1" xfId="1" applyFont="1" applyBorder="1" applyAlignment="1" applyProtection="1">
      <alignment horizontal="center" vertical="top"/>
      <protection locked="0"/>
    </xf>
    <xf numFmtId="1" fontId="9" fillId="0" borderId="1" xfId="0"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top" wrapText="1"/>
      <protection locked="0"/>
    </xf>
    <xf numFmtId="0" fontId="15" fillId="0" borderId="3" xfId="1" applyFont="1" applyBorder="1" applyAlignment="1" applyProtection="1">
      <alignment horizontal="left" vertical="top"/>
      <protection locked="0"/>
    </xf>
    <xf numFmtId="0" fontId="15" fillId="0" borderId="3" xfId="1" applyFont="1" applyBorder="1" applyAlignment="1" applyProtection="1">
      <alignment horizontal="left" vertical="top" wrapText="1"/>
      <protection locked="0"/>
    </xf>
    <xf numFmtId="0" fontId="11" fillId="3" borderId="10" xfId="1" applyFont="1" applyFill="1" applyBorder="1" applyAlignment="1" applyProtection="1">
      <alignment horizontal="left" vertical="top" wrapText="1"/>
      <protection locked="0"/>
    </xf>
    <xf numFmtId="0" fontId="11" fillId="3" borderId="17" xfId="1" applyFont="1" applyFill="1" applyBorder="1" applyAlignment="1" applyProtection="1">
      <alignment horizontal="left" vertical="top" wrapText="1"/>
      <protection locked="0"/>
    </xf>
    <xf numFmtId="0" fontId="11" fillId="3" borderId="11" xfId="1" applyFont="1" applyFill="1" applyBorder="1" applyAlignment="1" applyProtection="1">
      <alignment horizontal="left" vertical="top" wrapText="1"/>
      <protection locked="0"/>
    </xf>
    <xf numFmtId="0" fontId="15" fillId="0" borderId="1" xfId="1" applyFont="1" applyBorder="1" applyAlignment="1" applyProtection="1">
      <alignment horizontal="left"/>
      <protection locked="0"/>
    </xf>
    <xf numFmtId="0" fontId="10" fillId="0" borderId="1" xfId="1" applyFont="1" applyBorder="1" applyAlignment="1" applyProtection="1">
      <alignment horizontal="left" vertical="top"/>
      <protection locked="0"/>
    </xf>
    <xf numFmtId="167" fontId="15" fillId="0" borderId="1" xfId="1" applyNumberFormat="1" applyFont="1" applyBorder="1" applyAlignment="1" applyProtection="1">
      <alignment horizontal="left" vertical="center" wrapText="1"/>
      <protection locked="0"/>
    </xf>
    <xf numFmtId="0" fontId="9" fillId="0" borderId="17" xfId="1" applyFont="1" applyBorder="1" applyAlignment="1" applyProtection="1">
      <alignment horizontal="left" vertical="top" wrapText="1"/>
      <protection locked="0"/>
    </xf>
    <xf numFmtId="0" fontId="15" fillId="0" borderId="10" xfId="1" applyFont="1" applyBorder="1" applyAlignment="1" applyProtection="1">
      <alignment horizontal="center" vertical="top" wrapText="1"/>
      <protection locked="0"/>
    </xf>
    <xf numFmtId="0" fontId="15" fillId="0" borderId="11" xfId="1" applyFont="1" applyBorder="1" applyAlignment="1" applyProtection="1">
      <alignment horizontal="center" vertical="top" wrapText="1"/>
      <protection locked="0"/>
    </xf>
    <xf numFmtId="0" fontId="15" fillId="0" borderId="18" xfId="1" applyFont="1" applyBorder="1" applyAlignment="1" applyProtection="1">
      <alignment horizontal="center" vertical="center" wrapText="1"/>
      <protection locked="0"/>
    </xf>
    <xf numFmtId="0" fontId="15" fillId="0" borderId="19" xfId="1" applyFont="1" applyBorder="1" applyAlignment="1" applyProtection="1">
      <alignment horizontal="center" vertical="center" wrapText="1"/>
      <protection locked="0"/>
    </xf>
    <xf numFmtId="0" fontId="15" fillId="0" borderId="22" xfId="1" applyFont="1" applyBorder="1" applyAlignment="1" applyProtection="1">
      <alignment horizontal="center" vertical="center" wrapText="1"/>
      <protection locked="0"/>
    </xf>
    <xf numFmtId="0" fontId="15" fillId="0" borderId="23" xfId="1" applyFont="1" applyBorder="1" applyAlignment="1" applyProtection="1">
      <alignment horizontal="center" vertical="center" wrapText="1"/>
      <protection locked="0"/>
    </xf>
    <xf numFmtId="0" fontId="9" fillId="0" borderId="18" xfId="1" applyFont="1" applyBorder="1" applyAlignment="1" applyProtection="1">
      <alignment horizontal="left" vertical="top"/>
      <protection locked="0"/>
    </xf>
    <xf numFmtId="0" fontId="9" fillId="0" borderId="29" xfId="1" applyFont="1" applyBorder="1" applyAlignment="1" applyProtection="1">
      <alignment horizontal="left" vertical="top"/>
      <protection locked="0"/>
    </xf>
    <xf numFmtId="0" fontId="9" fillId="0" borderId="19" xfId="1" applyFont="1" applyBorder="1" applyAlignment="1" applyProtection="1">
      <alignment horizontal="left" vertical="top"/>
      <protection locked="0"/>
    </xf>
    <xf numFmtId="0" fontId="9" fillId="0" borderId="20" xfId="1" applyFont="1" applyBorder="1" applyAlignment="1" applyProtection="1">
      <alignment horizontal="left" vertical="top"/>
      <protection locked="0"/>
    </xf>
    <xf numFmtId="0" fontId="9" fillId="0" borderId="0" xfId="1" applyFont="1" applyAlignment="1" applyProtection="1">
      <alignment horizontal="left" vertical="top"/>
      <protection locked="0"/>
    </xf>
    <xf numFmtId="0" fontId="9" fillId="0" borderId="21" xfId="1" applyFont="1" applyBorder="1" applyAlignment="1" applyProtection="1">
      <alignment horizontal="left" vertical="top"/>
      <protection locked="0"/>
    </xf>
    <xf numFmtId="0" fontId="9" fillId="0" borderId="22" xfId="1" applyFont="1" applyBorder="1" applyAlignment="1" applyProtection="1">
      <alignment horizontal="left" vertical="top"/>
      <protection locked="0"/>
    </xf>
    <xf numFmtId="0" fontId="9" fillId="0" borderId="2" xfId="1" applyFont="1" applyBorder="1" applyAlignment="1" applyProtection="1">
      <alignment horizontal="left" vertical="top"/>
      <protection locked="0"/>
    </xf>
    <xf numFmtId="0" fontId="9" fillId="0" borderId="23" xfId="1" applyFont="1" applyBorder="1" applyAlignment="1" applyProtection="1">
      <alignment horizontal="left" vertical="top"/>
      <protection locked="0"/>
    </xf>
    <xf numFmtId="0" fontId="15" fillId="0" borderId="10" xfId="1" applyFont="1" applyBorder="1" applyAlignment="1" applyProtection="1">
      <alignment horizontal="center" vertical="center" wrapText="1"/>
      <protection locked="0"/>
    </xf>
    <xf numFmtId="0" fontId="15" fillId="0" borderId="11" xfId="1" applyFont="1" applyBorder="1" applyAlignment="1" applyProtection="1">
      <alignment horizontal="center" vertical="center" wrapText="1"/>
      <protection locked="0"/>
    </xf>
    <xf numFmtId="0" fontId="14" fillId="0" borderId="1" xfId="1" applyFont="1" applyBorder="1" applyAlignment="1" applyProtection="1">
      <alignment horizontal="center" vertical="top" wrapText="1"/>
      <protection locked="0"/>
    </xf>
    <xf numFmtId="14" fontId="9" fillId="0" borderId="1" xfId="1" applyNumberFormat="1" applyFont="1" applyBorder="1" applyAlignment="1" applyProtection="1">
      <alignment horizontal="left" vertical="top"/>
      <protection locked="0"/>
    </xf>
    <xf numFmtId="0" fontId="15" fillId="0" borderId="1" xfId="1" applyFont="1" applyBorder="1" applyAlignment="1" applyProtection="1">
      <alignment horizontal="left" vertical="center" wrapText="1"/>
      <protection locked="0"/>
    </xf>
    <xf numFmtId="165" fontId="9" fillId="0" borderId="1" xfId="1" applyNumberFormat="1" applyFont="1" applyBorder="1" applyAlignment="1" applyProtection="1">
      <alignment horizontal="left" vertical="top"/>
      <protection locked="0"/>
    </xf>
    <xf numFmtId="0" fontId="15" fillId="0" borderId="1" xfId="1" applyFont="1" applyBorder="1" applyAlignment="1" applyProtection="1">
      <alignment horizontal="center"/>
      <protection locked="0"/>
    </xf>
    <xf numFmtId="2" fontId="9" fillId="0" borderId="1" xfId="1" applyNumberFormat="1" applyFont="1" applyBorder="1" applyAlignment="1" applyProtection="1">
      <alignment horizontal="left" vertical="top" wrapText="1"/>
      <protection locked="0"/>
    </xf>
    <xf numFmtId="0" fontId="15" fillId="0" borderId="1" xfId="1" applyFont="1" applyBorder="1" applyAlignment="1" applyProtection="1">
      <alignment horizontal="center" vertical="top"/>
      <protection locked="0"/>
    </xf>
    <xf numFmtId="0" fontId="16" fillId="0" borderId="1" xfId="1" applyFont="1" applyBorder="1" applyAlignment="1" applyProtection="1">
      <alignment horizontal="center" vertical="top"/>
      <protection locked="0"/>
    </xf>
    <xf numFmtId="0" fontId="15" fillId="0" borderId="1" xfId="1" applyFont="1" applyBorder="1" applyAlignment="1" applyProtection="1">
      <alignment horizontal="center" vertical="center" wrapText="1"/>
      <protection locked="0"/>
    </xf>
    <xf numFmtId="0" fontId="15" fillId="0" borderId="1" xfId="1" applyFont="1" applyBorder="1" applyAlignment="1" applyProtection="1">
      <alignment horizontal="center" vertical="center"/>
      <protection locked="0"/>
    </xf>
    <xf numFmtId="0" fontId="16" fillId="0" borderId="1" xfId="1" applyFont="1" applyBorder="1" applyAlignment="1" applyProtection="1">
      <alignment horizontal="center" vertical="top" wrapText="1"/>
      <protection locked="0"/>
    </xf>
    <xf numFmtId="0" fontId="17" fillId="0" borderId="1" xfId="1" applyFont="1" applyBorder="1" applyAlignment="1" applyProtection="1">
      <alignment horizontal="center" vertical="top" wrapText="1"/>
      <protection locked="0"/>
    </xf>
    <xf numFmtId="1" fontId="10" fillId="0" borderId="10" xfId="0" applyNumberFormat="1" applyFont="1" applyBorder="1" applyAlignment="1" applyProtection="1">
      <alignment horizontal="center" vertical="top" wrapText="1"/>
      <protection locked="0"/>
    </xf>
    <xf numFmtId="1" fontId="10" fillId="0" borderId="17" xfId="0" applyNumberFormat="1" applyFont="1" applyBorder="1" applyAlignment="1" applyProtection="1">
      <alignment horizontal="center" vertical="top" wrapText="1"/>
      <protection locked="0"/>
    </xf>
    <xf numFmtId="1" fontId="10" fillId="0" borderId="11" xfId="0" applyNumberFormat="1" applyFont="1" applyBorder="1" applyAlignment="1" applyProtection="1">
      <alignment horizontal="center" vertical="top" wrapText="1"/>
      <protection locked="0"/>
    </xf>
    <xf numFmtId="0" fontId="16" fillId="0" borderId="1" xfId="1" applyFont="1" applyBorder="1" applyAlignment="1" applyProtection="1">
      <alignment horizontal="center"/>
      <protection locked="0"/>
    </xf>
    <xf numFmtId="2" fontId="9" fillId="0" borderId="1" xfId="1" applyNumberFormat="1" applyFont="1" applyBorder="1" applyAlignment="1" applyProtection="1">
      <alignment horizontal="left" vertical="top"/>
      <protection locked="0"/>
    </xf>
    <xf numFmtId="0" fontId="10" fillId="0" borderId="1" xfId="1" applyFont="1" applyBorder="1" applyAlignment="1" applyProtection="1">
      <alignment horizontal="center" vertical="top" wrapText="1"/>
      <protection locked="0"/>
    </xf>
    <xf numFmtId="0" fontId="10" fillId="0" borderId="6" xfId="1" applyFont="1" applyBorder="1" applyAlignment="1" applyProtection="1">
      <alignment horizontal="center" vertical="top" wrapText="1"/>
      <protection locked="0"/>
    </xf>
    <xf numFmtId="0" fontId="10" fillId="0" borderId="5" xfId="1" applyFont="1" applyBorder="1" applyAlignment="1" applyProtection="1">
      <alignment horizontal="center" vertical="top" wrapText="1"/>
      <protection locked="0"/>
    </xf>
    <xf numFmtId="0" fontId="16" fillId="0" borderId="1" xfId="1" applyFont="1" applyBorder="1" applyAlignment="1" applyProtection="1">
      <alignment horizontal="left" vertical="top" wrapText="1"/>
      <protection locked="0"/>
    </xf>
    <xf numFmtId="0" fontId="15" fillId="0" borderId="4" xfId="1" applyFont="1" applyBorder="1" applyAlignment="1" applyProtection="1">
      <alignment horizontal="left" vertical="top"/>
      <protection locked="0"/>
    </xf>
    <xf numFmtId="167" fontId="16" fillId="0" borderId="10" xfId="1" applyNumberFormat="1" applyFont="1" applyBorder="1" applyAlignment="1" applyProtection="1">
      <alignment horizontal="left" vertical="top" wrapText="1"/>
      <protection locked="0"/>
    </xf>
    <xf numFmtId="167" fontId="16" fillId="0" borderId="11" xfId="1" applyNumberFormat="1" applyFont="1" applyBorder="1" applyAlignment="1" applyProtection="1">
      <alignment horizontal="left" vertical="top" wrapText="1"/>
      <protection locked="0"/>
    </xf>
    <xf numFmtId="0" fontId="13" fillId="0" borderId="24" xfId="1" applyFont="1" applyBorder="1" applyAlignment="1" applyProtection="1">
      <alignment horizontal="left" vertical="top" wrapText="1"/>
      <protection locked="0"/>
    </xf>
    <xf numFmtId="0" fontId="13" fillId="0" borderId="25" xfId="1" applyFont="1" applyBorder="1" applyAlignment="1" applyProtection="1">
      <alignment horizontal="left" vertical="top" wrapText="1"/>
      <protection locked="0"/>
    </xf>
    <xf numFmtId="0" fontId="13" fillId="0" borderId="26" xfId="1" applyFont="1" applyBorder="1" applyAlignment="1" applyProtection="1">
      <alignment horizontal="left" vertical="top" wrapText="1"/>
      <protection locked="0"/>
    </xf>
    <xf numFmtId="0" fontId="13" fillId="0" borderId="27" xfId="1" applyFont="1" applyBorder="1" applyAlignment="1" applyProtection="1">
      <alignment horizontal="left" vertical="top" wrapText="1"/>
      <protection locked="0"/>
    </xf>
    <xf numFmtId="0" fontId="13" fillId="0" borderId="28" xfId="1" applyFont="1" applyBorder="1" applyAlignment="1" applyProtection="1">
      <alignment horizontal="left" vertical="top" wrapText="1"/>
      <protection locked="0"/>
    </xf>
    <xf numFmtId="0" fontId="13" fillId="0" borderId="5"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0" borderId="6" xfId="1" applyFont="1" applyBorder="1" applyAlignment="1" applyProtection="1">
      <alignment horizontal="left" vertical="top" wrapText="1"/>
      <protection locked="0"/>
    </xf>
    <xf numFmtId="9" fontId="10" fillId="0" borderId="1" xfId="1" applyNumberFormat="1" applyFont="1" applyBorder="1" applyAlignment="1" applyProtection="1">
      <alignment horizontal="center" vertical="center" wrapText="1"/>
      <protection hidden="1"/>
    </xf>
    <xf numFmtId="9" fontId="10" fillId="0" borderId="8" xfId="1" applyNumberFormat="1" applyFont="1" applyBorder="1" applyAlignment="1" applyProtection="1">
      <alignment horizontal="center" vertical="center" wrapText="1"/>
      <protection hidden="1"/>
    </xf>
    <xf numFmtId="9" fontId="10" fillId="0" borderId="6" xfId="1" applyNumberFormat="1" applyFont="1" applyBorder="1" applyAlignment="1" applyProtection="1">
      <alignment horizontal="center" vertical="center" wrapText="1"/>
      <protection hidden="1"/>
    </xf>
    <xf numFmtId="9" fontId="10" fillId="0" borderId="9" xfId="1" applyNumberFormat="1" applyFont="1" applyBorder="1" applyAlignment="1" applyProtection="1">
      <alignment horizontal="center" vertical="center" wrapText="1"/>
      <protection hidden="1"/>
    </xf>
    <xf numFmtId="1" fontId="9" fillId="0" borderId="17" xfId="1" applyNumberFormat="1" applyFont="1" applyBorder="1" applyAlignment="1" applyProtection="1">
      <alignment horizontal="center" vertical="center" wrapText="1"/>
      <protection locked="0"/>
    </xf>
    <xf numFmtId="0" fontId="16" fillId="3" borderId="1" xfId="1" applyFont="1" applyFill="1" applyBorder="1" applyAlignment="1" applyProtection="1">
      <alignment horizontal="left" vertical="top"/>
      <protection locked="0"/>
    </xf>
    <xf numFmtId="0" fontId="10" fillId="0" borderId="5" xfId="1" applyFont="1" applyBorder="1" applyAlignment="1" applyProtection="1">
      <alignment horizontal="center" vertical="top"/>
      <protection locked="0"/>
    </xf>
    <xf numFmtId="0" fontId="10" fillId="0" borderId="1" xfId="1" applyFont="1" applyBorder="1" applyAlignment="1" applyProtection="1">
      <alignment horizontal="center" vertical="top"/>
      <protection locked="0"/>
    </xf>
    <xf numFmtId="0" fontId="10" fillId="0" borderId="7" xfId="1" applyFont="1" applyBorder="1" applyAlignment="1" applyProtection="1">
      <alignment horizontal="center" vertical="top" wrapText="1"/>
      <protection locked="0"/>
    </xf>
    <xf numFmtId="0" fontId="10" fillId="0" borderId="8" xfId="1" applyFont="1" applyBorder="1" applyAlignment="1" applyProtection="1">
      <alignment horizontal="center" vertical="top" wrapText="1"/>
      <protection locked="0"/>
    </xf>
    <xf numFmtId="1" fontId="11" fillId="0" borderId="3" xfId="1" applyNumberFormat="1" applyFont="1" applyBorder="1" applyAlignment="1" applyProtection="1">
      <alignment horizontal="center" vertical="top" wrapText="1"/>
      <protection locked="0"/>
    </xf>
    <xf numFmtId="1" fontId="11" fillId="0" borderId="4" xfId="1" applyNumberFormat="1" applyFont="1" applyBorder="1" applyAlignment="1" applyProtection="1">
      <alignment horizontal="center" vertical="top" wrapText="1"/>
      <protection locked="0"/>
    </xf>
    <xf numFmtId="1" fontId="7" fillId="0" borderId="3" xfId="1" applyNumberFormat="1" applyFont="1" applyBorder="1" applyAlignment="1" applyProtection="1">
      <alignment horizontal="center" vertical="top" wrapText="1"/>
      <protection locked="0"/>
    </xf>
    <xf numFmtId="1" fontId="7" fillId="0" borderId="4" xfId="1" applyNumberFormat="1" applyFont="1" applyBorder="1" applyAlignment="1" applyProtection="1">
      <alignment horizontal="center" vertical="top" wrapText="1"/>
      <protection locked="0"/>
    </xf>
    <xf numFmtId="1" fontId="11" fillId="0" borderId="18" xfId="1" applyNumberFormat="1" applyFont="1" applyBorder="1" applyAlignment="1" applyProtection="1">
      <alignment horizontal="center" vertical="top" wrapText="1"/>
      <protection locked="0"/>
    </xf>
    <xf numFmtId="1" fontId="11" fillId="0" borderId="19" xfId="1" applyNumberFormat="1" applyFont="1" applyBorder="1" applyAlignment="1" applyProtection="1">
      <alignment horizontal="center" vertical="top" wrapText="1"/>
      <protection locked="0"/>
    </xf>
    <xf numFmtId="1" fontId="11" fillId="0" borderId="22" xfId="1" applyNumberFormat="1" applyFont="1" applyBorder="1" applyAlignment="1" applyProtection="1">
      <alignment horizontal="center" vertical="top" wrapText="1"/>
      <protection locked="0"/>
    </xf>
    <xf numFmtId="1" fontId="11" fillId="0" borderId="23" xfId="1" applyNumberFormat="1" applyFont="1" applyBorder="1" applyAlignment="1" applyProtection="1">
      <alignment horizontal="center" vertical="top" wrapText="1"/>
      <protection locked="0"/>
    </xf>
    <xf numFmtId="0" fontId="11" fillId="0" borderId="10" xfId="1" applyFont="1" applyBorder="1" applyAlignment="1" applyProtection="1">
      <alignment horizontal="left" vertical="top" wrapText="1"/>
      <protection locked="0"/>
    </xf>
    <xf numFmtId="0" fontId="11" fillId="0" borderId="11" xfId="1" applyFont="1" applyBorder="1" applyAlignment="1" applyProtection="1">
      <alignment horizontal="left" vertical="top" wrapText="1"/>
      <protection locked="0"/>
    </xf>
    <xf numFmtId="0" fontId="11" fillId="0" borderId="17" xfId="1" applyFont="1" applyBorder="1" applyAlignment="1" applyProtection="1">
      <alignment horizontal="left" vertical="top" wrapText="1"/>
      <protection locked="0"/>
    </xf>
    <xf numFmtId="14" fontId="11" fillId="0" borderId="10" xfId="1" applyNumberFormat="1" applyFont="1" applyBorder="1" applyAlignment="1" applyProtection="1">
      <alignment horizontal="left" vertical="top"/>
      <protection locked="0"/>
    </xf>
    <xf numFmtId="14" fontId="11" fillId="0" borderId="11" xfId="1" applyNumberFormat="1" applyFont="1" applyBorder="1" applyAlignment="1" applyProtection="1">
      <alignment horizontal="left" vertical="top"/>
      <protection locked="0"/>
    </xf>
    <xf numFmtId="1" fontId="11" fillId="4" borderId="10" xfId="1" applyNumberFormat="1" applyFont="1" applyFill="1" applyBorder="1" applyAlignment="1" applyProtection="1">
      <alignment horizontal="center" vertical="top" wrapText="1"/>
      <protection locked="0"/>
    </xf>
    <xf numFmtId="1" fontId="11" fillId="4" borderId="17" xfId="1" applyNumberFormat="1" applyFont="1" applyFill="1" applyBorder="1" applyAlignment="1" applyProtection="1">
      <alignment horizontal="center" vertical="top" wrapText="1"/>
      <protection locked="0"/>
    </xf>
    <xf numFmtId="1" fontId="11" fillId="4" borderId="11" xfId="1" applyNumberFormat="1" applyFont="1" applyFill="1" applyBorder="1" applyAlignment="1" applyProtection="1">
      <alignment horizontal="center" vertical="top" wrapText="1"/>
      <protection locked="0"/>
    </xf>
    <xf numFmtId="1" fontId="11" fillId="0" borderId="18" xfId="1" applyNumberFormat="1" applyFont="1" applyBorder="1" applyAlignment="1" applyProtection="1">
      <alignment horizontal="center" vertical="center" wrapText="1"/>
      <protection locked="0"/>
    </xf>
    <xf numFmtId="1" fontId="11" fillId="0" borderId="19" xfId="1" applyNumberFormat="1" applyFont="1" applyBorder="1" applyAlignment="1" applyProtection="1">
      <alignment horizontal="center" vertical="center" wrapText="1"/>
      <protection locked="0"/>
    </xf>
    <xf numFmtId="1" fontId="11" fillId="0" borderId="20" xfId="1" applyNumberFormat="1" applyFont="1" applyBorder="1" applyAlignment="1" applyProtection="1">
      <alignment horizontal="center" vertical="center" wrapText="1"/>
      <protection locked="0"/>
    </xf>
    <xf numFmtId="1" fontId="11" fillId="0" borderId="21" xfId="1" applyNumberFormat="1" applyFont="1" applyBorder="1" applyAlignment="1" applyProtection="1">
      <alignment horizontal="center" vertical="center" wrapText="1"/>
      <protection locked="0"/>
    </xf>
    <xf numFmtId="1" fontId="11" fillId="0" borderId="22" xfId="1" applyNumberFormat="1" applyFont="1" applyBorder="1" applyAlignment="1" applyProtection="1">
      <alignment horizontal="center" vertical="center" wrapText="1"/>
      <protection locked="0"/>
    </xf>
    <xf numFmtId="1" fontId="11" fillId="0" borderId="23" xfId="1" applyNumberFormat="1" applyFont="1" applyBorder="1" applyAlignment="1" applyProtection="1">
      <alignment horizontal="center" vertical="center" wrapText="1"/>
      <protection locked="0"/>
    </xf>
    <xf numFmtId="1" fontId="9" fillId="0" borderId="29" xfId="1" applyNumberFormat="1" applyFont="1" applyBorder="1" applyAlignment="1" applyProtection="1">
      <alignment horizontal="center" vertical="center" wrapText="1"/>
      <protection locked="0"/>
    </xf>
    <xf numFmtId="1" fontId="9" fillId="0" borderId="2" xfId="1" applyNumberFormat="1" applyFont="1" applyBorder="1" applyAlignment="1" applyProtection="1">
      <alignment horizontal="center" vertical="center" wrapText="1"/>
      <protection locked="0"/>
    </xf>
    <xf numFmtId="1" fontId="9" fillId="0" borderId="0" xfId="1" applyNumberFormat="1" applyFont="1" applyAlignment="1" applyProtection="1">
      <alignment horizontal="center" vertical="center" wrapText="1"/>
      <protection locked="0"/>
    </xf>
    <xf numFmtId="0" fontId="0" fillId="2" borderId="1" xfId="0" applyFill="1" applyBorder="1" applyAlignment="1">
      <alignment horizontal="center" wrapText="1"/>
    </xf>
    <xf numFmtId="0" fontId="12" fillId="0" borderId="1" xfId="0" applyFont="1" applyBorder="1" applyAlignment="1">
      <alignment horizontal="center"/>
    </xf>
  </cellXfs>
  <cellStyles count="10">
    <cellStyle name="Comma 2" xfId="6" xr:uid="{00000000-0005-0000-0000-000000000000}"/>
    <cellStyle name="Excel Built-in Normal" xfId="2" xr:uid="{00000000-0005-0000-0000-000001000000}"/>
    <cellStyle name="Excel Built-in Normal 2" xfId="4" xr:uid="{00000000-0005-0000-0000-000002000000}"/>
    <cellStyle name="Hyperlink" xfId="8" builtinId="8"/>
    <cellStyle name="Normal" xfId="0" builtinId="0"/>
    <cellStyle name="Normal 2" xfId="3" xr:uid="{00000000-0005-0000-0000-000005000000}"/>
    <cellStyle name="Normal 3" xfId="1" xr:uid="{00000000-0005-0000-0000-000006000000}"/>
    <cellStyle name="Normal 3 3" xfId="7" xr:uid="{00000000-0005-0000-0000-000007000000}"/>
    <cellStyle name="Normal 4" xfId="5" xr:uid="{00000000-0005-0000-0000-000008000000}"/>
    <cellStyle name="Percent" xfId="9"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png"/><Relationship Id="rId24" Type="http://schemas.openxmlformats.org/officeDocument/2006/relationships/image" Target="../media/image24.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0.png"/><Relationship Id="rId1" Type="http://schemas.openxmlformats.org/officeDocument/2006/relationships/image" Target="../media/image29.png"/></Relationships>
</file>

<file path=xl/drawings/drawing1.xml><?xml version="1.0" encoding="utf-8"?>
<xdr:wsDr xmlns:xdr="http://schemas.openxmlformats.org/drawingml/2006/spreadsheetDrawing" xmlns:a="http://schemas.openxmlformats.org/drawingml/2006/main">
  <xdr:twoCellAnchor editAs="oneCell">
    <xdr:from>
      <xdr:col>24</xdr:col>
      <xdr:colOff>118785</xdr:colOff>
      <xdr:row>572</xdr:row>
      <xdr:rowOff>0</xdr:rowOff>
    </xdr:from>
    <xdr:to>
      <xdr:col>27</xdr:col>
      <xdr:colOff>57963</xdr:colOff>
      <xdr:row>573</xdr:row>
      <xdr:rowOff>2347263</xdr:rowOff>
    </xdr:to>
    <xdr:pic>
      <xdr:nvPicPr>
        <xdr:cNvPr id="15" name="Picture 14" descr="https://vsjcllp.vsjadon.com/upload/insp-166870-1525.jpg">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7558194" y="65306456"/>
          <a:ext cx="1757587" cy="267145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118786</xdr:colOff>
      <xdr:row>572</xdr:row>
      <xdr:rowOff>0</xdr:rowOff>
    </xdr:from>
    <xdr:to>
      <xdr:col>27</xdr:col>
      <xdr:colOff>57964</xdr:colOff>
      <xdr:row>573</xdr:row>
      <xdr:rowOff>2350847</xdr:rowOff>
    </xdr:to>
    <xdr:pic>
      <xdr:nvPicPr>
        <xdr:cNvPr id="16" name="Picture 15" descr="https://vsjcllp.vsjadon.com/upload/insp-166870-843.jpg">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7558195" y="59661136"/>
          <a:ext cx="1757587" cy="266534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264069</xdr:colOff>
      <xdr:row>572</xdr:row>
      <xdr:rowOff>0</xdr:rowOff>
    </xdr:from>
    <xdr:to>
      <xdr:col>29</xdr:col>
      <xdr:colOff>449845</xdr:colOff>
      <xdr:row>573</xdr:row>
      <xdr:rowOff>2347265</xdr:rowOff>
    </xdr:to>
    <xdr:pic>
      <xdr:nvPicPr>
        <xdr:cNvPr id="17" name="Picture 16" descr="https://vsjcllp.vsjadon.com/upload/insp-166870-845.jpg">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17703478" y="62477683"/>
          <a:ext cx="3216458" cy="267146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27</xdr:col>
      <xdr:colOff>178486</xdr:colOff>
      <xdr:row>572</xdr:row>
      <xdr:rowOff>0</xdr:rowOff>
    </xdr:from>
    <xdr:to>
      <xdr:col>30</xdr:col>
      <xdr:colOff>179806</xdr:colOff>
      <xdr:row>573</xdr:row>
      <xdr:rowOff>2350847</xdr:rowOff>
    </xdr:to>
    <xdr:pic>
      <xdr:nvPicPr>
        <xdr:cNvPr id="18" name="Picture 17" descr="https://vsjcllp.vsjadon.com/upload/insp-166870-847.jpg">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19436304" y="59661136"/>
          <a:ext cx="1819729" cy="266534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238103</xdr:colOff>
      <xdr:row>572</xdr:row>
      <xdr:rowOff>0</xdr:rowOff>
    </xdr:from>
    <xdr:to>
      <xdr:col>24</xdr:col>
      <xdr:colOff>169692</xdr:colOff>
      <xdr:row>573</xdr:row>
      <xdr:rowOff>2347265</xdr:rowOff>
    </xdr:to>
    <xdr:pic>
      <xdr:nvPicPr>
        <xdr:cNvPr id="19" name="Picture 18" descr="https://vsjcllp.vsjadon.com/upload/insp-166870-849.jpg">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15859103" y="62477683"/>
          <a:ext cx="1749998" cy="267146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0</xdr:colOff>
      <xdr:row>572</xdr:row>
      <xdr:rowOff>0</xdr:rowOff>
    </xdr:from>
    <xdr:to>
      <xdr:col>23</xdr:col>
      <xdr:colOff>604400</xdr:colOff>
      <xdr:row>573</xdr:row>
      <xdr:rowOff>2350847</xdr:rowOff>
    </xdr:to>
    <xdr:pic>
      <xdr:nvPicPr>
        <xdr:cNvPr id="20" name="Picture 19" descr="https://vsjcllp.vsjadon.com/upload/insp-166870-851.jpg">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15621000" y="59661136"/>
          <a:ext cx="1816673" cy="266534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1064901</xdr:colOff>
      <xdr:row>13</xdr:row>
      <xdr:rowOff>70718</xdr:rowOff>
    </xdr:from>
    <xdr:to>
      <xdr:col>20</xdr:col>
      <xdr:colOff>211564</xdr:colOff>
      <xdr:row>16</xdr:row>
      <xdr:rowOff>12219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7"/>
        <a:stretch>
          <a:fillRect/>
        </a:stretch>
      </xdr:blipFill>
      <xdr:spPr>
        <a:xfrm>
          <a:off x="7583314" y="3408609"/>
          <a:ext cx="7669467" cy="1497803"/>
        </a:xfrm>
        <a:prstGeom prst="rect">
          <a:avLst/>
        </a:prstGeom>
      </xdr:spPr>
    </xdr:pic>
    <xdr:clientData/>
  </xdr:twoCellAnchor>
  <xdr:twoCellAnchor editAs="oneCell">
    <xdr:from>
      <xdr:col>1</xdr:col>
      <xdr:colOff>223135</xdr:colOff>
      <xdr:row>626</xdr:row>
      <xdr:rowOff>0</xdr:rowOff>
    </xdr:from>
    <xdr:to>
      <xdr:col>6</xdr:col>
      <xdr:colOff>228707</xdr:colOff>
      <xdr:row>643</xdr:row>
      <xdr:rowOff>184306</xdr:rowOff>
    </xdr:to>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8"/>
        <a:stretch>
          <a:fillRect/>
        </a:stretch>
      </xdr:blipFill>
      <xdr:spPr>
        <a:xfrm>
          <a:off x="1093992" y="67423393"/>
          <a:ext cx="4033286" cy="3656523"/>
        </a:xfrm>
        <a:prstGeom prst="rect">
          <a:avLst/>
        </a:prstGeom>
        <a:ln>
          <a:solidFill>
            <a:schemeClr val="tx1"/>
          </a:solidFill>
        </a:ln>
      </xdr:spPr>
    </xdr:pic>
    <xdr:clientData/>
  </xdr:twoCellAnchor>
  <xdr:twoCellAnchor>
    <xdr:from>
      <xdr:col>0</xdr:col>
      <xdr:colOff>372196</xdr:colOff>
      <xdr:row>644</xdr:row>
      <xdr:rowOff>174329</xdr:rowOff>
    </xdr:from>
    <xdr:to>
      <xdr:col>7</xdr:col>
      <xdr:colOff>388607</xdr:colOff>
      <xdr:row>667</xdr:row>
      <xdr:rowOff>40021</xdr:rowOff>
    </xdr:to>
    <xdr:grpSp>
      <xdr:nvGrpSpPr>
        <xdr:cNvPr id="26" name="Group 25">
          <a:extLst>
            <a:ext uri="{FF2B5EF4-FFF2-40B4-BE49-F238E27FC236}">
              <a16:creationId xmlns:a16="http://schemas.microsoft.com/office/drawing/2014/main" id="{00000000-0008-0000-0000-00001A000000}"/>
            </a:ext>
          </a:extLst>
        </xdr:cNvPr>
        <xdr:cNvGrpSpPr/>
      </xdr:nvGrpSpPr>
      <xdr:grpSpPr>
        <a:xfrm>
          <a:off x="372196" y="143573204"/>
          <a:ext cx="5712361" cy="4466267"/>
          <a:chOff x="712973" y="4423000"/>
          <a:chExt cx="5432054" cy="4148008"/>
        </a:xfrm>
      </xdr:grpSpPr>
      <xdr:grpSp>
        <xdr:nvGrpSpPr>
          <xdr:cNvPr id="27" name="Group 26">
            <a:extLst>
              <a:ext uri="{FF2B5EF4-FFF2-40B4-BE49-F238E27FC236}">
                <a16:creationId xmlns:a16="http://schemas.microsoft.com/office/drawing/2014/main" id="{00000000-0008-0000-0000-00001B000000}"/>
              </a:ext>
            </a:extLst>
          </xdr:cNvPr>
          <xdr:cNvGrpSpPr/>
        </xdr:nvGrpSpPr>
        <xdr:grpSpPr>
          <a:xfrm>
            <a:off x="712973" y="4423000"/>
            <a:ext cx="5432054" cy="4148008"/>
            <a:chOff x="712973" y="4423000"/>
            <a:chExt cx="5432054" cy="4148008"/>
          </a:xfrm>
        </xdr:grpSpPr>
        <xdr:pic>
          <xdr:nvPicPr>
            <xdr:cNvPr id="36" name="Picture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9"/>
            <a:stretch>
              <a:fillRect/>
            </a:stretch>
          </xdr:blipFill>
          <xdr:spPr>
            <a:xfrm rot="5400000">
              <a:off x="1354996" y="3780977"/>
              <a:ext cx="4148008" cy="5432054"/>
            </a:xfrm>
            <a:prstGeom prst="rect">
              <a:avLst/>
            </a:prstGeom>
            <a:ln>
              <a:solidFill>
                <a:schemeClr val="tx1"/>
              </a:solidFill>
            </a:ln>
          </xdr:spPr>
        </xdr:pic>
        <xdr:cxnSp macro="">
          <xdr:nvCxnSpPr>
            <xdr:cNvPr id="37" name="Straight Arrow Connector 36">
              <a:extLst>
                <a:ext uri="{FF2B5EF4-FFF2-40B4-BE49-F238E27FC236}">
                  <a16:creationId xmlns:a16="http://schemas.microsoft.com/office/drawing/2014/main" id="{00000000-0008-0000-0000-000025000000}"/>
                </a:ext>
              </a:extLst>
            </xdr:cNvPr>
            <xdr:cNvCxnSpPr/>
          </xdr:nvCxnSpPr>
          <xdr:spPr>
            <a:xfrm flipV="1">
              <a:off x="5552091" y="4754162"/>
              <a:ext cx="0" cy="29210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8" name="TextBox 69">
              <a:extLst>
                <a:ext uri="{FF2B5EF4-FFF2-40B4-BE49-F238E27FC236}">
                  <a16:creationId xmlns:a16="http://schemas.microsoft.com/office/drawing/2014/main" id="{00000000-0008-0000-0000-000026000000}"/>
                </a:ext>
              </a:extLst>
            </xdr:cNvPr>
            <xdr:cNvSpPr txBox="1"/>
          </xdr:nvSpPr>
          <xdr:spPr>
            <a:xfrm>
              <a:off x="5401963" y="4477163"/>
              <a:ext cx="253141"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a:t>N</a:t>
              </a:r>
              <a:endParaRPr lang="en-IN" sz="1200"/>
            </a:p>
          </xdr:txBody>
        </xdr:sp>
      </xdr:grpSp>
      <xdr:sp macro="" textlink="">
        <xdr:nvSpPr>
          <xdr:cNvPr id="28" name="Rectangle 27">
            <a:extLst>
              <a:ext uri="{FF2B5EF4-FFF2-40B4-BE49-F238E27FC236}">
                <a16:creationId xmlns:a16="http://schemas.microsoft.com/office/drawing/2014/main" id="{00000000-0008-0000-0000-00001C000000}"/>
              </a:ext>
            </a:extLst>
          </xdr:cNvPr>
          <xdr:cNvSpPr/>
        </xdr:nvSpPr>
        <xdr:spPr>
          <a:xfrm rot="193573">
            <a:off x="2196644" y="5351702"/>
            <a:ext cx="3347596" cy="373249"/>
          </a:xfrm>
          <a:prstGeom prst="rect">
            <a:avLst/>
          </a:prstGeom>
          <a:no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1" name="Freeform 30">
            <a:extLst>
              <a:ext uri="{FF2B5EF4-FFF2-40B4-BE49-F238E27FC236}">
                <a16:creationId xmlns:a16="http://schemas.microsoft.com/office/drawing/2014/main" id="{00000000-0008-0000-0000-00001F000000}"/>
              </a:ext>
            </a:extLst>
          </xdr:cNvPr>
          <xdr:cNvSpPr/>
        </xdr:nvSpPr>
        <xdr:spPr>
          <a:xfrm>
            <a:off x="1811227" y="5524501"/>
            <a:ext cx="800100" cy="2257424"/>
          </a:xfrm>
          <a:custGeom>
            <a:avLst/>
            <a:gdLst>
              <a:gd name="connsiteX0" fmla="*/ 314325 w 828675"/>
              <a:gd name="connsiteY0" fmla="*/ 9525 h 2247900"/>
              <a:gd name="connsiteX1" fmla="*/ 0 w 828675"/>
              <a:gd name="connsiteY1" fmla="*/ 0 h 2247900"/>
              <a:gd name="connsiteX2" fmla="*/ 19050 w 828675"/>
              <a:gd name="connsiteY2" fmla="*/ 2247900 h 2247900"/>
              <a:gd name="connsiteX3" fmla="*/ 828675 w 828675"/>
              <a:gd name="connsiteY3" fmla="*/ 2247900 h 2247900"/>
              <a:gd name="connsiteX4" fmla="*/ 819150 w 828675"/>
              <a:gd name="connsiteY4" fmla="*/ 76200 h 2247900"/>
              <a:gd name="connsiteX5" fmla="*/ 304800 w 828675"/>
              <a:gd name="connsiteY5" fmla="*/ 85725 h 2247900"/>
              <a:gd name="connsiteX6" fmla="*/ 314325 w 828675"/>
              <a:gd name="connsiteY6" fmla="*/ 9525 h 2247900"/>
              <a:gd name="connsiteX0" fmla="*/ 314325 w 828675"/>
              <a:gd name="connsiteY0" fmla="*/ 9525 h 2247900"/>
              <a:gd name="connsiteX1" fmla="*/ 0 w 828675"/>
              <a:gd name="connsiteY1" fmla="*/ 0 h 2247900"/>
              <a:gd name="connsiteX2" fmla="*/ 19050 w 828675"/>
              <a:gd name="connsiteY2" fmla="*/ 2247900 h 2247900"/>
              <a:gd name="connsiteX3" fmla="*/ 828675 w 828675"/>
              <a:gd name="connsiteY3" fmla="*/ 2247900 h 2247900"/>
              <a:gd name="connsiteX4" fmla="*/ 819150 w 828675"/>
              <a:gd name="connsiteY4" fmla="*/ 76200 h 2247900"/>
              <a:gd name="connsiteX5" fmla="*/ 333375 w 828675"/>
              <a:gd name="connsiteY5" fmla="*/ 95250 h 2247900"/>
              <a:gd name="connsiteX6" fmla="*/ 314325 w 828675"/>
              <a:gd name="connsiteY6" fmla="*/ 9525 h 2247900"/>
              <a:gd name="connsiteX0" fmla="*/ 314325 w 828675"/>
              <a:gd name="connsiteY0" fmla="*/ 9525 h 2247900"/>
              <a:gd name="connsiteX1" fmla="*/ 0 w 828675"/>
              <a:gd name="connsiteY1" fmla="*/ 0 h 2247900"/>
              <a:gd name="connsiteX2" fmla="*/ 19050 w 828675"/>
              <a:gd name="connsiteY2" fmla="*/ 2247900 h 2247900"/>
              <a:gd name="connsiteX3" fmla="*/ 828675 w 828675"/>
              <a:gd name="connsiteY3" fmla="*/ 2247900 h 2247900"/>
              <a:gd name="connsiteX4" fmla="*/ 804862 w 828675"/>
              <a:gd name="connsiteY4" fmla="*/ 104775 h 2247900"/>
              <a:gd name="connsiteX5" fmla="*/ 333375 w 828675"/>
              <a:gd name="connsiteY5" fmla="*/ 95250 h 2247900"/>
              <a:gd name="connsiteX6" fmla="*/ 314325 w 828675"/>
              <a:gd name="connsiteY6" fmla="*/ 9525 h 2247900"/>
              <a:gd name="connsiteX0" fmla="*/ 328613 w 828675"/>
              <a:gd name="connsiteY0" fmla="*/ 0 h 2247900"/>
              <a:gd name="connsiteX1" fmla="*/ 0 w 828675"/>
              <a:gd name="connsiteY1" fmla="*/ 0 h 2247900"/>
              <a:gd name="connsiteX2" fmla="*/ 19050 w 828675"/>
              <a:gd name="connsiteY2" fmla="*/ 2247900 h 2247900"/>
              <a:gd name="connsiteX3" fmla="*/ 828675 w 828675"/>
              <a:gd name="connsiteY3" fmla="*/ 2247900 h 2247900"/>
              <a:gd name="connsiteX4" fmla="*/ 804862 w 828675"/>
              <a:gd name="connsiteY4" fmla="*/ 104775 h 2247900"/>
              <a:gd name="connsiteX5" fmla="*/ 333375 w 828675"/>
              <a:gd name="connsiteY5" fmla="*/ 95250 h 2247900"/>
              <a:gd name="connsiteX6" fmla="*/ 328613 w 828675"/>
              <a:gd name="connsiteY6" fmla="*/ 0 h 2247900"/>
              <a:gd name="connsiteX0" fmla="*/ 328613 w 828675"/>
              <a:gd name="connsiteY0" fmla="*/ 0 h 2291407"/>
              <a:gd name="connsiteX1" fmla="*/ 0 w 828675"/>
              <a:gd name="connsiteY1" fmla="*/ 43507 h 2291407"/>
              <a:gd name="connsiteX2" fmla="*/ 19050 w 828675"/>
              <a:gd name="connsiteY2" fmla="*/ 2291407 h 2291407"/>
              <a:gd name="connsiteX3" fmla="*/ 828675 w 828675"/>
              <a:gd name="connsiteY3" fmla="*/ 2291407 h 2291407"/>
              <a:gd name="connsiteX4" fmla="*/ 804862 w 828675"/>
              <a:gd name="connsiteY4" fmla="*/ 148282 h 2291407"/>
              <a:gd name="connsiteX5" fmla="*/ 333375 w 828675"/>
              <a:gd name="connsiteY5" fmla="*/ 138757 h 2291407"/>
              <a:gd name="connsiteX6" fmla="*/ 328613 w 828675"/>
              <a:gd name="connsiteY6" fmla="*/ 0 h 2291407"/>
              <a:gd name="connsiteX0" fmla="*/ 333575 w 833637"/>
              <a:gd name="connsiteY0" fmla="*/ 0 h 2291407"/>
              <a:gd name="connsiteX1" fmla="*/ 0 w 833637"/>
              <a:gd name="connsiteY1" fmla="*/ 0 h 2291407"/>
              <a:gd name="connsiteX2" fmla="*/ 24012 w 833637"/>
              <a:gd name="connsiteY2" fmla="*/ 2291407 h 2291407"/>
              <a:gd name="connsiteX3" fmla="*/ 833637 w 833637"/>
              <a:gd name="connsiteY3" fmla="*/ 2291407 h 2291407"/>
              <a:gd name="connsiteX4" fmla="*/ 809824 w 833637"/>
              <a:gd name="connsiteY4" fmla="*/ 148282 h 2291407"/>
              <a:gd name="connsiteX5" fmla="*/ 338337 w 833637"/>
              <a:gd name="connsiteY5" fmla="*/ 138757 h 2291407"/>
              <a:gd name="connsiteX6" fmla="*/ 333575 w 833637"/>
              <a:gd name="connsiteY6" fmla="*/ 0 h 229140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33637" h="2291407">
                <a:moveTo>
                  <a:pt x="333575" y="0"/>
                </a:moveTo>
                <a:lnTo>
                  <a:pt x="0" y="0"/>
                </a:lnTo>
                <a:lnTo>
                  <a:pt x="24012" y="2291407"/>
                </a:lnTo>
                <a:lnTo>
                  <a:pt x="833637" y="2291407"/>
                </a:lnTo>
                <a:lnTo>
                  <a:pt x="809824" y="148282"/>
                </a:lnTo>
                <a:lnTo>
                  <a:pt x="338337" y="138757"/>
                </a:lnTo>
                <a:lnTo>
                  <a:pt x="333575" y="0"/>
                </a:lnTo>
                <a:close/>
              </a:path>
            </a:pathLst>
          </a:custGeom>
          <a:noFill/>
          <a:ln w="190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2" name="Freeform 31">
            <a:extLst>
              <a:ext uri="{FF2B5EF4-FFF2-40B4-BE49-F238E27FC236}">
                <a16:creationId xmlns:a16="http://schemas.microsoft.com/office/drawing/2014/main" id="{00000000-0008-0000-0000-000020000000}"/>
              </a:ext>
            </a:extLst>
          </xdr:cNvPr>
          <xdr:cNvSpPr/>
        </xdr:nvSpPr>
        <xdr:spPr>
          <a:xfrm>
            <a:off x="2651856" y="5818853"/>
            <a:ext cx="2339244" cy="2051515"/>
          </a:xfrm>
          <a:custGeom>
            <a:avLst/>
            <a:gdLst>
              <a:gd name="connsiteX0" fmla="*/ 2444 w 2326544"/>
              <a:gd name="connsiteY0" fmla="*/ 996950 h 1917700"/>
              <a:gd name="connsiteX1" fmla="*/ 1513744 w 2326544"/>
              <a:gd name="connsiteY1" fmla="*/ 977900 h 1917700"/>
              <a:gd name="connsiteX2" fmla="*/ 1513744 w 2326544"/>
              <a:gd name="connsiteY2" fmla="*/ 12700 h 1917700"/>
              <a:gd name="connsiteX3" fmla="*/ 2320194 w 2326544"/>
              <a:gd name="connsiteY3" fmla="*/ 0 h 1917700"/>
              <a:gd name="connsiteX4" fmla="*/ 2326544 w 2326544"/>
              <a:gd name="connsiteY4" fmla="*/ 1917700 h 1917700"/>
              <a:gd name="connsiteX5" fmla="*/ 2444 w 2326544"/>
              <a:gd name="connsiteY5" fmla="*/ 1917700 h 1917700"/>
              <a:gd name="connsiteX6" fmla="*/ 2444 w 2326544"/>
              <a:gd name="connsiteY6" fmla="*/ 996950 h 19177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326544" h="1917700">
                <a:moveTo>
                  <a:pt x="2444" y="996950"/>
                </a:moveTo>
                <a:lnTo>
                  <a:pt x="1513744" y="977900"/>
                </a:lnTo>
                <a:lnTo>
                  <a:pt x="1513744" y="12700"/>
                </a:lnTo>
                <a:lnTo>
                  <a:pt x="2320194" y="0"/>
                </a:lnTo>
                <a:cubicBezTo>
                  <a:pt x="2322311" y="639233"/>
                  <a:pt x="2324427" y="1278467"/>
                  <a:pt x="2326544" y="1917700"/>
                </a:cubicBezTo>
                <a:lnTo>
                  <a:pt x="2444" y="1917700"/>
                </a:lnTo>
                <a:cubicBezTo>
                  <a:pt x="327" y="1608667"/>
                  <a:pt x="-1789" y="1299633"/>
                  <a:pt x="2444" y="996950"/>
                </a:cubicBezTo>
                <a:close/>
              </a:path>
            </a:pathLst>
          </a:custGeom>
          <a:noFill/>
          <a:ln w="19050">
            <a:solidFill>
              <a:srgbClr val="FF00FF"/>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3" name="TextBox 64">
            <a:extLst>
              <a:ext uri="{FF2B5EF4-FFF2-40B4-BE49-F238E27FC236}">
                <a16:creationId xmlns:a16="http://schemas.microsoft.com/office/drawing/2014/main" id="{00000000-0008-0000-0000-000021000000}"/>
              </a:ext>
            </a:extLst>
          </xdr:cNvPr>
          <xdr:cNvSpPr txBox="1"/>
        </xdr:nvSpPr>
        <xdr:spPr>
          <a:xfrm rot="167183">
            <a:off x="3258196" y="5404893"/>
            <a:ext cx="729551" cy="22361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a:solidFill>
                  <a:srgbClr val="C00000"/>
                </a:solidFill>
                <a:latin typeface="Arial Rounded MT Bold" panose="020F0704030504030204" pitchFamily="34" charset="0"/>
              </a:rPr>
              <a:t>WING B</a:t>
            </a:r>
            <a:endParaRPr lang="en-IN" sz="1000">
              <a:solidFill>
                <a:srgbClr val="C00000"/>
              </a:solidFill>
              <a:latin typeface="Arial Rounded MT Bold" panose="020F0704030504030204" pitchFamily="34" charset="0"/>
            </a:endParaRPr>
          </a:p>
        </xdr:txBody>
      </xdr:sp>
      <xdr:sp macro="" textlink="">
        <xdr:nvSpPr>
          <xdr:cNvPr id="34" name="TextBox 65">
            <a:extLst>
              <a:ext uri="{FF2B5EF4-FFF2-40B4-BE49-F238E27FC236}">
                <a16:creationId xmlns:a16="http://schemas.microsoft.com/office/drawing/2014/main" id="{00000000-0008-0000-0000-000022000000}"/>
              </a:ext>
            </a:extLst>
          </xdr:cNvPr>
          <xdr:cNvSpPr txBox="1"/>
        </xdr:nvSpPr>
        <xdr:spPr>
          <a:xfrm>
            <a:off x="3258197" y="7339377"/>
            <a:ext cx="729551" cy="22361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a:solidFill>
                  <a:srgbClr val="FF00FF"/>
                </a:solidFill>
                <a:latin typeface="Arial Rounded MT Bold" panose="020F0704030504030204" pitchFamily="34" charset="0"/>
              </a:rPr>
              <a:t>WING C</a:t>
            </a:r>
            <a:endParaRPr lang="en-IN" sz="1000">
              <a:solidFill>
                <a:srgbClr val="FF00FF"/>
              </a:solidFill>
              <a:latin typeface="Arial Rounded MT Bold" panose="020F0704030504030204" pitchFamily="34" charset="0"/>
            </a:endParaRPr>
          </a:p>
        </xdr:txBody>
      </xdr:sp>
      <xdr:sp macro="" textlink="">
        <xdr:nvSpPr>
          <xdr:cNvPr id="35" name="TextBox 66">
            <a:extLst>
              <a:ext uri="{FF2B5EF4-FFF2-40B4-BE49-F238E27FC236}">
                <a16:creationId xmlns:a16="http://schemas.microsoft.com/office/drawing/2014/main" id="{00000000-0008-0000-0000-000023000000}"/>
              </a:ext>
            </a:extLst>
          </xdr:cNvPr>
          <xdr:cNvSpPr txBox="1"/>
        </xdr:nvSpPr>
        <xdr:spPr>
          <a:xfrm>
            <a:off x="1958043" y="7090774"/>
            <a:ext cx="729551" cy="22361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a:solidFill>
                  <a:srgbClr val="0000FF"/>
                </a:solidFill>
                <a:latin typeface="Arial Rounded MT Bold" panose="020F0704030504030204" pitchFamily="34" charset="0"/>
              </a:rPr>
              <a:t>WING A</a:t>
            </a:r>
            <a:endParaRPr lang="en-IN" sz="1000">
              <a:solidFill>
                <a:srgbClr val="0000FF"/>
              </a:solidFill>
              <a:latin typeface="Arial Rounded MT Bold" panose="020F0704030504030204" pitchFamily="34" charset="0"/>
            </a:endParaRPr>
          </a:p>
        </xdr:txBody>
      </xdr:sp>
    </xdr:grpSp>
    <xdr:clientData/>
  </xdr:twoCellAnchor>
  <xdr:twoCellAnchor editAs="oneCell">
    <xdr:from>
      <xdr:col>1</xdr:col>
      <xdr:colOff>111523</xdr:colOff>
      <xdr:row>712</xdr:row>
      <xdr:rowOff>74543</xdr:rowOff>
    </xdr:from>
    <xdr:to>
      <xdr:col>6</xdr:col>
      <xdr:colOff>442085</xdr:colOff>
      <xdr:row>729</xdr:row>
      <xdr:rowOff>164554</xdr:rowOff>
    </xdr:to>
    <xdr:pic>
      <xdr:nvPicPr>
        <xdr:cNvPr id="55" name="Picture 54">
          <a:extLst>
            <a:ext uri="{FF2B5EF4-FFF2-40B4-BE49-F238E27FC236}">
              <a16:creationId xmlns:a16="http://schemas.microsoft.com/office/drawing/2014/main" id="{00000000-0008-0000-0000-000037000000}"/>
            </a:ext>
          </a:extLst>
        </xdr:cNvPr>
        <xdr:cNvPicPr>
          <a:picLocks noChangeAspect="1"/>
        </xdr:cNvPicPr>
      </xdr:nvPicPr>
      <xdr:blipFill rotWithShape="1">
        <a:blip xmlns:r="http://schemas.openxmlformats.org/officeDocument/2006/relationships" r:embed="rId10" cstate="screen">
          <a:extLst>
            <a:ext uri="{28A0092B-C50C-407E-A947-70E740481C1C}">
              <a14:useLocalDpi xmlns:a14="http://schemas.microsoft.com/office/drawing/2010/main"/>
            </a:ext>
          </a:extLst>
        </a:blip>
        <a:srcRect/>
        <a:stretch/>
      </xdr:blipFill>
      <xdr:spPr>
        <a:xfrm>
          <a:off x="981197" y="112709739"/>
          <a:ext cx="4372475" cy="3469316"/>
        </a:xfrm>
        <a:prstGeom prst="rect">
          <a:avLst/>
        </a:prstGeom>
        <a:ln>
          <a:solidFill>
            <a:schemeClr val="tx1"/>
          </a:solidFill>
        </a:ln>
      </xdr:spPr>
    </xdr:pic>
    <xdr:clientData/>
  </xdr:twoCellAnchor>
  <xdr:twoCellAnchor>
    <xdr:from>
      <xdr:col>0</xdr:col>
      <xdr:colOff>662609</xdr:colOff>
      <xdr:row>730</xdr:row>
      <xdr:rowOff>106277</xdr:rowOff>
    </xdr:from>
    <xdr:to>
      <xdr:col>6</xdr:col>
      <xdr:colOff>662608</xdr:colOff>
      <xdr:row>751</xdr:row>
      <xdr:rowOff>162988</xdr:rowOff>
    </xdr:to>
    <xdr:grpSp>
      <xdr:nvGrpSpPr>
        <xdr:cNvPr id="56" name="Group 55">
          <a:extLst>
            <a:ext uri="{FF2B5EF4-FFF2-40B4-BE49-F238E27FC236}">
              <a16:creationId xmlns:a16="http://schemas.microsoft.com/office/drawing/2014/main" id="{00000000-0008-0000-0000-000038000000}"/>
            </a:ext>
          </a:extLst>
        </xdr:cNvPr>
        <xdr:cNvGrpSpPr/>
      </xdr:nvGrpSpPr>
      <xdr:grpSpPr>
        <a:xfrm>
          <a:off x="662609" y="160707302"/>
          <a:ext cx="4914899" cy="4257236"/>
          <a:chOff x="666750" y="79260911"/>
          <a:chExt cx="4898570" cy="4356567"/>
        </a:xfrm>
      </xdr:grpSpPr>
      <xdr:pic>
        <xdr:nvPicPr>
          <xdr:cNvPr id="57" name="Picture 5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11"/>
          <a:stretch>
            <a:fillRect/>
          </a:stretch>
        </xdr:blipFill>
        <xdr:spPr>
          <a:xfrm>
            <a:off x="666750" y="79260911"/>
            <a:ext cx="4898570" cy="4356567"/>
          </a:xfrm>
          <a:prstGeom prst="rect">
            <a:avLst/>
          </a:prstGeom>
          <a:ln>
            <a:solidFill>
              <a:schemeClr val="tx1"/>
            </a:solidFill>
          </a:ln>
        </xdr:spPr>
      </xdr:pic>
      <xdr:sp macro="" textlink="">
        <xdr:nvSpPr>
          <xdr:cNvPr id="58" name="Rectangle 57">
            <a:extLst>
              <a:ext uri="{FF2B5EF4-FFF2-40B4-BE49-F238E27FC236}">
                <a16:creationId xmlns:a16="http://schemas.microsoft.com/office/drawing/2014/main" id="{00000000-0008-0000-0000-00003A000000}"/>
              </a:ext>
            </a:extLst>
          </xdr:cNvPr>
          <xdr:cNvSpPr/>
        </xdr:nvSpPr>
        <xdr:spPr>
          <a:xfrm rot="1830488">
            <a:off x="2209683" y="81087331"/>
            <a:ext cx="860208" cy="620604"/>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editAs="oneCell">
    <xdr:from>
      <xdr:col>2</xdr:col>
      <xdr:colOff>0</xdr:colOff>
      <xdr:row>754</xdr:row>
      <xdr:rowOff>0</xdr:rowOff>
    </xdr:from>
    <xdr:to>
      <xdr:col>2</xdr:col>
      <xdr:colOff>304800</xdr:colOff>
      <xdr:row>755</xdr:row>
      <xdr:rowOff>104773</xdr:rowOff>
    </xdr:to>
    <xdr:sp macro="" textlink="">
      <xdr:nvSpPr>
        <xdr:cNvPr id="1025" name="AutoShape 1" descr="blob:https://web.whatsapp.com/74ac7794-c678-4f5b-a05e-531816d9aa49">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1647825" y="12241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0</xdr:colOff>
      <xdr:row>673</xdr:row>
      <xdr:rowOff>0</xdr:rowOff>
    </xdr:from>
    <xdr:ext cx="304800" cy="303556"/>
    <xdr:sp macro="" textlink="">
      <xdr:nvSpPr>
        <xdr:cNvPr id="29" name="AutoShape 1" descr="blob:https://web.whatsapp.com/74ac7794-c678-4f5b-a05e-531816d9aa49">
          <a:extLst>
            <a:ext uri="{FF2B5EF4-FFF2-40B4-BE49-F238E27FC236}">
              <a16:creationId xmlns:a16="http://schemas.microsoft.com/office/drawing/2014/main" id="{700B37F1-B7F7-4E10-8C0F-502033D43B3B}"/>
            </a:ext>
          </a:extLst>
        </xdr:cNvPr>
        <xdr:cNvSpPr>
          <a:spLocks noChangeAspect="1" noChangeArrowheads="1"/>
        </xdr:cNvSpPr>
      </xdr:nvSpPr>
      <xdr:spPr bwMode="auto">
        <a:xfrm>
          <a:off x="1696278" y="145899809"/>
          <a:ext cx="304800" cy="3035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450987</xdr:colOff>
      <xdr:row>669</xdr:row>
      <xdr:rowOff>115956</xdr:rowOff>
    </xdr:from>
    <xdr:ext cx="5673718" cy="7676322"/>
    <xdr:pic>
      <xdr:nvPicPr>
        <xdr:cNvPr id="30" name="Picture 29">
          <a:extLst>
            <a:ext uri="{FF2B5EF4-FFF2-40B4-BE49-F238E27FC236}">
              <a16:creationId xmlns:a16="http://schemas.microsoft.com/office/drawing/2014/main" id="{AC367D8F-B712-469B-823E-AA56E8ED2317}"/>
            </a:ext>
          </a:extLst>
        </xdr:cNvPr>
        <xdr:cNvPicPr>
          <a:picLocks noChangeAspect="1"/>
        </xdr:cNvPicPr>
      </xdr:nvPicPr>
      <xdr:blipFill rotWithShape="1">
        <a:blip xmlns:r="http://schemas.openxmlformats.org/officeDocument/2006/relationships" r:embed="rId12" cstate="screen">
          <a:extLst>
            <a:ext uri="{28A0092B-C50C-407E-A947-70E740481C1C}">
              <a14:useLocalDpi xmlns:a14="http://schemas.microsoft.com/office/drawing/2010/main"/>
            </a:ext>
          </a:extLst>
        </a:blip>
        <a:srcRect/>
        <a:stretch/>
      </xdr:blipFill>
      <xdr:spPr>
        <a:xfrm>
          <a:off x="450987" y="145220634"/>
          <a:ext cx="5673718" cy="7676322"/>
        </a:xfrm>
        <a:prstGeom prst="rect">
          <a:avLst/>
        </a:prstGeom>
        <a:ln w="3175">
          <a:solidFill>
            <a:schemeClr val="tx1"/>
          </a:solidFill>
        </a:ln>
      </xdr:spPr>
    </xdr:pic>
    <xdr:clientData/>
  </xdr:oneCellAnchor>
  <xdr:twoCellAnchor>
    <xdr:from>
      <xdr:col>8</xdr:col>
      <xdr:colOff>1224915</xdr:colOff>
      <xdr:row>586</xdr:row>
      <xdr:rowOff>192405</xdr:rowOff>
    </xdr:from>
    <xdr:to>
      <xdr:col>18</xdr:col>
      <xdr:colOff>194310</xdr:colOff>
      <xdr:row>614</xdr:row>
      <xdr:rowOff>11186</xdr:rowOff>
    </xdr:to>
    <xdr:grpSp>
      <xdr:nvGrpSpPr>
        <xdr:cNvPr id="39" name="Group 38">
          <a:extLst>
            <a:ext uri="{FF2B5EF4-FFF2-40B4-BE49-F238E27FC236}">
              <a16:creationId xmlns:a16="http://schemas.microsoft.com/office/drawing/2014/main" id="{D4C09DEF-B4CD-4DED-8264-422D04B22ACF}"/>
            </a:ext>
          </a:extLst>
        </xdr:cNvPr>
        <xdr:cNvGrpSpPr/>
      </xdr:nvGrpSpPr>
      <xdr:grpSpPr>
        <a:xfrm>
          <a:off x="7749540" y="131989830"/>
          <a:ext cx="6246495" cy="5419481"/>
          <a:chOff x="0" y="565883"/>
          <a:chExt cx="6802914" cy="5960501"/>
        </a:xfrm>
      </xdr:grpSpPr>
      <xdr:pic>
        <xdr:nvPicPr>
          <xdr:cNvPr id="40" name="Picture 39">
            <a:extLst>
              <a:ext uri="{FF2B5EF4-FFF2-40B4-BE49-F238E27FC236}">
                <a16:creationId xmlns:a16="http://schemas.microsoft.com/office/drawing/2014/main" id="{572D376F-5C85-4B8C-9402-2AAB74C6221F}"/>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2564356" y="565883"/>
            <a:ext cx="3836444" cy="2880000"/>
          </a:xfrm>
          <a:prstGeom prst="rect">
            <a:avLst/>
          </a:prstGeom>
          <a:ln>
            <a:solidFill>
              <a:schemeClr val="tx1"/>
            </a:solidFill>
          </a:ln>
        </xdr:spPr>
      </xdr:pic>
      <xdr:pic>
        <xdr:nvPicPr>
          <xdr:cNvPr id="41" name="Picture 40">
            <a:extLst>
              <a:ext uri="{FF2B5EF4-FFF2-40B4-BE49-F238E27FC236}">
                <a16:creationId xmlns:a16="http://schemas.microsoft.com/office/drawing/2014/main" id="{E94C2D98-4131-47D8-B98B-2A063107709A}"/>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265818" y="565883"/>
            <a:ext cx="2157750" cy="2880000"/>
          </a:xfrm>
          <a:prstGeom prst="rect">
            <a:avLst/>
          </a:prstGeom>
          <a:ln>
            <a:solidFill>
              <a:schemeClr val="tx1"/>
            </a:solidFill>
          </a:ln>
        </xdr:spPr>
      </xdr:pic>
      <xdr:pic>
        <xdr:nvPicPr>
          <xdr:cNvPr id="42" name="Picture 41">
            <a:extLst>
              <a:ext uri="{FF2B5EF4-FFF2-40B4-BE49-F238E27FC236}">
                <a16:creationId xmlns:a16="http://schemas.microsoft.com/office/drawing/2014/main" id="{15911CE5-9BC2-4DE8-837D-1C3DD0C1CE25}"/>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0" y="3646384"/>
            <a:ext cx="2157750" cy="2880000"/>
          </a:xfrm>
          <a:prstGeom prst="rect">
            <a:avLst/>
          </a:prstGeom>
          <a:ln>
            <a:solidFill>
              <a:schemeClr val="tx1"/>
            </a:solidFill>
          </a:ln>
        </xdr:spPr>
      </xdr:pic>
      <xdr:pic>
        <xdr:nvPicPr>
          <xdr:cNvPr id="43" name="Picture 42">
            <a:extLst>
              <a:ext uri="{FF2B5EF4-FFF2-40B4-BE49-F238E27FC236}">
                <a16:creationId xmlns:a16="http://schemas.microsoft.com/office/drawing/2014/main" id="{6B7255C2-10B7-4FB7-99DD-9DB338314A55}"/>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2322582" y="3646384"/>
            <a:ext cx="2157750" cy="2880000"/>
          </a:xfrm>
          <a:prstGeom prst="rect">
            <a:avLst/>
          </a:prstGeom>
          <a:ln>
            <a:solidFill>
              <a:schemeClr val="tx1"/>
            </a:solidFill>
          </a:ln>
        </xdr:spPr>
      </xdr:pic>
      <xdr:pic>
        <xdr:nvPicPr>
          <xdr:cNvPr id="44" name="Picture 43">
            <a:extLst>
              <a:ext uri="{FF2B5EF4-FFF2-40B4-BE49-F238E27FC236}">
                <a16:creationId xmlns:a16="http://schemas.microsoft.com/office/drawing/2014/main" id="{BE835833-83E5-4F93-8DD8-96F3C685EF3E}"/>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4645164" y="3646384"/>
            <a:ext cx="2157750" cy="2880000"/>
          </a:xfrm>
          <a:prstGeom prst="rect">
            <a:avLst/>
          </a:prstGeom>
          <a:ln>
            <a:solidFill>
              <a:schemeClr val="tx1"/>
            </a:solidFill>
          </a:ln>
        </xdr:spPr>
      </xdr:pic>
      <xdr:sp macro="" textlink="">
        <xdr:nvSpPr>
          <xdr:cNvPr id="45" name="TextBox 11">
            <a:extLst>
              <a:ext uri="{FF2B5EF4-FFF2-40B4-BE49-F238E27FC236}">
                <a16:creationId xmlns:a16="http://schemas.microsoft.com/office/drawing/2014/main" id="{30844042-16FF-4EF6-A264-5D3064063889}"/>
              </a:ext>
            </a:extLst>
          </xdr:cNvPr>
          <xdr:cNvSpPr txBox="1"/>
        </xdr:nvSpPr>
        <xdr:spPr>
          <a:xfrm>
            <a:off x="265817" y="582498"/>
            <a:ext cx="886870" cy="342713"/>
          </a:xfrm>
          <a:prstGeom prst="rect">
            <a:avLst/>
          </a:prstGeom>
          <a:solidFill>
            <a:schemeClr val="bg2"/>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Wing A</a:t>
            </a:r>
            <a:endParaRPr lang="en-IN" sz="1400" b="1"/>
          </a:p>
        </xdr:txBody>
      </xdr:sp>
      <xdr:sp macro="" textlink="">
        <xdr:nvSpPr>
          <xdr:cNvPr id="46" name="TextBox 16">
            <a:extLst>
              <a:ext uri="{FF2B5EF4-FFF2-40B4-BE49-F238E27FC236}">
                <a16:creationId xmlns:a16="http://schemas.microsoft.com/office/drawing/2014/main" id="{8E0C54E8-8775-4AFE-9275-29BD5F87F10F}"/>
              </a:ext>
            </a:extLst>
          </xdr:cNvPr>
          <xdr:cNvSpPr txBox="1"/>
        </xdr:nvSpPr>
        <xdr:spPr>
          <a:xfrm>
            <a:off x="2620033" y="582498"/>
            <a:ext cx="848321" cy="342713"/>
          </a:xfrm>
          <a:prstGeom prst="rect">
            <a:avLst/>
          </a:prstGeom>
          <a:solidFill>
            <a:schemeClr val="bg2"/>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Wing B</a:t>
            </a:r>
            <a:endParaRPr lang="en-IN" sz="1400" b="1"/>
          </a:p>
        </xdr:txBody>
      </xdr:sp>
      <xdr:sp macro="" textlink="">
        <xdr:nvSpPr>
          <xdr:cNvPr id="47" name="TextBox 17">
            <a:extLst>
              <a:ext uri="{FF2B5EF4-FFF2-40B4-BE49-F238E27FC236}">
                <a16:creationId xmlns:a16="http://schemas.microsoft.com/office/drawing/2014/main" id="{52731DFF-0E52-4755-A5D7-4231C4AF6360}"/>
              </a:ext>
            </a:extLst>
          </xdr:cNvPr>
          <xdr:cNvSpPr txBox="1"/>
        </xdr:nvSpPr>
        <xdr:spPr>
          <a:xfrm>
            <a:off x="1282189" y="3646384"/>
            <a:ext cx="857927" cy="342713"/>
          </a:xfrm>
          <a:prstGeom prst="rect">
            <a:avLst/>
          </a:prstGeom>
          <a:solidFill>
            <a:schemeClr val="bg2"/>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Wing C</a:t>
            </a:r>
            <a:endParaRPr lang="en-IN" sz="1400" b="1"/>
          </a:p>
        </xdr:txBody>
      </xdr:sp>
    </xdr:grpSp>
    <xdr:clientData/>
  </xdr:twoCellAnchor>
  <xdr:twoCellAnchor>
    <xdr:from>
      <xdr:col>8</xdr:col>
      <xdr:colOff>908685</xdr:colOff>
      <xdr:row>586</xdr:row>
      <xdr:rowOff>196215</xdr:rowOff>
    </xdr:from>
    <xdr:to>
      <xdr:col>17</xdr:col>
      <xdr:colOff>286118</xdr:colOff>
      <xdr:row>615</xdr:row>
      <xdr:rowOff>94700</xdr:rowOff>
    </xdr:to>
    <xdr:grpSp>
      <xdr:nvGrpSpPr>
        <xdr:cNvPr id="12" name="Group 11">
          <a:extLst>
            <a:ext uri="{FF2B5EF4-FFF2-40B4-BE49-F238E27FC236}">
              <a16:creationId xmlns:a16="http://schemas.microsoft.com/office/drawing/2014/main" id="{8EC4A00B-6876-4A38-8525-45042B366384}"/>
            </a:ext>
          </a:extLst>
        </xdr:cNvPr>
        <xdr:cNvGrpSpPr/>
      </xdr:nvGrpSpPr>
      <xdr:grpSpPr>
        <a:xfrm>
          <a:off x="7433310" y="131993640"/>
          <a:ext cx="6044933" cy="5699210"/>
          <a:chOff x="274912" y="186130"/>
          <a:chExt cx="6193523" cy="5645870"/>
        </a:xfrm>
      </xdr:grpSpPr>
      <xdr:pic>
        <xdr:nvPicPr>
          <xdr:cNvPr id="13" name="Picture 12">
            <a:extLst>
              <a:ext uri="{FF2B5EF4-FFF2-40B4-BE49-F238E27FC236}">
                <a16:creationId xmlns:a16="http://schemas.microsoft.com/office/drawing/2014/main" id="{627112ED-B0E3-F2C8-DE53-7A24EDDF1FF4}"/>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4505535" y="3312000"/>
            <a:ext cx="1888031" cy="2520000"/>
          </a:xfrm>
          <a:prstGeom prst="rect">
            <a:avLst/>
          </a:prstGeom>
          <a:ln>
            <a:solidFill>
              <a:schemeClr val="tx1"/>
            </a:solidFill>
          </a:ln>
        </xdr:spPr>
      </xdr:pic>
      <xdr:pic>
        <xdr:nvPicPr>
          <xdr:cNvPr id="14" name="Picture 13">
            <a:extLst>
              <a:ext uri="{FF2B5EF4-FFF2-40B4-BE49-F238E27FC236}">
                <a16:creationId xmlns:a16="http://schemas.microsoft.com/office/drawing/2014/main" id="{81D6EBEF-E825-E51D-934D-577FB0165E8F}"/>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2631990" y="186130"/>
            <a:ext cx="3836445" cy="2880000"/>
          </a:xfrm>
          <a:prstGeom prst="rect">
            <a:avLst/>
          </a:prstGeom>
          <a:ln>
            <a:solidFill>
              <a:schemeClr val="tx1"/>
            </a:solidFill>
          </a:ln>
        </xdr:spPr>
      </xdr:pic>
      <xdr:pic>
        <xdr:nvPicPr>
          <xdr:cNvPr id="24" name="Picture 23">
            <a:extLst>
              <a:ext uri="{FF2B5EF4-FFF2-40B4-BE49-F238E27FC236}">
                <a16:creationId xmlns:a16="http://schemas.microsoft.com/office/drawing/2014/main" id="{624B7BB7-39AB-DFDB-D056-035D4C6F7538}"/>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359789" y="3312000"/>
            <a:ext cx="1888031" cy="2520000"/>
          </a:xfrm>
          <a:prstGeom prst="rect">
            <a:avLst/>
          </a:prstGeom>
          <a:ln>
            <a:solidFill>
              <a:schemeClr val="tx1"/>
            </a:solidFill>
          </a:ln>
        </xdr:spPr>
      </xdr:pic>
      <xdr:pic>
        <xdr:nvPicPr>
          <xdr:cNvPr id="48" name="Picture 47">
            <a:extLst>
              <a:ext uri="{FF2B5EF4-FFF2-40B4-BE49-F238E27FC236}">
                <a16:creationId xmlns:a16="http://schemas.microsoft.com/office/drawing/2014/main" id="{FFC84FC1-93D6-251A-9C82-EAD4BC904B80}"/>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2432662" y="3312000"/>
            <a:ext cx="1888031" cy="2520000"/>
          </a:xfrm>
          <a:prstGeom prst="rect">
            <a:avLst/>
          </a:prstGeom>
          <a:ln>
            <a:solidFill>
              <a:schemeClr val="tx1"/>
            </a:solidFill>
          </a:ln>
        </xdr:spPr>
      </xdr:pic>
      <xdr:pic>
        <xdr:nvPicPr>
          <xdr:cNvPr id="49" name="Picture 48">
            <a:extLst>
              <a:ext uri="{FF2B5EF4-FFF2-40B4-BE49-F238E27FC236}">
                <a16:creationId xmlns:a16="http://schemas.microsoft.com/office/drawing/2014/main" id="{8DC6A159-AC6C-B45F-FF11-436F508D7F25}"/>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274912" y="186130"/>
            <a:ext cx="2157750" cy="2880000"/>
          </a:xfrm>
          <a:prstGeom prst="rect">
            <a:avLst/>
          </a:prstGeom>
          <a:ln>
            <a:solidFill>
              <a:schemeClr val="tx1"/>
            </a:solidFill>
          </a:ln>
        </xdr:spPr>
      </xdr:pic>
      <xdr:sp macro="" textlink="">
        <xdr:nvSpPr>
          <xdr:cNvPr id="50" name="TextBox 14">
            <a:extLst>
              <a:ext uri="{FF2B5EF4-FFF2-40B4-BE49-F238E27FC236}">
                <a16:creationId xmlns:a16="http://schemas.microsoft.com/office/drawing/2014/main" id="{FB50F469-6861-BE84-C16E-4025540BD665}"/>
              </a:ext>
            </a:extLst>
          </xdr:cNvPr>
          <xdr:cNvSpPr txBox="1"/>
        </xdr:nvSpPr>
        <xdr:spPr>
          <a:xfrm>
            <a:off x="1472224" y="444843"/>
            <a:ext cx="87556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A</a:t>
            </a:r>
            <a:endParaRPr lang="en-IN" b="1"/>
          </a:p>
        </xdr:txBody>
      </xdr:sp>
      <xdr:sp macro="" textlink="">
        <xdr:nvSpPr>
          <xdr:cNvPr id="51" name="TextBox 16">
            <a:extLst>
              <a:ext uri="{FF2B5EF4-FFF2-40B4-BE49-F238E27FC236}">
                <a16:creationId xmlns:a16="http://schemas.microsoft.com/office/drawing/2014/main" id="{297DE6F7-9D07-BA38-7893-862237086EB9}"/>
              </a:ext>
            </a:extLst>
          </xdr:cNvPr>
          <xdr:cNvSpPr txBox="1"/>
        </xdr:nvSpPr>
        <xdr:spPr>
          <a:xfrm>
            <a:off x="3798035" y="451472"/>
            <a:ext cx="87556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B</a:t>
            </a:r>
            <a:endParaRPr lang="en-IN" b="1"/>
          </a:p>
        </xdr:txBody>
      </xdr:sp>
      <xdr:sp macro="" textlink="">
        <xdr:nvSpPr>
          <xdr:cNvPr id="52" name="TextBox 18">
            <a:extLst>
              <a:ext uri="{FF2B5EF4-FFF2-40B4-BE49-F238E27FC236}">
                <a16:creationId xmlns:a16="http://schemas.microsoft.com/office/drawing/2014/main" id="{AE158B8B-F755-A67E-1403-A7F5988004BD}"/>
              </a:ext>
            </a:extLst>
          </xdr:cNvPr>
          <xdr:cNvSpPr txBox="1"/>
        </xdr:nvSpPr>
        <xdr:spPr>
          <a:xfrm>
            <a:off x="1372259" y="3362036"/>
            <a:ext cx="87556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Wing C</a:t>
            </a:r>
            <a:endParaRPr lang="en-IN" b="1">
              <a:solidFill>
                <a:srgbClr val="FFFF00"/>
              </a:solidFill>
            </a:endParaRPr>
          </a:p>
        </xdr:txBody>
      </xdr:sp>
    </xdr:grpSp>
    <xdr:clientData/>
  </xdr:twoCellAnchor>
  <xdr:twoCellAnchor>
    <xdr:from>
      <xdr:col>0</xdr:col>
      <xdr:colOff>114300</xdr:colOff>
      <xdr:row>587</xdr:row>
      <xdr:rowOff>85725</xdr:rowOff>
    </xdr:from>
    <xdr:to>
      <xdr:col>7</xdr:col>
      <xdr:colOff>676275</xdr:colOff>
      <xdr:row>624</xdr:row>
      <xdr:rowOff>38100</xdr:rowOff>
    </xdr:to>
    <xdr:grpSp>
      <xdr:nvGrpSpPr>
        <xdr:cNvPr id="53" name="Group 52">
          <a:extLst>
            <a:ext uri="{FF2B5EF4-FFF2-40B4-BE49-F238E27FC236}">
              <a16:creationId xmlns:a16="http://schemas.microsoft.com/office/drawing/2014/main" id="{5EC5A590-F4A5-46D9-B126-C28ED2462DD3}"/>
            </a:ext>
          </a:extLst>
        </xdr:cNvPr>
        <xdr:cNvGrpSpPr/>
      </xdr:nvGrpSpPr>
      <xdr:grpSpPr>
        <a:xfrm>
          <a:off x="114300" y="132083175"/>
          <a:ext cx="6257925" cy="7353300"/>
          <a:chOff x="236653" y="389866"/>
          <a:chExt cx="6185357" cy="7554090"/>
        </a:xfrm>
      </xdr:grpSpPr>
      <xdr:grpSp>
        <xdr:nvGrpSpPr>
          <xdr:cNvPr id="54" name="Group 53">
            <a:extLst>
              <a:ext uri="{FF2B5EF4-FFF2-40B4-BE49-F238E27FC236}">
                <a16:creationId xmlns:a16="http://schemas.microsoft.com/office/drawing/2014/main" id="{665E04F6-876F-4DA4-A2EC-3BBDC8F39EB6}"/>
              </a:ext>
            </a:extLst>
          </xdr:cNvPr>
          <xdr:cNvGrpSpPr/>
        </xdr:nvGrpSpPr>
        <xdr:grpSpPr>
          <a:xfrm>
            <a:off x="236653" y="389866"/>
            <a:ext cx="6185357" cy="7554090"/>
            <a:chOff x="236653" y="389866"/>
            <a:chExt cx="6185357" cy="7554090"/>
          </a:xfrm>
        </xdr:grpSpPr>
        <xdr:pic>
          <xdr:nvPicPr>
            <xdr:cNvPr id="62" name="Picture 61">
              <a:extLst>
                <a:ext uri="{FF2B5EF4-FFF2-40B4-BE49-F238E27FC236}">
                  <a16:creationId xmlns:a16="http://schemas.microsoft.com/office/drawing/2014/main" id="{9A44CB37-00B6-4175-825E-9CD58CACCB3F}"/>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236653" y="389866"/>
              <a:ext cx="2157750" cy="2880000"/>
            </a:xfrm>
            <a:prstGeom prst="rect">
              <a:avLst/>
            </a:prstGeom>
            <a:ln>
              <a:solidFill>
                <a:schemeClr val="tx1"/>
              </a:solidFill>
            </a:ln>
          </xdr:spPr>
        </xdr:pic>
        <xdr:pic>
          <xdr:nvPicPr>
            <xdr:cNvPr id="63" name="Picture 62">
              <a:extLst>
                <a:ext uri="{FF2B5EF4-FFF2-40B4-BE49-F238E27FC236}">
                  <a16:creationId xmlns:a16="http://schemas.microsoft.com/office/drawing/2014/main" id="{0A9D28AC-3480-4A0A-BC87-CF9D2624BCC5}"/>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2585566" y="389866"/>
              <a:ext cx="3836444" cy="2880000"/>
            </a:xfrm>
            <a:prstGeom prst="rect">
              <a:avLst/>
            </a:prstGeom>
            <a:ln>
              <a:solidFill>
                <a:schemeClr val="tx1"/>
              </a:solidFill>
            </a:ln>
          </xdr:spPr>
        </xdr:pic>
        <xdr:pic>
          <xdr:nvPicPr>
            <xdr:cNvPr id="64" name="Picture 63">
              <a:extLst>
                <a:ext uri="{FF2B5EF4-FFF2-40B4-BE49-F238E27FC236}">
                  <a16:creationId xmlns:a16="http://schemas.microsoft.com/office/drawing/2014/main" id="{A33F7951-8C7D-4112-9E0E-94DB85C03CE4}"/>
                </a:ext>
              </a:extLst>
            </xdr:cNvPr>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xfrm>
              <a:off x="832394" y="3446911"/>
              <a:ext cx="1753172" cy="2340000"/>
            </a:xfrm>
            <a:prstGeom prst="rect">
              <a:avLst/>
            </a:prstGeom>
            <a:ln>
              <a:solidFill>
                <a:schemeClr val="tx1"/>
              </a:solidFill>
            </a:ln>
          </xdr:spPr>
        </xdr:pic>
        <xdr:pic>
          <xdr:nvPicPr>
            <xdr:cNvPr id="65" name="Picture 64">
              <a:extLst>
                <a:ext uri="{FF2B5EF4-FFF2-40B4-BE49-F238E27FC236}">
                  <a16:creationId xmlns:a16="http://schemas.microsoft.com/office/drawing/2014/main" id="{99E825F9-25AD-47BE-98C2-B9B45D560F61}"/>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2713880" y="3446911"/>
              <a:ext cx="3117111" cy="2340000"/>
            </a:xfrm>
            <a:prstGeom prst="rect">
              <a:avLst/>
            </a:prstGeom>
            <a:ln>
              <a:solidFill>
                <a:schemeClr val="tx1"/>
              </a:solidFill>
            </a:ln>
          </xdr:spPr>
        </xdr:pic>
        <xdr:pic>
          <xdr:nvPicPr>
            <xdr:cNvPr id="66" name="Picture 65">
              <a:extLst>
                <a:ext uri="{FF2B5EF4-FFF2-40B4-BE49-F238E27FC236}">
                  <a16:creationId xmlns:a16="http://schemas.microsoft.com/office/drawing/2014/main" id="{28BA1516-A6A3-4574-84FA-E12D0D8DAFFF}"/>
                </a:ext>
              </a:extLst>
            </xdr:cNvPr>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xfrm>
              <a:off x="1635147" y="5963956"/>
              <a:ext cx="1483453" cy="1980000"/>
            </a:xfrm>
            <a:prstGeom prst="rect">
              <a:avLst/>
            </a:prstGeom>
            <a:ln>
              <a:solidFill>
                <a:schemeClr val="tx1"/>
              </a:solidFill>
            </a:ln>
          </xdr:spPr>
        </xdr:pic>
        <xdr:pic>
          <xdr:nvPicPr>
            <xdr:cNvPr id="67" name="Picture 66">
              <a:extLst>
                <a:ext uri="{FF2B5EF4-FFF2-40B4-BE49-F238E27FC236}">
                  <a16:creationId xmlns:a16="http://schemas.microsoft.com/office/drawing/2014/main" id="{8575D312-3199-4C82-BFAD-F03DF71EF82B}"/>
                </a:ext>
              </a:extLst>
            </xdr:cNvPr>
            <xdr:cNvPicPr>
              <a:picLocks noChangeAspect="1"/>
            </xdr:cNvPicPr>
          </xdr:nvPicPr>
          <xdr:blipFill>
            <a:blip xmlns:r="http://schemas.openxmlformats.org/officeDocument/2006/relationships" r:embed="rId28" cstate="screen">
              <a:extLst>
                <a:ext uri="{28A0092B-C50C-407E-A947-70E740481C1C}">
                  <a14:useLocalDpi xmlns:a14="http://schemas.microsoft.com/office/drawing/2010/main"/>
                </a:ext>
              </a:extLst>
            </a:blip>
            <a:stretch>
              <a:fillRect/>
            </a:stretch>
          </xdr:blipFill>
          <xdr:spPr>
            <a:xfrm>
              <a:off x="3248681" y="5963956"/>
              <a:ext cx="1483453" cy="1980000"/>
            </a:xfrm>
            <a:prstGeom prst="rect">
              <a:avLst/>
            </a:prstGeom>
            <a:ln>
              <a:solidFill>
                <a:schemeClr val="tx1"/>
              </a:solidFill>
            </a:ln>
          </xdr:spPr>
        </xdr:pic>
      </xdr:grpSp>
      <xdr:sp macro="" textlink="">
        <xdr:nvSpPr>
          <xdr:cNvPr id="59" name="TextBox 34">
            <a:extLst>
              <a:ext uri="{FF2B5EF4-FFF2-40B4-BE49-F238E27FC236}">
                <a16:creationId xmlns:a16="http://schemas.microsoft.com/office/drawing/2014/main" id="{5DEB8B9C-8FAD-4C96-A6F9-68C217649BAA}"/>
              </a:ext>
            </a:extLst>
          </xdr:cNvPr>
          <xdr:cNvSpPr txBox="1"/>
        </xdr:nvSpPr>
        <xdr:spPr>
          <a:xfrm>
            <a:off x="293502" y="389866"/>
            <a:ext cx="370614" cy="461665"/>
          </a:xfrm>
          <a:prstGeom prst="rect">
            <a:avLst/>
          </a:prstGeom>
          <a:solidFill>
            <a:schemeClr val="bg1">
              <a:lumMod val="9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t>A</a:t>
            </a:r>
            <a:endParaRPr lang="en-IN" sz="2400" b="1"/>
          </a:p>
        </xdr:txBody>
      </xdr:sp>
      <xdr:sp macro="" textlink="">
        <xdr:nvSpPr>
          <xdr:cNvPr id="60" name="TextBox 35">
            <a:extLst>
              <a:ext uri="{FF2B5EF4-FFF2-40B4-BE49-F238E27FC236}">
                <a16:creationId xmlns:a16="http://schemas.microsoft.com/office/drawing/2014/main" id="{88A4F050-8592-4C39-82F6-33AD77D2EAAC}"/>
              </a:ext>
            </a:extLst>
          </xdr:cNvPr>
          <xdr:cNvSpPr txBox="1"/>
        </xdr:nvSpPr>
        <xdr:spPr>
          <a:xfrm>
            <a:off x="2703625" y="426791"/>
            <a:ext cx="357790" cy="461665"/>
          </a:xfrm>
          <a:prstGeom prst="rect">
            <a:avLst/>
          </a:prstGeom>
          <a:solidFill>
            <a:schemeClr val="bg1">
              <a:lumMod val="9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t>B</a:t>
            </a:r>
            <a:endParaRPr lang="en-IN" sz="2400" b="1"/>
          </a:p>
        </xdr:txBody>
      </xdr:sp>
      <xdr:sp macro="" textlink="">
        <xdr:nvSpPr>
          <xdr:cNvPr id="61" name="TextBox 36">
            <a:extLst>
              <a:ext uri="{FF2B5EF4-FFF2-40B4-BE49-F238E27FC236}">
                <a16:creationId xmlns:a16="http://schemas.microsoft.com/office/drawing/2014/main" id="{BD4EB80F-BC81-4C08-A3C2-F2A7C7C3DFF2}"/>
              </a:ext>
            </a:extLst>
          </xdr:cNvPr>
          <xdr:cNvSpPr txBox="1"/>
        </xdr:nvSpPr>
        <xdr:spPr>
          <a:xfrm>
            <a:off x="2227776" y="3500698"/>
            <a:ext cx="357790" cy="461665"/>
          </a:xfrm>
          <a:prstGeom prst="rect">
            <a:avLst/>
          </a:prstGeom>
          <a:solidFill>
            <a:schemeClr val="bg1">
              <a:lumMod val="9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t>C</a:t>
            </a:r>
            <a:endParaRPr lang="en-IN" sz="2400" b="1"/>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15</xdr:row>
      <xdr:rowOff>0</xdr:rowOff>
    </xdr:from>
    <xdr:to>
      <xdr:col>6</xdr:col>
      <xdr:colOff>4567</xdr:colOff>
      <xdr:row>33</xdr:row>
      <xdr:rowOff>171000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582707" y="2868706"/>
          <a:ext cx="6403125" cy="360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quarefeetgroup.in/2/Centrum-Business-Square-Affordable-Commercial-Thane.html" TargetMode="External"/><Relationship Id="rId1" Type="http://schemas.openxmlformats.org/officeDocument/2006/relationships/hyperlink" Target="https://goo.gl/maps/f13Xc8wwpNHiZQyJ8"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757"/>
  <sheetViews>
    <sheetView tabSelected="1" view="pageBreakPreview" zoomScaleNormal="100" zoomScaleSheetLayoutView="100" zoomScalePageLayoutView="85" workbookViewId="0">
      <selection activeCell="J9" sqref="J9"/>
    </sheetView>
  </sheetViews>
  <sheetFormatPr defaultColWidth="9.140625" defaultRowHeight="15.75" x14ac:dyDescent="0.25"/>
  <cols>
    <col min="1" max="1" width="13" style="67" customWidth="1"/>
    <col min="2" max="2" width="11.7109375" style="67" customWidth="1"/>
    <col min="3" max="3" width="12.7109375" style="67" customWidth="1"/>
    <col min="4" max="4" width="12.85546875" style="67" customWidth="1"/>
    <col min="5" max="7" width="11.7109375" style="67" customWidth="1"/>
    <col min="8" max="8" width="12.42578125" style="67" customWidth="1"/>
    <col min="9" max="9" width="20.42578125" style="40" customWidth="1"/>
    <col min="10" max="10" width="11.85546875" style="40" bestFit="1" customWidth="1"/>
    <col min="11" max="11" width="12.85546875" style="40" bestFit="1" customWidth="1"/>
    <col min="12" max="252" width="9.140625" style="40"/>
    <col min="253" max="253" width="8.7109375" style="40" customWidth="1"/>
    <col min="254" max="254" width="9.85546875" style="40" customWidth="1"/>
    <col min="255" max="255" width="14.42578125" style="40" customWidth="1"/>
    <col min="256" max="256" width="7.28515625" style="40" customWidth="1"/>
    <col min="257" max="257" width="5.5703125" style="40" customWidth="1"/>
    <col min="258" max="258" width="9" style="40" customWidth="1"/>
    <col min="259" max="260" width="9.85546875" style="40" customWidth="1"/>
    <col min="261" max="261" width="11.140625" style="40" customWidth="1"/>
    <col min="262" max="262" width="2.85546875" style="40" customWidth="1"/>
    <col min="263" max="263" width="3.5703125" style="40" customWidth="1"/>
    <col min="264" max="508" width="9.140625" style="40"/>
    <col min="509" max="509" width="8.7109375" style="40" customWidth="1"/>
    <col min="510" max="510" width="9.85546875" style="40" customWidth="1"/>
    <col min="511" max="511" width="14.42578125" style="40" customWidth="1"/>
    <col min="512" max="512" width="7.28515625" style="40" customWidth="1"/>
    <col min="513" max="513" width="5.5703125" style="40" customWidth="1"/>
    <col min="514" max="514" width="9" style="40" customWidth="1"/>
    <col min="515" max="516" width="9.85546875" style="40" customWidth="1"/>
    <col min="517" max="517" width="11.140625" style="40" customWidth="1"/>
    <col min="518" max="518" width="2.85546875" style="40" customWidth="1"/>
    <col min="519" max="519" width="3.5703125" style="40" customWidth="1"/>
    <col min="520" max="764" width="9.140625" style="40"/>
    <col min="765" max="765" width="8.7109375" style="40" customWidth="1"/>
    <col min="766" max="766" width="9.85546875" style="40" customWidth="1"/>
    <col min="767" max="767" width="14.42578125" style="40" customWidth="1"/>
    <col min="768" max="768" width="7.28515625" style="40" customWidth="1"/>
    <col min="769" max="769" width="5.5703125" style="40" customWidth="1"/>
    <col min="770" max="770" width="9" style="40" customWidth="1"/>
    <col min="771" max="772" width="9.85546875" style="40" customWidth="1"/>
    <col min="773" max="773" width="11.140625" style="40" customWidth="1"/>
    <col min="774" max="774" width="2.85546875" style="40" customWidth="1"/>
    <col min="775" max="775" width="3.5703125" style="40" customWidth="1"/>
    <col min="776" max="1020" width="9.140625" style="40"/>
    <col min="1021" max="1021" width="8.7109375" style="40" customWidth="1"/>
    <col min="1022" max="1022" width="9.85546875" style="40" customWidth="1"/>
    <col min="1023" max="1023" width="14.42578125" style="40" customWidth="1"/>
    <col min="1024" max="1024" width="7.28515625" style="40" customWidth="1"/>
    <col min="1025" max="1025" width="5.5703125" style="40" customWidth="1"/>
    <col min="1026" max="1026" width="9" style="40" customWidth="1"/>
    <col min="1027" max="1028" width="9.85546875" style="40" customWidth="1"/>
    <col min="1029" max="1029" width="11.140625" style="40" customWidth="1"/>
    <col min="1030" max="1030" width="2.85546875" style="40" customWidth="1"/>
    <col min="1031" max="1031" width="3.5703125" style="40" customWidth="1"/>
    <col min="1032" max="1276" width="9.140625" style="40"/>
    <col min="1277" max="1277" width="8.7109375" style="40" customWidth="1"/>
    <col min="1278" max="1278" width="9.85546875" style="40" customWidth="1"/>
    <col min="1279" max="1279" width="14.42578125" style="40" customWidth="1"/>
    <col min="1280" max="1280" width="7.28515625" style="40" customWidth="1"/>
    <col min="1281" max="1281" width="5.5703125" style="40" customWidth="1"/>
    <col min="1282" max="1282" width="9" style="40" customWidth="1"/>
    <col min="1283" max="1284" width="9.85546875" style="40" customWidth="1"/>
    <col min="1285" max="1285" width="11.140625" style="40" customWidth="1"/>
    <col min="1286" max="1286" width="2.85546875" style="40" customWidth="1"/>
    <col min="1287" max="1287" width="3.5703125" style="40" customWidth="1"/>
    <col min="1288" max="1532" width="9.140625" style="40"/>
    <col min="1533" max="1533" width="8.7109375" style="40" customWidth="1"/>
    <col min="1534" max="1534" width="9.85546875" style="40" customWidth="1"/>
    <col min="1535" max="1535" width="14.42578125" style="40" customWidth="1"/>
    <col min="1536" max="1536" width="7.28515625" style="40" customWidth="1"/>
    <col min="1537" max="1537" width="5.5703125" style="40" customWidth="1"/>
    <col min="1538" max="1538" width="9" style="40" customWidth="1"/>
    <col min="1539" max="1540" width="9.85546875" style="40" customWidth="1"/>
    <col min="1541" max="1541" width="11.140625" style="40" customWidth="1"/>
    <col min="1542" max="1542" width="2.85546875" style="40" customWidth="1"/>
    <col min="1543" max="1543" width="3.5703125" style="40" customWidth="1"/>
    <col min="1544" max="1788" width="9.140625" style="40"/>
    <col min="1789" max="1789" width="8.7109375" style="40" customWidth="1"/>
    <col min="1790" max="1790" width="9.85546875" style="40" customWidth="1"/>
    <col min="1791" max="1791" width="14.42578125" style="40" customWidth="1"/>
    <col min="1792" max="1792" width="7.28515625" style="40" customWidth="1"/>
    <col min="1793" max="1793" width="5.5703125" style="40" customWidth="1"/>
    <col min="1794" max="1794" width="9" style="40" customWidth="1"/>
    <col min="1795" max="1796" width="9.85546875" style="40" customWidth="1"/>
    <col min="1797" max="1797" width="11.140625" style="40" customWidth="1"/>
    <col min="1798" max="1798" width="2.85546875" style="40" customWidth="1"/>
    <col min="1799" max="1799" width="3.5703125" style="40" customWidth="1"/>
    <col min="1800" max="2044" width="9.140625" style="40"/>
    <col min="2045" max="2045" width="8.7109375" style="40" customWidth="1"/>
    <col min="2046" max="2046" width="9.85546875" style="40" customWidth="1"/>
    <col min="2047" max="2047" width="14.42578125" style="40" customWidth="1"/>
    <col min="2048" max="2048" width="7.28515625" style="40" customWidth="1"/>
    <col min="2049" max="2049" width="5.5703125" style="40" customWidth="1"/>
    <col min="2050" max="2050" width="9" style="40" customWidth="1"/>
    <col min="2051" max="2052" width="9.85546875" style="40" customWidth="1"/>
    <col min="2053" max="2053" width="11.140625" style="40" customWidth="1"/>
    <col min="2054" max="2054" width="2.85546875" style="40" customWidth="1"/>
    <col min="2055" max="2055" width="3.5703125" style="40" customWidth="1"/>
    <col min="2056" max="2300" width="9.140625" style="40"/>
    <col min="2301" max="2301" width="8.7109375" style="40" customWidth="1"/>
    <col min="2302" max="2302" width="9.85546875" style="40" customWidth="1"/>
    <col min="2303" max="2303" width="14.42578125" style="40" customWidth="1"/>
    <col min="2304" max="2304" width="7.28515625" style="40" customWidth="1"/>
    <col min="2305" max="2305" width="5.5703125" style="40" customWidth="1"/>
    <col min="2306" max="2306" width="9" style="40" customWidth="1"/>
    <col min="2307" max="2308" width="9.85546875" style="40" customWidth="1"/>
    <col min="2309" max="2309" width="11.140625" style="40" customWidth="1"/>
    <col min="2310" max="2310" width="2.85546875" style="40" customWidth="1"/>
    <col min="2311" max="2311" width="3.5703125" style="40" customWidth="1"/>
    <col min="2312" max="2556" width="9.140625" style="40"/>
    <col min="2557" max="2557" width="8.7109375" style="40" customWidth="1"/>
    <col min="2558" max="2558" width="9.85546875" style="40" customWidth="1"/>
    <col min="2559" max="2559" width="14.42578125" style="40" customWidth="1"/>
    <col min="2560" max="2560" width="7.28515625" style="40" customWidth="1"/>
    <col min="2561" max="2561" width="5.5703125" style="40" customWidth="1"/>
    <col min="2562" max="2562" width="9" style="40" customWidth="1"/>
    <col min="2563" max="2564" width="9.85546875" style="40" customWidth="1"/>
    <col min="2565" max="2565" width="11.140625" style="40" customWidth="1"/>
    <col min="2566" max="2566" width="2.85546875" style="40" customWidth="1"/>
    <col min="2567" max="2567" width="3.5703125" style="40" customWidth="1"/>
    <col min="2568" max="2812" width="9.140625" style="40"/>
    <col min="2813" max="2813" width="8.7109375" style="40" customWidth="1"/>
    <col min="2814" max="2814" width="9.85546875" style="40" customWidth="1"/>
    <col min="2815" max="2815" width="14.42578125" style="40" customWidth="1"/>
    <col min="2816" max="2816" width="7.28515625" style="40" customWidth="1"/>
    <col min="2817" max="2817" width="5.5703125" style="40" customWidth="1"/>
    <col min="2818" max="2818" width="9" style="40" customWidth="1"/>
    <col min="2819" max="2820" width="9.85546875" style="40" customWidth="1"/>
    <col min="2821" max="2821" width="11.140625" style="40" customWidth="1"/>
    <col min="2822" max="2822" width="2.85546875" style="40" customWidth="1"/>
    <col min="2823" max="2823" width="3.5703125" style="40" customWidth="1"/>
    <col min="2824" max="3068" width="9.140625" style="40"/>
    <col min="3069" max="3069" width="8.7109375" style="40" customWidth="1"/>
    <col min="3070" max="3070" width="9.85546875" style="40" customWidth="1"/>
    <col min="3071" max="3071" width="14.42578125" style="40" customWidth="1"/>
    <col min="3072" max="3072" width="7.28515625" style="40" customWidth="1"/>
    <col min="3073" max="3073" width="5.5703125" style="40" customWidth="1"/>
    <col min="3074" max="3074" width="9" style="40" customWidth="1"/>
    <col min="3075" max="3076" width="9.85546875" style="40" customWidth="1"/>
    <col min="3077" max="3077" width="11.140625" style="40" customWidth="1"/>
    <col min="3078" max="3078" width="2.85546875" style="40" customWidth="1"/>
    <col min="3079" max="3079" width="3.5703125" style="40" customWidth="1"/>
    <col min="3080" max="3324" width="9.140625" style="40"/>
    <col min="3325" max="3325" width="8.7109375" style="40" customWidth="1"/>
    <col min="3326" max="3326" width="9.85546875" style="40" customWidth="1"/>
    <col min="3327" max="3327" width="14.42578125" style="40" customWidth="1"/>
    <col min="3328" max="3328" width="7.28515625" style="40" customWidth="1"/>
    <col min="3329" max="3329" width="5.5703125" style="40" customWidth="1"/>
    <col min="3330" max="3330" width="9" style="40" customWidth="1"/>
    <col min="3331" max="3332" width="9.85546875" style="40" customWidth="1"/>
    <col min="3333" max="3333" width="11.140625" style="40" customWidth="1"/>
    <col min="3334" max="3334" width="2.85546875" style="40" customWidth="1"/>
    <col min="3335" max="3335" width="3.5703125" style="40" customWidth="1"/>
    <col min="3336" max="3580" width="9.140625" style="40"/>
    <col min="3581" max="3581" width="8.7109375" style="40" customWidth="1"/>
    <col min="3582" max="3582" width="9.85546875" style="40" customWidth="1"/>
    <col min="3583" max="3583" width="14.42578125" style="40" customWidth="1"/>
    <col min="3584" max="3584" width="7.28515625" style="40" customWidth="1"/>
    <col min="3585" max="3585" width="5.5703125" style="40" customWidth="1"/>
    <col min="3586" max="3586" width="9" style="40" customWidth="1"/>
    <col min="3587" max="3588" width="9.85546875" style="40" customWidth="1"/>
    <col min="3589" max="3589" width="11.140625" style="40" customWidth="1"/>
    <col min="3590" max="3590" width="2.85546875" style="40" customWidth="1"/>
    <col min="3591" max="3591" width="3.5703125" style="40" customWidth="1"/>
    <col min="3592" max="3836" width="9.140625" style="40"/>
    <col min="3837" max="3837" width="8.7109375" style="40" customWidth="1"/>
    <col min="3838" max="3838" width="9.85546875" style="40" customWidth="1"/>
    <col min="3839" max="3839" width="14.42578125" style="40" customWidth="1"/>
    <col min="3840" max="3840" width="7.28515625" style="40" customWidth="1"/>
    <col min="3841" max="3841" width="5.5703125" style="40" customWidth="1"/>
    <col min="3842" max="3842" width="9" style="40" customWidth="1"/>
    <col min="3843" max="3844" width="9.85546875" style="40" customWidth="1"/>
    <col min="3845" max="3845" width="11.140625" style="40" customWidth="1"/>
    <col min="3846" max="3846" width="2.85546875" style="40" customWidth="1"/>
    <col min="3847" max="3847" width="3.5703125" style="40" customWidth="1"/>
    <col min="3848" max="4092" width="9.140625" style="40"/>
    <col min="4093" max="4093" width="8.7109375" style="40" customWidth="1"/>
    <col min="4094" max="4094" width="9.85546875" style="40" customWidth="1"/>
    <col min="4095" max="4095" width="14.42578125" style="40" customWidth="1"/>
    <col min="4096" max="4096" width="7.28515625" style="40" customWidth="1"/>
    <col min="4097" max="4097" width="5.5703125" style="40" customWidth="1"/>
    <col min="4098" max="4098" width="9" style="40" customWidth="1"/>
    <col min="4099" max="4100" width="9.85546875" style="40" customWidth="1"/>
    <col min="4101" max="4101" width="11.140625" style="40" customWidth="1"/>
    <col min="4102" max="4102" width="2.85546875" style="40" customWidth="1"/>
    <col min="4103" max="4103" width="3.5703125" style="40" customWidth="1"/>
    <col min="4104" max="4348" width="9.140625" style="40"/>
    <col min="4349" max="4349" width="8.7109375" style="40" customWidth="1"/>
    <col min="4350" max="4350" width="9.85546875" style="40" customWidth="1"/>
    <col min="4351" max="4351" width="14.42578125" style="40" customWidth="1"/>
    <col min="4352" max="4352" width="7.28515625" style="40" customWidth="1"/>
    <col min="4353" max="4353" width="5.5703125" style="40" customWidth="1"/>
    <col min="4354" max="4354" width="9" style="40" customWidth="1"/>
    <col min="4355" max="4356" width="9.85546875" style="40" customWidth="1"/>
    <col min="4357" max="4357" width="11.140625" style="40" customWidth="1"/>
    <col min="4358" max="4358" width="2.85546875" style="40" customWidth="1"/>
    <col min="4359" max="4359" width="3.5703125" style="40" customWidth="1"/>
    <col min="4360" max="4604" width="9.140625" style="40"/>
    <col min="4605" max="4605" width="8.7109375" style="40" customWidth="1"/>
    <col min="4606" max="4606" width="9.85546875" style="40" customWidth="1"/>
    <col min="4607" max="4607" width="14.42578125" style="40" customWidth="1"/>
    <col min="4608" max="4608" width="7.28515625" style="40" customWidth="1"/>
    <col min="4609" max="4609" width="5.5703125" style="40" customWidth="1"/>
    <col min="4610" max="4610" width="9" style="40" customWidth="1"/>
    <col min="4611" max="4612" width="9.85546875" style="40" customWidth="1"/>
    <col min="4613" max="4613" width="11.140625" style="40" customWidth="1"/>
    <col min="4614" max="4614" width="2.85546875" style="40" customWidth="1"/>
    <col min="4615" max="4615" width="3.5703125" style="40" customWidth="1"/>
    <col min="4616" max="4860" width="9.140625" style="40"/>
    <col min="4861" max="4861" width="8.7109375" style="40" customWidth="1"/>
    <col min="4862" max="4862" width="9.85546875" style="40" customWidth="1"/>
    <col min="4863" max="4863" width="14.42578125" style="40" customWidth="1"/>
    <col min="4864" max="4864" width="7.28515625" style="40" customWidth="1"/>
    <col min="4865" max="4865" width="5.5703125" style="40" customWidth="1"/>
    <col min="4866" max="4866" width="9" style="40" customWidth="1"/>
    <col min="4867" max="4868" width="9.85546875" style="40" customWidth="1"/>
    <col min="4869" max="4869" width="11.140625" style="40" customWidth="1"/>
    <col min="4870" max="4870" width="2.85546875" style="40" customWidth="1"/>
    <col min="4871" max="4871" width="3.5703125" style="40" customWidth="1"/>
    <col min="4872" max="5116" width="9.140625" style="40"/>
    <col min="5117" max="5117" width="8.7109375" style="40" customWidth="1"/>
    <col min="5118" max="5118" width="9.85546875" style="40" customWidth="1"/>
    <col min="5119" max="5119" width="14.42578125" style="40" customWidth="1"/>
    <col min="5120" max="5120" width="7.28515625" style="40" customWidth="1"/>
    <col min="5121" max="5121" width="5.5703125" style="40" customWidth="1"/>
    <col min="5122" max="5122" width="9" style="40" customWidth="1"/>
    <col min="5123" max="5124" width="9.85546875" style="40" customWidth="1"/>
    <col min="5125" max="5125" width="11.140625" style="40" customWidth="1"/>
    <col min="5126" max="5126" width="2.85546875" style="40" customWidth="1"/>
    <col min="5127" max="5127" width="3.5703125" style="40" customWidth="1"/>
    <col min="5128" max="5372" width="9.140625" style="40"/>
    <col min="5373" max="5373" width="8.7109375" style="40" customWidth="1"/>
    <col min="5374" max="5374" width="9.85546875" style="40" customWidth="1"/>
    <col min="5375" max="5375" width="14.42578125" style="40" customWidth="1"/>
    <col min="5376" max="5376" width="7.28515625" style="40" customWidth="1"/>
    <col min="5377" max="5377" width="5.5703125" style="40" customWidth="1"/>
    <col min="5378" max="5378" width="9" style="40" customWidth="1"/>
    <col min="5379" max="5380" width="9.85546875" style="40" customWidth="1"/>
    <col min="5381" max="5381" width="11.140625" style="40" customWidth="1"/>
    <col min="5382" max="5382" width="2.85546875" style="40" customWidth="1"/>
    <col min="5383" max="5383" width="3.5703125" style="40" customWidth="1"/>
    <col min="5384" max="5628" width="9.140625" style="40"/>
    <col min="5629" max="5629" width="8.7109375" style="40" customWidth="1"/>
    <col min="5630" max="5630" width="9.85546875" style="40" customWidth="1"/>
    <col min="5631" max="5631" width="14.42578125" style="40" customWidth="1"/>
    <col min="5632" max="5632" width="7.28515625" style="40" customWidth="1"/>
    <col min="5633" max="5633" width="5.5703125" style="40" customWidth="1"/>
    <col min="5634" max="5634" width="9" style="40" customWidth="1"/>
    <col min="5635" max="5636" width="9.85546875" style="40" customWidth="1"/>
    <col min="5637" max="5637" width="11.140625" style="40" customWidth="1"/>
    <col min="5638" max="5638" width="2.85546875" style="40" customWidth="1"/>
    <col min="5639" max="5639" width="3.5703125" style="40" customWidth="1"/>
    <col min="5640" max="5884" width="9.140625" style="40"/>
    <col min="5885" max="5885" width="8.7109375" style="40" customWidth="1"/>
    <col min="5886" max="5886" width="9.85546875" style="40" customWidth="1"/>
    <col min="5887" max="5887" width="14.42578125" style="40" customWidth="1"/>
    <col min="5888" max="5888" width="7.28515625" style="40" customWidth="1"/>
    <col min="5889" max="5889" width="5.5703125" style="40" customWidth="1"/>
    <col min="5890" max="5890" width="9" style="40" customWidth="1"/>
    <col min="5891" max="5892" width="9.85546875" style="40" customWidth="1"/>
    <col min="5893" max="5893" width="11.140625" style="40" customWidth="1"/>
    <col min="5894" max="5894" width="2.85546875" style="40" customWidth="1"/>
    <col min="5895" max="5895" width="3.5703125" style="40" customWidth="1"/>
    <col min="5896" max="6140" width="9.140625" style="40"/>
    <col min="6141" max="6141" width="8.7109375" style="40" customWidth="1"/>
    <col min="6142" max="6142" width="9.85546875" style="40" customWidth="1"/>
    <col min="6143" max="6143" width="14.42578125" style="40" customWidth="1"/>
    <col min="6144" max="6144" width="7.28515625" style="40" customWidth="1"/>
    <col min="6145" max="6145" width="5.5703125" style="40" customWidth="1"/>
    <col min="6146" max="6146" width="9" style="40" customWidth="1"/>
    <col min="6147" max="6148" width="9.85546875" style="40" customWidth="1"/>
    <col min="6149" max="6149" width="11.140625" style="40" customWidth="1"/>
    <col min="6150" max="6150" width="2.85546875" style="40" customWidth="1"/>
    <col min="6151" max="6151" width="3.5703125" style="40" customWidth="1"/>
    <col min="6152" max="6396" width="9.140625" style="40"/>
    <col min="6397" max="6397" width="8.7109375" style="40" customWidth="1"/>
    <col min="6398" max="6398" width="9.85546875" style="40" customWidth="1"/>
    <col min="6399" max="6399" width="14.42578125" style="40" customWidth="1"/>
    <col min="6400" max="6400" width="7.28515625" style="40" customWidth="1"/>
    <col min="6401" max="6401" width="5.5703125" style="40" customWidth="1"/>
    <col min="6402" max="6402" width="9" style="40" customWidth="1"/>
    <col min="6403" max="6404" width="9.85546875" style="40" customWidth="1"/>
    <col min="6405" max="6405" width="11.140625" style="40" customWidth="1"/>
    <col min="6406" max="6406" width="2.85546875" style="40" customWidth="1"/>
    <col min="6407" max="6407" width="3.5703125" style="40" customWidth="1"/>
    <col min="6408" max="6652" width="9.140625" style="40"/>
    <col min="6653" max="6653" width="8.7109375" style="40" customWidth="1"/>
    <col min="6654" max="6654" width="9.85546875" style="40" customWidth="1"/>
    <col min="6655" max="6655" width="14.42578125" style="40" customWidth="1"/>
    <col min="6656" max="6656" width="7.28515625" style="40" customWidth="1"/>
    <col min="6657" max="6657" width="5.5703125" style="40" customWidth="1"/>
    <col min="6658" max="6658" width="9" style="40" customWidth="1"/>
    <col min="6659" max="6660" width="9.85546875" style="40" customWidth="1"/>
    <col min="6661" max="6661" width="11.140625" style="40" customWidth="1"/>
    <col min="6662" max="6662" width="2.85546875" style="40" customWidth="1"/>
    <col min="6663" max="6663" width="3.5703125" style="40" customWidth="1"/>
    <col min="6664" max="6908" width="9.140625" style="40"/>
    <col min="6909" max="6909" width="8.7109375" style="40" customWidth="1"/>
    <col min="6910" max="6910" width="9.85546875" style="40" customWidth="1"/>
    <col min="6911" max="6911" width="14.42578125" style="40" customWidth="1"/>
    <col min="6912" max="6912" width="7.28515625" style="40" customWidth="1"/>
    <col min="6913" max="6913" width="5.5703125" style="40" customWidth="1"/>
    <col min="6914" max="6914" width="9" style="40" customWidth="1"/>
    <col min="6915" max="6916" width="9.85546875" style="40" customWidth="1"/>
    <col min="6917" max="6917" width="11.140625" style="40" customWidth="1"/>
    <col min="6918" max="6918" width="2.85546875" style="40" customWidth="1"/>
    <col min="6919" max="6919" width="3.5703125" style="40" customWidth="1"/>
    <col min="6920" max="7164" width="9.140625" style="40"/>
    <col min="7165" max="7165" width="8.7109375" style="40" customWidth="1"/>
    <col min="7166" max="7166" width="9.85546875" style="40" customWidth="1"/>
    <col min="7167" max="7167" width="14.42578125" style="40" customWidth="1"/>
    <col min="7168" max="7168" width="7.28515625" style="40" customWidth="1"/>
    <col min="7169" max="7169" width="5.5703125" style="40" customWidth="1"/>
    <col min="7170" max="7170" width="9" style="40" customWidth="1"/>
    <col min="7171" max="7172" width="9.85546875" style="40" customWidth="1"/>
    <col min="7173" max="7173" width="11.140625" style="40" customWidth="1"/>
    <col min="7174" max="7174" width="2.85546875" style="40" customWidth="1"/>
    <col min="7175" max="7175" width="3.5703125" style="40" customWidth="1"/>
    <col min="7176" max="7420" width="9.140625" style="40"/>
    <col min="7421" max="7421" width="8.7109375" style="40" customWidth="1"/>
    <col min="7422" max="7422" width="9.85546875" style="40" customWidth="1"/>
    <col min="7423" max="7423" width="14.42578125" style="40" customWidth="1"/>
    <col min="7424" max="7424" width="7.28515625" style="40" customWidth="1"/>
    <col min="7425" max="7425" width="5.5703125" style="40" customWidth="1"/>
    <col min="7426" max="7426" width="9" style="40" customWidth="1"/>
    <col min="7427" max="7428" width="9.85546875" style="40" customWidth="1"/>
    <col min="7429" max="7429" width="11.140625" style="40" customWidth="1"/>
    <col min="7430" max="7430" width="2.85546875" style="40" customWidth="1"/>
    <col min="7431" max="7431" width="3.5703125" style="40" customWidth="1"/>
    <col min="7432" max="7676" width="9.140625" style="40"/>
    <col min="7677" max="7677" width="8.7109375" style="40" customWidth="1"/>
    <col min="7678" max="7678" width="9.85546875" style="40" customWidth="1"/>
    <col min="7679" max="7679" width="14.42578125" style="40" customWidth="1"/>
    <col min="7680" max="7680" width="7.28515625" style="40" customWidth="1"/>
    <col min="7681" max="7681" width="5.5703125" style="40" customWidth="1"/>
    <col min="7682" max="7682" width="9" style="40" customWidth="1"/>
    <col min="7683" max="7684" width="9.85546875" style="40" customWidth="1"/>
    <col min="7685" max="7685" width="11.140625" style="40" customWidth="1"/>
    <col min="7686" max="7686" width="2.85546875" style="40" customWidth="1"/>
    <col min="7687" max="7687" width="3.5703125" style="40" customWidth="1"/>
    <col min="7688" max="7932" width="9.140625" style="40"/>
    <col min="7933" max="7933" width="8.7109375" style="40" customWidth="1"/>
    <col min="7934" max="7934" width="9.85546875" style="40" customWidth="1"/>
    <col min="7935" max="7935" width="14.42578125" style="40" customWidth="1"/>
    <col min="7936" max="7936" width="7.28515625" style="40" customWidth="1"/>
    <col min="7937" max="7937" width="5.5703125" style="40" customWidth="1"/>
    <col min="7938" max="7938" width="9" style="40" customWidth="1"/>
    <col min="7939" max="7940" width="9.85546875" style="40" customWidth="1"/>
    <col min="7941" max="7941" width="11.140625" style="40" customWidth="1"/>
    <col min="7942" max="7942" width="2.85546875" style="40" customWidth="1"/>
    <col min="7943" max="7943" width="3.5703125" style="40" customWidth="1"/>
    <col min="7944" max="8188" width="9.140625" style="40"/>
    <col min="8189" max="8189" width="8.7109375" style="40" customWidth="1"/>
    <col min="8190" max="8190" width="9.85546875" style="40" customWidth="1"/>
    <col min="8191" max="8191" width="14.42578125" style="40" customWidth="1"/>
    <col min="8192" max="8192" width="7.28515625" style="40" customWidth="1"/>
    <col min="8193" max="8193" width="5.5703125" style="40" customWidth="1"/>
    <col min="8194" max="8194" width="9" style="40" customWidth="1"/>
    <col min="8195" max="8196" width="9.85546875" style="40" customWidth="1"/>
    <col min="8197" max="8197" width="11.140625" style="40" customWidth="1"/>
    <col min="8198" max="8198" width="2.85546875" style="40" customWidth="1"/>
    <col min="8199" max="8199" width="3.5703125" style="40" customWidth="1"/>
    <col min="8200" max="8444" width="9.140625" style="40"/>
    <col min="8445" max="8445" width="8.7109375" style="40" customWidth="1"/>
    <col min="8446" max="8446" width="9.85546875" style="40" customWidth="1"/>
    <col min="8447" max="8447" width="14.42578125" style="40" customWidth="1"/>
    <col min="8448" max="8448" width="7.28515625" style="40" customWidth="1"/>
    <col min="8449" max="8449" width="5.5703125" style="40" customWidth="1"/>
    <col min="8450" max="8450" width="9" style="40" customWidth="1"/>
    <col min="8451" max="8452" width="9.85546875" style="40" customWidth="1"/>
    <col min="8453" max="8453" width="11.140625" style="40" customWidth="1"/>
    <col min="8454" max="8454" width="2.85546875" style="40" customWidth="1"/>
    <col min="8455" max="8455" width="3.5703125" style="40" customWidth="1"/>
    <col min="8456" max="8700" width="9.140625" style="40"/>
    <col min="8701" max="8701" width="8.7109375" style="40" customWidth="1"/>
    <col min="8702" max="8702" width="9.85546875" style="40" customWidth="1"/>
    <col min="8703" max="8703" width="14.42578125" style="40" customWidth="1"/>
    <col min="8704" max="8704" width="7.28515625" style="40" customWidth="1"/>
    <col min="8705" max="8705" width="5.5703125" style="40" customWidth="1"/>
    <col min="8706" max="8706" width="9" style="40" customWidth="1"/>
    <col min="8707" max="8708" width="9.85546875" style="40" customWidth="1"/>
    <col min="8709" max="8709" width="11.140625" style="40" customWidth="1"/>
    <col min="8710" max="8710" width="2.85546875" style="40" customWidth="1"/>
    <col min="8711" max="8711" width="3.5703125" style="40" customWidth="1"/>
    <col min="8712" max="8956" width="9.140625" style="40"/>
    <col min="8957" max="8957" width="8.7109375" style="40" customWidth="1"/>
    <col min="8958" max="8958" width="9.85546875" style="40" customWidth="1"/>
    <col min="8959" max="8959" width="14.42578125" style="40" customWidth="1"/>
    <col min="8960" max="8960" width="7.28515625" style="40" customWidth="1"/>
    <col min="8961" max="8961" width="5.5703125" style="40" customWidth="1"/>
    <col min="8962" max="8962" width="9" style="40" customWidth="1"/>
    <col min="8963" max="8964" width="9.85546875" style="40" customWidth="1"/>
    <col min="8965" max="8965" width="11.140625" style="40" customWidth="1"/>
    <col min="8966" max="8966" width="2.85546875" style="40" customWidth="1"/>
    <col min="8967" max="8967" width="3.5703125" style="40" customWidth="1"/>
    <col min="8968" max="9212" width="9.140625" style="40"/>
    <col min="9213" max="9213" width="8.7109375" style="40" customWidth="1"/>
    <col min="9214" max="9214" width="9.85546875" style="40" customWidth="1"/>
    <col min="9215" max="9215" width="14.42578125" style="40" customWidth="1"/>
    <col min="9216" max="9216" width="7.28515625" style="40" customWidth="1"/>
    <col min="9217" max="9217" width="5.5703125" style="40" customWidth="1"/>
    <col min="9218" max="9218" width="9" style="40" customWidth="1"/>
    <col min="9219" max="9220" width="9.85546875" style="40" customWidth="1"/>
    <col min="9221" max="9221" width="11.140625" style="40" customWidth="1"/>
    <col min="9222" max="9222" width="2.85546875" style="40" customWidth="1"/>
    <col min="9223" max="9223" width="3.5703125" style="40" customWidth="1"/>
    <col min="9224" max="9468" width="9.140625" style="40"/>
    <col min="9469" max="9469" width="8.7109375" style="40" customWidth="1"/>
    <col min="9470" max="9470" width="9.85546875" style="40" customWidth="1"/>
    <col min="9471" max="9471" width="14.42578125" style="40" customWidth="1"/>
    <col min="9472" max="9472" width="7.28515625" style="40" customWidth="1"/>
    <col min="9473" max="9473" width="5.5703125" style="40" customWidth="1"/>
    <col min="9474" max="9474" width="9" style="40" customWidth="1"/>
    <col min="9475" max="9476" width="9.85546875" style="40" customWidth="1"/>
    <col min="9477" max="9477" width="11.140625" style="40" customWidth="1"/>
    <col min="9478" max="9478" width="2.85546875" style="40" customWidth="1"/>
    <col min="9479" max="9479" width="3.5703125" style="40" customWidth="1"/>
    <col min="9480" max="9724" width="9.140625" style="40"/>
    <col min="9725" max="9725" width="8.7109375" style="40" customWidth="1"/>
    <col min="9726" max="9726" width="9.85546875" style="40" customWidth="1"/>
    <col min="9727" max="9727" width="14.42578125" style="40" customWidth="1"/>
    <col min="9728" max="9728" width="7.28515625" style="40" customWidth="1"/>
    <col min="9729" max="9729" width="5.5703125" style="40" customWidth="1"/>
    <col min="9730" max="9730" width="9" style="40" customWidth="1"/>
    <col min="9731" max="9732" width="9.85546875" style="40" customWidth="1"/>
    <col min="9733" max="9733" width="11.140625" style="40" customWidth="1"/>
    <col min="9734" max="9734" width="2.85546875" style="40" customWidth="1"/>
    <col min="9735" max="9735" width="3.5703125" style="40" customWidth="1"/>
    <col min="9736" max="9980" width="9.140625" style="40"/>
    <col min="9981" max="9981" width="8.7109375" style="40" customWidth="1"/>
    <col min="9982" max="9982" width="9.85546875" style="40" customWidth="1"/>
    <col min="9983" max="9983" width="14.42578125" style="40" customWidth="1"/>
    <col min="9984" max="9984" width="7.28515625" style="40" customWidth="1"/>
    <col min="9985" max="9985" width="5.5703125" style="40" customWidth="1"/>
    <col min="9986" max="9986" width="9" style="40" customWidth="1"/>
    <col min="9987" max="9988" width="9.85546875" style="40" customWidth="1"/>
    <col min="9989" max="9989" width="11.140625" style="40" customWidth="1"/>
    <col min="9990" max="9990" width="2.85546875" style="40" customWidth="1"/>
    <col min="9991" max="9991" width="3.5703125" style="40" customWidth="1"/>
    <col min="9992" max="10236" width="9.140625" style="40"/>
    <col min="10237" max="10237" width="8.7109375" style="40" customWidth="1"/>
    <col min="10238" max="10238" width="9.85546875" style="40" customWidth="1"/>
    <col min="10239" max="10239" width="14.42578125" style="40" customWidth="1"/>
    <col min="10240" max="10240" width="7.28515625" style="40" customWidth="1"/>
    <col min="10241" max="10241" width="5.5703125" style="40" customWidth="1"/>
    <col min="10242" max="10242" width="9" style="40" customWidth="1"/>
    <col min="10243" max="10244" width="9.85546875" style="40" customWidth="1"/>
    <col min="10245" max="10245" width="11.140625" style="40" customWidth="1"/>
    <col min="10246" max="10246" width="2.85546875" style="40" customWidth="1"/>
    <col min="10247" max="10247" width="3.5703125" style="40" customWidth="1"/>
    <col min="10248" max="10492" width="9.140625" style="40"/>
    <col min="10493" max="10493" width="8.7109375" style="40" customWidth="1"/>
    <col min="10494" max="10494" width="9.85546875" style="40" customWidth="1"/>
    <col min="10495" max="10495" width="14.42578125" style="40" customWidth="1"/>
    <col min="10496" max="10496" width="7.28515625" style="40" customWidth="1"/>
    <col min="10497" max="10497" width="5.5703125" style="40" customWidth="1"/>
    <col min="10498" max="10498" width="9" style="40" customWidth="1"/>
    <col min="10499" max="10500" width="9.85546875" style="40" customWidth="1"/>
    <col min="10501" max="10501" width="11.140625" style="40" customWidth="1"/>
    <col min="10502" max="10502" width="2.85546875" style="40" customWidth="1"/>
    <col min="10503" max="10503" width="3.5703125" style="40" customWidth="1"/>
    <col min="10504" max="10748" width="9.140625" style="40"/>
    <col min="10749" max="10749" width="8.7109375" style="40" customWidth="1"/>
    <col min="10750" max="10750" width="9.85546875" style="40" customWidth="1"/>
    <col min="10751" max="10751" width="14.42578125" style="40" customWidth="1"/>
    <col min="10752" max="10752" width="7.28515625" style="40" customWidth="1"/>
    <col min="10753" max="10753" width="5.5703125" style="40" customWidth="1"/>
    <col min="10754" max="10754" width="9" style="40" customWidth="1"/>
    <col min="10755" max="10756" width="9.85546875" style="40" customWidth="1"/>
    <col min="10757" max="10757" width="11.140625" style="40" customWidth="1"/>
    <col min="10758" max="10758" width="2.85546875" style="40" customWidth="1"/>
    <col min="10759" max="10759" width="3.5703125" style="40" customWidth="1"/>
    <col min="10760" max="11004" width="9.140625" style="40"/>
    <col min="11005" max="11005" width="8.7109375" style="40" customWidth="1"/>
    <col min="11006" max="11006" width="9.85546875" style="40" customWidth="1"/>
    <col min="11007" max="11007" width="14.42578125" style="40" customWidth="1"/>
    <col min="11008" max="11008" width="7.28515625" style="40" customWidth="1"/>
    <col min="11009" max="11009" width="5.5703125" style="40" customWidth="1"/>
    <col min="11010" max="11010" width="9" style="40" customWidth="1"/>
    <col min="11011" max="11012" width="9.85546875" style="40" customWidth="1"/>
    <col min="11013" max="11013" width="11.140625" style="40" customWidth="1"/>
    <col min="11014" max="11014" width="2.85546875" style="40" customWidth="1"/>
    <col min="11015" max="11015" width="3.5703125" style="40" customWidth="1"/>
    <col min="11016" max="11260" width="9.140625" style="40"/>
    <col min="11261" max="11261" width="8.7109375" style="40" customWidth="1"/>
    <col min="11262" max="11262" width="9.85546875" style="40" customWidth="1"/>
    <col min="11263" max="11263" width="14.42578125" style="40" customWidth="1"/>
    <col min="11264" max="11264" width="7.28515625" style="40" customWidth="1"/>
    <col min="11265" max="11265" width="5.5703125" style="40" customWidth="1"/>
    <col min="11266" max="11266" width="9" style="40" customWidth="1"/>
    <col min="11267" max="11268" width="9.85546875" style="40" customWidth="1"/>
    <col min="11269" max="11269" width="11.140625" style="40" customWidth="1"/>
    <col min="11270" max="11270" width="2.85546875" style="40" customWidth="1"/>
    <col min="11271" max="11271" width="3.5703125" style="40" customWidth="1"/>
    <col min="11272" max="11516" width="9.140625" style="40"/>
    <col min="11517" max="11517" width="8.7109375" style="40" customWidth="1"/>
    <col min="11518" max="11518" width="9.85546875" style="40" customWidth="1"/>
    <col min="11519" max="11519" width="14.42578125" style="40" customWidth="1"/>
    <col min="11520" max="11520" width="7.28515625" style="40" customWidth="1"/>
    <col min="11521" max="11521" width="5.5703125" style="40" customWidth="1"/>
    <col min="11522" max="11522" width="9" style="40" customWidth="1"/>
    <col min="11523" max="11524" width="9.85546875" style="40" customWidth="1"/>
    <col min="11525" max="11525" width="11.140625" style="40" customWidth="1"/>
    <col min="11526" max="11526" width="2.85546875" style="40" customWidth="1"/>
    <col min="11527" max="11527" width="3.5703125" style="40" customWidth="1"/>
    <col min="11528" max="11772" width="9.140625" style="40"/>
    <col min="11773" max="11773" width="8.7109375" style="40" customWidth="1"/>
    <col min="11774" max="11774" width="9.85546875" style="40" customWidth="1"/>
    <col min="11775" max="11775" width="14.42578125" style="40" customWidth="1"/>
    <col min="11776" max="11776" width="7.28515625" style="40" customWidth="1"/>
    <col min="11777" max="11777" width="5.5703125" style="40" customWidth="1"/>
    <col min="11778" max="11778" width="9" style="40" customWidth="1"/>
    <col min="11779" max="11780" width="9.85546875" style="40" customWidth="1"/>
    <col min="11781" max="11781" width="11.140625" style="40" customWidth="1"/>
    <col min="11782" max="11782" width="2.85546875" style="40" customWidth="1"/>
    <col min="11783" max="11783" width="3.5703125" style="40" customWidth="1"/>
    <col min="11784" max="12028" width="9.140625" style="40"/>
    <col min="12029" max="12029" width="8.7109375" style="40" customWidth="1"/>
    <col min="12030" max="12030" width="9.85546875" style="40" customWidth="1"/>
    <col min="12031" max="12031" width="14.42578125" style="40" customWidth="1"/>
    <col min="12032" max="12032" width="7.28515625" style="40" customWidth="1"/>
    <col min="12033" max="12033" width="5.5703125" style="40" customWidth="1"/>
    <col min="12034" max="12034" width="9" style="40" customWidth="1"/>
    <col min="12035" max="12036" width="9.85546875" style="40" customWidth="1"/>
    <col min="12037" max="12037" width="11.140625" style="40" customWidth="1"/>
    <col min="12038" max="12038" width="2.85546875" style="40" customWidth="1"/>
    <col min="12039" max="12039" width="3.5703125" style="40" customWidth="1"/>
    <col min="12040" max="12284" width="9.140625" style="40"/>
    <col min="12285" max="12285" width="8.7109375" style="40" customWidth="1"/>
    <col min="12286" max="12286" width="9.85546875" style="40" customWidth="1"/>
    <col min="12287" max="12287" width="14.42578125" style="40" customWidth="1"/>
    <col min="12288" max="12288" width="7.28515625" style="40" customWidth="1"/>
    <col min="12289" max="12289" width="5.5703125" style="40" customWidth="1"/>
    <col min="12290" max="12290" width="9" style="40" customWidth="1"/>
    <col min="12291" max="12292" width="9.85546875" style="40" customWidth="1"/>
    <col min="12293" max="12293" width="11.140625" style="40" customWidth="1"/>
    <col min="12294" max="12294" width="2.85546875" style="40" customWidth="1"/>
    <col min="12295" max="12295" width="3.5703125" style="40" customWidth="1"/>
    <col min="12296" max="12540" width="9.140625" style="40"/>
    <col min="12541" max="12541" width="8.7109375" style="40" customWidth="1"/>
    <col min="12542" max="12542" width="9.85546875" style="40" customWidth="1"/>
    <col min="12543" max="12543" width="14.42578125" style="40" customWidth="1"/>
    <col min="12544" max="12544" width="7.28515625" style="40" customWidth="1"/>
    <col min="12545" max="12545" width="5.5703125" style="40" customWidth="1"/>
    <col min="12546" max="12546" width="9" style="40" customWidth="1"/>
    <col min="12547" max="12548" width="9.85546875" style="40" customWidth="1"/>
    <col min="12549" max="12549" width="11.140625" style="40" customWidth="1"/>
    <col min="12550" max="12550" width="2.85546875" style="40" customWidth="1"/>
    <col min="12551" max="12551" width="3.5703125" style="40" customWidth="1"/>
    <col min="12552" max="12796" width="9.140625" style="40"/>
    <col min="12797" max="12797" width="8.7109375" style="40" customWidth="1"/>
    <col min="12798" max="12798" width="9.85546875" style="40" customWidth="1"/>
    <col min="12799" max="12799" width="14.42578125" style="40" customWidth="1"/>
    <col min="12800" max="12800" width="7.28515625" style="40" customWidth="1"/>
    <col min="12801" max="12801" width="5.5703125" style="40" customWidth="1"/>
    <col min="12802" max="12802" width="9" style="40" customWidth="1"/>
    <col min="12803" max="12804" width="9.85546875" style="40" customWidth="1"/>
    <col min="12805" max="12805" width="11.140625" style="40" customWidth="1"/>
    <col min="12806" max="12806" width="2.85546875" style="40" customWidth="1"/>
    <col min="12807" max="12807" width="3.5703125" style="40" customWidth="1"/>
    <col min="12808" max="13052" width="9.140625" style="40"/>
    <col min="13053" max="13053" width="8.7109375" style="40" customWidth="1"/>
    <col min="13054" max="13054" width="9.85546875" style="40" customWidth="1"/>
    <col min="13055" max="13055" width="14.42578125" style="40" customWidth="1"/>
    <col min="13056" max="13056" width="7.28515625" style="40" customWidth="1"/>
    <col min="13057" max="13057" width="5.5703125" style="40" customWidth="1"/>
    <col min="13058" max="13058" width="9" style="40" customWidth="1"/>
    <col min="13059" max="13060" width="9.85546875" style="40" customWidth="1"/>
    <col min="13061" max="13061" width="11.140625" style="40" customWidth="1"/>
    <col min="13062" max="13062" width="2.85546875" style="40" customWidth="1"/>
    <col min="13063" max="13063" width="3.5703125" style="40" customWidth="1"/>
    <col min="13064" max="13308" width="9.140625" style="40"/>
    <col min="13309" max="13309" width="8.7109375" style="40" customWidth="1"/>
    <col min="13310" max="13310" width="9.85546875" style="40" customWidth="1"/>
    <col min="13311" max="13311" width="14.42578125" style="40" customWidth="1"/>
    <col min="13312" max="13312" width="7.28515625" style="40" customWidth="1"/>
    <col min="13313" max="13313" width="5.5703125" style="40" customWidth="1"/>
    <col min="13314" max="13314" width="9" style="40" customWidth="1"/>
    <col min="13315" max="13316" width="9.85546875" style="40" customWidth="1"/>
    <col min="13317" max="13317" width="11.140625" style="40" customWidth="1"/>
    <col min="13318" max="13318" width="2.85546875" style="40" customWidth="1"/>
    <col min="13319" max="13319" width="3.5703125" style="40" customWidth="1"/>
    <col min="13320" max="13564" width="9.140625" style="40"/>
    <col min="13565" max="13565" width="8.7109375" style="40" customWidth="1"/>
    <col min="13566" max="13566" width="9.85546875" style="40" customWidth="1"/>
    <col min="13567" max="13567" width="14.42578125" style="40" customWidth="1"/>
    <col min="13568" max="13568" width="7.28515625" style="40" customWidth="1"/>
    <col min="13569" max="13569" width="5.5703125" style="40" customWidth="1"/>
    <col min="13570" max="13570" width="9" style="40" customWidth="1"/>
    <col min="13571" max="13572" width="9.85546875" style="40" customWidth="1"/>
    <col min="13573" max="13573" width="11.140625" style="40" customWidth="1"/>
    <col min="13574" max="13574" width="2.85546875" style="40" customWidth="1"/>
    <col min="13575" max="13575" width="3.5703125" style="40" customWidth="1"/>
    <col min="13576" max="13820" width="9.140625" style="40"/>
    <col min="13821" max="13821" width="8.7109375" style="40" customWidth="1"/>
    <col min="13822" max="13822" width="9.85546875" style="40" customWidth="1"/>
    <col min="13823" max="13823" width="14.42578125" style="40" customWidth="1"/>
    <col min="13824" max="13824" width="7.28515625" style="40" customWidth="1"/>
    <col min="13825" max="13825" width="5.5703125" style="40" customWidth="1"/>
    <col min="13826" max="13826" width="9" style="40" customWidth="1"/>
    <col min="13827" max="13828" width="9.85546875" style="40" customWidth="1"/>
    <col min="13829" max="13829" width="11.140625" style="40" customWidth="1"/>
    <col min="13830" max="13830" width="2.85546875" style="40" customWidth="1"/>
    <col min="13831" max="13831" width="3.5703125" style="40" customWidth="1"/>
    <col min="13832" max="14076" width="9.140625" style="40"/>
    <col min="14077" max="14077" width="8.7109375" style="40" customWidth="1"/>
    <col min="14078" max="14078" width="9.85546875" style="40" customWidth="1"/>
    <col min="14079" max="14079" width="14.42578125" style="40" customWidth="1"/>
    <col min="14080" max="14080" width="7.28515625" style="40" customWidth="1"/>
    <col min="14081" max="14081" width="5.5703125" style="40" customWidth="1"/>
    <col min="14082" max="14082" width="9" style="40" customWidth="1"/>
    <col min="14083" max="14084" width="9.85546875" style="40" customWidth="1"/>
    <col min="14085" max="14085" width="11.140625" style="40" customWidth="1"/>
    <col min="14086" max="14086" width="2.85546875" style="40" customWidth="1"/>
    <col min="14087" max="14087" width="3.5703125" style="40" customWidth="1"/>
    <col min="14088" max="14332" width="9.140625" style="40"/>
    <col min="14333" max="14333" width="8.7109375" style="40" customWidth="1"/>
    <col min="14334" max="14334" width="9.85546875" style="40" customWidth="1"/>
    <col min="14335" max="14335" width="14.42578125" style="40" customWidth="1"/>
    <col min="14336" max="14336" width="7.28515625" style="40" customWidth="1"/>
    <col min="14337" max="14337" width="5.5703125" style="40" customWidth="1"/>
    <col min="14338" max="14338" width="9" style="40" customWidth="1"/>
    <col min="14339" max="14340" width="9.85546875" style="40" customWidth="1"/>
    <col min="14341" max="14341" width="11.140625" style="40" customWidth="1"/>
    <col min="14342" max="14342" width="2.85546875" style="40" customWidth="1"/>
    <col min="14343" max="14343" width="3.5703125" style="40" customWidth="1"/>
    <col min="14344" max="14588" width="9.140625" style="40"/>
    <col min="14589" max="14589" width="8.7109375" style="40" customWidth="1"/>
    <col min="14590" max="14590" width="9.85546875" style="40" customWidth="1"/>
    <col min="14591" max="14591" width="14.42578125" style="40" customWidth="1"/>
    <col min="14592" max="14592" width="7.28515625" style="40" customWidth="1"/>
    <col min="14593" max="14593" width="5.5703125" style="40" customWidth="1"/>
    <col min="14594" max="14594" width="9" style="40" customWidth="1"/>
    <col min="14595" max="14596" width="9.85546875" style="40" customWidth="1"/>
    <col min="14597" max="14597" width="11.140625" style="40" customWidth="1"/>
    <col min="14598" max="14598" width="2.85546875" style="40" customWidth="1"/>
    <col min="14599" max="14599" width="3.5703125" style="40" customWidth="1"/>
    <col min="14600" max="14844" width="9.140625" style="40"/>
    <col min="14845" max="14845" width="8.7109375" style="40" customWidth="1"/>
    <col min="14846" max="14846" width="9.85546875" style="40" customWidth="1"/>
    <col min="14847" max="14847" width="14.42578125" style="40" customWidth="1"/>
    <col min="14848" max="14848" width="7.28515625" style="40" customWidth="1"/>
    <col min="14849" max="14849" width="5.5703125" style="40" customWidth="1"/>
    <col min="14850" max="14850" width="9" style="40" customWidth="1"/>
    <col min="14851" max="14852" width="9.85546875" style="40" customWidth="1"/>
    <col min="14853" max="14853" width="11.140625" style="40" customWidth="1"/>
    <col min="14854" max="14854" width="2.85546875" style="40" customWidth="1"/>
    <col min="14855" max="14855" width="3.5703125" style="40" customWidth="1"/>
    <col min="14856" max="15100" width="9.140625" style="40"/>
    <col min="15101" max="15101" width="8.7109375" style="40" customWidth="1"/>
    <col min="15102" max="15102" width="9.85546875" style="40" customWidth="1"/>
    <col min="15103" max="15103" width="14.42578125" style="40" customWidth="1"/>
    <col min="15104" max="15104" width="7.28515625" style="40" customWidth="1"/>
    <col min="15105" max="15105" width="5.5703125" style="40" customWidth="1"/>
    <col min="15106" max="15106" width="9" style="40" customWidth="1"/>
    <col min="15107" max="15108" width="9.85546875" style="40" customWidth="1"/>
    <col min="15109" max="15109" width="11.140625" style="40" customWidth="1"/>
    <col min="15110" max="15110" width="2.85546875" style="40" customWidth="1"/>
    <col min="15111" max="15111" width="3.5703125" style="40" customWidth="1"/>
    <col min="15112" max="15356" width="9.140625" style="40"/>
    <col min="15357" max="15357" width="8.7109375" style="40" customWidth="1"/>
    <col min="15358" max="15358" width="9.85546875" style="40" customWidth="1"/>
    <col min="15359" max="15359" width="14.42578125" style="40" customWidth="1"/>
    <col min="15360" max="15360" width="7.28515625" style="40" customWidth="1"/>
    <col min="15361" max="15361" width="5.5703125" style="40" customWidth="1"/>
    <col min="15362" max="15362" width="9" style="40" customWidth="1"/>
    <col min="15363" max="15364" width="9.85546875" style="40" customWidth="1"/>
    <col min="15365" max="15365" width="11.140625" style="40" customWidth="1"/>
    <col min="15366" max="15366" width="2.85546875" style="40" customWidth="1"/>
    <col min="15367" max="15367" width="3.5703125" style="40" customWidth="1"/>
    <col min="15368" max="15612" width="9.140625" style="40"/>
    <col min="15613" max="15613" width="8.7109375" style="40" customWidth="1"/>
    <col min="15614" max="15614" width="9.85546875" style="40" customWidth="1"/>
    <col min="15615" max="15615" width="14.42578125" style="40" customWidth="1"/>
    <col min="15616" max="15616" width="7.28515625" style="40" customWidth="1"/>
    <col min="15617" max="15617" width="5.5703125" style="40" customWidth="1"/>
    <col min="15618" max="15618" width="9" style="40" customWidth="1"/>
    <col min="15619" max="15620" width="9.85546875" style="40" customWidth="1"/>
    <col min="15621" max="15621" width="11.140625" style="40" customWidth="1"/>
    <col min="15622" max="15622" width="2.85546875" style="40" customWidth="1"/>
    <col min="15623" max="15623" width="3.5703125" style="40" customWidth="1"/>
    <col min="15624" max="15868" width="9.140625" style="40"/>
    <col min="15869" max="15869" width="8.7109375" style="40" customWidth="1"/>
    <col min="15870" max="15870" width="9.85546875" style="40" customWidth="1"/>
    <col min="15871" max="15871" width="14.42578125" style="40" customWidth="1"/>
    <col min="15872" max="15872" width="7.28515625" style="40" customWidth="1"/>
    <col min="15873" max="15873" width="5.5703125" style="40" customWidth="1"/>
    <col min="15874" max="15874" width="9" style="40" customWidth="1"/>
    <col min="15875" max="15876" width="9.85546875" style="40" customWidth="1"/>
    <col min="15877" max="15877" width="11.140625" style="40" customWidth="1"/>
    <col min="15878" max="15878" width="2.85546875" style="40" customWidth="1"/>
    <col min="15879" max="15879" width="3.5703125" style="40" customWidth="1"/>
    <col min="15880" max="16124" width="9.140625" style="40"/>
    <col min="16125" max="16125" width="8.7109375" style="40" customWidth="1"/>
    <col min="16126" max="16126" width="9.85546875" style="40" customWidth="1"/>
    <col min="16127" max="16127" width="14.42578125" style="40" customWidth="1"/>
    <col min="16128" max="16128" width="7.28515625" style="40" customWidth="1"/>
    <col min="16129" max="16129" width="5.5703125" style="40" customWidth="1"/>
    <col min="16130" max="16130" width="9" style="40" customWidth="1"/>
    <col min="16131" max="16132" width="9.85546875" style="40" customWidth="1"/>
    <col min="16133" max="16133" width="11.140625" style="40" customWidth="1"/>
    <col min="16134" max="16134" width="2.85546875" style="40" customWidth="1"/>
    <col min="16135" max="16135" width="3.5703125" style="40" customWidth="1"/>
    <col min="16136" max="16384" width="9.140625" style="40"/>
  </cols>
  <sheetData>
    <row r="1" spans="1:10" ht="46.5" customHeight="1" x14ac:dyDescent="0.25">
      <c r="A1" s="175" t="s">
        <v>326</v>
      </c>
      <c r="B1" s="175"/>
      <c r="C1" s="175"/>
      <c r="D1" s="175"/>
      <c r="E1" s="175"/>
      <c r="F1" s="175"/>
      <c r="G1" s="175"/>
      <c r="H1" s="175"/>
    </row>
    <row r="2" spans="1:10" ht="16.5" customHeight="1" x14ac:dyDescent="0.25">
      <c r="A2" s="146" t="s">
        <v>0</v>
      </c>
      <c r="B2" s="146"/>
      <c r="C2" s="146"/>
      <c r="D2" s="146"/>
      <c r="E2" s="146"/>
      <c r="F2" s="146"/>
      <c r="G2" s="146"/>
      <c r="H2" s="146"/>
    </row>
    <row r="3" spans="1:10" x14ac:dyDescent="0.25">
      <c r="A3" s="96" t="s">
        <v>1</v>
      </c>
      <c r="B3" s="96"/>
      <c r="C3" s="96"/>
      <c r="D3" s="96"/>
      <c r="E3" s="176" t="str">
        <f ca="1">TEXT(TODAY(),"DD/MM/YYYY")</f>
        <v>12/08/2025</v>
      </c>
      <c r="F3" s="176"/>
      <c r="G3" s="176"/>
      <c r="H3" s="176"/>
    </row>
    <row r="4" spans="1:10" ht="15" customHeight="1" x14ac:dyDescent="0.25">
      <c r="A4" s="96" t="s">
        <v>2</v>
      </c>
      <c r="B4" s="96"/>
      <c r="C4" s="96"/>
      <c r="D4" s="96"/>
      <c r="E4" s="177" t="s">
        <v>327</v>
      </c>
      <c r="F4" s="177"/>
      <c r="G4" s="177"/>
      <c r="H4" s="177"/>
    </row>
    <row r="5" spans="1:10" x14ac:dyDescent="0.25">
      <c r="A5" s="96" t="s">
        <v>3</v>
      </c>
      <c r="B5" s="96"/>
      <c r="C5" s="96"/>
      <c r="D5" s="96"/>
      <c r="E5" s="156">
        <v>45880</v>
      </c>
      <c r="F5" s="156"/>
      <c r="G5" s="156"/>
      <c r="H5" s="156"/>
    </row>
    <row r="6" spans="1:10" ht="16.5" customHeight="1" x14ac:dyDescent="0.25">
      <c r="A6" s="96" t="s">
        <v>4</v>
      </c>
      <c r="B6" s="96"/>
      <c r="C6" s="96"/>
      <c r="D6" s="96"/>
      <c r="E6" s="108" t="s">
        <v>197</v>
      </c>
      <c r="F6" s="108"/>
      <c r="G6" s="108"/>
      <c r="H6" s="108"/>
    </row>
    <row r="7" spans="1:10" ht="15" customHeight="1" x14ac:dyDescent="0.25">
      <c r="A7" s="96" t="s">
        <v>5</v>
      </c>
      <c r="B7" s="96"/>
      <c r="C7" s="96"/>
      <c r="D7" s="96"/>
      <c r="E7" s="108" t="str">
        <f>E6</f>
        <v>M/s. Squarefeet Construction</v>
      </c>
      <c r="F7" s="108"/>
      <c r="G7" s="108"/>
      <c r="H7" s="108"/>
    </row>
    <row r="8" spans="1:10" x14ac:dyDescent="0.25">
      <c r="A8" s="96" t="s">
        <v>6</v>
      </c>
      <c r="B8" s="96"/>
      <c r="C8" s="96"/>
      <c r="D8" s="96"/>
      <c r="E8" s="99" t="s">
        <v>328</v>
      </c>
      <c r="F8" s="99"/>
      <c r="G8" s="99"/>
      <c r="H8" s="99"/>
      <c r="J8" s="81"/>
    </row>
    <row r="9" spans="1:10" x14ac:dyDescent="0.25">
      <c r="A9" s="95" t="s">
        <v>355</v>
      </c>
      <c r="B9" s="95"/>
      <c r="C9" s="95"/>
      <c r="D9" s="95"/>
      <c r="E9" s="96">
        <v>9222220083</v>
      </c>
      <c r="F9" s="96"/>
      <c r="G9" s="96"/>
      <c r="H9" s="96"/>
    </row>
    <row r="10" spans="1:10" x14ac:dyDescent="0.25">
      <c r="A10" s="95" t="s">
        <v>356</v>
      </c>
      <c r="B10" s="95"/>
      <c r="C10" s="95"/>
      <c r="D10" s="95"/>
      <c r="E10" s="96" t="s">
        <v>29</v>
      </c>
      <c r="F10" s="96"/>
      <c r="G10" s="96"/>
      <c r="H10" s="96"/>
    </row>
    <row r="11" spans="1:10" x14ac:dyDescent="0.25">
      <c r="A11" s="95" t="s">
        <v>7</v>
      </c>
      <c r="B11" s="95"/>
      <c r="C11" s="95"/>
      <c r="D11" s="95"/>
      <c r="E11" s="155" t="s">
        <v>329</v>
      </c>
      <c r="F11" s="155"/>
      <c r="G11" s="155"/>
      <c r="H11" s="155"/>
    </row>
    <row r="12" spans="1:10" ht="33.75" customHeight="1" x14ac:dyDescent="0.25">
      <c r="A12" s="96" t="s">
        <v>8</v>
      </c>
      <c r="B12" s="96"/>
      <c r="C12" s="96"/>
      <c r="D12" s="96"/>
      <c r="E12" s="118" t="s">
        <v>400</v>
      </c>
      <c r="F12" s="118"/>
      <c r="G12" s="118"/>
      <c r="H12" s="118"/>
    </row>
    <row r="13" spans="1:10" ht="26.25" customHeight="1" x14ac:dyDescent="0.25">
      <c r="A13" s="164" t="s">
        <v>368</v>
      </c>
      <c r="B13" s="165"/>
      <c r="C13" s="165"/>
      <c r="D13" s="166"/>
      <c r="E13" s="160" t="s">
        <v>371</v>
      </c>
      <c r="F13" s="161"/>
      <c r="G13" s="173" t="s">
        <v>369</v>
      </c>
      <c r="H13" s="174"/>
    </row>
    <row r="14" spans="1:10" ht="33.75" customHeight="1" x14ac:dyDescent="0.25">
      <c r="A14" s="167"/>
      <c r="B14" s="168"/>
      <c r="C14" s="168"/>
      <c r="D14" s="169"/>
      <c r="E14" s="162"/>
      <c r="F14" s="163"/>
      <c r="G14" s="158" t="s">
        <v>367</v>
      </c>
      <c r="H14" s="159"/>
    </row>
    <row r="15" spans="1:10" ht="51" customHeight="1" x14ac:dyDescent="0.25">
      <c r="A15" s="170"/>
      <c r="B15" s="171"/>
      <c r="C15" s="171"/>
      <c r="D15" s="172"/>
      <c r="E15" s="173" t="s">
        <v>370</v>
      </c>
      <c r="F15" s="174"/>
      <c r="G15" s="158" t="s">
        <v>372</v>
      </c>
      <c r="H15" s="159"/>
    </row>
    <row r="16" spans="1:10" ht="37.5" customHeight="1" x14ac:dyDescent="0.25">
      <c r="A16" s="118" t="s">
        <v>9</v>
      </c>
      <c r="B16" s="118"/>
      <c r="C16" s="126" t="str">
        <f>CONCATENATE((IF(OR(E8="",E8="NA"),"",E8)),", ",(IF(OR(A17="",A17="NA"),"",A17)),".",(IF(OR(C17="",C17="NA"),"",C17)),", ",(IF(OR(C18="",C18="NA"),"",C18)),", ",(IF(OR(G18="",G18="NA"),"",G18)),", ",(IF(OR(C19="",C19="NA"),"",C19)),", ",(IF(OR(C20="",C20="NA"),"",C20)),", ",(IF(OR(G20="",G20="NA"),"",G20)),".")</f>
        <v>Centrum Business Square Phase 1 &amp; 2, Plot No.D-1, Road Number 16, Wagale Estate (IT Park), Thane West, Thane, 400604.</v>
      </c>
      <c r="D16" s="157"/>
      <c r="E16" s="157"/>
      <c r="F16" s="157"/>
      <c r="G16" s="157"/>
      <c r="H16" s="127"/>
    </row>
    <row r="17" spans="1:8" ht="15.75" customHeight="1" x14ac:dyDescent="0.25">
      <c r="A17" s="118" t="s">
        <v>189</v>
      </c>
      <c r="B17" s="118"/>
      <c r="C17" s="118" t="s">
        <v>196</v>
      </c>
      <c r="D17" s="118"/>
      <c r="E17" s="118"/>
      <c r="F17" s="118"/>
      <c r="G17" s="118"/>
      <c r="H17" s="118"/>
    </row>
    <row r="18" spans="1:8" ht="15.75" customHeight="1" x14ac:dyDescent="0.25">
      <c r="A18" s="118" t="s">
        <v>10</v>
      </c>
      <c r="B18" s="118"/>
      <c r="C18" s="95" t="s">
        <v>187</v>
      </c>
      <c r="D18" s="95"/>
      <c r="E18" s="118" t="s">
        <v>99</v>
      </c>
      <c r="F18" s="118"/>
      <c r="G18" s="118" t="s">
        <v>359</v>
      </c>
      <c r="H18" s="118"/>
    </row>
    <row r="19" spans="1:8" x14ac:dyDescent="0.25">
      <c r="A19" s="95" t="s">
        <v>12</v>
      </c>
      <c r="B19" s="95"/>
      <c r="C19" s="118" t="s">
        <v>334</v>
      </c>
      <c r="D19" s="118"/>
      <c r="E19" s="118" t="s">
        <v>11</v>
      </c>
      <c r="F19" s="118"/>
      <c r="G19" s="154" t="s">
        <v>195</v>
      </c>
      <c r="H19" s="154"/>
    </row>
    <row r="20" spans="1:8" x14ac:dyDescent="0.25">
      <c r="A20" s="95" t="s">
        <v>100</v>
      </c>
      <c r="B20" s="95"/>
      <c r="C20" s="154" t="s">
        <v>195</v>
      </c>
      <c r="D20" s="154"/>
      <c r="E20" s="118" t="s">
        <v>13</v>
      </c>
      <c r="F20" s="118"/>
      <c r="G20" s="118">
        <v>400604</v>
      </c>
      <c r="H20" s="118"/>
    </row>
    <row r="21" spans="1:8" ht="32.25" customHeight="1" x14ac:dyDescent="0.25">
      <c r="A21" s="95" t="s">
        <v>14</v>
      </c>
      <c r="B21" s="95"/>
      <c r="C21" s="118" t="s">
        <v>186</v>
      </c>
      <c r="D21" s="118"/>
      <c r="E21" s="118" t="s">
        <v>15</v>
      </c>
      <c r="F21" s="118"/>
      <c r="G21" s="118" t="s">
        <v>333</v>
      </c>
      <c r="H21" s="118"/>
    </row>
    <row r="22" spans="1:8" ht="15" customHeight="1" x14ac:dyDescent="0.25">
      <c r="A22" s="118" t="s">
        <v>103</v>
      </c>
      <c r="B22" s="118"/>
      <c r="C22" s="118"/>
      <c r="D22" s="118"/>
      <c r="E22" s="95" t="s">
        <v>16</v>
      </c>
      <c r="F22" s="95"/>
      <c r="G22" s="95"/>
      <c r="H22" s="95"/>
    </row>
    <row r="23" spans="1:8" ht="18.75" customHeight="1" x14ac:dyDescent="0.25">
      <c r="A23" s="118"/>
      <c r="B23" s="118"/>
      <c r="C23" s="118"/>
      <c r="D23" s="118"/>
      <c r="E23" s="95"/>
      <c r="F23" s="95"/>
      <c r="G23" s="95"/>
      <c r="H23" s="95"/>
    </row>
    <row r="24" spans="1:8" ht="15" customHeight="1" x14ac:dyDescent="0.25">
      <c r="A24" s="118" t="s">
        <v>17</v>
      </c>
      <c r="B24" s="118"/>
      <c r="C24" s="118"/>
      <c r="D24" s="118"/>
      <c r="E24" s="118" t="s">
        <v>18</v>
      </c>
      <c r="F24" s="118"/>
      <c r="G24" s="118"/>
      <c r="H24" s="118"/>
    </row>
    <row r="25" spans="1:8" ht="15" customHeight="1" x14ac:dyDescent="0.25">
      <c r="A25" s="95" t="s">
        <v>19</v>
      </c>
      <c r="B25" s="95"/>
      <c r="C25" s="95"/>
      <c r="D25" s="95"/>
      <c r="E25" s="118" t="s">
        <v>157</v>
      </c>
      <c r="F25" s="118"/>
      <c r="G25" s="118"/>
      <c r="H25" s="118"/>
    </row>
    <row r="26" spans="1:8" x14ac:dyDescent="0.25">
      <c r="A26" s="95" t="s">
        <v>20</v>
      </c>
      <c r="B26" s="95"/>
      <c r="C26" s="95"/>
      <c r="D26" s="95"/>
      <c r="E26" s="118" t="s">
        <v>21</v>
      </c>
      <c r="F26" s="118"/>
      <c r="G26" s="118"/>
      <c r="H26" s="118"/>
    </row>
    <row r="27" spans="1:8" x14ac:dyDescent="0.25">
      <c r="A27" s="95" t="s">
        <v>22</v>
      </c>
      <c r="B27" s="95"/>
      <c r="C27" s="95"/>
      <c r="D27" s="95"/>
      <c r="E27" s="118" t="s">
        <v>158</v>
      </c>
      <c r="F27" s="118"/>
      <c r="G27" s="118"/>
      <c r="H27" s="118"/>
    </row>
    <row r="28" spans="1:8" x14ac:dyDescent="0.25">
      <c r="A28" s="95" t="s">
        <v>23</v>
      </c>
      <c r="B28" s="95"/>
      <c r="C28" s="95"/>
      <c r="D28" s="95"/>
      <c r="E28" s="118" t="s">
        <v>24</v>
      </c>
      <c r="F28" s="118"/>
      <c r="G28" s="118"/>
      <c r="H28" s="118"/>
    </row>
    <row r="29" spans="1:8" x14ac:dyDescent="0.25">
      <c r="A29" s="95" t="s">
        <v>108</v>
      </c>
      <c r="B29" s="95"/>
      <c r="C29" s="95"/>
      <c r="D29" s="95"/>
      <c r="E29" s="118" t="s">
        <v>109</v>
      </c>
      <c r="F29" s="118"/>
      <c r="G29" s="118"/>
      <c r="H29" s="118"/>
    </row>
    <row r="30" spans="1:8" ht="15" customHeight="1" x14ac:dyDescent="0.25">
      <c r="A30" s="118" t="s">
        <v>32</v>
      </c>
      <c r="B30" s="118"/>
      <c r="C30" s="118"/>
      <c r="D30" s="118"/>
      <c r="E30" s="177" t="s">
        <v>188</v>
      </c>
      <c r="F30" s="177"/>
      <c r="G30" s="177"/>
      <c r="H30" s="177"/>
    </row>
    <row r="31" spans="1:8" x14ac:dyDescent="0.25">
      <c r="A31" s="118" t="s">
        <v>121</v>
      </c>
      <c r="B31" s="118"/>
      <c r="C31" s="118"/>
      <c r="D31" s="118"/>
      <c r="E31" s="118" t="s">
        <v>33</v>
      </c>
      <c r="F31" s="118"/>
      <c r="G31" s="118"/>
      <c r="H31" s="118"/>
    </row>
    <row r="32" spans="1:8" s="41" customFormat="1" x14ac:dyDescent="0.25">
      <c r="A32" s="190" t="s">
        <v>122</v>
      </c>
      <c r="B32" s="190"/>
      <c r="C32" s="182" t="s">
        <v>335</v>
      </c>
      <c r="D32" s="182"/>
      <c r="E32" s="182"/>
      <c r="F32" s="182" t="s">
        <v>30</v>
      </c>
      <c r="G32" s="182"/>
      <c r="H32" s="182"/>
    </row>
    <row r="33" spans="1:8" s="41" customFormat="1" x14ac:dyDescent="0.25">
      <c r="A33" s="179" t="s">
        <v>25</v>
      </c>
      <c r="B33" s="179" t="s">
        <v>29</v>
      </c>
      <c r="C33" s="181" t="s">
        <v>341</v>
      </c>
      <c r="D33" s="181"/>
      <c r="E33" s="181"/>
      <c r="F33" s="181" t="s">
        <v>337</v>
      </c>
      <c r="G33" s="181"/>
      <c r="H33" s="181"/>
    </row>
    <row r="34" spans="1:8" x14ac:dyDescent="0.25">
      <c r="A34" s="179" t="s">
        <v>26</v>
      </c>
      <c r="B34" s="179" t="s">
        <v>29</v>
      </c>
      <c r="C34" s="181" t="s">
        <v>339</v>
      </c>
      <c r="D34" s="181"/>
      <c r="E34" s="181"/>
      <c r="F34" s="181" t="s">
        <v>187</v>
      </c>
      <c r="G34" s="181"/>
      <c r="H34" s="181"/>
    </row>
    <row r="35" spans="1:8" s="41" customFormat="1" ht="30.75" customHeight="1" x14ac:dyDescent="0.25">
      <c r="A35" s="184" t="s">
        <v>28</v>
      </c>
      <c r="B35" s="184" t="s">
        <v>29</v>
      </c>
      <c r="C35" s="184" t="s">
        <v>340</v>
      </c>
      <c r="D35" s="184"/>
      <c r="E35" s="184"/>
      <c r="F35" s="183" t="s">
        <v>336</v>
      </c>
      <c r="G35" s="184"/>
      <c r="H35" s="184"/>
    </row>
    <row r="36" spans="1:8" x14ac:dyDescent="0.25">
      <c r="A36" s="179" t="s">
        <v>27</v>
      </c>
      <c r="B36" s="179" t="s">
        <v>29</v>
      </c>
      <c r="C36" s="181" t="s">
        <v>342</v>
      </c>
      <c r="D36" s="181"/>
      <c r="E36" s="181"/>
      <c r="F36" s="181" t="s">
        <v>186</v>
      </c>
      <c r="G36" s="181"/>
      <c r="H36" s="181"/>
    </row>
    <row r="37" spans="1:8" x14ac:dyDescent="0.25">
      <c r="A37" s="96" t="s">
        <v>31</v>
      </c>
      <c r="B37" s="96"/>
      <c r="C37" s="96"/>
      <c r="D37" s="96"/>
      <c r="E37" s="96"/>
      <c r="F37" s="96"/>
      <c r="G37" s="96"/>
      <c r="H37" s="96"/>
    </row>
    <row r="38" spans="1:8" ht="15.75" customHeight="1" x14ac:dyDescent="0.25">
      <c r="A38" s="99" t="s">
        <v>330</v>
      </c>
      <c r="B38" s="99"/>
      <c r="C38" s="112" t="s">
        <v>331</v>
      </c>
      <c r="D38" s="113"/>
      <c r="E38" s="113"/>
      <c r="F38" s="113"/>
      <c r="G38" s="113"/>
      <c r="H38" s="114"/>
    </row>
    <row r="39" spans="1:8" ht="15.75" customHeight="1" x14ac:dyDescent="0.25">
      <c r="A39" s="99" t="s">
        <v>324</v>
      </c>
      <c r="B39" s="99"/>
      <c r="C39" s="115" t="s">
        <v>325</v>
      </c>
      <c r="D39" s="116"/>
      <c r="E39" s="116"/>
      <c r="F39" s="116"/>
      <c r="G39" s="116"/>
      <c r="H39" s="117"/>
    </row>
    <row r="40" spans="1:8" x14ac:dyDescent="0.25">
      <c r="A40" s="99" t="s">
        <v>34</v>
      </c>
      <c r="B40" s="99"/>
      <c r="C40" s="99"/>
      <c r="D40" s="99"/>
      <c r="E40" s="99"/>
      <c r="F40" s="99"/>
      <c r="G40" s="99"/>
      <c r="H40" s="99"/>
    </row>
    <row r="41" spans="1:8" x14ac:dyDescent="0.25">
      <c r="A41" s="96" t="s">
        <v>35</v>
      </c>
      <c r="B41" s="96"/>
      <c r="C41" s="96"/>
      <c r="D41" s="96"/>
      <c r="E41" s="180">
        <v>11669</v>
      </c>
      <c r="F41" s="180"/>
      <c r="G41" s="180"/>
      <c r="H41" s="180"/>
    </row>
    <row r="42" spans="1:8" x14ac:dyDescent="0.25">
      <c r="A42" s="96" t="s">
        <v>36</v>
      </c>
      <c r="B42" s="96"/>
      <c r="C42" s="96"/>
      <c r="D42" s="96"/>
      <c r="E42" s="178">
        <f>11669/E41</f>
        <v>1</v>
      </c>
      <c r="F42" s="178"/>
      <c r="G42" s="178"/>
      <c r="H42" s="178"/>
    </row>
    <row r="43" spans="1:8" x14ac:dyDescent="0.25">
      <c r="A43" s="96" t="s">
        <v>37</v>
      </c>
      <c r="B43" s="96"/>
      <c r="C43" s="96"/>
      <c r="D43" s="96"/>
      <c r="E43" s="178">
        <f>E45/E41-E42</f>
        <v>3.201898191790213</v>
      </c>
      <c r="F43" s="178"/>
      <c r="G43" s="178"/>
      <c r="H43" s="178"/>
    </row>
    <row r="44" spans="1:8" x14ac:dyDescent="0.25">
      <c r="A44" s="96" t="s">
        <v>38</v>
      </c>
      <c r="B44" s="96"/>
      <c r="C44" s="96"/>
      <c r="D44" s="96"/>
      <c r="E44" s="178">
        <f>E42+E43</f>
        <v>4.201898191790213</v>
      </c>
      <c r="F44" s="178"/>
      <c r="G44" s="178"/>
      <c r="H44" s="178"/>
    </row>
    <row r="45" spans="1:8" x14ac:dyDescent="0.25">
      <c r="A45" s="96" t="s">
        <v>120</v>
      </c>
      <c r="B45" s="96"/>
      <c r="C45" s="96"/>
      <c r="D45" s="96"/>
      <c r="E45" s="191">
        <v>49031.95</v>
      </c>
      <c r="F45" s="191"/>
      <c r="G45" s="191"/>
      <c r="H45" s="191"/>
    </row>
    <row r="46" spans="1:8" x14ac:dyDescent="0.25">
      <c r="A46" s="95" t="s">
        <v>39</v>
      </c>
      <c r="B46" s="95"/>
      <c r="C46" s="95"/>
      <c r="D46" s="95"/>
      <c r="E46" s="95" t="s">
        <v>343</v>
      </c>
      <c r="F46" s="95"/>
      <c r="G46" s="95"/>
      <c r="H46" s="95"/>
    </row>
    <row r="47" spans="1:8" x14ac:dyDescent="0.25">
      <c r="A47" s="99" t="s">
        <v>40</v>
      </c>
      <c r="B47" s="99"/>
      <c r="C47" s="99"/>
      <c r="D47" s="99"/>
      <c r="E47" s="99"/>
      <c r="F47" s="99"/>
      <c r="G47" s="99"/>
      <c r="H47" s="99"/>
    </row>
    <row r="48" spans="1:8" ht="31.5" hidden="1" customHeight="1" x14ac:dyDescent="0.25">
      <c r="A48" s="108" t="s">
        <v>382</v>
      </c>
      <c r="B48" s="108"/>
      <c r="C48" s="118" t="s">
        <v>363</v>
      </c>
      <c r="D48" s="118"/>
      <c r="E48" s="118"/>
      <c r="F48" s="37" t="s">
        <v>41</v>
      </c>
      <c r="G48" s="118" t="s">
        <v>201</v>
      </c>
      <c r="H48" s="118"/>
    </row>
    <row r="49" spans="1:8" ht="31.5" customHeight="1" x14ac:dyDescent="0.25">
      <c r="A49" s="126" t="s">
        <v>390</v>
      </c>
      <c r="B49" s="127"/>
      <c r="C49" s="128" t="s">
        <v>391</v>
      </c>
      <c r="D49" s="129"/>
      <c r="E49" s="129"/>
      <c r="F49" s="129"/>
      <c r="G49" s="129"/>
      <c r="H49" s="130"/>
    </row>
    <row r="50" spans="1:8" ht="15.6" customHeight="1" x14ac:dyDescent="0.25">
      <c r="A50" s="108" t="s">
        <v>384</v>
      </c>
      <c r="B50" s="108"/>
      <c r="C50" s="118" t="s">
        <v>404</v>
      </c>
      <c r="D50" s="118"/>
      <c r="E50" s="118"/>
      <c r="F50" s="37" t="s">
        <v>41</v>
      </c>
      <c r="G50" s="125">
        <v>45768</v>
      </c>
      <c r="H50" s="125"/>
    </row>
    <row r="51" spans="1:8" x14ac:dyDescent="0.25">
      <c r="A51" s="131" t="s">
        <v>392</v>
      </c>
      <c r="B51" s="132"/>
      <c r="C51" s="132"/>
      <c r="D51" s="132"/>
      <c r="E51" s="132"/>
      <c r="F51" s="132"/>
      <c r="G51" s="132"/>
      <c r="H51" s="133"/>
    </row>
    <row r="52" spans="1:8" ht="31.5" customHeight="1" x14ac:dyDescent="0.25">
      <c r="A52" s="126" t="s">
        <v>381</v>
      </c>
      <c r="B52" s="127"/>
      <c r="C52" s="118" t="s">
        <v>363</v>
      </c>
      <c r="D52" s="118"/>
      <c r="E52" s="118"/>
      <c r="F52" s="37" t="s">
        <v>41</v>
      </c>
      <c r="G52" s="124" t="s">
        <v>201</v>
      </c>
      <c r="H52" s="124"/>
    </row>
    <row r="53" spans="1:8" ht="31.5" customHeight="1" x14ac:dyDescent="0.25">
      <c r="A53" s="118" t="s">
        <v>379</v>
      </c>
      <c r="B53" s="118"/>
      <c r="C53" s="118" t="s">
        <v>363</v>
      </c>
      <c r="D53" s="118"/>
      <c r="E53" s="118"/>
      <c r="F53" s="42" t="s">
        <v>41</v>
      </c>
      <c r="G53" s="118" t="s">
        <v>201</v>
      </c>
      <c r="H53" s="118"/>
    </row>
    <row r="54" spans="1:8" ht="31.5" customHeight="1" x14ac:dyDescent="0.25">
      <c r="A54" s="118"/>
      <c r="B54" s="118"/>
      <c r="C54" s="102" t="s">
        <v>365</v>
      </c>
      <c r="D54" s="103"/>
      <c r="E54" s="103"/>
      <c r="F54" s="103"/>
      <c r="G54" s="103"/>
      <c r="H54" s="104"/>
    </row>
    <row r="55" spans="1:8" x14ac:dyDescent="0.25">
      <c r="A55" s="120" t="s">
        <v>377</v>
      </c>
      <c r="B55" s="121"/>
      <c r="C55" s="118" t="s">
        <v>364</v>
      </c>
      <c r="D55" s="118"/>
      <c r="E55" s="118"/>
      <c r="F55" s="37" t="s">
        <v>41</v>
      </c>
      <c r="G55" s="125">
        <v>45286</v>
      </c>
      <c r="H55" s="125"/>
    </row>
    <row r="56" spans="1:8" s="43" customFormat="1" ht="18.600000000000001" customHeight="1" x14ac:dyDescent="0.25">
      <c r="A56" s="122"/>
      <c r="B56" s="123"/>
      <c r="C56" s="102" t="s">
        <v>366</v>
      </c>
      <c r="D56" s="103"/>
      <c r="E56" s="103"/>
      <c r="F56" s="103"/>
      <c r="G56" s="103"/>
      <c r="H56" s="104"/>
    </row>
    <row r="57" spans="1:8" s="43" customFormat="1" ht="65.25" customHeight="1" x14ac:dyDescent="0.25">
      <c r="A57" s="98" t="s">
        <v>375</v>
      </c>
      <c r="B57" s="98"/>
      <c r="C57" s="195" t="s">
        <v>376</v>
      </c>
      <c r="D57" s="97"/>
      <c r="E57" s="97" t="s">
        <v>42</v>
      </c>
      <c r="F57" s="38" t="s">
        <v>41</v>
      </c>
      <c r="G57" s="197">
        <v>44776</v>
      </c>
      <c r="H57" s="198"/>
    </row>
    <row r="58" spans="1:8" s="43" customFormat="1" ht="54" customHeight="1" x14ac:dyDescent="0.25">
      <c r="A58" s="98" t="s">
        <v>362</v>
      </c>
      <c r="B58" s="98"/>
      <c r="C58" s="195" t="s">
        <v>361</v>
      </c>
      <c r="D58" s="97"/>
      <c r="E58" s="97" t="s">
        <v>42</v>
      </c>
      <c r="F58" s="38" t="s">
        <v>41</v>
      </c>
      <c r="G58" s="197">
        <v>45021</v>
      </c>
      <c r="H58" s="198"/>
    </row>
    <row r="59" spans="1:8" s="43" customFormat="1" ht="48" customHeight="1" x14ac:dyDescent="0.25">
      <c r="A59" s="98" t="s">
        <v>362</v>
      </c>
      <c r="B59" s="98"/>
      <c r="C59" s="195" t="s">
        <v>389</v>
      </c>
      <c r="D59" s="97"/>
      <c r="E59" s="97" t="s">
        <v>42</v>
      </c>
      <c r="F59" s="38" t="s">
        <v>41</v>
      </c>
      <c r="G59" s="197">
        <v>45273</v>
      </c>
      <c r="H59" s="198"/>
    </row>
    <row r="60" spans="1:8" x14ac:dyDescent="0.25">
      <c r="A60" s="131" t="s">
        <v>393</v>
      </c>
      <c r="B60" s="132"/>
      <c r="C60" s="132"/>
      <c r="D60" s="132"/>
      <c r="E60" s="132"/>
      <c r="F60" s="132"/>
      <c r="G60" s="132"/>
      <c r="H60" s="133"/>
    </row>
    <row r="61" spans="1:8" ht="34.9" customHeight="1" x14ac:dyDescent="0.25">
      <c r="A61" s="126" t="s">
        <v>380</v>
      </c>
      <c r="B61" s="127"/>
      <c r="C61" s="118" t="s">
        <v>404</v>
      </c>
      <c r="D61" s="118"/>
      <c r="E61" s="118"/>
      <c r="F61" s="37" t="s">
        <v>41</v>
      </c>
      <c r="G61" s="134">
        <v>45769</v>
      </c>
      <c r="H61" s="118"/>
    </row>
    <row r="62" spans="1:8" ht="34.15" customHeight="1" x14ac:dyDescent="0.25">
      <c r="A62" s="120" t="s">
        <v>378</v>
      </c>
      <c r="B62" s="121"/>
      <c r="C62" s="118" t="s">
        <v>404</v>
      </c>
      <c r="D62" s="95"/>
      <c r="E62" s="95"/>
      <c r="F62" s="37" t="s">
        <v>41</v>
      </c>
      <c r="G62" s="119">
        <v>45769</v>
      </c>
      <c r="H62" s="119"/>
    </row>
    <row r="63" spans="1:8" ht="32.450000000000003" customHeight="1" x14ac:dyDescent="0.25">
      <c r="A63" s="122"/>
      <c r="B63" s="123"/>
      <c r="C63" s="102" t="s">
        <v>405</v>
      </c>
      <c r="D63" s="103"/>
      <c r="E63" s="103"/>
      <c r="F63" s="103"/>
      <c r="G63" s="103"/>
      <c r="H63" s="104"/>
    </row>
    <row r="64" spans="1:8" x14ac:dyDescent="0.25">
      <c r="A64" s="120" t="s">
        <v>401</v>
      </c>
      <c r="B64" s="121"/>
      <c r="C64" s="118" t="s">
        <v>402</v>
      </c>
      <c r="D64" s="118"/>
      <c r="E64" s="118"/>
      <c r="F64" s="37" t="s">
        <v>41</v>
      </c>
      <c r="G64" s="125">
        <v>45511</v>
      </c>
      <c r="H64" s="125"/>
    </row>
    <row r="65" spans="1:11" ht="87" customHeight="1" x14ac:dyDescent="0.25">
      <c r="A65" s="122"/>
      <c r="B65" s="123"/>
      <c r="C65" s="102" t="s">
        <v>403</v>
      </c>
      <c r="D65" s="103"/>
      <c r="E65" s="103"/>
      <c r="F65" s="103"/>
      <c r="G65" s="103"/>
      <c r="H65" s="104"/>
    </row>
    <row r="66" spans="1:11" x14ac:dyDescent="0.25">
      <c r="A66" s="226" t="s">
        <v>394</v>
      </c>
      <c r="B66" s="227"/>
      <c r="C66" s="226" t="s">
        <v>395</v>
      </c>
      <c r="D66" s="228"/>
      <c r="E66" s="227"/>
      <c r="F66" s="80" t="s">
        <v>41</v>
      </c>
      <c r="G66" s="229" t="s">
        <v>29</v>
      </c>
      <c r="H66" s="230"/>
    </row>
    <row r="67" spans="1:11" x14ac:dyDescent="0.25">
      <c r="A67" s="107" t="s">
        <v>44</v>
      </c>
      <c r="B67" s="107"/>
      <c r="C67" s="107"/>
      <c r="D67" s="107"/>
      <c r="E67" s="107"/>
      <c r="F67" s="107"/>
      <c r="G67" s="107"/>
      <c r="H67" s="107"/>
    </row>
    <row r="68" spans="1:11" x14ac:dyDescent="0.25">
      <c r="A68" s="108" t="s">
        <v>119</v>
      </c>
      <c r="B68" s="108"/>
      <c r="C68" s="108"/>
      <c r="D68" s="96">
        <f>E45</f>
        <v>49031.95</v>
      </c>
      <c r="E68" s="96"/>
      <c r="F68" s="96"/>
      <c r="G68" s="96"/>
      <c r="H68" s="96"/>
    </row>
    <row r="69" spans="1:11" x14ac:dyDescent="0.25">
      <c r="A69" s="118" t="s">
        <v>45</v>
      </c>
      <c r="B69" s="95"/>
      <c r="C69" s="95"/>
      <c r="D69" s="155" t="s">
        <v>399</v>
      </c>
      <c r="E69" s="155"/>
      <c r="F69" s="155"/>
      <c r="G69" s="155"/>
      <c r="H69" s="155"/>
    </row>
    <row r="70" spans="1:11" ht="50.25" customHeight="1" x14ac:dyDescent="0.25">
      <c r="A70" s="118" t="s">
        <v>46</v>
      </c>
      <c r="B70" s="95"/>
      <c r="C70" s="95"/>
      <c r="D70" s="118" t="s">
        <v>397</v>
      </c>
      <c r="E70" s="95"/>
      <c r="F70" s="95"/>
      <c r="G70" s="95"/>
      <c r="H70" s="95"/>
    </row>
    <row r="71" spans="1:11" ht="51" customHeight="1" x14ac:dyDescent="0.25">
      <c r="A71" s="118" t="s">
        <v>117</v>
      </c>
      <c r="B71" s="95"/>
      <c r="C71" s="95"/>
      <c r="D71" s="118" t="s">
        <v>397</v>
      </c>
      <c r="E71" s="95"/>
      <c r="F71" s="95"/>
      <c r="G71" s="95"/>
      <c r="H71" s="95"/>
    </row>
    <row r="72" spans="1:11" ht="32.450000000000003" customHeight="1" x14ac:dyDescent="0.25">
      <c r="A72" s="95" t="s">
        <v>43</v>
      </c>
      <c r="B72" s="95"/>
      <c r="C72" s="95"/>
      <c r="D72" s="118" t="s">
        <v>424</v>
      </c>
      <c r="E72" s="118"/>
      <c r="F72" s="118"/>
      <c r="G72" s="118"/>
      <c r="H72" s="118"/>
      <c r="J72" s="29"/>
      <c r="K72" s="29"/>
    </row>
    <row r="73" spans="1:11" ht="15.75" customHeight="1" thickBot="1" x14ac:dyDescent="0.3">
      <c r="A73" s="95" t="s">
        <v>114</v>
      </c>
      <c r="B73" s="95"/>
      <c r="C73" s="95"/>
      <c r="D73" s="118" t="s">
        <v>115</v>
      </c>
      <c r="E73" s="118"/>
      <c r="F73" s="118"/>
      <c r="G73" s="118"/>
      <c r="H73" s="118"/>
      <c r="J73" s="29"/>
      <c r="K73" s="29"/>
    </row>
    <row r="74" spans="1:11" ht="15.75" customHeight="1" x14ac:dyDescent="0.25">
      <c r="A74" s="95" t="s">
        <v>116</v>
      </c>
      <c r="B74" s="95"/>
      <c r="C74" s="95"/>
      <c r="D74" s="118" t="s">
        <v>24</v>
      </c>
      <c r="E74" s="118"/>
      <c r="F74" s="118"/>
      <c r="G74" s="118"/>
      <c r="H74" s="118"/>
      <c r="I74" s="28" t="str">
        <f>(IF(E82&gt;99%,"All work completed. Please provide OC.",IF(E82&gt;89.8%,"Plinth, RCC, Brick, Plaster, Flooring, Painting work Completed. Finishing work is in process.",IF(E82&lt;94%,(IF(C82=0,"Work not yet Started.",IF(D82=25%,"Piling work in process",IF(D82=50%,"Excavation work in process",IF(D82=100%,"Excavation work Completed. ","0")))&amp;(IF(C83=0%,"",IF(C83=J82,"Footing work is process",IF(C83=J83,"Footing work Completed",IF(C83=J84,"1st Basement Completed",IF(C83=J85,"1st &amp; 2nd Basement Completed",IF(C83=J86,"1st to 3rd Basement Completed",IF(C83=J87,"1st to 4th Basement Completed",IF(C83=J88,"Plinth work is process",IF(C83=J89,"Plinth work completed","0")))))))))))&amp;(IF(C84=(D77+F77+H77),", RCC Slab",IF(C84&gt;0,", RCC upto "&amp;C84&amp;" Slab",""))&amp;(IF(C85=H77,", Brickwork",IF(C85&gt;0,", Brickwork upto "&amp;C85&amp;" Floor",""))&amp;(IF(C86=H77,", Internal Plaster",IF(C86&gt;0,", Internal Plaster upto "&amp;C86&amp;" Floor",""))&amp;(IF(C87=H77,", External Plaster",IF(C87&gt;0,", External Plaster upto "&amp;C87&amp;" Floor",""))&amp;(IF(C88=H77,", Flooring",IF(C88&gt;0,", Flooring upto "&amp;C88&amp;" Floor",""))&amp;(IF(C89=H77,", Painting",IF(C89&gt;0,", Painting upto "&amp;C89&amp;" Floor",""))&amp;(IF(C90&gt;0,", Finishing upto "&amp;C90&amp;" Floor","")&amp;(IF(C84&gt;0.5," Completed",""))))))))))))))</f>
        <v>All work completed. Please provide OC.</v>
      </c>
      <c r="J74" s="44"/>
      <c r="K74" s="29"/>
    </row>
    <row r="75" spans="1:11" ht="15.75" customHeight="1" thickBot="1" x14ac:dyDescent="0.3">
      <c r="A75" s="149" t="s">
        <v>113</v>
      </c>
      <c r="B75" s="149"/>
      <c r="C75" s="149"/>
      <c r="D75" s="150" t="s">
        <v>159</v>
      </c>
      <c r="E75" s="150"/>
      <c r="F75" s="150"/>
      <c r="G75" s="150"/>
      <c r="H75" s="150"/>
      <c r="I75" s="29"/>
      <c r="J75" s="45"/>
      <c r="K75" s="29"/>
    </row>
    <row r="76" spans="1:11" ht="33.75" customHeight="1" x14ac:dyDescent="0.25">
      <c r="A76" s="199" t="s">
        <v>300</v>
      </c>
      <c r="B76" s="200"/>
      <c r="C76" s="201" t="str">
        <f>D71</f>
        <v>Wing A = Gr. + Mezz/P1+ P2 &amp; P3 + 1st to 14th Floor
Wing B = Gr. + 1st to 5th Floor
Wing C = Wing C = Gr/St + P1 to P3 + 1st to 15th Floor</v>
      </c>
      <c r="D76" s="202"/>
      <c r="E76" s="202"/>
      <c r="F76" s="202"/>
      <c r="G76" s="202"/>
      <c r="H76" s="203"/>
      <c r="I76" s="29" t="s">
        <v>136</v>
      </c>
      <c r="J76" s="45"/>
      <c r="K76" s="29"/>
    </row>
    <row r="77" spans="1:11" x14ac:dyDescent="0.25">
      <c r="A77" s="30" t="s">
        <v>96</v>
      </c>
      <c r="B77" s="31">
        <v>0</v>
      </c>
      <c r="C77" s="31" t="s">
        <v>98</v>
      </c>
      <c r="D77" s="31">
        <v>1</v>
      </c>
      <c r="E77" s="31" t="s">
        <v>97</v>
      </c>
      <c r="F77" s="31">
        <v>3</v>
      </c>
      <c r="G77" s="31" t="s">
        <v>107</v>
      </c>
      <c r="H77" s="32">
        <v>14</v>
      </c>
      <c r="I77" s="33" t="s">
        <v>302</v>
      </c>
      <c r="J77" s="46">
        <f>H77*25%</f>
        <v>3.5</v>
      </c>
      <c r="K77" s="29"/>
    </row>
    <row r="78" spans="1:11" x14ac:dyDescent="0.25">
      <c r="A78" s="204" t="s">
        <v>118</v>
      </c>
      <c r="B78" s="205"/>
      <c r="C78" s="206" t="str">
        <f>I76</f>
        <v>All work Completed. OC Received.</v>
      </c>
      <c r="D78" s="206"/>
      <c r="E78" s="206"/>
      <c r="F78" s="206"/>
      <c r="G78" s="206"/>
      <c r="H78" s="207"/>
      <c r="I78" s="33"/>
      <c r="J78" s="46"/>
      <c r="K78" s="29"/>
    </row>
    <row r="79" spans="1:11" x14ac:dyDescent="0.25">
      <c r="A79" s="86" t="s">
        <v>112</v>
      </c>
      <c r="B79" s="87"/>
      <c r="C79" s="90">
        <v>1</v>
      </c>
      <c r="D79" s="91"/>
      <c r="E79" s="94" t="s">
        <v>111</v>
      </c>
      <c r="F79" s="91"/>
      <c r="G79" s="90">
        <v>1</v>
      </c>
      <c r="H79" s="110"/>
      <c r="I79" s="33"/>
      <c r="J79" s="46"/>
      <c r="K79" s="29"/>
    </row>
    <row r="80" spans="1:11" ht="15.75" customHeight="1" thickBot="1" x14ac:dyDescent="0.3">
      <c r="A80" s="88"/>
      <c r="B80" s="89"/>
      <c r="C80" s="92"/>
      <c r="D80" s="93"/>
      <c r="E80" s="92"/>
      <c r="F80" s="93"/>
      <c r="G80" s="92"/>
      <c r="H80" s="111"/>
      <c r="I80" s="33" t="s">
        <v>130</v>
      </c>
      <c r="J80" s="49">
        <f>H77*50%</f>
        <v>7</v>
      </c>
      <c r="K80" s="29"/>
    </row>
    <row r="81" spans="1:11" ht="15.75" hidden="1" customHeight="1" x14ac:dyDescent="0.25">
      <c r="A81" s="194" t="s">
        <v>47</v>
      </c>
      <c r="B81" s="192"/>
      <c r="C81" s="35" t="s">
        <v>301</v>
      </c>
      <c r="D81" s="35" t="s">
        <v>110</v>
      </c>
      <c r="E81" s="192" t="s">
        <v>112</v>
      </c>
      <c r="F81" s="192"/>
      <c r="G81" s="192" t="s">
        <v>111</v>
      </c>
      <c r="H81" s="193"/>
      <c r="I81" s="33" t="s">
        <v>131</v>
      </c>
      <c r="J81" s="49">
        <v>14</v>
      </c>
      <c r="K81" s="29"/>
    </row>
    <row r="82" spans="1:11" ht="15.75" hidden="1" customHeight="1" x14ac:dyDescent="0.25">
      <c r="A82" s="194" t="s">
        <v>303</v>
      </c>
      <c r="B82" s="192"/>
      <c r="C82" s="47">
        <f>J81</f>
        <v>14</v>
      </c>
      <c r="D82" s="48">
        <f>((100/H77)*C82)/100</f>
        <v>1</v>
      </c>
      <c r="E82" s="208">
        <f>(((C83/H77*10)+(40/(D77+F77+H77)*C84)+(7.5/(H77)*C85)+(7.5/(H77)*C86)+(10/H77*C87)+(10/H77*C88)+(5/H77*C89)+(5/H77*C90)+(5/H77*C91))/100)</f>
        <v>1</v>
      </c>
      <c r="F82" s="208"/>
      <c r="G82" s="208">
        <f>((((C82/H77)*20)+((C83/H77)*25)+(30/(H77+F77+D77)*C84)+(5/H77*C85)+(5/H77*C86)+(5/H77*C87)+(5/H77*C88)+(0/H77*C89)+(0/H77*C90)+(5/H77*C91))/100)</f>
        <v>1</v>
      </c>
      <c r="H82" s="210"/>
      <c r="I82" s="33" t="s">
        <v>132</v>
      </c>
      <c r="J82" s="51">
        <f>(IF(B77&gt;1,(H77/(B77+2)),H77/4))</f>
        <v>3.5</v>
      </c>
      <c r="K82" s="29"/>
    </row>
    <row r="83" spans="1:11" ht="15.75" hidden="1" customHeight="1" x14ac:dyDescent="0.25">
      <c r="A83" s="194" t="s">
        <v>48</v>
      </c>
      <c r="B83" s="192"/>
      <c r="C83" s="50">
        <f>J89</f>
        <v>14</v>
      </c>
      <c r="D83" s="48">
        <f>((100/H77)*C83)/100</f>
        <v>1</v>
      </c>
      <c r="E83" s="208"/>
      <c r="F83" s="208"/>
      <c r="G83" s="208"/>
      <c r="H83" s="210"/>
      <c r="I83" s="33" t="s">
        <v>133</v>
      </c>
      <c r="J83" s="51">
        <f>(IF(B77&gt;1,(H77/(B77+2)+J82),H77/4+J82))</f>
        <v>7</v>
      </c>
      <c r="K83" s="29"/>
    </row>
    <row r="84" spans="1:11" ht="15.75" hidden="1" customHeight="1" x14ac:dyDescent="0.25">
      <c r="A84" s="194" t="s">
        <v>304</v>
      </c>
      <c r="B84" s="192"/>
      <c r="C84" s="50">
        <v>18</v>
      </c>
      <c r="D84" s="48">
        <f>((100/(D77+F77+H77))*C84)/100</f>
        <v>1</v>
      </c>
      <c r="E84" s="208"/>
      <c r="F84" s="208"/>
      <c r="G84" s="208"/>
      <c r="H84" s="210"/>
      <c r="I84" s="33" t="s">
        <v>308</v>
      </c>
      <c r="J84" s="51">
        <f>(IF(B77&gt;1,(H77/(B77+2)+J83),0))</f>
        <v>0</v>
      </c>
      <c r="K84" s="29"/>
    </row>
    <row r="85" spans="1:11" ht="15.75" hidden="1" customHeight="1" x14ac:dyDescent="0.25">
      <c r="A85" s="194" t="s">
        <v>305</v>
      </c>
      <c r="B85" s="192" t="s">
        <v>306</v>
      </c>
      <c r="C85" s="47">
        <v>14</v>
      </c>
      <c r="D85" s="48">
        <f>((100/H77)*C85)/100</f>
        <v>1</v>
      </c>
      <c r="E85" s="208"/>
      <c r="F85" s="208"/>
      <c r="G85" s="208"/>
      <c r="H85" s="210"/>
      <c r="I85" s="33" t="s">
        <v>311</v>
      </c>
      <c r="J85" s="51">
        <f>(IF(B77&gt;2,(H77/(B77+2)+J84),0))</f>
        <v>0</v>
      </c>
      <c r="K85" s="29"/>
    </row>
    <row r="86" spans="1:11" ht="15.75" hidden="1" customHeight="1" x14ac:dyDescent="0.25">
      <c r="A86" s="194" t="s">
        <v>307</v>
      </c>
      <c r="B86" s="192" t="s">
        <v>306</v>
      </c>
      <c r="C86" s="47">
        <v>14</v>
      </c>
      <c r="D86" s="48">
        <f>((100/H77)*C86)/100</f>
        <v>1</v>
      </c>
      <c r="E86" s="208"/>
      <c r="F86" s="208"/>
      <c r="G86" s="208"/>
      <c r="H86" s="210"/>
      <c r="I86" s="33" t="s">
        <v>313</v>
      </c>
      <c r="J86" s="52">
        <f>(IF(B77&gt;3,(H77/(B77+2)+J85),0))</f>
        <v>0</v>
      </c>
      <c r="K86" s="29"/>
    </row>
    <row r="87" spans="1:11" ht="15.75" hidden="1" customHeight="1" x14ac:dyDescent="0.25">
      <c r="A87" s="194" t="s">
        <v>309</v>
      </c>
      <c r="B87" s="192" t="s">
        <v>310</v>
      </c>
      <c r="C87" s="47">
        <v>14</v>
      </c>
      <c r="D87" s="48">
        <f>((100/(H77))*C87)/100</f>
        <v>1</v>
      </c>
      <c r="E87" s="208"/>
      <c r="F87" s="208"/>
      <c r="G87" s="208"/>
      <c r="H87" s="210"/>
      <c r="I87" s="33" t="s">
        <v>315</v>
      </c>
      <c r="J87" s="51">
        <f>(IF(B77&gt;4,(H77/(B77+2)+J86),0))</f>
        <v>0</v>
      </c>
      <c r="K87" s="29"/>
    </row>
    <row r="88" spans="1:11" ht="15.75" hidden="1" customHeight="1" x14ac:dyDescent="0.25">
      <c r="A88" s="194" t="s">
        <v>312</v>
      </c>
      <c r="B88" s="192" t="s">
        <v>312</v>
      </c>
      <c r="C88" s="47">
        <v>14</v>
      </c>
      <c r="D88" s="48">
        <f>((100/H77)*C88)/100</f>
        <v>1</v>
      </c>
      <c r="E88" s="208"/>
      <c r="F88" s="208"/>
      <c r="G88" s="208"/>
      <c r="H88" s="210"/>
      <c r="I88" s="33" t="s">
        <v>134</v>
      </c>
      <c r="J88" s="51">
        <f>(IF(B77=1,(H77/(B77+3)+J83),IF(B77=0,(H77/4+J83),IF(B77&gt;1,0))))</f>
        <v>10.5</v>
      </c>
      <c r="K88" s="29"/>
    </row>
    <row r="89" spans="1:11" ht="15.75" hidden="1" customHeight="1" thickBot="1" x14ac:dyDescent="0.3">
      <c r="A89" s="194" t="s">
        <v>314</v>
      </c>
      <c r="B89" s="192"/>
      <c r="C89" s="47">
        <v>14</v>
      </c>
      <c r="D89" s="48">
        <f>((100/H77)*C89)/100</f>
        <v>1</v>
      </c>
      <c r="E89" s="208"/>
      <c r="F89" s="208"/>
      <c r="G89" s="208"/>
      <c r="H89" s="210"/>
      <c r="I89" s="34" t="s">
        <v>135</v>
      </c>
      <c r="J89" s="55">
        <v>14</v>
      </c>
      <c r="K89" s="29"/>
    </row>
    <row r="90" spans="1:11" ht="15.75" hidden="1" customHeight="1" x14ac:dyDescent="0.25">
      <c r="A90" s="194" t="s">
        <v>316</v>
      </c>
      <c r="B90" s="192" t="s">
        <v>316</v>
      </c>
      <c r="C90" s="47">
        <v>14</v>
      </c>
      <c r="D90" s="48">
        <f>((100/(H77))*C90)/100</f>
        <v>1</v>
      </c>
      <c r="E90" s="208"/>
      <c r="F90" s="208"/>
      <c r="G90" s="208"/>
      <c r="H90" s="210"/>
      <c r="I90" s="28" t="str">
        <f ca="1">(IF(E98&gt;99%,"All work completed. Please provide OC.",IF(E98&gt;89.8%,"Plinth, RCC, Brick, Plaster, Flooring, Painting work Completed. Finishing work is in process.",IF(E98&lt;94%,(IF(C98=0,"Work not yet Started.",IF(D98=25%,"Piling work in process",IF(D98=50%,"Excavation work in process",IF(D98=100%,"Excavation work Completed. ","0")))&amp;(IF(C99=0%,"",IF(C99=J98,"Footing work is process",IF(C99=J99,"Footing work Completed",IF(C99=J100,"1st Basement Completed",IF(C99=J101,"1st &amp; 2nd Basement Completed",IF(C99=J102,"1st to 3rd Basement Completed",IF(C99=J103,"1st to 4th Basement Completed",IF(C99=J104,"Plinth work is process",IF(C99=J105,"Plinth work completed","0")))))))))))&amp;(IF(C100=(D93+F93+H93),", RCC Slab",IF(C100&gt;0,", RCC upto "&amp;C100&amp;" Slab",""))&amp;(IF(C101=H93,", Brickwork",IF(C101&gt;0,", Brickwork upto "&amp;C101&amp;" Floor",""))&amp;(IF(C102=H93,", Internal Plaster",IF(C102&gt;0,", Internal Plaster upto "&amp;C102&amp;" Floor",""))&amp;(IF(C103=H93,", External Plaster",IF(C103&gt;0,", External Plaster upto "&amp;C103&amp;" Floor",""))&amp;(IF(C104=H93,", Flooring",IF(C104&gt;0,", Flooring upto "&amp;C104&amp;" Floor",""))&amp;(IF(C105=H93,", Painting",IF(C105&gt;0,", Painting upto "&amp;C105&amp;" Floor",""))&amp;(IF(C106&gt;0,", Finishing upto "&amp;C106&amp;" Floor","")&amp;(IF(C100&gt;0.5," Completed",""))))))))))))))</f>
        <v>All work completed. Please provide OC.</v>
      </c>
      <c r="J90" s="44"/>
      <c r="K90" s="29"/>
    </row>
    <row r="91" spans="1:11" ht="15.75" hidden="1" customHeight="1" thickBot="1" x14ac:dyDescent="0.3">
      <c r="A91" s="216" t="s">
        <v>317</v>
      </c>
      <c r="B91" s="217"/>
      <c r="C91" s="53">
        <v>14</v>
      </c>
      <c r="D91" s="54">
        <f>((100/(H77))*C91)/100</f>
        <v>1</v>
      </c>
      <c r="E91" s="209"/>
      <c r="F91" s="209"/>
      <c r="G91" s="209"/>
      <c r="H91" s="211"/>
      <c r="I91" s="29"/>
      <c r="J91" s="45"/>
      <c r="K91" s="29"/>
    </row>
    <row r="92" spans="1:11" hidden="1" x14ac:dyDescent="0.25">
      <c r="A92" s="199" t="s">
        <v>300</v>
      </c>
      <c r="B92" s="200"/>
      <c r="C92" s="201" t="s">
        <v>319</v>
      </c>
      <c r="D92" s="202"/>
      <c r="E92" s="202"/>
      <c r="F92" s="202"/>
      <c r="G92" s="202"/>
      <c r="H92" s="203"/>
      <c r="I92" s="29" t="s">
        <v>136</v>
      </c>
      <c r="J92" s="45"/>
      <c r="K92" s="29"/>
    </row>
    <row r="93" spans="1:11" ht="15.75" hidden="1" customHeight="1" x14ac:dyDescent="0.25">
      <c r="A93" s="30" t="s">
        <v>96</v>
      </c>
      <c r="B93" s="31">
        <v>0</v>
      </c>
      <c r="C93" s="31" t="s">
        <v>98</v>
      </c>
      <c r="D93" s="31">
        <v>1</v>
      </c>
      <c r="E93" s="31" t="s">
        <v>97</v>
      </c>
      <c r="F93" s="31">
        <v>0</v>
      </c>
      <c r="G93" s="31" t="s">
        <v>107</v>
      </c>
      <c r="H93" s="32">
        <f ca="1">--TRIM(RIGHT(SUBSTITUTE(LEFT(C92,_xlfn.AGGREGATE(16,6,FIND({0,1,2,3,4,5,6,7,8,9},C92,ROW(INDIRECT("1:"&amp;LEN(C92)))),1))," ",REPT(" ",LEN(C92))),LEN(C92)))</f>
        <v>5</v>
      </c>
      <c r="I93" s="33" t="s">
        <v>302</v>
      </c>
      <c r="J93" s="46">
        <f ca="1">H93*25%</f>
        <v>1.25</v>
      </c>
      <c r="K93" s="29"/>
    </row>
    <row r="94" spans="1:11" hidden="1" x14ac:dyDescent="0.25">
      <c r="A94" s="204" t="s">
        <v>118</v>
      </c>
      <c r="B94" s="205"/>
      <c r="C94" s="206" t="s">
        <v>321</v>
      </c>
      <c r="D94" s="206"/>
      <c r="E94" s="206"/>
      <c r="F94" s="206"/>
      <c r="G94" s="206"/>
      <c r="H94" s="207"/>
      <c r="I94" s="33"/>
      <c r="J94" s="46"/>
      <c r="K94" s="29"/>
    </row>
    <row r="95" spans="1:11" hidden="1" x14ac:dyDescent="0.25">
      <c r="A95" s="86" t="s">
        <v>112</v>
      </c>
      <c r="B95" s="87"/>
      <c r="C95" s="90">
        <v>1</v>
      </c>
      <c r="D95" s="91"/>
      <c r="E95" s="94" t="s">
        <v>111</v>
      </c>
      <c r="F95" s="91"/>
      <c r="G95" s="90">
        <v>1</v>
      </c>
      <c r="H95" s="110"/>
      <c r="I95" s="33"/>
      <c r="J95" s="46"/>
      <c r="K95" s="29"/>
    </row>
    <row r="96" spans="1:11" ht="15.75" hidden="1" customHeight="1" thickBot="1" x14ac:dyDescent="0.3">
      <c r="A96" s="88"/>
      <c r="B96" s="89"/>
      <c r="C96" s="92"/>
      <c r="D96" s="93"/>
      <c r="E96" s="92"/>
      <c r="F96" s="93"/>
      <c r="G96" s="92"/>
      <c r="H96" s="111"/>
      <c r="I96" s="33" t="s">
        <v>130</v>
      </c>
      <c r="J96" s="49">
        <f ca="1">H93*50%</f>
        <v>2.5</v>
      </c>
      <c r="K96" s="29"/>
    </row>
    <row r="97" spans="1:11" ht="15.75" hidden="1" customHeight="1" x14ac:dyDescent="0.25">
      <c r="A97" s="194" t="s">
        <v>47</v>
      </c>
      <c r="B97" s="192"/>
      <c r="C97" s="35" t="s">
        <v>301</v>
      </c>
      <c r="D97" s="35" t="s">
        <v>110</v>
      </c>
      <c r="E97" s="192" t="s">
        <v>112</v>
      </c>
      <c r="F97" s="192"/>
      <c r="G97" s="192" t="s">
        <v>111</v>
      </c>
      <c r="H97" s="193"/>
      <c r="I97" s="33" t="s">
        <v>131</v>
      </c>
      <c r="J97" s="49">
        <f ca="1">H93</f>
        <v>5</v>
      </c>
      <c r="K97" s="29"/>
    </row>
    <row r="98" spans="1:11" ht="15.75" hidden="1" customHeight="1" x14ac:dyDescent="0.25">
      <c r="A98" s="194" t="s">
        <v>303</v>
      </c>
      <c r="B98" s="192"/>
      <c r="C98" s="47">
        <f ca="1">J97</f>
        <v>5</v>
      </c>
      <c r="D98" s="48">
        <f ca="1">((100/H93)*C98)/100</f>
        <v>1</v>
      </c>
      <c r="E98" s="208">
        <f ca="1">(((C99/H93*10)+(40/(D93+F93+H93)*C100)+(7.5/(H93)*C101)+(7.5/(H93)*C102)+(10/H93*C103)+(10/H93*C104)+(5/H93*C105)+(5/H93*C106)+(5/H93*C107))/100)</f>
        <v>1</v>
      </c>
      <c r="F98" s="208"/>
      <c r="G98" s="208">
        <f ca="1">((((C98/H93)*20)+((C99/H93)*25)+(30/(H93+F93+D93)*C100)+(5/H93*C101)+(5/H93*C102)+(5/H93*C103)+(5/H93*C104)+(0/H93*C105)+(0/H93*C106)+(5/H93*C107))/100)</f>
        <v>1</v>
      </c>
      <c r="H98" s="210"/>
      <c r="I98" s="33" t="s">
        <v>132</v>
      </c>
      <c r="J98" s="51">
        <f ca="1">(IF(B93&gt;1,(H93/(B93+2)),H93/4))</f>
        <v>1.25</v>
      </c>
      <c r="K98" s="29"/>
    </row>
    <row r="99" spans="1:11" ht="15.75" hidden="1" customHeight="1" x14ac:dyDescent="0.25">
      <c r="A99" s="194" t="s">
        <v>48</v>
      </c>
      <c r="B99" s="192"/>
      <c r="C99" s="50">
        <f ca="1">J105</f>
        <v>5</v>
      </c>
      <c r="D99" s="48">
        <f ca="1">((100/H93)*C99)/100</f>
        <v>1</v>
      </c>
      <c r="E99" s="208"/>
      <c r="F99" s="208"/>
      <c r="G99" s="208"/>
      <c r="H99" s="210"/>
      <c r="I99" s="33" t="s">
        <v>133</v>
      </c>
      <c r="J99" s="51">
        <f ca="1">(IF(B93&gt;1,(H93/(B93+2)+J98),H93/4+J98))</f>
        <v>2.5</v>
      </c>
      <c r="K99" s="29"/>
    </row>
    <row r="100" spans="1:11" ht="15.75" hidden="1" customHeight="1" x14ac:dyDescent="0.25">
      <c r="A100" s="194" t="s">
        <v>304</v>
      </c>
      <c r="B100" s="192"/>
      <c r="C100" s="50">
        <v>6</v>
      </c>
      <c r="D100" s="48">
        <f ca="1">((100/(D93+F93+H93))*C100)/100</f>
        <v>1</v>
      </c>
      <c r="E100" s="208"/>
      <c r="F100" s="208"/>
      <c r="G100" s="208"/>
      <c r="H100" s="210"/>
      <c r="I100" s="33" t="s">
        <v>308</v>
      </c>
      <c r="J100" s="51">
        <f>(IF(B93&gt;1,(H93/(B93+2)+J99),0))</f>
        <v>0</v>
      </c>
      <c r="K100" s="29"/>
    </row>
    <row r="101" spans="1:11" ht="15.75" hidden="1" customHeight="1" x14ac:dyDescent="0.25">
      <c r="A101" s="194" t="s">
        <v>305</v>
      </c>
      <c r="B101" s="192" t="s">
        <v>306</v>
      </c>
      <c r="C101" s="47">
        <v>5</v>
      </c>
      <c r="D101" s="48">
        <f ca="1">((100/H93)*C101)/100</f>
        <v>1</v>
      </c>
      <c r="E101" s="208"/>
      <c r="F101" s="208"/>
      <c r="G101" s="208"/>
      <c r="H101" s="210"/>
      <c r="I101" s="33" t="s">
        <v>311</v>
      </c>
      <c r="J101" s="51">
        <f>(IF(B93&gt;2,(H93/(B93+2)+J100),0))</f>
        <v>0</v>
      </c>
      <c r="K101" s="29"/>
    </row>
    <row r="102" spans="1:11" ht="15.75" hidden="1" customHeight="1" x14ac:dyDescent="0.25">
      <c r="A102" s="194" t="s">
        <v>307</v>
      </c>
      <c r="B102" s="192" t="s">
        <v>306</v>
      </c>
      <c r="C102" s="47">
        <v>5</v>
      </c>
      <c r="D102" s="48">
        <f ca="1">((100/H93)*C102)/100</f>
        <v>1</v>
      </c>
      <c r="E102" s="208"/>
      <c r="F102" s="208"/>
      <c r="G102" s="208"/>
      <c r="H102" s="210"/>
      <c r="I102" s="33" t="s">
        <v>313</v>
      </c>
      <c r="J102" s="52">
        <f>(IF(B93&gt;3,(H93/(B93+2)+J101),0))</f>
        <v>0</v>
      </c>
      <c r="K102" s="29"/>
    </row>
    <row r="103" spans="1:11" ht="15.75" hidden="1" customHeight="1" x14ac:dyDescent="0.25">
      <c r="A103" s="214" t="s">
        <v>320</v>
      </c>
      <c r="B103" s="215" t="s">
        <v>310</v>
      </c>
      <c r="C103" s="47">
        <v>5</v>
      </c>
      <c r="D103" s="48">
        <f ca="1">((100/(H93))*C103)/100</f>
        <v>1</v>
      </c>
      <c r="E103" s="208"/>
      <c r="F103" s="208"/>
      <c r="G103" s="208"/>
      <c r="H103" s="210"/>
      <c r="I103" s="33" t="s">
        <v>315</v>
      </c>
      <c r="J103" s="51">
        <f>(IF(B93&gt;4,(H93/(B93+2)+J102),0))</f>
        <v>0</v>
      </c>
      <c r="K103" s="29"/>
    </row>
    <row r="104" spans="1:11" ht="15.75" hidden="1" customHeight="1" x14ac:dyDescent="0.25">
      <c r="A104" s="194" t="s">
        <v>312</v>
      </c>
      <c r="B104" s="192" t="s">
        <v>312</v>
      </c>
      <c r="C104" s="47">
        <v>5</v>
      </c>
      <c r="D104" s="48">
        <f ca="1">((100/H93)*C104)/100</f>
        <v>1</v>
      </c>
      <c r="E104" s="208"/>
      <c r="F104" s="208"/>
      <c r="G104" s="208"/>
      <c r="H104" s="210"/>
      <c r="I104" s="33" t="s">
        <v>134</v>
      </c>
      <c r="J104" s="51">
        <f ca="1">(IF(B93=1,(H93/(B93+3)+J99),IF(B93=0,(H93/4+J99),IF(B93&gt;1,0))))</f>
        <v>3.75</v>
      </c>
      <c r="K104" s="29"/>
    </row>
    <row r="105" spans="1:11" ht="15.75" hidden="1" customHeight="1" thickBot="1" x14ac:dyDescent="0.3">
      <c r="A105" s="194" t="s">
        <v>314</v>
      </c>
      <c r="B105" s="192"/>
      <c r="C105" s="47">
        <v>5</v>
      </c>
      <c r="D105" s="48">
        <f ca="1">((100/H93)*C105)/100</f>
        <v>1</v>
      </c>
      <c r="E105" s="208"/>
      <c r="F105" s="208"/>
      <c r="G105" s="208"/>
      <c r="H105" s="210"/>
      <c r="I105" s="34" t="s">
        <v>135</v>
      </c>
      <c r="J105" s="55">
        <f ca="1">(IF(B93&gt;1.5,(H93/(B93+2)+J99+MAX(0,J100-J99)+MAX(0,J101-J100)+MAX(0,J102-J101)+MAX(0,J103-J102)+MAX(0,J104-J103)),IF(B93=1,(H93/(B93+3)+J104),IF(B93=0,H93/4+J104))))</f>
        <v>5</v>
      </c>
      <c r="K105" s="29"/>
    </row>
    <row r="106" spans="1:11" hidden="1" x14ac:dyDescent="0.25">
      <c r="A106" s="194" t="s">
        <v>316</v>
      </c>
      <c r="B106" s="192" t="s">
        <v>316</v>
      </c>
      <c r="C106" s="47">
        <v>5</v>
      </c>
      <c r="D106" s="48">
        <f ca="1">((100/(H93))*C106)/100</f>
        <v>1</v>
      </c>
      <c r="E106" s="208"/>
      <c r="F106" s="208"/>
      <c r="G106" s="208"/>
      <c r="H106" s="210"/>
      <c r="I106" s="28" t="str">
        <f ca="1">(IF(E112&gt;99%,"All work completed. Please provide OC.",IF(E112&gt;89.8%,"Plinth, RCC, Brick, Plaster, Flooring, Painting work Completed. Finishing work is in process.",IF(E112&lt;94%,(IF(C112=0,"Work not yet Started.",IF(D112=25%,"Piling work in process",IF(D112=50%,"Excavation work in process",IF(D112=100%,"Excavation work Completed. ","0")))&amp;(IF(C113=0%,"",IF(C113=J112,"Footing work is process",IF(C113=J113,"Footing work Completed",IF(C113=J114,"1st Basement Completed",IF(C113=J115,"1st &amp; 2nd Basement Completed",IF(C113=J116,"1st to 3rd Basement Completed",IF(C113=J117,"1st to 4th Basement Completed",IF(C113=J118,"Plinth work is process",IF(C113=J119,"Plinth work completed","0")))))))))))&amp;(IF(C114=(D109+F109+H109),", RCC Slab",IF(C114&gt;0,", RCC upto "&amp;C114&amp;" Slab",""))&amp;(IF(C115=H109,", Brickwork",IF(C115&gt;0,", Brickwork upto "&amp;C115&amp;" Floor",""))&amp;(IF(C116=H109,", Internal Plaster",IF(C116&gt;0,", Internal Plaster upto "&amp;C116&amp;" Floor",""))&amp;(IF(C117=H109,", External Plaster",IF(C117&gt;0,", External Plaster upto "&amp;C117&amp;" Floor",""))&amp;(IF(C118=H109,", Flooring",IF(C118&gt;0,", Flooring upto "&amp;C118&amp;" Floor",""))&amp;(IF(C119=H109,", Painting",IF(C119&gt;0,", Painting upto "&amp;C119&amp;" Floor",""))&amp;(IF(C120&gt;0,", Finishing upto "&amp;C120&amp;" Floor","")&amp;(IF(C114&gt;0.5," Completed",""))))))))))))))</f>
        <v>Excavation work Completed. Plinth work completed, RCC upto 11 Slab, Brickwork upto 3 Floor Completed</v>
      </c>
      <c r="J106" s="44"/>
    </row>
    <row r="107" spans="1:11" ht="16.5" hidden="1" thickBot="1" x14ac:dyDescent="0.3">
      <c r="A107" s="216" t="s">
        <v>317</v>
      </c>
      <c r="B107" s="217"/>
      <c r="C107" s="53">
        <v>5</v>
      </c>
      <c r="D107" s="54">
        <f ca="1">((100/(H93))*C107)/100</f>
        <v>1</v>
      </c>
      <c r="E107" s="209"/>
      <c r="F107" s="209"/>
      <c r="G107" s="209"/>
      <c r="H107" s="211"/>
      <c r="I107" s="29"/>
      <c r="J107" s="45"/>
    </row>
    <row r="108" spans="1:11" x14ac:dyDescent="0.25">
      <c r="A108" s="199" t="s">
        <v>300</v>
      </c>
      <c r="B108" s="200"/>
      <c r="C108" s="201" t="s">
        <v>396</v>
      </c>
      <c r="D108" s="202"/>
      <c r="E108" s="202"/>
      <c r="F108" s="202"/>
      <c r="G108" s="202"/>
      <c r="H108" s="203"/>
      <c r="I108" s="29" t="s">
        <v>136</v>
      </c>
      <c r="J108" s="45"/>
    </row>
    <row r="109" spans="1:11" x14ac:dyDescent="0.25">
      <c r="A109" s="30" t="s">
        <v>96</v>
      </c>
      <c r="B109" s="31">
        <v>0</v>
      </c>
      <c r="C109" s="31" t="s">
        <v>98</v>
      </c>
      <c r="D109" s="31">
        <v>1</v>
      </c>
      <c r="E109" s="31" t="s">
        <v>97</v>
      </c>
      <c r="F109" s="31">
        <v>3</v>
      </c>
      <c r="G109" s="31" t="s">
        <v>107</v>
      </c>
      <c r="H109" s="32">
        <f ca="1">--TRIM(RIGHT(SUBSTITUTE(LEFT(C108,_xlfn.AGGREGATE(16,6,FIND({0,1,2,3,4,5,6,7,8,9},C108,ROW(INDIRECT("1:"&amp;LEN(C108)))),1))," ",REPT(" ",LEN(C108))),LEN(C108)))</f>
        <v>15</v>
      </c>
      <c r="I109" s="33" t="s">
        <v>302</v>
      </c>
      <c r="J109" s="46">
        <f ca="1">H109*25%</f>
        <v>3.75</v>
      </c>
    </row>
    <row r="110" spans="1:11" x14ac:dyDescent="0.25">
      <c r="A110" s="204" t="s">
        <v>118</v>
      </c>
      <c r="B110" s="205"/>
      <c r="C110" s="206" t="str">
        <f ca="1">I106</f>
        <v>Excavation work Completed. Plinth work completed, RCC upto 11 Slab, Brickwork upto 3 Floor Completed</v>
      </c>
      <c r="D110" s="206"/>
      <c r="E110" s="206"/>
      <c r="F110" s="206"/>
      <c r="G110" s="206"/>
      <c r="H110" s="207"/>
      <c r="I110" s="33" t="s">
        <v>130</v>
      </c>
      <c r="J110" s="49">
        <f ca="1">H109*50%</f>
        <v>7.5</v>
      </c>
    </row>
    <row r="111" spans="1:11" x14ac:dyDescent="0.25">
      <c r="A111" s="194" t="s">
        <v>47</v>
      </c>
      <c r="B111" s="192"/>
      <c r="C111" s="35" t="s">
        <v>301</v>
      </c>
      <c r="D111" s="31" t="s">
        <v>110</v>
      </c>
      <c r="E111" s="192" t="s">
        <v>112</v>
      </c>
      <c r="F111" s="192"/>
      <c r="G111" s="192" t="s">
        <v>111</v>
      </c>
      <c r="H111" s="193"/>
      <c r="I111" s="33" t="s">
        <v>131</v>
      </c>
      <c r="J111" s="49">
        <f ca="1">H109</f>
        <v>15</v>
      </c>
      <c r="K111" s="40" t="s">
        <v>323</v>
      </c>
    </row>
    <row r="112" spans="1:11" s="56" customFormat="1" x14ac:dyDescent="0.25">
      <c r="A112" s="194" t="s">
        <v>303</v>
      </c>
      <c r="B112" s="192"/>
      <c r="C112" s="47">
        <f ca="1">J111</f>
        <v>15</v>
      </c>
      <c r="D112" s="48">
        <f ca="1">((100/H109)*C112)/100</f>
        <v>1</v>
      </c>
      <c r="E112" s="208">
        <f ca="1">(((C113/H109*10)+(40/(D109+F109+H109)*C114)+(7.5/(H109)*C115)+(7.5/(H109)*C116)+(10/H109*C117)+(10/H109*C118)+(5/H109*C119)+(5/H109*C120)+(5/H109*C121))/100)</f>
        <v>0.34657894736842104</v>
      </c>
      <c r="F112" s="208"/>
      <c r="G112" s="208">
        <f ca="1">((((C112/H109)*20)+((C113/H109)*25)+(30/(H109+F109+D109)*C114)+(5/H109*C115)+(5/H109*C116)+(5/H109*C117)+(5/H109*C118)+(0/H109*C119)+(0/H109*C120)+(5/H109*C121))/100)</f>
        <v>0.63368421052631574</v>
      </c>
      <c r="H112" s="210"/>
      <c r="I112" s="33" t="s">
        <v>132</v>
      </c>
      <c r="J112" s="51">
        <f ca="1">(IF(B109&gt;1,(H109/(B109+2)),H109/4))</f>
        <v>3.75</v>
      </c>
    </row>
    <row r="113" spans="1:10" s="56" customFormat="1" x14ac:dyDescent="0.25">
      <c r="A113" s="194" t="s">
        <v>48</v>
      </c>
      <c r="B113" s="192"/>
      <c r="C113" s="50">
        <f ca="1">J119</f>
        <v>15</v>
      </c>
      <c r="D113" s="48">
        <f ca="1">((100/H109)*C113)/100</f>
        <v>1</v>
      </c>
      <c r="E113" s="208"/>
      <c r="F113" s="208"/>
      <c r="G113" s="208"/>
      <c r="H113" s="210"/>
      <c r="I113" s="33" t="s">
        <v>133</v>
      </c>
      <c r="J113" s="51">
        <f ca="1">(IF(B109&gt;1,(H109/(B109+2)+J112),H109/4+J112))</f>
        <v>7.5</v>
      </c>
    </row>
    <row r="114" spans="1:10" s="56" customFormat="1" x14ac:dyDescent="0.25">
      <c r="A114" s="194" t="s">
        <v>304</v>
      </c>
      <c r="B114" s="192"/>
      <c r="C114" s="47">
        <v>11</v>
      </c>
      <c r="D114" s="48">
        <f ca="1">((100/(D109+F109+H109))*C114)/100</f>
        <v>0.57894736842105265</v>
      </c>
      <c r="E114" s="208"/>
      <c r="F114" s="208"/>
      <c r="G114" s="208"/>
      <c r="H114" s="210"/>
      <c r="I114" s="33" t="s">
        <v>308</v>
      </c>
      <c r="J114" s="51">
        <f>(IF(B109&gt;1,(H109/(B109+2)+J113),0))</f>
        <v>0</v>
      </c>
    </row>
    <row r="115" spans="1:10" s="56" customFormat="1" x14ac:dyDescent="0.25">
      <c r="A115" s="194" t="s">
        <v>305</v>
      </c>
      <c r="B115" s="192" t="s">
        <v>306</v>
      </c>
      <c r="C115" s="47">
        <v>3</v>
      </c>
      <c r="D115" s="48">
        <f ca="1">((100/H109)*C115)/100</f>
        <v>0.2</v>
      </c>
      <c r="E115" s="208"/>
      <c r="F115" s="208"/>
      <c r="G115" s="208"/>
      <c r="H115" s="210"/>
      <c r="I115" s="33" t="s">
        <v>311</v>
      </c>
      <c r="J115" s="51">
        <f>(IF(B109&gt;2,(H109/(B109+2)+J114),0))</f>
        <v>0</v>
      </c>
    </row>
    <row r="116" spans="1:10" s="56" customFormat="1" x14ac:dyDescent="0.25">
      <c r="A116" s="194" t="s">
        <v>307</v>
      </c>
      <c r="B116" s="192" t="s">
        <v>306</v>
      </c>
      <c r="C116" s="47">
        <v>0</v>
      </c>
      <c r="D116" s="48">
        <f ca="1">((100/H109)*C116)/100</f>
        <v>0</v>
      </c>
      <c r="E116" s="208"/>
      <c r="F116" s="208"/>
      <c r="G116" s="208"/>
      <c r="H116" s="210"/>
      <c r="I116" s="33" t="s">
        <v>313</v>
      </c>
      <c r="J116" s="52">
        <f>(IF(B109&gt;3,(H109/(B109+2)+J115),0))</f>
        <v>0</v>
      </c>
    </row>
    <row r="117" spans="1:10" s="56" customFormat="1" x14ac:dyDescent="0.25">
      <c r="A117" s="214" t="s">
        <v>320</v>
      </c>
      <c r="B117" s="215" t="s">
        <v>310</v>
      </c>
      <c r="C117" s="47">
        <v>0</v>
      </c>
      <c r="D117" s="48">
        <f ca="1">((100/(H109))*C117)/100</f>
        <v>0</v>
      </c>
      <c r="E117" s="208"/>
      <c r="F117" s="208"/>
      <c r="G117" s="208"/>
      <c r="H117" s="210"/>
      <c r="I117" s="33" t="s">
        <v>315</v>
      </c>
      <c r="J117" s="51">
        <f>(IF(B109&gt;4,(H109/(B109+2)+J116),0))</f>
        <v>0</v>
      </c>
    </row>
    <row r="118" spans="1:10" s="56" customFormat="1" x14ac:dyDescent="0.25">
      <c r="A118" s="194" t="s">
        <v>312</v>
      </c>
      <c r="B118" s="192" t="s">
        <v>312</v>
      </c>
      <c r="C118" s="47">
        <v>0</v>
      </c>
      <c r="D118" s="48">
        <f ca="1">((100/H109)*C118)/100</f>
        <v>0</v>
      </c>
      <c r="E118" s="208"/>
      <c r="F118" s="208"/>
      <c r="G118" s="208"/>
      <c r="H118" s="210"/>
      <c r="I118" s="33" t="s">
        <v>134</v>
      </c>
      <c r="J118" s="51">
        <f ca="1">(IF(B109=1,(H109/(B109+3)+J113),IF(B109=0,(H109/4+J113),IF(B109&gt;1,0))))</f>
        <v>11.25</v>
      </c>
    </row>
    <row r="119" spans="1:10" s="56" customFormat="1" ht="16.5" thickBot="1" x14ac:dyDescent="0.3">
      <c r="A119" s="194" t="s">
        <v>314</v>
      </c>
      <c r="B119" s="192"/>
      <c r="C119" s="47">
        <v>0</v>
      </c>
      <c r="D119" s="48">
        <f ca="1">((100/H109)*C119)/100</f>
        <v>0</v>
      </c>
      <c r="E119" s="208"/>
      <c r="F119" s="208"/>
      <c r="G119" s="208"/>
      <c r="H119" s="210"/>
      <c r="I119" s="34" t="s">
        <v>135</v>
      </c>
      <c r="J119" s="55">
        <f ca="1">(IF(B109&gt;1.5,(H109/(B109+2)+J113+MAX(0,J114-J113)+MAX(0,J115-J114)+MAX(0,J116-J115)+MAX(0,J117-J116)+MAX(0,J118-J117)),IF(B109=1,(H109/(B109+3)+J118),IF(B109=0,H109/4+J118))))</f>
        <v>15</v>
      </c>
    </row>
    <row r="120" spans="1:10" x14ac:dyDescent="0.25">
      <c r="A120" s="194" t="s">
        <v>316</v>
      </c>
      <c r="B120" s="192" t="s">
        <v>316</v>
      </c>
      <c r="C120" s="47">
        <v>0</v>
      </c>
      <c r="D120" s="48">
        <f ca="1">((100/(H109))*C120)/100</f>
        <v>0</v>
      </c>
      <c r="E120" s="208"/>
      <c r="F120" s="208"/>
      <c r="G120" s="208"/>
      <c r="H120" s="210"/>
    </row>
    <row r="121" spans="1:10" s="57" customFormat="1" ht="16.5" thickBot="1" x14ac:dyDescent="0.3">
      <c r="A121" s="216" t="s">
        <v>317</v>
      </c>
      <c r="B121" s="217"/>
      <c r="C121" s="53">
        <v>0</v>
      </c>
      <c r="D121" s="54">
        <f ca="1">((100/(H109))*C121)/100</f>
        <v>0</v>
      </c>
      <c r="E121" s="209"/>
      <c r="F121" s="209"/>
      <c r="G121" s="209"/>
      <c r="H121" s="211"/>
      <c r="I121" s="40"/>
      <c r="J121" s="40"/>
    </row>
    <row r="122" spans="1:10" s="58" customFormat="1" ht="15" customHeight="1" x14ac:dyDescent="0.25">
      <c r="A122" s="196" t="s">
        <v>192</v>
      </c>
      <c r="B122" s="196"/>
      <c r="C122" s="196"/>
      <c r="D122" s="196"/>
      <c r="E122" s="196"/>
      <c r="F122" s="196"/>
      <c r="G122" s="196"/>
      <c r="H122" s="196"/>
      <c r="J122" s="40"/>
    </row>
    <row r="123" spans="1:10" s="58" customFormat="1" x14ac:dyDescent="0.25">
      <c r="A123" s="95" t="s">
        <v>49</v>
      </c>
      <c r="B123" s="95"/>
      <c r="C123" s="95"/>
      <c r="D123" s="95"/>
      <c r="E123" s="95"/>
      <c r="F123" s="95"/>
      <c r="G123" s="95"/>
      <c r="H123" s="95"/>
      <c r="I123" s="82" t="s">
        <v>346</v>
      </c>
      <c r="J123" s="40"/>
    </row>
    <row r="124" spans="1:10" s="58" customFormat="1" ht="47.45" customHeight="1" x14ac:dyDescent="0.25">
      <c r="A124" s="97" t="s">
        <v>101</v>
      </c>
      <c r="B124" s="97"/>
      <c r="C124" s="118" t="s">
        <v>345</v>
      </c>
      <c r="D124" s="195"/>
      <c r="E124" s="195"/>
      <c r="F124" s="195"/>
      <c r="G124" s="195"/>
      <c r="H124" s="195"/>
      <c r="I124" s="40"/>
      <c r="J124" s="40"/>
    </row>
    <row r="125" spans="1:10" s="62" customFormat="1" x14ac:dyDescent="0.25">
      <c r="A125" s="99" t="s">
        <v>50</v>
      </c>
      <c r="B125" s="99"/>
      <c r="C125" s="99"/>
      <c r="D125" s="99"/>
      <c r="E125" s="99"/>
      <c r="F125" s="99"/>
      <c r="G125" s="99"/>
      <c r="H125" s="99"/>
    </row>
    <row r="126" spans="1:10" s="58" customFormat="1" ht="36.75" customHeight="1" x14ac:dyDescent="0.25">
      <c r="A126" s="98" t="s">
        <v>386</v>
      </c>
      <c r="B126" s="99"/>
      <c r="C126" s="99"/>
      <c r="D126" s="99"/>
      <c r="E126" s="99"/>
      <c r="F126" s="97">
        <v>16000</v>
      </c>
      <c r="G126" s="97"/>
      <c r="H126" s="97"/>
      <c r="I126" s="71" t="s">
        <v>322</v>
      </c>
      <c r="J126" s="78">
        <v>45015</v>
      </c>
    </row>
    <row r="127" spans="1:10" s="62" customFormat="1" ht="31.5" customHeight="1" x14ac:dyDescent="0.2">
      <c r="A127" s="108" t="s">
        <v>387</v>
      </c>
      <c r="B127" s="96"/>
      <c r="C127" s="96"/>
      <c r="D127" s="96"/>
      <c r="E127" s="96"/>
      <c r="F127" s="95">
        <v>10500</v>
      </c>
      <c r="G127" s="95"/>
      <c r="H127" s="95"/>
      <c r="I127" s="79" t="s">
        <v>388</v>
      </c>
      <c r="J127" s="77"/>
    </row>
    <row r="128" spans="1:10" s="58" customFormat="1" ht="36" customHeight="1" x14ac:dyDescent="0.25">
      <c r="A128" s="151" t="s">
        <v>385</v>
      </c>
      <c r="B128" s="152"/>
      <c r="C128" s="152"/>
      <c r="D128" s="152"/>
      <c r="E128" s="153"/>
      <c r="F128" s="213">
        <v>16000</v>
      </c>
      <c r="G128" s="213"/>
      <c r="H128" s="213"/>
      <c r="I128" s="56"/>
      <c r="J128" s="56"/>
    </row>
    <row r="129" spans="1:11" s="58" customFormat="1" hidden="1" x14ac:dyDescent="0.25">
      <c r="A129" s="96" t="s">
        <v>123</v>
      </c>
      <c r="B129" s="96"/>
      <c r="C129" s="96"/>
      <c r="D129" s="96"/>
      <c r="E129" s="96"/>
      <c r="F129" s="95" t="s">
        <v>29</v>
      </c>
      <c r="G129" s="95"/>
      <c r="H129" s="95"/>
      <c r="I129" s="56"/>
      <c r="J129" s="56"/>
    </row>
    <row r="130" spans="1:11" s="58" customFormat="1" hidden="1" x14ac:dyDescent="0.25">
      <c r="A130" s="96" t="s">
        <v>124</v>
      </c>
      <c r="B130" s="96"/>
      <c r="C130" s="96"/>
      <c r="D130" s="96"/>
      <c r="E130" s="96"/>
      <c r="F130" s="95" t="s">
        <v>29</v>
      </c>
      <c r="G130" s="95"/>
      <c r="H130" s="95"/>
      <c r="I130" s="56"/>
      <c r="J130" s="56"/>
    </row>
    <row r="131" spans="1:11" s="62" customFormat="1" hidden="1" x14ac:dyDescent="0.25">
      <c r="A131" s="96" t="s">
        <v>125</v>
      </c>
      <c r="B131" s="96"/>
      <c r="C131" s="96"/>
      <c r="D131" s="96"/>
      <c r="E131" s="96"/>
      <c r="F131" s="95" t="s">
        <v>29</v>
      </c>
      <c r="G131" s="95"/>
      <c r="H131" s="95"/>
      <c r="I131" s="56"/>
      <c r="J131" s="56"/>
    </row>
    <row r="132" spans="1:11" s="57" customFormat="1" hidden="1" x14ac:dyDescent="0.25">
      <c r="A132" s="96" t="s">
        <v>126</v>
      </c>
      <c r="B132" s="96"/>
      <c r="C132" s="96"/>
      <c r="D132" s="96"/>
      <c r="E132" s="96"/>
      <c r="F132" s="95" t="s">
        <v>29</v>
      </c>
      <c r="G132" s="95"/>
      <c r="H132" s="95"/>
      <c r="I132" s="56"/>
      <c r="J132" s="56"/>
    </row>
    <row r="133" spans="1:11" hidden="1" x14ac:dyDescent="0.25">
      <c r="A133" s="96" t="s">
        <v>127</v>
      </c>
      <c r="B133" s="96"/>
      <c r="C133" s="96"/>
      <c r="D133" s="96"/>
      <c r="E133" s="96"/>
      <c r="F133" s="95" t="s">
        <v>29</v>
      </c>
      <c r="G133" s="95"/>
      <c r="H133" s="95"/>
      <c r="I133" s="56"/>
      <c r="J133" s="56"/>
    </row>
    <row r="134" spans="1:11" hidden="1" x14ac:dyDescent="0.25">
      <c r="A134" s="96" t="s">
        <v>128</v>
      </c>
      <c r="B134" s="96"/>
      <c r="C134" s="96"/>
      <c r="D134" s="96"/>
      <c r="E134" s="96"/>
      <c r="F134" s="95" t="s">
        <v>29</v>
      </c>
      <c r="G134" s="95"/>
      <c r="H134" s="95"/>
    </row>
    <row r="135" spans="1:11" s="63" customFormat="1" ht="17.25" hidden="1" customHeight="1" x14ac:dyDescent="0.25">
      <c r="A135" s="96" t="s">
        <v>129</v>
      </c>
      <c r="B135" s="96"/>
      <c r="C135" s="96"/>
      <c r="D135" s="96"/>
      <c r="E135" s="96"/>
      <c r="F135" s="95" t="s">
        <v>29</v>
      </c>
      <c r="G135" s="95"/>
      <c r="H135" s="95"/>
      <c r="I135" s="57"/>
      <c r="J135" s="57"/>
    </row>
    <row r="136" spans="1:11" s="63" customFormat="1" ht="17.25" customHeight="1" x14ac:dyDescent="0.25">
      <c r="A136" s="96" t="s">
        <v>51</v>
      </c>
      <c r="B136" s="96"/>
      <c r="C136" s="96"/>
      <c r="D136" s="96"/>
      <c r="E136" s="96"/>
      <c r="F136" s="118" t="s">
        <v>198</v>
      </c>
      <c r="G136" s="118"/>
      <c r="H136" s="118"/>
      <c r="I136" s="58"/>
      <c r="J136" s="58"/>
    </row>
    <row r="137" spans="1:11" s="63" customFormat="1" ht="17.25" customHeight="1" x14ac:dyDescent="0.25">
      <c r="A137" s="99" t="s">
        <v>52</v>
      </c>
      <c r="B137" s="99"/>
      <c r="C137" s="99"/>
      <c r="D137" s="99"/>
      <c r="E137" s="99"/>
      <c r="F137" s="95">
        <f>F126*0.8</f>
        <v>12800</v>
      </c>
      <c r="G137" s="95"/>
      <c r="H137" s="95"/>
      <c r="I137" s="58"/>
      <c r="J137" s="58"/>
      <c r="K137" s="63">
        <f>15000*D156*1.5</f>
        <v>42715050.299999997</v>
      </c>
    </row>
    <row r="138" spans="1:11" s="63" customFormat="1" ht="17.25" customHeight="1" x14ac:dyDescent="0.25">
      <c r="A138" s="84" t="s">
        <v>194</v>
      </c>
      <c r="B138" s="84"/>
      <c r="C138" s="84"/>
      <c r="D138" s="84"/>
      <c r="E138" s="84"/>
      <c r="F138" s="84"/>
      <c r="G138" s="84"/>
      <c r="H138" s="84"/>
      <c r="I138" s="58"/>
      <c r="J138" s="58"/>
      <c r="K138" s="63">
        <f>K137/F156</f>
        <v>13600.054221854303</v>
      </c>
    </row>
    <row r="139" spans="1:11" s="63" customFormat="1" ht="17.25" customHeight="1" x14ac:dyDescent="0.25">
      <c r="A139" s="106" t="s">
        <v>53</v>
      </c>
      <c r="B139" s="106"/>
      <c r="C139" s="59" t="s">
        <v>105</v>
      </c>
      <c r="D139" s="100" t="s">
        <v>54</v>
      </c>
      <c r="E139" s="100"/>
      <c r="F139" s="106" t="s">
        <v>55</v>
      </c>
      <c r="G139" s="106"/>
      <c r="H139" s="106"/>
      <c r="I139" s="58"/>
      <c r="J139" s="58"/>
    </row>
    <row r="140" spans="1:11" s="63" customFormat="1" ht="17.25" customHeight="1" x14ac:dyDescent="0.25">
      <c r="A140" s="147" t="s">
        <v>160</v>
      </c>
      <c r="B140" s="147"/>
      <c r="C140" s="60">
        <f>COUNT(D156:D166)</f>
        <v>11</v>
      </c>
      <c r="D140" s="148">
        <f>SUM(D156:D166)</f>
        <v>15966.348839999997</v>
      </c>
      <c r="E140" s="148"/>
      <c r="F140" s="187">
        <f>SUM(F156:F166)</f>
        <v>26686.400000000001</v>
      </c>
      <c r="G140" s="188"/>
      <c r="H140" s="189"/>
      <c r="I140" s="58"/>
      <c r="J140" s="68">
        <f>SUM(D142,D148)</f>
        <v>430126.70594399999</v>
      </c>
    </row>
    <row r="141" spans="1:11" s="63" customFormat="1" ht="17.25" customHeight="1" x14ac:dyDescent="0.25">
      <c r="A141" s="147" t="s">
        <v>173</v>
      </c>
      <c r="B141" s="147"/>
      <c r="C141" s="60">
        <f>COUNT(D236:D253)</f>
        <v>18</v>
      </c>
      <c r="D141" s="148">
        <f>SUM(D236:D253)</f>
        <v>7461.6047999999992</v>
      </c>
      <c r="E141" s="148"/>
      <c r="F141" s="187">
        <f>SUM(F236:F253)</f>
        <v>12884.799999999997</v>
      </c>
      <c r="G141" s="188"/>
      <c r="H141" s="189"/>
      <c r="I141" s="58"/>
      <c r="J141" s="58"/>
    </row>
    <row r="142" spans="1:11" s="63" customFormat="1" ht="17.25" customHeight="1" x14ac:dyDescent="0.25">
      <c r="A142" s="84" t="s">
        <v>57</v>
      </c>
      <c r="B142" s="84"/>
      <c r="C142" s="61">
        <f>SUM(C140:C141)</f>
        <v>29</v>
      </c>
      <c r="D142" s="105">
        <f>SUM(D140:E141)</f>
        <v>23427.953639999996</v>
      </c>
      <c r="E142" s="105"/>
      <c r="F142" s="106">
        <f>SUM(F140:H141)</f>
        <v>39571.199999999997</v>
      </c>
      <c r="G142" s="106"/>
      <c r="H142" s="106"/>
      <c r="I142" s="58"/>
      <c r="J142" s="58"/>
    </row>
    <row r="143" spans="1:11" s="63" customFormat="1" ht="17.25" customHeight="1" x14ac:dyDescent="0.25">
      <c r="A143" s="84" t="s">
        <v>357</v>
      </c>
      <c r="B143" s="84"/>
      <c r="C143" s="84"/>
      <c r="D143" s="84"/>
      <c r="E143" s="84"/>
      <c r="F143" s="84"/>
      <c r="G143" s="84"/>
      <c r="H143" s="84"/>
      <c r="I143" s="58"/>
      <c r="J143" s="58"/>
    </row>
    <row r="144" spans="1:11" s="63" customFormat="1" ht="17.25" customHeight="1" x14ac:dyDescent="0.25">
      <c r="A144" s="106" t="s">
        <v>53</v>
      </c>
      <c r="B144" s="106"/>
      <c r="C144" s="59" t="s">
        <v>105</v>
      </c>
      <c r="D144" s="100" t="s">
        <v>54</v>
      </c>
      <c r="E144" s="100"/>
      <c r="F144" s="106" t="s">
        <v>55</v>
      </c>
      <c r="G144" s="106"/>
      <c r="H144" s="106"/>
      <c r="I144" s="58"/>
      <c r="J144" s="58"/>
    </row>
    <row r="145" spans="1:11" s="63" customFormat="1" ht="17.25" customHeight="1" x14ac:dyDescent="0.25">
      <c r="A145" s="147" t="s">
        <v>190</v>
      </c>
      <c r="B145" s="147"/>
      <c r="C145" s="60">
        <f>COUNT(D169:D177)+COUNT(D179:D191)*8+COUNT(D193:D205)*3+COUNT(D207:D219)*2+COUNT(D221:D231)</f>
        <v>180</v>
      </c>
      <c r="D145" s="148">
        <f>SUM(D169:D177)+SUM(D179:D191)*8+SUM(D193:D205)*3+SUM(D207:D219)*2+SUM(D221:D231)</f>
        <v>121259.04335999998</v>
      </c>
      <c r="E145" s="148"/>
      <c r="F145" s="187">
        <f>SUM(F169:F177)+SUM(F179:F191)*8+SUM(F193:F205)*3+SUM(F207:F219)*2+SUM(F221:F231)</f>
        <v>245204.80000000002</v>
      </c>
      <c r="G145" s="188"/>
      <c r="H145" s="189"/>
      <c r="I145" s="58">
        <f>3+4+28+7*5+2+4+7*2+4+7*2+4+3+5+3+7*2+4+4+3+7*3</f>
        <v>169</v>
      </c>
      <c r="J145" s="58">
        <f>22*7</f>
        <v>154</v>
      </c>
    </row>
    <row r="146" spans="1:11" s="63" customFormat="1" ht="17.25" customHeight="1" x14ac:dyDescent="0.25">
      <c r="A146" s="147" t="s">
        <v>191</v>
      </c>
      <c r="B146" s="147"/>
      <c r="C146" s="60">
        <f>COUNT(D255:D273)*4+COUNT(D275:D275)</f>
        <v>77</v>
      </c>
      <c r="D146" s="148">
        <f>SUM(D255:D273)*4+SUM(D275:D275)</f>
        <v>29994.962400000004</v>
      </c>
      <c r="E146" s="148"/>
      <c r="F146" s="187">
        <f>SUM(F255:F273)*4+SUM(F275:F275)</f>
        <v>58974.400000000009</v>
      </c>
      <c r="G146" s="188"/>
      <c r="H146" s="189"/>
      <c r="I146" s="58">
        <f>3+4+28+7*5+2+4+7*2+4+3+5+3+7*2+4*2+3+7*3</f>
        <v>151</v>
      </c>
      <c r="J146" s="58" t="s">
        <v>383</v>
      </c>
      <c r="K146" s="76"/>
    </row>
    <row r="147" spans="1:11" s="63" customFormat="1" ht="17.25" customHeight="1" x14ac:dyDescent="0.25">
      <c r="A147" s="147" t="s">
        <v>358</v>
      </c>
      <c r="B147" s="147"/>
      <c r="C147" s="60">
        <f>COUNT(D284:D305)+COUNT(D307:D328)+COUNT(D330:D351)+COUNT(D353:D368,D370:D374)+COUNT(D376:D391,D393:D397)+COUNT(D399:D420)+COUNT(D422:D437,D439:D443)+COUNT(D445:D460,D462:D466)+COUNT(D468:D489)*2+COUNT(D491:D512)*2+COUNT(D514:D529,D531:D535)+COUNT(D537:D558)+COUNT(D562:D564,D570)</f>
        <v>307</v>
      </c>
      <c r="D147" s="148">
        <f>SUM(D284:D305)+SUM(D307:D328)+SUM(D330:D351)+SUM(D353:D368,D370:D374)+SUM(D376:D391,D393:D397)+SUM(D399:D420)+SUM(D422:D437,D439:D443)+SUM(D445:D460,D462:D466)+SUM(D468:D489)*2+SUM(D491:D512)*2+SUM(D514:D529,D531:D535)+SUM(D537:D558)+SUM(D562:D564,D570)</f>
        <v>255444.74654399997</v>
      </c>
      <c r="E147" s="148"/>
      <c r="F147" s="187">
        <f>SUM(F284:F305)+SUM(F307:F328)+SUM(F330:F351)+SUM(F353:F368,F370:F374)+SUM(F376:F391,F393:F397)+SUM(F399:F420)+SUM(F422:F437,F439:F443)+SUM(F445:F460,F462:F466)+SUM(F468:F489)*2+SUM(F491:F512)*2+SUM(F514:F529,F531:F535)+SUM(F537:F558)+SUM(F562:F564,F570)</f>
        <v>387217.51210350002</v>
      </c>
      <c r="G147" s="188"/>
      <c r="H147" s="189"/>
      <c r="I147" s="62"/>
      <c r="J147" s="62"/>
    </row>
    <row r="148" spans="1:11" s="63" customFormat="1" ht="17.25" customHeight="1" x14ac:dyDescent="0.25">
      <c r="A148" s="84" t="s">
        <v>57</v>
      </c>
      <c r="B148" s="84"/>
      <c r="C148" s="61">
        <f>SUM(C145:C147)</f>
        <v>564</v>
      </c>
      <c r="D148" s="105">
        <f>SUM(D145:E147)</f>
        <v>406698.75230399997</v>
      </c>
      <c r="E148" s="105"/>
      <c r="F148" s="106">
        <f>SUM(F145:H147)</f>
        <v>691396.71210350003</v>
      </c>
      <c r="G148" s="106"/>
      <c r="H148" s="106"/>
      <c r="I148" s="57"/>
      <c r="J148" s="57"/>
    </row>
    <row r="149" spans="1:11" s="63" customFormat="1" ht="17.25" customHeight="1" x14ac:dyDescent="0.25">
      <c r="A149" s="84" t="s">
        <v>360</v>
      </c>
      <c r="B149" s="84"/>
      <c r="C149" s="61">
        <f>C142+C148</f>
        <v>593</v>
      </c>
      <c r="D149" s="105">
        <f>D142+D148</f>
        <v>430126.70594399999</v>
      </c>
      <c r="E149" s="105"/>
      <c r="F149" s="106">
        <f>F142+F148</f>
        <v>730967.91210349998</v>
      </c>
      <c r="G149" s="106"/>
      <c r="H149" s="106"/>
      <c r="I149" s="40"/>
      <c r="J149" s="40"/>
    </row>
    <row r="150" spans="1:11" s="63" customFormat="1" x14ac:dyDescent="0.25">
      <c r="A150" s="146" t="s">
        <v>58</v>
      </c>
      <c r="B150" s="146"/>
      <c r="C150" s="146"/>
      <c r="D150" s="146"/>
      <c r="E150" s="146"/>
      <c r="F150" s="146"/>
      <c r="G150" s="146"/>
      <c r="H150" s="146"/>
      <c r="I150" s="40"/>
      <c r="J150" s="40"/>
    </row>
    <row r="151" spans="1:11" s="63" customFormat="1" x14ac:dyDescent="0.25">
      <c r="A151" s="146" t="s">
        <v>59</v>
      </c>
      <c r="B151" s="146"/>
      <c r="C151" s="146"/>
      <c r="D151" s="146"/>
      <c r="E151" s="146"/>
      <c r="F151" s="146"/>
      <c r="G151" s="146"/>
      <c r="H151" s="146"/>
    </row>
    <row r="152" spans="1:11" s="63" customFormat="1" ht="58.9" customHeight="1" x14ac:dyDescent="0.25">
      <c r="A152" s="101" t="s">
        <v>102</v>
      </c>
      <c r="B152" s="101"/>
      <c r="C152" s="39" t="s">
        <v>60</v>
      </c>
      <c r="D152" s="39" t="s">
        <v>61</v>
      </c>
      <c r="E152" s="6" t="s">
        <v>62</v>
      </c>
      <c r="F152" s="39" t="s">
        <v>299</v>
      </c>
      <c r="G152" s="101" t="s">
        <v>63</v>
      </c>
      <c r="H152" s="101"/>
    </row>
    <row r="153" spans="1:11" s="63" customFormat="1" x14ac:dyDescent="0.25">
      <c r="A153" s="231" t="s">
        <v>392</v>
      </c>
      <c r="B153" s="232"/>
      <c r="C153" s="232"/>
      <c r="D153" s="232"/>
      <c r="E153" s="232"/>
      <c r="F153" s="232"/>
      <c r="G153" s="232"/>
      <c r="H153" s="233"/>
    </row>
    <row r="154" spans="1:11" s="63" customFormat="1" ht="17.25" customHeight="1" x14ac:dyDescent="0.25">
      <c r="A154" s="109" t="s">
        <v>160</v>
      </c>
      <c r="B154" s="109"/>
      <c r="C154" s="109"/>
      <c r="D154" s="109"/>
      <c r="E154" s="109"/>
      <c r="F154" s="109"/>
      <c r="G154" s="109"/>
      <c r="H154" s="109"/>
      <c r="I154" s="63">
        <f>45000000/F156</f>
        <v>14327.559857361181</v>
      </c>
      <c r="J154" s="63">
        <f>45000000/(1898*1.5)</f>
        <v>15806.111696522656</v>
      </c>
    </row>
    <row r="155" spans="1:11" s="63" customFormat="1" ht="17.25" customHeight="1" x14ac:dyDescent="0.25">
      <c r="A155" s="109" t="s">
        <v>344</v>
      </c>
      <c r="B155" s="109"/>
      <c r="C155" s="109"/>
      <c r="D155" s="109"/>
      <c r="E155" s="109"/>
      <c r="F155" s="109"/>
      <c r="G155" s="109"/>
      <c r="H155" s="109"/>
    </row>
    <row r="156" spans="1:11" s="63" customFormat="1" ht="17.25" customHeight="1" x14ac:dyDescent="0.25">
      <c r="A156" s="85" t="s">
        <v>161</v>
      </c>
      <c r="B156" s="85"/>
      <c r="C156" s="36" t="s">
        <v>175</v>
      </c>
      <c r="D156" s="36">
        <f>(119.27+57.1)*10.764</f>
        <v>1898.44668</v>
      </c>
      <c r="E156" s="36">
        <v>0</v>
      </c>
      <c r="F156" s="36">
        <v>3140.8</v>
      </c>
      <c r="G156" s="135" t="str">
        <f>A155</f>
        <v>Ground Floor + Mezz/ 1st Podium Floor for Commercial (Duplex Shop) &amp; Parking</v>
      </c>
      <c r="H156" s="136"/>
    </row>
    <row r="157" spans="1:11" s="63" customFormat="1" ht="17.25" customHeight="1" x14ac:dyDescent="0.25">
      <c r="A157" s="85" t="s">
        <v>162</v>
      </c>
      <c r="B157" s="85"/>
      <c r="C157" s="36" t="s">
        <v>175</v>
      </c>
      <c r="D157" s="36">
        <f>(76.49+35.39)*10.764</f>
        <v>1204.2763199999999</v>
      </c>
      <c r="E157" s="36">
        <v>0</v>
      </c>
      <c r="F157" s="36">
        <v>2030.4</v>
      </c>
      <c r="G157" s="137"/>
      <c r="H157" s="138"/>
      <c r="K157" s="63">
        <f>F157/D157</f>
        <v>1.6859917996228642</v>
      </c>
    </row>
    <row r="158" spans="1:11" s="63" customFormat="1" ht="17.25" customHeight="1" x14ac:dyDescent="0.25">
      <c r="A158" s="85" t="s">
        <v>163</v>
      </c>
      <c r="B158" s="85"/>
      <c r="C158" s="36" t="s">
        <v>175</v>
      </c>
      <c r="D158" s="36">
        <f>(75.28+35.18)*10.764</f>
        <v>1188.99144</v>
      </c>
      <c r="E158" s="36">
        <v>0</v>
      </c>
      <c r="F158" s="36">
        <v>2006.4</v>
      </c>
      <c r="G158" s="137"/>
      <c r="H158" s="138"/>
    </row>
    <row r="159" spans="1:11" s="63" customFormat="1" ht="17.25" customHeight="1" x14ac:dyDescent="0.25">
      <c r="A159" s="85" t="s">
        <v>164</v>
      </c>
      <c r="B159" s="85"/>
      <c r="C159" s="36" t="s">
        <v>175</v>
      </c>
      <c r="D159" s="36">
        <f>(75.32+35.21)*10.764</f>
        <v>1189.7449199999999</v>
      </c>
      <c r="E159" s="36">
        <v>0</v>
      </c>
      <c r="F159" s="36">
        <v>2006.4</v>
      </c>
      <c r="G159" s="137"/>
      <c r="H159" s="138"/>
    </row>
    <row r="160" spans="1:11" s="63" customFormat="1" ht="17.25" customHeight="1" x14ac:dyDescent="0.25">
      <c r="A160" s="85" t="s">
        <v>165</v>
      </c>
      <c r="B160" s="85"/>
      <c r="C160" s="36" t="s">
        <v>175</v>
      </c>
      <c r="D160" s="36">
        <f>(76.18+35.47)*10.764</f>
        <v>1201.8006</v>
      </c>
      <c r="E160" s="36">
        <v>0</v>
      </c>
      <c r="F160" s="36">
        <v>2025.6000000000001</v>
      </c>
      <c r="G160" s="137"/>
      <c r="H160" s="138"/>
    </row>
    <row r="161" spans="1:11" s="63" customFormat="1" ht="17.25" customHeight="1" x14ac:dyDescent="0.25">
      <c r="A161" s="85" t="s">
        <v>166</v>
      </c>
      <c r="B161" s="85"/>
      <c r="C161" s="36" t="s">
        <v>175</v>
      </c>
      <c r="D161" s="36">
        <f>(116.19+55.68)*10.764</f>
        <v>1850.0086799999999</v>
      </c>
      <c r="E161" s="36">
        <v>0</v>
      </c>
      <c r="F161" s="36">
        <v>3064</v>
      </c>
      <c r="G161" s="137"/>
      <c r="H161" s="138"/>
    </row>
    <row r="162" spans="1:11" s="63" customFormat="1" ht="17.25" customHeight="1" x14ac:dyDescent="0.25">
      <c r="A162" s="85" t="s">
        <v>167</v>
      </c>
      <c r="B162" s="85"/>
      <c r="C162" s="36" t="s">
        <v>175</v>
      </c>
      <c r="D162" s="36">
        <f>(76.9+36.54)*10.764</f>
        <v>1221.0681599999998</v>
      </c>
      <c r="E162" s="36">
        <v>0</v>
      </c>
      <c r="F162" s="36">
        <v>2057.6</v>
      </c>
      <c r="G162" s="137"/>
      <c r="H162" s="138"/>
    </row>
    <row r="163" spans="1:11" s="63" customFormat="1" ht="17.25" customHeight="1" x14ac:dyDescent="0.25">
      <c r="A163" s="85" t="s">
        <v>168</v>
      </c>
      <c r="B163" s="85"/>
      <c r="C163" s="36" t="s">
        <v>175</v>
      </c>
      <c r="D163" s="36">
        <f>(116.53+55.78)*10.764</f>
        <v>1854.7448399999998</v>
      </c>
      <c r="E163" s="36">
        <v>0</v>
      </c>
      <c r="F163" s="36">
        <v>3072</v>
      </c>
      <c r="G163" s="137"/>
      <c r="H163" s="138"/>
      <c r="I163" s="69">
        <f>F165/D165</f>
        <v>1.6833408137755965</v>
      </c>
    </row>
    <row r="164" spans="1:11" s="63" customFormat="1" ht="17.25" customHeight="1" x14ac:dyDescent="0.25">
      <c r="A164" s="85" t="s">
        <v>169</v>
      </c>
      <c r="B164" s="85"/>
      <c r="C164" s="36" t="s">
        <v>175</v>
      </c>
      <c r="D164" s="36">
        <f>(76.65+36.15)*10.764</f>
        <v>1214.1792</v>
      </c>
      <c r="E164" s="36">
        <v>0</v>
      </c>
      <c r="F164" s="36">
        <v>2046.4</v>
      </c>
      <c r="G164" s="137"/>
      <c r="H164" s="138"/>
    </row>
    <row r="165" spans="1:11" s="63" customFormat="1" ht="17.25" customHeight="1" x14ac:dyDescent="0.25">
      <c r="A165" s="85" t="s">
        <v>170</v>
      </c>
      <c r="B165" s="85"/>
      <c r="C165" s="36" t="s">
        <v>175</v>
      </c>
      <c r="D165" s="36">
        <f>(78+37.5)*10.764</f>
        <v>1243.242</v>
      </c>
      <c r="E165" s="36">
        <v>0</v>
      </c>
      <c r="F165" s="36">
        <v>2092.8000000000002</v>
      </c>
      <c r="G165" s="137"/>
      <c r="H165" s="138"/>
    </row>
    <row r="166" spans="1:11" s="63" customFormat="1" ht="17.25" customHeight="1" x14ac:dyDescent="0.25">
      <c r="A166" s="85" t="s">
        <v>171</v>
      </c>
      <c r="B166" s="85"/>
      <c r="C166" s="36" t="s">
        <v>175</v>
      </c>
      <c r="D166" s="36">
        <f>(119.3+57.2)*10.764</f>
        <v>1899.8459999999998</v>
      </c>
      <c r="E166" s="36">
        <v>0</v>
      </c>
      <c r="F166" s="36">
        <v>3144</v>
      </c>
      <c r="G166" s="137"/>
      <c r="H166" s="138"/>
    </row>
    <row r="167" spans="1:11" s="63" customFormat="1" ht="17.25" customHeight="1" x14ac:dyDescent="0.25">
      <c r="A167" s="109" t="s">
        <v>211</v>
      </c>
      <c r="B167" s="109"/>
      <c r="C167" s="109"/>
      <c r="D167" s="109"/>
      <c r="E167" s="109"/>
      <c r="F167" s="109"/>
      <c r="G167" s="109"/>
      <c r="H167" s="109"/>
    </row>
    <row r="168" spans="1:11" s="63" customFormat="1" ht="17.25" customHeight="1" x14ac:dyDescent="0.25">
      <c r="A168" s="109" t="s">
        <v>212</v>
      </c>
      <c r="B168" s="109"/>
      <c r="C168" s="109"/>
      <c r="D168" s="109"/>
      <c r="E168" s="109"/>
      <c r="F168" s="109"/>
      <c r="G168" s="109"/>
      <c r="H168" s="109"/>
    </row>
    <row r="169" spans="1:11" s="63" customFormat="1" ht="17.25" customHeight="1" x14ac:dyDescent="0.25">
      <c r="A169" s="85" t="s">
        <v>202</v>
      </c>
      <c r="B169" s="85"/>
      <c r="C169" s="36" t="s">
        <v>172</v>
      </c>
      <c r="D169" s="36">
        <f>53.42*10.764</f>
        <v>575.01288</v>
      </c>
      <c r="E169" s="36">
        <v>0</v>
      </c>
      <c r="F169" s="36">
        <v>1182.4000000000001</v>
      </c>
      <c r="G169" s="135" t="str">
        <f>A167</f>
        <v>2nd Podium Floor for Parking</v>
      </c>
      <c r="H169" s="136"/>
      <c r="K169" s="63">
        <f t="shared" ref="K169:K195" si="0">F169/D169</f>
        <v>2.0563017649274222</v>
      </c>
    </row>
    <row r="170" spans="1:11" s="63" customFormat="1" ht="17.25" customHeight="1" x14ac:dyDescent="0.25">
      <c r="A170" s="85" t="s">
        <v>203</v>
      </c>
      <c r="B170" s="85"/>
      <c r="C170" s="36" t="s">
        <v>172</v>
      </c>
      <c r="D170" s="36">
        <f>57.93*10.764</f>
        <v>623.55851999999993</v>
      </c>
      <c r="E170" s="36">
        <v>0</v>
      </c>
      <c r="F170" s="36">
        <v>1275.2</v>
      </c>
      <c r="G170" s="137"/>
      <c r="H170" s="138"/>
      <c r="K170" s="63">
        <f t="shared" si="0"/>
        <v>2.0450366069891888</v>
      </c>
    </row>
    <row r="171" spans="1:11" s="63" customFormat="1" ht="17.25" customHeight="1" x14ac:dyDescent="0.25">
      <c r="A171" s="85" t="s">
        <v>204</v>
      </c>
      <c r="B171" s="85"/>
      <c r="C171" s="36" t="s">
        <v>172</v>
      </c>
      <c r="D171" s="36">
        <f>99.85*10.764</f>
        <v>1074.7854</v>
      </c>
      <c r="E171" s="36">
        <v>0</v>
      </c>
      <c r="F171" s="36">
        <v>2425.6</v>
      </c>
      <c r="G171" s="137"/>
      <c r="H171" s="138"/>
      <c r="K171" s="63">
        <f t="shared" si="0"/>
        <v>2.2568226177988646</v>
      </c>
    </row>
    <row r="172" spans="1:11" s="63" customFormat="1" ht="17.25" customHeight="1" x14ac:dyDescent="0.25">
      <c r="A172" s="85" t="s">
        <v>205</v>
      </c>
      <c r="B172" s="85"/>
      <c r="C172" s="36" t="s">
        <v>172</v>
      </c>
      <c r="D172" s="36">
        <f>110.02*10.764</f>
        <v>1184.2552799999999</v>
      </c>
      <c r="E172" s="36">
        <v>0</v>
      </c>
      <c r="F172" s="36">
        <v>2356.8000000000002</v>
      </c>
      <c r="G172" s="137"/>
      <c r="H172" s="138"/>
      <c r="K172" s="63">
        <f t="shared" si="0"/>
        <v>1.9901114563745077</v>
      </c>
    </row>
    <row r="173" spans="1:11" s="63" customFormat="1" ht="17.25" customHeight="1" x14ac:dyDescent="0.25">
      <c r="A173" s="85" t="s">
        <v>206</v>
      </c>
      <c r="B173" s="85"/>
      <c r="C173" s="36" t="s">
        <v>172</v>
      </c>
      <c r="D173" s="36">
        <f>42.25*10.764</f>
        <v>454.779</v>
      </c>
      <c r="E173" s="36">
        <v>0</v>
      </c>
      <c r="F173" s="36">
        <v>945.6</v>
      </c>
      <c r="G173" s="137"/>
      <c r="H173" s="138"/>
      <c r="K173" s="63">
        <f t="shared" si="0"/>
        <v>2.0792516804865659</v>
      </c>
    </row>
    <row r="174" spans="1:11" s="63" customFormat="1" ht="17.25" customHeight="1" x14ac:dyDescent="0.25">
      <c r="A174" s="85" t="s">
        <v>207</v>
      </c>
      <c r="B174" s="85"/>
      <c r="C174" s="36" t="s">
        <v>172</v>
      </c>
      <c r="D174" s="36">
        <f>63.87*10.764</f>
        <v>687.49667999999997</v>
      </c>
      <c r="E174" s="36">
        <v>0</v>
      </c>
      <c r="F174" s="36">
        <v>1390.4</v>
      </c>
      <c r="G174" s="137"/>
      <c r="H174" s="138"/>
      <c r="K174" s="63">
        <f t="shared" si="0"/>
        <v>2.0224097664006178</v>
      </c>
    </row>
    <row r="175" spans="1:11" s="63" customFormat="1" ht="17.25" customHeight="1" x14ac:dyDescent="0.25">
      <c r="A175" s="85" t="s">
        <v>208</v>
      </c>
      <c r="B175" s="85"/>
      <c r="C175" s="36" t="s">
        <v>172</v>
      </c>
      <c r="D175" s="36">
        <f>41.82*10.764</f>
        <v>450.15047999999996</v>
      </c>
      <c r="E175" s="36">
        <v>0</v>
      </c>
      <c r="F175" s="36">
        <v>937.6</v>
      </c>
      <c r="G175" s="137"/>
      <c r="H175" s="138"/>
      <c r="K175" s="63">
        <f t="shared" si="0"/>
        <v>2.082859047490075</v>
      </c>
    </row>
    <row r="176" spans="1:11" s="63" customFormat="1" ht="17.25" customHeight="1" x14ac:dyDescent="0.25">
      <c r="A176" s="85" t="s">
        <v>209</v>
      </c>
      <c r="B176" s="85"/>
      <c r="C176" s="36" t="s">
        <v>172</v>
      </c>
      <c r="D176" s="36">
        <f>41.38*10.764</f>
        <v>445.41431999999998</v>
      </c>
      <c r="E176" s="36">
        <v>0</v>
      </c>
      <c r="F176" s="36">
        <v>928</v>
      </c>
      <c r="G176" s="137"/>
      <c r="H176" s="138"/>
      <c r="K176" s="63">
        <f>F176/D176</f>
        <v>2.0834534462205885</v>
      </c>
    </row>
    <row r="177" spans="1:11" s="63" customFormat="1" ht="17.25" customHeight="1" x14ac:dyDescent="0.25">
      <c r="A177" s="85" t="s">
        <v>210</v>
      </c>
      <c r="B177" s="85"/>
      <c r="C177" s="36" t="s">
        <v>172</v>
      </c>
      <c r="D177" s="36">
        <f>86.62*10.764</f>
        <v>932.37767999999994</v>
      </c>
      <c r="E177" s="36">
        <v>0</v>
      </c>
      <c r="F177" s="36">
        <v>1974.4</v>
      </c>
      <c r="G177" s="137"/>
      <c r="H177" s="138"/>
      <c r="K177" s="63">
        <f t="shared" si="0"/>
        <v>2.1175968090527437</v>
      </c>
    </row>
    <row r="178" spans="1:11" s="63" customFormat="1" ht="17.25" customHeight="1" x14ac:dyDescent="0.25">
      <c r="A178" s="109" t="s">
        <v>213</v>
      </c>
      <c r="B178" s="109"/>
      <c r="C178" s="109"/>
      <c r="D178" s="109"/>
      <c r="E178" s="109"/>
      <c r="F178" s="109"/>
      <c r="G178" s="109"/>
      <c r="H178" s="109"/>
      <c r="K178" s="63" t="e">
        <f t="shared" si="0"/>
        <v>#DIV/0!</v>
      </c>
    </row>
    <row r="179" spans="1:11" s="63" customFormat="1" ht="17.25" customHeight="1" x14ac:dyDescent="0.25">
      <c r="A179" s="85" t="s">
        <v>222</v>
      </c>
      <c r="B179" s="85"/>
      <c r="C179" s="36" t="s">
        <v>172</v>
      </c>
      <c r="D179" s="36">
        <f>53.42*10.764</f>
        <v>575.01288</v>
      </c>
      <c r="E179" s="36">
        <v>0</v>
      </c>
      <c r="F179" s="36">
        <v>1182.4000000000001</v>
      </c>
      <c r="G179" s="135" t="str">
        <f>A178</f>
        <v>1st to 3rd, 6th, 9th, 10th, 12th, 13th Floor</v>
      </c>
      <c r="H179" s="136"/>
      <c r="K179" s="63">
        <f t="shared" si="0"/>
        <v>2.0563017649274222</v>
      </c>
    </row>
    <row r="180" spans="1:11" s="63" customFormat="1" ht="17.25" customHeight="1" x14ac:dyDescent="0.25">
      <c r="A180" s="85" t="s">
        <v>223</v>
      </c>
      <c r="B180" s="85"/>
      <c r="C180" s="36" t="s">
        <v>172</v>
      </c>
      <c r="D180" s="36">
        <f>57.93*10.764</f>
        <v>623.55851999999993</v>
      </c>
      <c r="E180" s="36">
        <v>0</v>
      </c>
      <c r="F180" s="36">
        <v>1275.2</v>
      </c>
      <c r="G180" s="137"/>
      <c r="H180" s="138"/>
      <c r="K180" s="63">
        <f t="shared" si="0"/>
        <v>2.0450366069891888</v>
      </c>
    </row>
    <row r="181" spans="1:11" s="63" customFormat="1" ht="17.25" customHeight="1" x14ac:dyDescent="0.25">
      <c r="A181" s="85" t="s">
        <v>224</v>
      </c>
      <c r="B181" s="85"/>
      <c r="C181" s="36" t="s">
        <v>172</v>
      </c>
      <c r="D181" s="36">
        <f>99.85*10.764</f>
        <v>1074.7854</v>
      </c>
      <c r="E181" s="36">
        <v>0</v>
      </c>
      <c r="F181" s="36">
        <v>2425.6</v>
      </c>
      <c r="G181" s="137"/>
      <c r="H181" s="138"/>
      <c r="K181" s="63">
        <f t="shared" si="0"/>
        <v>2.2568226177988646</v>
      </c>
    </row>
    <row r="182" spans="1:11" s="63" customFormat="1" ht="17.25" customHeight="1" x14ac:dyDescent="0.25">
      <c r="A182" s="85" t="s">
        <v>225</v>
      </c>
      <c r="B182" s="85"/>
      <c r="C182" s="36" t="s">
        <v>172</v>
      </c>
      <c r="D182" s="36">
        <f>110.02*10.764</f>
        <v>1184.2552799999999</v>
      </c>
      <c r="E182" s="36">
        <v>0</v>
      </c>
      <c r="F182" s="36">
        <v>2356.8000000000002</v>
      </c>
      <c r="G182" s="137"/>
      <c r="H182" s="138"/>
      <c r="K182" s="63">
        <f t="shared" si="0"/>
        <v>1.9901114563745077</v>
      </c>
    </row>
    <row r="183" spans="1:11" s="63" customFormat="1" ht="17.25" customHeight="1" x14ac:dyDescent="0.25">
      <c r="A183" s="85" t="s">
        <v>233</v>
      </c>
      <c r="B183" s="85"/>
      <c r="C183" s="36" t="s">
        <v>172</v>
      </c>
      <c r="D183" s="36">
        <f>42.25*10.764</f>
        <v>454.779</v>
      </c>
      <c r="E183" s="36">
        <v>0</v>
      </c>
      <c r="F183" s="36">
        <v>945.6</v>
      </c>
      <c r="G183" s="137"/>
      <c r="H183" s="138"/>
      <c r="K183" s="63">
        <f t="shared" si="0"/>
        <v>2.0792516804865659</v>
      </c>
    </row>
    <row r="184" spans="1:11" s="63" customFormat="1" ht="17.25" customHeight="1" x14ac:dyDescent="0.25">
      <c r="A184" s="85" t="s">
        <v>226</v>
      </c>
      <c r="B184" s="85"/>
      <c r="C184" s="36" t="s">
        <v>172</v>
      </c>
      <c r="D184" s="36">
        <f>63.87*10.764</f>
        <v>687.49667999999997</v>
      </c>
      <c r="E184" s="36">
        <v>0</v>
      </c>
      <c r="F184" s="36">
        <v>1390.4</v>
      </c>
      <c r="G184" s="137"/>
      <c r="H184" s="138"/>
      <c r="K184" s="63">
        <f t="shared" si="0"/>
        <v>2.0224097664006178</v>
      </c>
    </row>
    <row r="185" spans="1:11" s="63" customFormat="1" ht="17.25" customHeight="1" x14ac:dyDescent="0.25">
      <c r="A185" s="85" t="s">
        <v>227</v>
      </c>
      <c r="B185" s="85"/>
      <c r="C185" s="36" t="s">
        <v>172</v>
      </c>
      <c r="D185" s="36">
        <f>41.82*10.764</f>
        <v>450.15047999999996</v>
      </c>
      <c r="E185" s="36">
        <v>0</v>
      </c>
      <c r="F185" s="36">
        <v>937.6</v>
      </c>
      <c r="G185" s="137"/>
      <c r="H185" s="138"/>
      <c r="K185" s="63">
        <f t="shared" si="0"/>
        <v>2.082859047490075</v>
      </c>
    </row>
    <row r="186" spans="1:11" s="63" customFormat="1" ht="17.25" customHeight="1" x14ac:dyDescent="0.25">
      <c r="A186" s="85" t="s">
        <v>228</v>
      </c>
      <c r="B186" s="85"/>
      <c r="C186" s="36" t="s">
        <v>172</v>
      </c>
      <c r="D186" s="36">
        <f>41.38*10.764</f>
        <v>445.41431999999998</v>
      </c>
      <c r="E186" s="36">
        <v>0</v>
      </c>
      <c r="F186" s="36">
        <v>928</v>
      </c>
      <c r="G186" s="137"/>
      <c r="H186" s="138"/>
      <c r="K186" s="63">
        <f t="shared" si="0"/>
        <v>2.0834534462205885</v>
      </c>
    </row>
    <row r="187" spans="1:11" s="63" customFormat="1" ht="17.25" customHeight="1" x14ac:dyDescent="0.25">
      <c r="A187" s="85" t="s">
        <v>229</v>
      </c>
      <c r="B187" s="85"/>
      <c r="C187" s="36" t="s">
        <v>172</v>
      </c>
      <c r="D187" s="36">
        <f>86.62*10.764</f>
        <v>932.37767999999994</v>
      </c>
      <c r="E187" s="36">
        <v>0</v>
      </c>
      <c r="F187" s="36">
        <v>1974.4</v>
      </c>
      <c r="G187" s="137"/>
      <c r="H187" s="138"/>
      <c r="K187" s="63">
        <f t="shared" si="0"/>
        <v>2.1175968090527437</v>
      </c>
    </row>
    <row r="188" spans="1:11" s="63" customFormat="1" ht="17.25" customHeight="1" x14ac:dyDescent="0.25">
      <c r="A188" s="85" t="s">
        <v>230</v>
      </c>
      <c r="B188" s="85"/>
      <c r="C188" s="36" t="s">
        <v>172</v>
      </c>
      <c r="D188" s="36">
        <f>60.22*10.764</f>
        <v>648.20808</v>
      </c>
      <c r="E188" s="36">
        <v>0</v>
      </c>
      <c r="F188" s="36">
        <v>1204.8</v>
      </c>
      <c r="G188" s="137"/>
      <c r="H188" s="138"/>
      <c r="K188" s="63">
        <f t="shared" si="0"/>
        <v>1.8586624221037169</v>
      </c>
    </row>
    <row r="189" spans="1:11" s="63" customFormat="1" ht="17.25" customHeight="1" x14ac:dyDescent="0.25">
      <c r="A189" s="85" t="s">
        <v>231</v>
      </c>
      <c r="B189" s="85"/>
      <c r="C189" s="36" t="s">
        <v>172</v>
      </c>
      <c r="D189" s="36">
        <f>45.32*10.764</f>
        <v>487.82447999999999</v>
      </c>
      <c r="E189" s="36">
        <v>0</v>
      </c>
      <c r="F189" s="36">
        <v>910.40000000000009</v>
      </c>
      <c r="G189" s="137"/>
      <c r="H189" s="138"/>
      <c r="K189" s="63">
        <f t="shared" si="0"/>
        <v>1.8662450068106464</v>
      </c>
    </row>
    <row r="190" spans="1:11" s="63" customFormat="1" ht="17.25" customHeight="1" x14ac:dyDescent="0.25">
      <c r="A190" s="85" t="s">
        <v>234</v>
      </c>
      <c r="B190" s="85"/>
      <c r="C190" s="36" t="s">
        <v>172</v>
      </c>
      <c r="D190" s="36">
        <f>70.05*10.764</f>
        <v>754.01819999999998</v>
      </c>
      <c r="E190" s="36">
        <v>0</v>
      </c>
      <c r="F190" s="36">
        <v>1348.8000000000002</v>
      </c>
      <c r="G190" s="137"/>
      <c r="H190" s="138"/>
      <c r="K190" s="63">
        <f t="shared" si="0"/>
        <v>1.7888162381226345</v>
      </c>
    </row>
    <row r="191" spans="1:11" s="63" customFormat="1" ht="17.25" customHeight="1" x14ac:dyDescent="0.25">
      <c r="A191" s="85" t="s">
        <v>232</v>
      </c>
      <c r="B191" s="85"/>
      <c r="C191" s="36" t="s">
        <v>172</v>
      </c>
      <c r="D191" s="36">
        <f>47.62*10.764</f>
        <v>512.58167999999989</v>
      </c>
      <c r="E191" s="36">
        <v>0</v>
      </c>
      <c r="F191" s="36">
        <v>947.2</v>
      </c>
      <c r="G191" s="139"/>
      <c r="H191" s="140"/>
      <c r="K191" s="63">
        <f t="shared" si="0"/>
        <v>1.8479006116644674</v>
      </c>
    </row>
    <row r="192" spans="1:11" s="63" customFormat="1" ht="17.25" customHeight="1" x14ac:dyDescent="0.25">
      <c r="A192" s="109" t="s">
        <v>374</v>
      </c>
      <c r="B192" s="109"/>
      <c r="C192" s="109"/>
      <c r="D192" s="109"/>
      <c r="E192" s="109"/>
      <c r="F192" s="109"/>
      <c r="G192" s="109"/>
      <c r="H192" s="109"/>
      <c r="K192" s="63" t="e">
        <f t="shared" si="0"/>
        <v>#DIV/0!</v>
      </c>
    </row>
    <row r="193" spans="1:11" s="63" customFormat="1" ht="17.25" customHeight="1" x14ac:dyDescent="0.25">
      <c r="A193" s="85" t="s">
        <v>243</v>
      </c>
      <c r="B193" s="85"/>
      <c r="C193" s="36" t="s">
        <v>172</v>
      </c>
      <c r="D193" s="36">
        <f>53.42*10.764</f>
        <v>575.01288</v>
      </c>
      <c r="E193" s="36">
        <v>0</v>
      </c>
      <c r="F193" s="36">
        <v>1182.4000000000001</v>
      </c>
      <c r="G193" s="135" t="str">
        <f>A192</f>
        <v>4th, 7th &amp; 11th Floor (Part Refuge Area)</v>
      </c>
      <c r="H193" s="136"/>
      <c r="K193" s="63">
        <f t="shared" si="0"/>
        <v>2.0563017649274222</v>
      </c>
    </row>
    <row r="194" spans="1:11" s="63" customFormat="1" ht="17.25" customHeight="1" x14ac:dyDescent="0.25">
      <c r="A194" s="85" t="s">
        <v>236</v>
      </c>
      <c r="B194" s="85"/>
      <c r="C194" s="36" t="s">
        <v>172</v>
      </c>
      <c r="D194" s="36">
        <f>57.93*10.764</f>
        <v>623.55851999999993</v>
      </c>
      <c r="E194" s="36">
        <v>0</v>
      </c>
      <c r="F194" s="36">
        <v>1275.2</v>
      </c>
      <c r="G194" s="137"/>
      <c r="H194" s="138"/>
      <c r="K194" s="63">
        <f t="shared" si="0"/>
        <v>2.0450366069891888</v>
      </c>
    </row>
    <row r="195" spans="1:11" s="63" customFormat="1" ht="17.25" customHeight="1" x14ac:dyDescent="0.25">
      <c r="A195" s="85" t="s">
        <v>237</v>
      </c>
      <c r="B195" s="85"/>
      <c r="C195" s="36" t="s">
        <v>172</v>
      </c>
      <c r="D195" s="36">
        <f>99.85*10.764</f>
        <v>1074.7854</v>
      </c>
      <c r="E195" s="36">
        <v>0</v>
      </c>
      <c r="F195" s="36">
        <v>2425.6</v>
      </c>
      <c r="G195" s="137"/>
      <c r="H195" s="138"/>
      <c r="K195" s="63">
        <f t="shared" si="0"/>
        <v>2.2568226177988646</v>
      </c>
    </row>
    <row r="196" spans="1:11" s="63" customFormat="1" ht="17.25" customHeight="1" x14ac:dyDescent="0.25">
      <c r="A196" s="85" t="s">
        <v>235</v>
      </c>
      <c r="B196" s="85"/>
      <c r="C196" s="36" t="s">
        <v>172</v>
      </c>
      <c r="D196" s="36">
        <f>110.02*10.764</f>
        <v>1184.2552799999999</v>
      </c>
      <c r="E196" s="36">
        <v>0</v>
      </c>
      <c r="F196" s="36">
        <v>2356.8000000000002</v>
      </c>
      <c r="G196" s="137"/>
      <c r="H196" s="138"/>
    </row>
    <row r="197" spans="1:11" s="63" customFormat="1" ht="17.25" customHeight="1" x14ac:dyDescent="0.25">
      <c r="A197" s="85" t="s">
        <v>238</v>
      </c>
      <c r="B197" s="85"/>
      <c r="C197" s="36" t="s">
        <v>172</v>
      </c>
      <c r="D197" s="36">
        <f>42.25*10.764</f>
        <v>454.779</v>
      </c>
      <c r="E197" s="36">
        <v>0</v>
      </c>
      <c r="F197" s="36">
        <v>945.6</v>
      </c>
      <c r="G197" s="137"/>
      <c r="H197" s="138"/>
    </row>
    <row r="198" spans="1:11" s="63" customFormat="1" ht="17.25" customHeight="1" x14ac:dyDescent="0.25">
      <c r="A198" s="85" t="s">
        <v>239</v>
      </c>
      <c r="B198" s="85"/>
      <c r="C198" s="36" t="s">
        <v>172</v>
      </c>
      <c r="D198" s="36">
        <f>63.87*10.764</f>
        <v>687.49667999999997</v>
      </c>
      <c r="E198" s="36">
        <v>0</v>
      </c>
      <c r="F198" s="36">
        <v>1390.4</v>
      </c>
      <c r="G198" s="137"/>
      <c r="H198" s="138"/>
    </row>
    <row r="199" spans="1:11" s="63" customFormat="1" ht="17.25" customHeight="1" x14ac:dyDescent="0.25">
      <c r="A199" s="85" t="s">
        <v>240</v>
      </c>
      <c r="B199" s="85"/>
      <c r="C199" s="36" t="s">
        <v>172</v>
      </c>
      <c r="D199" s="36">
        <f>41.82*10.764</f>
        <v>450.15047999999996</v>
      </c>
      <c r="E199" s="36">
        <v>0</v>
      </c>
      <c r="F199" s="36">
        <v>937.6</v>
      </c>
      <c r="G199" s="137"/>
      <c r="H199" s="138"/>
    </row>
    <row r="200" spans="1:11" s="63" customFormat="1" ht="17.25" customHeight="1" x14ac:dyDescent="0.25">
      <c r="A200" s="85" t="s">
        <v>241</v>
      </c>
      <c r="B200" s="85"/>
      <c r="C200" s="36" t="s">
        <v>172</v>
      </c>
      <c r="D200" s="36">
        <f>41.38*10.764</f>
        <v>445.41431999999998</v>
      </c>
      <c r="E200" s="36">
        <v>0</v>
      </c>
      <c r="F200" s="36">
        <v>928</v>
      </c>
      <c r="G200" s="137"/>
      <c r="H200" s="138"/>
    </row>
    <row r="201" spans="1:11" s="63" customFormat="1" ht="17.25" customHeight="1" x14ac:dyDescent="0.25">
      <c r="A201" s="85" t="s">
        <v>242</v>
      </c>
      <c r="B201" s="85"/>
      <c r="C201" s="141" t="s">
        <v>176</v>
      </c>
      <c r="D201" s="212"/>
      <c r="E201" s="212"/>
      <c r="F201" s="142"/>
      <c r="G201" s="137"/>
      <c r="H201" s="138"/>
      <c r="I201" s="63">
        <f>7340000/F203</f>
        <v>8062.3901581722312</v>
      </c>
    </row>
    <row r="202" spans="1:11" s="63" customFormat="1" ht="17.25" customHeight="1" x14ac:dyDescent="0.25">
      <c r="A202" s="85" t="s">
        <v>245</v>
      </c>
      <c r="B202" s="85"/>
      <c r="C202" s="36" t="s">
        <v>172</v>
      </c>
      <c r="D202" s="36">
        <f>60.22*10.764</f>
        <v>648.20808</v>
      </c>
      <c r="E202" s="36">
        <v>0</v>
      </c>
      <c r="F202" s="36">
        <v>1204.8</v>
      </c>
      <c r="G202" s="137"/>
      <c r="H202" s="138"/>
      <c r="K202" s="63">
        <f>8.35/1.2</f>
        <v>6.958333333333333</v>
      </c>
    </row>
    <row r="203" spans="1:11" s="63" customFormat="1" ht="17.25" customHeight="1" x14ac:dyDescent="0.25">
      <c r="A203" s="85" t="s">
        <v>244</v>
      </c>
      <c r="B203" s="85"/>
      <c r="C203" s="36" t="s">
        <v>172</v>
      </c>
      <c r="D203" s="36">
        <f>45.32*10.764</f>
        <v>487.82447999999999</v>
      </c>
      <c r="E203" s="36">
        <v>0</v>
      </c>
      <c r="F203" s="36">
        <v>910.40000000000009</v>
      </c>
      <c r="G203" s="137"/>
      <c r="H203" s="138"/>
      <c r="K203" s="63">
        <f>8.35/1.2</f>
        <v>6.958333333333333</v>
      </c>
    </row>
    <row r="204" spans="1:11" s="63" customFormat="1" ht="17.25" customHeight="1" x14ac:dyDescent="0.25">
      <c r="A204" s="85" t="s">
        <v>246</v>
      </c>
      <c r="B204" s="85"/>
      <c r="C204" s="36" t="s">
        <v>172</v>
      </c>
      <c r="D204" s="36">
        <f>70.05*10.764</f>
        <v>754.01819999999998</v>
      </c>
      <c r="E204" s="36">
        <v>0</v>
      </c>
      <c r="F204" s="36">
        <v>1348.8000000000002</v>
      </c>
      <c r="G204" s="137"/>
      <c r="H204" s="138"/>
    </row>
    <row r="205" spans="1:11" s="63" customFormat="1" ht="17.25" customHeight="1" x14ac:dyDescent="0.25">
      <c r="A205" s="85" t="s">
        <v>247</v>
      </c>
      <c r="B205" s="85"/>
      <c r="C205" s="36" t="s">
        <v>172</v>
      </c>
      <c r="D205" s="36">
        <f>47.62*10.764</f>
        <v>512.58167999999989</v>
      </c>
      <c r="E205" s="36">
        <v>0</v>
      </c>
      <c r="F205" s="36">
        <v>947.2</v>
      </c>
      <c r="G205" s="139"/>
      <c r="H205" s="140"/>
    </row>
    <row r="206" spans="1:11" s="63" customFormat="1" ht="17.25" customHeight="1" x14ac:dyDescent="0.25">
      <c r="A206" s="109" t="s">
        <v>214</v>
      </c>
      <c r="B206" s="109"/>
      <c r="C206" s="109"/>
      <c r="D206" s="109"/>
      <c r="E206" s="109"/>
      <c r="F206" s="109"/>
      <c r="G206" s="109"/>
      <c r="H206" s="109"/>
    </row>
    <row r="207" spans="1:11" s="63" customFormat="1" ht="17.25" customHeight="1" x14ac:dyDescent="0.25">
      <c r="A207" s="85" t="s">
        <v>248</v>
      </c>
      <c r="B207" s="85"/>
      <c r="C207" s="36" t="s">
        <v>172</v>
      </c>
      <c r="D207" s="36">
        <f>53.42*10.764</f>
        <v>575.01288</v>
      </c>
      <c r="E207" s="36">
        <v>0</v>
      </c>
      <c r="F207" s="36">
        <v>1182.4000000000001</v>
      </c>
      <c r="G207" s="135" t="str">
        <f>A206</f>
        <v>5th &amp; 8th Floor (Refuge Area)</v>
      </c>
      <c r="H207" s="136"/>
    </row>
    <row r="208" spans="1:11" s="63" customFormat="1" ht="17.25" customHeight="1" x14ac:dyDescent="0.25">
      <c r="A208" s="85" t="s">
        <v>249</v>
      </c>
      <c r="B208" s="85"/>
      <c r="C208" s="36" t="s">
        <v>172</v>
      </c>
      <c r="D208" s="36">
        <f>57.93*10.764</f>
        <v>623.55851999999993</v>
      </c>
      <c r="E208" s="36">
        <v>0</v>
      </c>
      <c r="F208" s="36">
        <v>1275.2</v>
      </c>
      <c r="G208" s="137"/>
      <c r="H208" s="138"/>
    </row>
    <row r="209" spans="1:11" s="63" customFormat="1" ht="17.25" customHeight="1" x14ac:dyDescent="0.25">
      <c r="A209" s="85" t="s">
        <v>250</v>
      </c>
      <c r="B209" s="85"/>
      <c r="C209" s="36" t="s">
        <v>172</v>
      </c>
      <c r="D209" s="36">
        <f>99.85*10.764</f>
        <v>1074.7854</v>
      </c>
      <c r="E209" s="36">
        <v>0</v>
      </c>
      <c r="F209" s="36">
        <v>2425.6</v>
      </c>
      <c r="G209" s="137"/>
      <c r="H209" s="138"/>
    </row>
    <row r="210" spans="1:11" s="63" customFormat="1" ht="17.25" customHeight="1" x14ac:dyDescent="0.25">
      <c r="A210" s="85" t="s">
        <v>251</v>
      </c>
      <c r="B210" s="85"/>
      <c r="C210" s="36" t="s">
        <v>172</v>
      </c>
      <c r="D210" s="36">
        <f>110.02*10.764</f>
        <v>1184.2552799999999</v>
      </c>
      <c r="E210" s="36">
        <v>0</v>
      </c>
      <c r="F210" s="36">
        <v>2356.8000000000002</v>
      </c>
      <c r="G210" s="137"/>
      <c r="H210" s="138"/>
    </row>
    <row r="211" spans="1:11" s="63" customFormat="1" ht="17.25" customHeight="1" x14ac:dyDescent="0.25">
      <c r="A211" s="85" t="s">
        <v>252</v>
      </c>
      <c r="B211" s="85"/>
      <c r="C211" s="36" t="s">
        <v>172</v>
      </c>
      <c r="D211" s="36">
        <f>42.25*10.764</f>
        <v>454.779</v>
      </c>
      <c r="E211" s="36">
        <v>0</v>
      </c>
      <c r="F211" s="36">
        <v>945.6</v>
      </c>
      <c r="G211" s="137"/>
      <c r="H211" s="138"/>
      <c r="I211" s="63">
        <f>7340000/F213</f>
        <v>7828.4982935153585</v>
      </c>
    </row>
    <row r="212" spans="1:11" s="63" customFormat="1" ht="17.25" customHeight="1" x14ac:dyDescent="0.25">
      <c r="A212" s="85" t="s">
        <v>259</v>
      </c>
      <c r="B212" s="85"/>
      <c r="C212" s="36" t="s">
        <v>172</v>
      </c>
      <c r="D212" s="36">
        <f>63.87*10.764</f>
        <v>687.49667999999997</v>
      </c>
      <c r="E212" s="36">
        <v>0</v>
      </c>
      <c r="F212" s="36">
        <v>1390.4</v>
      </c>
      <c r="G212" s="137"/>
      <c r="H212" s="138"/>
      <c r="I212" s="63">
        <f t="shared" ref="I212" si="1">7340000/F214</f>
        <v>7909.4827586206893</v>
      </c>
    </row>
    <row r="213" spans="1:11" s="63" customFormat="1" ht="17.25" customHeight="1" x14ac:dyDescent="0.25">
      <c r="A213" s="85" t="s">
        <v>253</v>
      </c>
      <c r="B213" s="85"/>
      <c r="C213" s="36" t="s">
        <v>172</v>
      </c>
      <c r="D213" s="36">
        <f>41.82*10.764</f>
        <v>450.15047999999996</v>
      </c>
      <c r="E213" s="36">
        <v>0</v>
      </c>
      <c r="F213" s="36">
        <v>937.6</v>
      </c>
      <c r="G213" s="137"/>
      <c r="H213" s="138"/>
    </row>
    <row r="214" spans="1:11" s="63" customFormat="1" ht="17.25" customHeight="1" x14ac:dyDescent="0.25">
      <c r="A214" s="85" t="s">
        <v>254</v>
      </c>
      <c r="B214" s="85"/>
      <c r="C214" s="36" t="s">
        <v>172</v>
      </c>
      <c r="D214" s="36">
        <f>41.38*10.764</f>
        <v>445.41431999999998</v>
      </c>
      <c r="E214" s="36">
        <v>0</v>
      </c>
      <c r="F214" s="36">
        <v>928</v>
      </c>
      <c r="G214" s="137"/>
      <c r="H214" s="138"/>
    </row>
    <row r="215" spans="1:11" s="63" customFormat="1" ht="17.25" customHeight="1" x14ac:dyDescent="0.25">
      <c r="A215" s="85" t="s">
        <v>255</v>
      </c>
      <c r="B215" s="85"/>
      <c r="C215" s="141" t="s">
        <v>176</v>
      </c>
      <c r="D215" s="212"/>
      <c r="E215" s="212"/>
      <c r="F215" s="142"/>
      <c r="G215" s="137"/>
      <c r="H215" s="138"/>
    </row>
    <row r="216" spans="1:11" s="63" customFormat="1" ht="17.25" customHeight="1" x14ac:dyDescent="0.25">
      <c r="A216" s="85" t="s">
        <v>260</v>
      </c>
      <c r="B216" s="85"/>
      <c r="C216" s="36" t="s">
        <v>172</v>
      </c>
      <c r="D216" s="36">
        <f>60.22*10.764</f>
        <v>648.20808</v>
      </c>
      <c r="E216" s="36">
        <v>0</v>
      </c>
      <c r="F216" s="36">
        <v>1204.8</v>
      </c>
      <c r="G216" s="137"/>
      <c r="H216" s="138"/>
      <c r="J216" s="63">
        <f>15.19/2.6</f>
        <v>5.842307692307692</v>
      </c>
      <c r="K216" s="63">
        <f>8.35/1.2</f>
        <v>6.958333333333333</v>
      </c>
    </row>
    <row r="217" spans="1:11" s="63" customFormat="1" ht="17.25" customHeight="1" x14ac:dyDescent="0.25">
      <c r="A217" s="85" t="s">
        <v>256</v>
      </c>
      <c r="B217" s="85"/>
      <c r="C217" s="36" t="s">
        <v>172</v>
      </c>
      <c r="D217" s="36">
        <f>45.32*10.764</f>
        <v>487.82447999999999</v>
      </c>
      <c r="E217" s="36">
        <v>0</v>
      </c>
      <c r="F217" s="36">
        <v>910.40000000000009</v>
      </c>
      <c r="G217" s="137"/>
      <c r="H217" s="138"/>
      <c r="J217" s="63">
        <f>15.19/2.6</f>
        <v>5.842307692307692</v>
      </c>
      <c r="K217" s="63">
        <f>8.35/1.2</f>
        <v>6.958333333333333</v>
      </c>
    </row>
    <row r="218" spans="1:11" s="63" customFormat="1" ht="17.25" customHeight="1" x14ac:dyDescent="0.25">
      <c r="A218" s="85" t="s">
        <v>257</v>
      </c>
      <c r="B218" s="85"/>
      <c r="C218" s="36" t="s">
        <v>172</v>
      </c>
      <c r="D218" s="36">
        <f>70.05*10.764</f>
        <v>754.01819999999998</v>
      </c>
      <c r="E218" s="36">
        <v>0</v>
      </c>
      <c r="F218" s="36">
        <v>1348.8000000000002</v>
      </c>
      <c r="G218" s="137"/>
      <c r="H218" s="138"/>
    </row>
    <row r="219" spans="1:11" s="63" customFormat="1" ht="17.25" customHeight="1" x14ac:dyDescent="0.25">
      <c r="A219" s="85" t="s">
        <v>258</v>
      </c>
      <c r="B219" s="85"/>
      <c r="C219" s="36" t="s">
        <v>172</v>
      </c>
      <c r="D219" s="36">
        <f>47.62*10.764</f>
        <v>512.58167999999989</v>
      </c>
      <c r="E219" s="36">
        <v>0</v>
      </c>
      <c r="F219" s="36">
        <v>947.2</v>
      </c>
      <c r="G219" s="139"/>
      <c r="H219" s="140"/>
    </row>
    <row r="220" spans="1:11" s="63" customFormat="1" ht="17.25" customHeight="1" x14ac:dyDescent="0.25">
      <c r="A220" s="109" t="s">
        <v>215</v>
      </c>
      <c r="B220" s="109"/>
      <c r="C220" s="109"/>
      <c r="D220" s="109"/>
      <c r="E220" s="109"/>
      <c r="F220" s="109"/>
      <c r="G220" s="109"/>
      <c r="H220" s="109"/>
    </row>
    <row r="221" spans="1:11" s="63" customFormat="1" ht="17.25" customHeight="1" x14ac:dyDescent="0.25">
      <c r="A221" s="85" t="s">
        <v>177</v>
      </c>
      <c r="B221" s="85"/>
      <c r="C221" s="141" t="s">
        <v>280</v>
      </c>
      <c r="D221" s="212"/>
      <c r="E221" s="212"/>
      <c r="F221" s="142"/>
      <c r="G221" s="135" t="str">
        <f>A220</f>
        <v>14th Floor</v>
      </c>
      <c r="H221" s="136"/>
    </row>
    <row r="222" spans="1:11" s="63" customFormat="1" ht="17.25" customHeight="1" x14ac:dyDescent="0.25">
      <c r="A222" s="85" t="s">
        <v>178</v>
      </c>
      <c r="B222" s="85"/>
      <c r="C222" s="141" t="s">
        <v>176</v>
      </c>
      <c r="D222" s="212"/>
      <c r="E222" s="212"/>
      <c r="F222" s="142"/>
      <c r="G222" s="137"/>
      <c r="H222" s="138"/>
    </row>
    <row r="223" spans="1:11" s="63" customFormat="1" ht="17.25" customHeight="1" x14ac:dyDescent="0.25">
      <c r="A223" s="85" t="s">
        <v>179</v>
      </c>
      <c r="B223" s="85"/>
      <c r="C223" s="36" t="s">
        <v>172</v>
      </c>
      <c r="D223" s="36">
        <f>117.81*10.764</f>
        <v>1268.1068399999999</v>
      </c>
      <c r="E223" s="36">
        <v>0</v>
      </c>
      <c r="F223" s="36">
        <v>2880</v>
      </c>
      <c r="G223" s="137"/>
      <c r="H223" s="138"/>
    </row>
    <row r="224" spans="1:11" s="63" customFormat="1" ht="17.25" customHeight="1" x14ac:dyDescent="0.25">
      <c r="A224" s="85" t="s">
        <v>180</v>
      </c>
      <c r="B224" s="85"/>
      <c r="C224" s="36" t="s">
        <v>172</v>
      </c>
      <c r="D224" s="36">
        <f>43.2*10.764</f>
        <v>465.00479999999999</v>
      </c>
      <c r="E224" s="36">
        <v>0</v>
      </c>
      <c r="F224" s="36">
        <v>1072</v>
      </c>
      <c r="G224" s="137"/>
      <c r="H224" s="138"/>
    </row>
    <row r="225" spans="1:10" s="63" customFormat="1" ht="17.25" customHeight="1" x14ac:dyDescent="0.25">
      <c r="A225" s="85" t="s">
        <v>181</v>
      </c>
      <c r="B225" s="85"/>
      <c r="C225" s="141" t="s">
        <v>280</v>
      </c>
      <c r="D225" s="212"/>
      <c r="E225" s="212"/>
      <c r="F225" s="142"/>
      <c r="G225" s="137"/>
      <c r="H225" s="138"/>
    </row>
    <row r="226" spans="1:10" s="63" customFormat="1" ht="17.25" customHeight="1" x14ac:dyDescent="0.25">
      <c r="A226" s="85" t="s">
        <v>182</v>
      </c>
      <c r="B226" s="85"/>
      <c r="C226" s="141" t="s">
        <v>280</v>
      </c>
      <c r="D226" s="212"/>
      <c r="E226" s="212"/>
      <c r="F226" s="142"/>
      <c r="G226" s="137"/>
      <c r="H226" s="138"/>
    </row>
    <row r="227" spans="1:10" s="63" customFormat="1" ht="17.25" customHeight="1" x14ac:dyDescent="0.25">
      <c r="A227" s="85" t="s">
        <v>183</v>
      </c>
      <c r="B227" s="85"/>
      <c r="C227" s="36" t="s">
        <v>172</v>
      </c>
      <c r="D227" s="36">
        <f>41.82*10.764</f>
        <v>450.15047999999996</v>
      </c>
      <c r="E227" s="36">
        <v>0</v>
      </c>
      <c r="F227" s="36">
        <v>937.6</v>
      </c>
      <c r="G227" s="137"/>
      <c r="H227" s="138"/>
    </row>
    <row r="228" spans="1:10" s="63" customFormat="1" ht="17.25" customHeight="1" x14ac:dyDescent="0.25">
      <c r="A228" s="85" t="s">
        <v>184</v>
      </c>
      <c r="B228" s="85"/>
      <c r="C228" s="36" t="s">
        <v>172</v>
      </c>
      <c r="D228" s="36">
        <f>41.38*10.764</f>
        <v>445.41431999999998</v>
      </c>
      <c r="E228" s="36">
        <v>0</v>
      </c>
      <c r="F228" s="36">
        <v>928</v>
      </c>
      <c r="G228" s="137"/>
      <c r="H228" s="138"/>
    </row>
    <row r="229" spans="1:10" s="63" customFormat="1" ht="17.25" customHeight="1" x14ac:dyDescent="0.25">
      <c r="A229" s="85" t="s">
        <v>185</v>
      </c>
      <c r="B229" s="85"/>
      <c r="C229" s="36" t="s">
        <v>172</v>
      </c>
      <c r="D229" s="36">
        <f>86.62*10.764</f>
        <v>932.37767999999994</v>
      </c>
      <c r="E229" s="36">
        <v>0</v>
      </c>
      <c r="F229" s="36">
        <v>1974.4</v>
      </c>
      <c r="G229" s="137"/>
      <c r="H229" s="138"/>
    </row>
    <row r="230" spans="1:10" s="63" customFormat="1" ht="17.25" customHeight="1" x14ac:dyDescent="0.25">
      <c r="A230" s="85" t="s">
        <v>216</v>
      </c>
      <c r="B230" s="85"/>
      <c r="C230" s="36" t="s">
        <v>172</v>
      </c>
      <c r="D230" s="36">
        <f>60.22*10.764</f>
        <v>648.20808</v>
      </c>
      <c r="E230" s="36">
        <v>0</v>
      </c>
      <c r="F230" s="36">
        <v>1204.8</v>
      </c>
      <c r="G230" s="137"/>
      <c r="H230" s="138"/>
      <c r="J230" s="63">
        <f>15.19/2.6</f>
        <v>5.842307692307692</v>
      </c>
    </row>
    <row r="231" spans="1:10" s="63" customFormat="1" ht="17.25" customHeight="1" x14ac:dyDescent="0.25">
      <c r="A231" s="85" t="s">
        <v>217</v>
      </c>
      <c r="B231" s="85"/>
      <c r="C231" s="36" t="s">
        <v>172</v>
      </c>
      <c r="D231" s="36">
        <f>45.32*10.764</f>
        <v>487.82447999999999</v>
      </c>
      <c r="E231" s="36">
        <v>0</v>
      </c>
      <c r="F231" s="36">
        <v>910.40000000000009</v>
      </c>
      <c r="G231" s="137"/>
      <c r="H231" s="138"/>
      <c r="J231" s="63">
        <f>15.19/2.6</f>
        <v>5.842307692307692</v>
      </c>
    </row>
    <row r="232" spans="1:10" s="63" customFormat="1" ht="17.25" customHeight="1" x14ac:dyDescent="0.25">
      <c r="A232" s="85" t="s">
        <v>218</v>
      </c>
      <c r="B232" s="85"/>
      <c r="C232" s="141" t="s">
        <v>280</v>
      </c>
      <c r="D232" s="212"/>
      <c r="E232" s="212"/>
      <c r="F232" s="142"/>
      <c r="G232" s="137"/>
      <c r="H232" s="138"/>
    </row>
    <row r="233" spans="1:10" s="63" customFormat="1" ht="17.25" customHeight="1" x14ac:dyDescent="0.25">
      <c r="A233" s="85" t="s">
        <v>219</v>
      </c>
      <c r="B233" s="85"/>
      <c r="C233" s="141" t="s">
        <v>280</v>
      </c>
      <c r="D233" s="212"/>
      <c r="E233" s="212"/>
      <c r="F233" s="142"/>
      <c r="G233" s="139"/>
      <c r="H233" s="140"/>
    </row>
    <row r="234" spans="1:10" s="63" customFormat="1" ht="17.25" customHeight="1" x14ac:dyDescent="0.25">
      <c r="A234" s="109" t="s">
        <v>173</v>
      </c>
      <c r="B234" s="109"/>
      <c r="C234" s="109"/>
      <c r="D234" s="109"/>
      <c r="E234" s="109"/>
      <c r="F234" s="109"/>
      <c r="G234" s="109"/>
      <c r="H234" s="109"/>
      <c r="I234" s="63">
        <f>5500000/F236</f>
        <v>5329.4573643410849</v>
      </c>
      <c r="J234" s="63">
        <f>F236/D236</f>
        <v>1.6849760870544856</v>
      </c>
    </row>
    <row r="235" spans="1:10" s="63" customFormat="1" ht="17.25" customHeight="1" x14ac:dyDescent="0.25">
      <c r="A235" s="109" t="s">
        <v>174</v>
      </c>
      <c r="B235" s="109"/>
      <c r="C235" s="109"/>
      <c r="D235" s="109"/>
      <c r="E235" s="109"/>
      <c r="F235" s="109"/>
      <c r="G235" s="109"/>
      <c r="H235" s="109"/>
      <c r="I235" s="63">
        <f>5400000/F237</f>
        <v>7450.3311258278136</v>
      </c>
      <c r="J235" s="63">
        <f>7.85*3.9+2.1*2.3+5.45*3.87</f>
        <v>56.536500000000004</v>
      </c>
    </row>
    <row r="236" spans="1:10" s="63" customFormat="1" ht="17.25" customHeight="1" x14ac:dyDescent="0.25">
      <c r="A236" s="85" t="s">
        <v>281</v>
      </c>
      <c r="B236" s="85"/>
      <c r="C236" s="36" t="s">
        <v>175</v>
      </c>
      <c r="D236" s="36">
        <f>56.9*10.764</f>
        <v>612.47159999999997</v>
      </c>
      <c r="E236" s="36">
        <v>0</v>
      </c>
      <c r="F236" s="36">
        <v>1032</v>
      </c>
      <c r="G236" s="135" t="str">
        <f>A235</f>
        <v>Ground Floor for Commercial &amp; Parking</v>
      </c>
      <c r="H236" s="136"/>
    </row>
    <row r="237" spans="1:10" s="63" customFormat="1" ht="17.25" customHeight="1" x14ac:dyDescent="0.25">
      <c r="A237" s="85" t="s">
        <v>282</v>
      </c>
      <c r="B237" s="85"/>
      <c r="C237" s="36" t="s">
        <v>175</v>
      </c>
      <c r="D237" s="36">
        <f>39.05*10.764</f>
        <v>420.33419999999995</v>
      </c>
      <c r="E237" s="36">
        <v>0</v>
      </c>
      <c r="F237" s="36">
        <v>724.80000000000007</v>
      </c>
      <c r="G237" s="137"/>
      <c r="H237" s="138"/>
    </row>
    <row r="238" spans="1:10" s="63" customFormat="1" ht="17.25" customHeight="1" x14ac:dyDescent="0.25">
      <c r="A238" s="85" t="s">
        <v>283</v>
      </c>
      <c r="B238" s="85"/>
      <c r="C238" s="36" t="s">
        <v>175</v>
      </c>
      <c r="D238" s="36">
        <f>39.05*10.764</f>
        <v>420.33419999999995</v>
      </c>
      <c r="E238" s="36">
        <v>0</v>
      </c>
      <c r="F238" s="36">
        <v>724.80000000000007</v>
      </c>
      <c r="G238" s="137"/>
      <c r="H238" s="138"/>
    </row>
    <row r="239" spans="1:10" s="63" customFormat="1" ht="17.25" customHeight="1" x14ac:dyDescent="0.25">
      <c r="A239" s="85" t="s">
        <v>284</v>
      </c>
      <c r="B239" s="85"/>
      <c r="C239" s="36" t="s">
        <v>175</v>
      </c>
      <c r="D239" s="36">
        <f t="shared" ref="D239:D243" si="2">39.05*10.764</f>
        <v>420.33419999999995</v>
      </c>
      <c r="E239" s="36">
        <v>0</v>
      </c>
      <c r="F239" s="36">
        <v>724.80000000000007</v>
      </c>
      <c r="G239" s="137"/>
      <c r="H239" s="138"/>
    </row>
    <row r="240" spans="1:10" s="63" customFormat="1" ht="17.25" customHeight="1" x14ac:dyDescent="0.25">
      <c r="A240" s="85" t="s">
        <v>285</v>
      </c>
      <c r="B240" s="85"/>
      <c r="C240" s="36" t="s">
        <v>175</v>
      </c>
      <c r="D240" s="36">
        <f t="shared" si="2"/>
        <v>420.33419999999995</v>
      </c>
      <c r="E240" s="36">
        <v>0</v>
      </c>
      <c r="F240" s="36">
        <v>724.80000000000007</v>
      </c>
      <c r="G240" s="137"/>
      <c r="H240" s="138"/>
    </row>
    <row r="241" spans="1:10" s="63" customFormat="1" ht="17.25" customHeight="1" x14ac:dyDescent="0.25">
      <c r="A241" s="85" t="s">
        <v>286</v>
      </c>
      <c r="B241" s="85"/>
      <c r="C241" s="36" t="s">
        <v>175</v>
      </c>
      <c r="D241" s="36">
        <f t="shared" si="2"/>
        <v>420.33419999999995</v>
      </c>
      <c r="E241" s="36">
        <v>0</v>
      </c>
      <c r="F241" s="36">
        <v>724.80000000000007</v>
      </c>
      <c r="G241" s="137"/>
      <c r="H241" s="138"/>
    </row>
    <row r="242" spans="1:10" s="63" customFormat="1" ht="17.25" customHeight="1" x14ac:dyDescent="0.25">
      <c r="A242" s="85" t="s">
        <v>287</v>
      </c>
      <c r="B242" s="85"/>
      <c r="C242" s="36" t="s">
        <v>175</v>
      </c>
      <c r="D242" s="36">
        <f t="shared" si="2"/>
        <v>420.33419999999995</v>
      </c>
      <c r="E242" s="36">
        <v>0</v>
      </c>
      <c r="F242" s="36">
        <v>724.80000000000007</v>
      </c>
      <c r="G242" s="137"/>
      <c r="H242" s="138"/>
    </row>
    <row r="243" spans="1:10" s="63" customFormat="1" ht="17.25" customHeight="1" x14ac:dyDescent="0.25">
      <c r="A243" s="85" t="s">
        <v>288</v>
      </c>
      <c r="B243" s="85"/>
      <c r="C243" s="36" t="s">
        <v>175</v>
      </c>
      <c r="D243" s="36">
        <f t="shared" si="2"/>
        <v>420.33419999999995</v>
      </c>
      <c r="E243" s="36">
        <v>0</v>
      </c>
      <c r="F243" s="36">
        <v>724.80000000000007</v>
      </c>
      <c r="G243" s="137"/>
      <c r="H243" s="138"/>
      <c r="J243" s="63">
        <f>F245/D244</f>
        <v>1.4807987105024432</v>
      </c>
    </row>
    <row r="244" spans="1:10" s="63" customFormat="1" ht="17.25" customHeight="1" x14ac:dyDescent="0.25">
      <c r="A244" s="85" t="s">
        <v>289</v>
      </c>
      <c r="B244" s="85"/>
      <c r="C244" s="36" t="s">
        <v>175</v>
      </c>
      <c r="D244" s="36">
        <f>39.55*10.764</f>
        <v>425.71619999999996</v>
      </c>
      <c r="E244" s="36">
        <v>0</v>
      </c>
      <c r="F244" s="36">
        <v>732.80000000000007</v>
      </c>
      <c r="G244" s="137"/>
      <c r="H244" s="138"/>
    </row>
    <row r="245" spans="1:10" s="63" customFormat="1" ht="17.25" customHeight="1" x14ac:dyDescent="0.25">
      <c r="A245" s="85" t="s">
        <v>290</v>
      </c>
      <c r="B245" s="85"/>
      <c r="C245" s="36" t="s">
        <v>175</v>
      </c>
      <c r="D245" s="36">
        <f>33.58*10.764</f>
        <v>361.45511999999997</v>
      </c>
      <c r="E245" s="36">
        <v>0</v>
      </c>
      <c r="F245" s="36">
        <v>630.40000000000009</v>
      </c>
      <c r="G245" s="137"/>
      <c r="H245" s="138"/>
    </row>
    <row r="246" spans="1:10" s="63" customFormat="1" ht="17.25" customHeight="1" x14ac:dyDescent="0.25">
      <c r="A246" s="85" t="s">
        <v>291</v>
      </c>
      <c r="B246" s="85"/>
      <c r="C246" s="36" t="s">
        <v>175</v>
      </c>
      <c r="D246" s="36">
        <f t="shared" ref="D246:D247" si="3">33.58*10.764</f>
        <v>361.45511999999997</v>
      </c>
      <c r="E246" s="36">
        <v>0</v>
      </c>
      <c r="F246" s="36">
        <v>630.40000000000009</v>
      </c>
      <c r="G246" s="137"/>
      <c r="H246" s="138"/>
    </row>
    <row r="247" spans="1:10" s="63" customFormat="1" ht="17.25" customHeight="1" x14ac:dyDescent="0.25">
      <c r="A247" s="85" t="s">
        <v>292</v>
      </c>
      <c r="B247" s="85"/>
      <c r="C247" s="36" t="s">
        <v>175</v>
      </c>
      <c r="D247" s="36">
        <f t="shared" si="3"/>
        <v>361.45511999999997</v>
      </c>
      <c r="E247" s="36">
        <v>0</v>
      </c>
      <c r="F247" s="36">
        <v>630.40000000000009</v>
      </c>
      <c r="G247" s="137"/>
      <c r="H247" s="138"/>
    </row>
    <row r="248" spans="1:10" s="63" customFormat="1" ht="17.25" customHeight="1" x14ac:dyDescent="0.25">
      <c r="A248" s="85" t="s">
        <v>293</v>
      </c>
      <c r="B248" s="85"/>
      <c r="C248" s="36" t="s">
        <v>175</v>
      </c>
      <c r="D248" s="36">
        <f>39.05*10.764</f>
        <v>420.33419999999995</v>
      </c>
      <c r="E248" s="36">
        <v>0</v>
      </c>
      <c r="F248" s="36">
        <v>724.80000000000007</v>
      </c>
      <c r="G248" s="137"/>
      <c r="H248" s="138"/>
    </row>
    <row r="249" spans="1:10" s="63" customFormat="1" ht="17.25" customHeight="1" x14ac:dyDescent="0.25">
      <c r="A249" s="85" t="s">
        <v>294</v>
      </c>
      <c r="B249" s="85"/>
      <c r="C249" s="36" t="s">
        <v>175</v>
      </c>
      <c r="D249" s="36">
        <f t="shared" ref="D249:D251" si="4">39.05*10.764</f>
        <v>420.33419999999995</v>
      </c>
      <c r="E249" s="36">
        <v>0</v>
      </c>
      <c r="F249" s="36">
        <v>724.80000000000007</v>
      </c>
      <c r="G249" s="137"/>
      <c r="H249" s="138"/>
    </row>
    <row r="250" spans="1:10" s="63" customFormat="1" ht="17.25" customHeight="1" x14ac:dyDescent="0.25">
      <c r="A250" s="85" t="s">
        <v>295</v>
      </c>
      <c r="B250" s="85"/>
      <c r="C250" s="36" t="s">
        <v>175</v>
      </c>
      <c r="D250" s="36">
        <f t="shared" si="4"/>
        <v>420.33419999999995</v>
      </c>
      <c r="E250" s="36">
        <v>0</v>
      </c>
      <c r="F250" s="36">
        <v>724.80000000000007</v>
      </c>
      <c r="G250" s="137"/>
      <c r="H250" s="138"/>
    </row>
    <row r="251" spans="1:10" s="63" customFormat="1" ht="17.25" customHeight="1" x14ac:dyDescent="0.25">
      <c r="A251" s="85" t="s">
        <v>296</v>
      </c>
      <c r="B251" s="85"/>
      <c r="C251" s="36" t="s">
        <v>175</v>
      </c>
      <c r="D251" s="36">
        <f t="shared" si="4"/>
        <v>420.33419999999995</v>
      </c>
      <c r="E251" s="36">
        <v>0</v>
      </c>
      <c r="F251" s="36">
        <v>732.80000000000007</v>
      </c>
      <c r="G251" s="137"/>
      <c r="H251" s="138"/>
      <c r="I251" s="63">
        <f>6.5*3.845+3.45*2.245+2.2*1.7</f>
        <v>36.47775</v>
      </c>
    </row>
    <row r="252" spans="1:10" s="63" customFormat="1" ht="17.25" customHeight="1" x14ac:dyDescent="0.25">
      <c r="A252" s="85" t="s">
        <v>297</v>
      </c>
      <c r="B252" s="85"/>
      <c r="C252" s="36" t="s">
        <v>175</v>
      </c>
      <c r="D252" s="36">
        <f>33.23*10.764</f>
        <v>357.68771999999996</v>
      </c>
      <c r="E252" s="36">
        <v>0</v>
      </c>
      <c r="F252" s="36">
        <v>624</v>
      </c>
      <c r="G252" s="137"/>
      <c r="H252" s="138"/>
    </row>
    <row r="253" spans="1:10" s="63" customFormat="1" ht="17.25" customHeight="1" x14ac:dyDescent="0.25">
      <c r="A253" s="85" t="s">
        <v>298</v>
      </c>
      <c r="B253" s="85"/>
      <c r="C253" s="36" t="s">
        <v>175</v>
      </c>
      <c r="D253" s="36">
        <f>33.23*10.764</f>
        <v>357.68771999999996</v>
      </c>
      <c r="E253" s="36">
        <v>0</v>
      </c>
      <c r="F253" s="36">
        <v>624</v>
      </c>
      <c r="G253" s="139"/>
      <c r="H253" s="140"/>
    </row>
    <row r="254" spans="1:10" s="63" customFormat="1" ht="17.25" customHeight="1" x14ac:dyDescent="0.25">
      <c r="A254" s="109" t="s">
        <v>220</v>
      </c>
      <c r="B254" s="109"/>
      <c r="C254" s="109"/>
      <c r="D254" s="109"/>
      <c r="E254" s="109"/>
      <c r="F254" s="109"/>
      <c r="G254" s="109"/>
      <c r="H254" s="109"/>
    </row>
    <row r="255" spans="1:10" s="63" customFormat="1" ht="17.25" customHeight="1" x14ac:dyDescent="0.25">
      <c r="A255" s="141" t="s">
        <v>261</v>
      </c>
      <c r="B255" s="142"/>
      <c r="C255" s="36" t="s">
        <v>172</v>
      </c>
      <c r="D255" s="36">
        <f>49.33*10.764</f>
        <v>530.98811999999998</v>
      </c>
      <c r="E255" s="36">
        <v>0</v>
      </c>
      <c r="F255" s="36">
        <v>1054.4000000000001</v>
      </c>
      <c r="G255" s="135" t="str">
        <f>A254</f>
        <v xml:space="preserve">1st to 4th Floor </v>
      </c>
      <c r="H255" s="136"/>
    </row>
    <row r="256" spans="1:10" s="63" customFormat="1" ht="17.25" customHeight="1" x14ac:dyDescent="0.25">
      <c r="A256" s="141" t="s">
        <v>262</v>
      </c>
      <c r="B256" s="142"/>
      <c r="C256" s="36" t="s">
        <v>172</v>
      </c>
      <c r="D256" s="36">
        <f>34.83*10.764</f>
        <v>374.91011999999995</v>
      </c>
      <c r="E256" s="36">
        <v>0</v>
      </c>
      <c r="F256" s="36">
        <v>739.2</v>
      </c>
      <c r="G256" s="137"/>
      <c r="H256" s="138"/>
    </row>
    <row r="257" spans="1:10" s="63" customFormat="1" ht="17.25" customHeight="1" x14ac:dyDescent="0.25">
      <c r="A257" s="141" t="s">
        <v>263</v>
      </c>
      <c r="B257" s="142"/>
      <c r="C257" s="36" t="s">
        <v>172</v>
      </c>
      <c r="D257" s="36">
        <f>34.83*10.764</f>
        <v>374.91011999999995</v>
      </c>
      <c r="E257" s="36">
        <v>0</v>
      </c>
      <c r="F257" s="36">
        <v>739.2</v>
      </c>
      <c r="G257" s="137"/>
      <c r="H257" s="138"/>
    </row>
    <row r="258" spans="1:10" s="63" customFormat="1" ht="17.25" customHeight="1" x14ac:dyDescent="0.25">
      <c r="A258" s="141" t="s">
        <v>264</v>
      </c>
      <c r="B258" s="142"/>
      <c r="C258" s="36" t="s">
        <v>172</v>
      </c>
      <c r="D258" s="36">
        <f t="shared" ref="D258:D262" si="5">34.83*10.764</f>
        <v>374.91011999999995</v>
      </c>
      <c r="E258" s="36">
        <v>0</v>
      </c>
      <c r="F258" s="36">
        <v>739.2</v>
      </c>
      <c r="G258" s="137"/>
      <c r="H258" s="138"/>
    </row>
    <row r="259" spans="1:10" s="63" customFormat="1" x14ac:dyDescent="0.25">
      <c r="A259" s="141" t="s">
        <v>265</v>
      </c>
      <c r="B259" s="142"/>
      <c r="C259" s="36" t="s">
        <v>172</v>
      </c>
      <c r="D259" s="36">
        <f t="shared" si="5"/>
        <v>374.91011999999995</v>
      </c>
      <c r="E259" s="36">
        <v>0</v>
      </c>
      <c r="F259" s="36">
        <v>739.2</v>
      </c>
      <c r="G259" s="137"/>
      <c r="H259" s="138"/>
    </row>
    <row r="260" spans="1:10" s="58" customFormat="1" x14ac:dyDescent="0.25">
      <c r="A260" s="141" t="s">
        <v>266</v>
      </c>
      <c r="B260" s="142"/>
      <c r="C260" s="36" t="s">
        <v>172</v>
      </c>
      <c r="D260" s="36">
        <f t="shared" si="5"/>
        <v>374.91011999999995</v>
      </c>
      <c r="E260" s="36">
        <v>0</v>
      </c>
      <c r="F260" s="36">
        <v>739.2</v>
      </c>
      <c r="G260" s="137"/>
      <c r="H260" s="138"/>
      <c r="I260" s="63"/>
      <c r="J260" s="63"/>
    </row>
    <row r="261" spans="1:10" s="64" customFormat="1" x14ac:dyDescent="0.25">
      <c r="A261" s="141" t="s">
        <v>267</v>
      </c>
      <c r="B261" s="142"/>
      <c r="C261" s="36" t="s">
        <v>172</v>
      </c>
      <c r="D261" s="36">
        <f t="shared" si="5"/>
        <v>374.91011999999995</v>
      </c>
      <c r="E261" s="36">
        <v>0</v>
      </c>
      <c r="F261" s="36">
        <v>739.2</v>
      </c>
      <c r="G261" s="137"/>
      <c r="H261" s="138"/>
      <c r="I261" s="63"/>
      <c r="J261" s="63"/>
    </row>
    <row r="262" spans="1:10" x14ac:dyDescent="0.25">
      <c r="A262" s="141" t="s">
        <v>268</v>
      </c>
      <c r="B262" s="142"/>
      <c r="C262" s="36" t="s">
        <v>172</v>
      </c>
      <c r="D262" s="36">
        <f t="shared" si="5"/>
        <v>374.91011999999995</v>
      </c>
      <c r="E262" s="36">
        <v>0</v>
      </c>
      <c r="F262" s="36">
        <v>739.2</v>
      </c>
      <c r="G262" s="137"/>
      <c r="H262" s="138"/>
      <c r="I262" s="63"/>
      <c r="J262" s="63"/>
    </row>
    <row r="263" spans="1:10" x14ac:dyDescent="0.25">
      <c r="A263" s="141" t="s">
        <v>269</v>
      </c>
      <c r="B263" s="142"/>
      <c r="C263" s="36" t="s">
        <v>172</v>
      </c>
      <c r="D263" s="36">
        <f>35.28*10.764</f>
        <v>379.75391999999999</v>
      </c>
      <c r="E263" s="36">
        <v>0</v>
      </c>
      <c r="F263" s="36">
        <v>747.2</v>
      </c>
      <c r="G263" s="137"/>
      <c r="H263" s="138"/>
      <c r="I263" s="63"/>
      <c r="J263" s="63"/>
    </row>
    <row r="264" spans="1:10" ht="15.75" customHeight="1" x14ac:dyDescent="0.25">
      <c r="A264" s="141" t="s">
        <v>270</v>
      </c>
      <c r="B264" s="142"/>
      <c r="C264" s="36" t="s">
        <v>172</v>
      </c>
      <c r="D264" s="36">
        <f>34.6*10.764</f>
        <v>372.43439999999998</v>
      </c>
      <c r="E264" s="36">
        <v>0</v>
      </c>
      <c r="F264" s="36">
        <v>739.2</v>
      </c>
      <c r="G264" s="137"/>
      <c r="H264" s="138"/>
      <c r="I264" s="63"/>
      <c r="J264" s="63"/>
    </row>
    <row r="265" spans="1:10" x14ac:dyDescent="0.25">
      <c r="A265" s="141" t="s">
        <v>271</v>
      </c>
      <c r="B265" s="142"/>
      <c r="C265" s="36" t="s">
        <v>172</v>
      </c>
      <c r="D265" s="36">
        <f>29.7*10.764</f>
        <v>319.69079999999997</v>
      </c>
      <c r="E265" s="36">
        <v>0</v>
      </c>
      <c r="F265" s="36">
        <v>643.20000000000005</v>
      </c>
      <c r="G265" s="137"/>
      <c r="H265" s="138"/>
      <c r="I265" s="63">
        <f>9000*D267*1.5</f>
        <v>4315825.8</v>
      </c>
      <c r="J265" s="63"/>
    </row>
    <row r="266" spans="1:10" x14ac:dyDescent="0.25">
      <c r="A266" s="141" t="s">
        <v>272</v>
      </c>
      <c r="B266" s="142"/>
      <c r="C266" s="36" t="s">
        <v>172</v>
      </c>
      <c r="D266" s="36">
        <f>29.7*10.764</f>
        <v>319.69079999999997</v>
      </c>
      <c r="E266" s="36">
        <v>0</v>
      </c>
      <c r="F266" s="36">
        <v>643.20000000000005</v>
      </c>
      <c r="G266" s="137"/>
      <c r="H266" s="138"/>
      <c r="I266" s="63">
        <f>I265/F267</f>
        <v>6709.92817164179</v>
      </c>
      <c r="J266" s="63"/>
    </row>
    <row r="267" spans="1:10" x14ac:dyDescent="0.25">
      <c r="A267" s="141" t="s">
        <v>273</v>
      </c>
      <c r="B267" s="142"/>
      <c r="C267" s="36" t="s">
        <v>172</v>
      </c>
      <c r="D267" s="36">
        <f>29.7*10.764</f>
        <v>319.69079999999997</v>
      </c>
      <c r="E267" s="36">
        <v>0</v>
      </c>
      <c r="F267" s="36">
        <v>643.20000000000005</v>
      </c>
      <c r="G267" s="137"/>
      <c r="H267" s="138"/>
      <c r="I267" s="63"/>
      <c r="J267" s="63"/>
    </row>
    <row r="268" spans="1:10" x14ac:dyDescent="0.25">
      <c r="A268" s="141" t="s">
        <v>274</v>
      </c>
      <c r="B268" s="142"/>
      <c r="C268" s="36" t="s">
        <v>172</v>
      </c>
      <c r="D268" s="36">
        <f>34.6*10.764</f>
        <v>372.43439999999998</v>
      </c>
      <c r="E268" s="36">
        <v>0</v>
      </c>
      <c r="F268" s="36">
        <v>739.2</v>
      </c>
      <c r="G268" s="137"/>
      <c r="H268" s="138"/>
      <c r="I268" s="63"/>
      <c r="J268" s="63"/>
    </row>
    <row r="269" spans="1:10" x14ac:dyDescent="0.25">
      <c r="A269" s="141" t="s">
        <v>275</v>
      </c>
      <c r="B269" s="142"/>
      <c r="C269" s="36" t="s">
        <v>172</v>
      </c>
      <c r="D269" s="36">
        <f>34.6*10.764</f>
        <v>372.43439999999998</v>
      </c>
      <c r="E269" s="36">
        <v>0</v>
      </c>
      <c r="F269" s="36">
        <v>739.2</v>
      </c>
      <c r="G269" s="137"/>
      <c r="H269" s="138"/>
      <c r="I269" s="63"/>
      <c r="J269" s="63"/>
    </row>
    <row r="270" spans="1:10" x14ac:dyDescent="0.25">
      <c r="A270" s="141" t="s">
        <v>276</v>
      </c>
      <c r="B270" s="142"/>
      <c r="C270" s="36" t="s">
        <v>172</v>
      </c>
      <c r="D270" s="36">
        <f>34.6*10.764</f>
        <v>372.43439999999998</v>
      </c>
      <c r="E270" s="36">
        <v>0</v>
      </c>
      <c r="F270" s="36">
        <v>739.2</v>
      </c>
      <c r="G270" s="137"/>
      <c r="H270" s="138"/>
      <c r="I270" s="63"/>
      <c r="J270" s="63"/>
    </row>
    <row r="271" spans="1:10" x14ac:dyDescent="0.25">
      <c r="A271" s="141" t="s">
        <v>277</v>
      </c>
      <c r="B271" s="142"/>
      <c r="C271" s="36" t="s">
        <v>172</v>
      </c>
      <c r="D271" s="36">
        <f>35.05*10.764</f>
        <v>377.27819999999997</v>
      </c>
      <c r="E271" s="36">
        <v>0</v>
      </c>
      <c r="F271" s="36">
        <v>747.2</v>
      </c>
      <c r="G271" s="137"/>
      <c r="H271" s="138"/>
      <c r="I271" s="63"/>
      <c r="J271" s="63"/>
    </row>
    <row r="272" spans="1:10" x14ac:dyDescent="0.25">
      <c r="A272" s="141" t="s">
        <v>278</v>
      </c>
      <c r="B272" s="142"/>
      <c r="C272" s="36" t="s">
        <v>172</v>
      </c>
      <c r="D272" s="36">
        <f>29.39*10.764</f>
        <v>316.35395999999997</v>
      </c>
      <c r="E272" s="36">
        <v>0</v>
      </c>
      <c r="F272" s="36">
        <v>636.80000000000007</v>
      </c>
      <c r="G272" s="137"/>
      <c r="H272" s="138"/>
      <c r="I272" s="63"/>
      <c r="J272" s="63"/>
    </row>
    <row r="273" spans="1:10" x14ac:dyDescent="0.25">
      <c r="A273" s="141" t="s">
        <v>279</v>
      </c>
      <c r="B273" s="142"/>
      <c r="C273" s="36" t="s">
        <v>172</v>
      </c>
      <c r="D273" s="36">
        <f>44.08*10.764</f>
        <v>474.47711999999996</v>
      </c>
      <c r="E273" s="36">
        <v>0</v>
      </c>
      <c r="F273" s="36">
        <v>924.80000000000007</v>
      </c>
      <c r="G273" s="139"/>
      <c r="H273" s="140"/>
      <c r="I273" s="63"/>
      <c r="J273" s="63"/>
    </row>
    <row r="274" spans="1:10" x14ac:dyDescent="0.25">
      <c r="A274" s="109" t="s">
        <v>318</v>
      </c>
      <c r="B274" s="109"/>
      <c r="C274" s="109"/>
      <c r="D274" s="109"/>
      <c r="E274" s="109"/>
      <c r="F274" s="109"/>
      <c r="G274" s="109"/>
      <c r="H274" s="109"/>
      <c r="I274" s="63"/>
      <c r="J274" s="63"/>
    </row>
    <row r="275" spans="1:10" x14ac:dyDescent="0.25">
      <c r="A275" s="85" t="s">
        <v>221</v>
      </c>
      <c r="B275" s="85"/>
      <c r="C275" s="36" t="s">
        <v>172</v>
      </c>
      <c r="D275" s="36">
        <f>128.84*10.764</f>
        <v>1386.83376</v>
      </c>
      <c r="E275" s="36">
        <v>0</v>
      </c>
      <c r="F275" s="36">
        <v>2289.6</v>
      </c>
      <c r="G275" s="135" t="str">
        <f>A274</f>
        <v>5th Floor (Terrace Floor)</v>
      </c>
      <c r="H275" s="136"/>
      <c r="I275" s="58"/>
      <c r="J275" s="58"/>
    </row>
    <row r="276" spans="1:10" x14ac:dyDescent="0.25">
      <c r="A276" s="141"/>
      <c r="B276" s="212"/>
      <c r="C276" s="212"/>
      <c r="D276" s="212"/>
      <c r="E276" s="212"/>
      <c r="F276" s="212"/>
      <c r="G276" s="212"/>
      <c r="H276" s="142"/>
      <c r="I276" s="58"/>
      <c r="J276" s="58"/>
    </row>
    <row r="277" spans="1:10" ht="47.25" x14ac:dyDescent="0.25">
      <c r="A277" s="101" t="s">
        <v>352</v>
      </c>
      <c r="B277" s="101" t="s">
        <v>353</v>
      </c>
      <c r="C277" s="218" t="s">
        <v>60</v>
      </c>
      <c r="D277" s="218" t="s">
        <v>61</v>
      </c>
      <c r="E277" s="220" t="s">
        <v>62</v>
      </c>
      <c r="F277" s="72" t="s">
        <v>350</v>
      </c>
      <c r="G277" s="222" t="s">
        <v>63</v>
      </c>
      <c r="H277" s="223"/>
      <c r="I277" s="64"/>
      <c r="J277" s="64"/>
    </row>
    <row r="278" spans="1:10" x14ac:dyDescent="0.25">
      <c r="A278" s="101"/>
      <c r="B278" s="101"/>
      <c r="C278" s="219"/>
      <c r="D278" s="219"/>
      <c r="E278" s="221"/>
      <c r="F278" s="73">
        <v>0.5</v>
      </c>
      <c r="G278" s="224"/>
      <c r="H278" s="225"/>
      <c r="I278" s="74">
        <v>10.763999999999999</v>
      </c>
    </row>
    <row r="279" spans="1:10" x14ac:dyDescent="0.25">
      <c r="A279" s="231" t="s">
        <v>393</v>
      </c>
      <c r="B279" s="232"/>
      <c r="C279" s="232"/>
      <c r="D279" s="232"/>
      <c r="E279" s="232"/>
      <c r="F279" s="232"/>
      <c r="G279" s="232"/>
      <c r="H279" s="233"/>
      <c r="I279" s="83"/>
    </row>
    <row r="280" spans="1:10" x14ac:dyDescent="0.25">
      <c r="A280" s="109" t="s">
        <v>347</v>
      </c>
      <c r="B280" s="109"/>
      <c r="C280" s="109"/>
      <c r="D280" s="109"/>
      <c r="E280" s="109"/>
      <c r="F280" s="109"/>
      <c r="G280" s="109"/>
      <c r="H280" s="109"/>
    </row>
    <row r="281" spans="1:10" x14ac:dyDescent="0.25">
      <c r="A281" s="109" t="s">
        <v>348</v>
      </c>
      <c r="B281" s="109"/>
      <c r="C281" s="109"/>
      <c r="D281" s="109"/>
      <c r="E281" s="109"/>
      <c r="F281" s="109"/>
      <c r="G281" s="109"/>
      <c r="H281" s="109"/>
    </row>
    <row r="282" spans="1:10" ht="15.75" customHeight="1" x14ac:dyDescent="0.25">
      <c r="A282" s="109" t="s">
        <v>349</v>
      </c>
      <c r="B282" s="109"/>
      <c r="C282" s="109"/>
      <c r="D282" s="109"/>
      <c r="E282" s="109"/>
      <c r="F282" s="109"/>
      <c r="G282" s="109"/>
      <c r="H282" s="109"/>
    </row>
    <row r="283" spans="1:10" x14ac:dyDescent="0.25">
      <c r="A283" s="109" t="s">
        <v>351</v>
      </c>
      <c r="B283" s="109"/>
      <c r="C283" s="109"/>
      <c r="D283" s="109"/>
      <c r="E283" s="109"/>
      <c r="F283" s="109"/>
      <c r="G283" s="109"/>
      <c r="H283" s="109"/>
    </row>
    <row r="284" spans="1:10" ht="15.75" customHeight="1" x14ac:dyDescent="0.25">
      <c r="A284" s="85">
        <v>14</v>
      </c>
      <c r="B284" s="85"/>
      <c r="C284" s="36" t="s">
        <v>406</v>
      </c>
      <c r="D284" s="36">
        <f>(3.55*4.625+7.295*6.425+1.65*4.775+1.5*1.65)*10.764</f>
        <v>792.69190649999985</v>
      </c>
      <c r="E284" s="36">
        <v>0</v>
      </c>
      <c r="F284" s="36">
        <f>(D284+(IF(E284&lt;101,E284,IF(E284&lt;201,E284/2,IF(E284&lt;=301,E284/3,E284/4)))))*(($F$278)+1)</f>
        <v>1189.0378597499998</v>
      </c>
      <c r="G284" s="135" t="str">
        <f>A282</f>
        <v>1st to 3rd Podium Floor For Parking</v>
      </c>
      <c r="H284" s="136"/>
    </row>
    <row r="285" spans="1:10" ht="15.75" customHeight="1" x14ac:dyDescent="0.25">
      <c r="A285" s="85">
        <f>A284+1</f>
        <v>15</v>
      </c>
      <c r="B285" s="85"/>
      <c r="C285" s="36" t="s">
        <v>407</v>
      </c>
      <c r="D285" s="36">
        <f>(3.55*6.325+7.295*8.125+1.65*6.15+1.5*1.65)*10.764</f>
        <v>1015.5632175000001</v>
      </c>
      <c r="E285" s="36">
        <v>0</v>
      </c>
      <c r="F285" s="36">
        <f t="shared" ref="F285:F305" si="6">(D285+(IF(E285&lt;101,E285,IF(E285&lt;201,E285/2,IF(E285&lt;=301,E285/3,E285/4)))))*(($F$278)+1)</f>
        <v>1523.3448262500001</v>
      </c>
      <c r="G285" s="137"/>
      <c r="H285" s="138"/>
    </row>
    <row r="286" spans="1:10" ht="15.75" customHeight="1" x14ac:dyDescent="0.25">
      <c r="A286" s="85">
        <f t="shared" ref="A286:A295" si="7">A285+1</f>
        <v>16</v>
      </c>
      <c r="B286" s="85"/>
      <c r="C286" s="36" t="s">
        <v>407</v>
      </c>
      <c r="D286" s="36">
        <f>(3.55*4.725+7.295*6.525+1.65*4.55+1.5*1.65)*10.764</f>
        <v>800.36932949999982</v>
      </c>
      <c r="E286" s="36">
        <v>0</v>
      </c>
      <c r="F286" s="36">
        <f t="shared" si="6"/>
        <v>1200.5539942499997</v>
      </c>
      <c r="G286" s="137"/>
      <c r="H286" s="138"/>
    </row>
    <row r="287" spans="1:10" ht="15.75" customHeight="1" x14ac:dyDescent="0.25">
      <c r="A287" s="85">
        <f t="shared" si="7"/>
        <v>17</v>
      </c>
      <c r="B287" s="85"/>
      <c r="C287" s="36" t="s">
        <v>407</v>
      </c>
      <c r="D287" s="36">
        <f>(3.55*6+7.295*7.8+1.65*5.825+1.5*1.65)*10.764</f>
        <v>971.85195899999974</v>
      </c>
      <c r="E287" s="36">
        <v>0</v>
      </c>
      <c r="F287" s="36">
        <f t="shared" si="6"/>
        <v>1457.7779384999997</v>
      </c>
      <c r="G287" s="137"/>
      <c r="H287" s="138"/>
    </row>
    <row r="288" spans="1:10" ht="15.75" customHeight="1" x14ac:dyDescent="0.25">
      <c r="A288" s="85">
        <f t="shared" si="7"/>
        <v>18</v>
      </c>
      <c r="B288" s="85"/>
      <c r="C288" s="36" t="s">
        <v>407</v>
      </c>
      <c r="D288" s="36">
        <f>(3.55*6.275+7.295*8.075+1.65*6.1+1.5*1.65)*10.764</f>
        <v>1008.8384084999998</v>
      </c>
      <c r="E288" s="36">
        <v>0</v>
      </c>
      <c r="F288" s="36">
        <f t="shared" si="6"/>
        <v>1513.2576127499997</v>
      </c>
      <c r="G288" s="137"/>
      <c r="H288" s="138"/>
    </row>
    <row r="289" spans="1:8" ht="15.75" customHeight="1" x14ac:dyDescent="0.25">
      <c r="A289" s="85">
        <f t="shared" si="7"/>
        <v>19</v>
      </c>
      <c r="B289" s="85"/>
      <c r="C289" s="36" t="s">
        <v>406</v>
      </c>
      <c r="D289" s="36">
        <f>(5.375*6.15+3.925*3.15+1.3*1.5)*10.764</f>
        <v>509.89068000000003</v>
      </c>
      <c r="E289" s="36">
        <v>0</v>
      </c>
      <c r="F289" s="36">
        <f t="shared" si="6"/>
        <v>764.83602000000008</v>
      </c>
      <c r="G289" s="137"/>
      <c r="H289" s="138"/>
    </row>
    <row r="290" spans="1:8" ht="15.75" customHeight="1" x14ac:dyDescent="0.25">
      <c r="A290" s="85">
        <f t="shared" si="7"/>
        <v>20</v>
      </c>
      <c r="B290" s="85"/>
      <c r="C290" s="36" t="s">
        <v>406</v>
      </c>
      <c r="D290" s="36">
        <f>(5.25*6.15+3.725*3.15+1.375*1.5)*10.764</f>
        <v>496.04548499999999</v>
      </c>
      <c r="E290" s="36">
        <v>0</v>
      </c>
      <c r="F290" s="36">
        <f t="shared" si="6"/>
        <v>744.06822749999992</v>
      </c>
      <c r="G290" s="137"/>
      <c r="H290" s="138"/>
    </row>
    <row r="291" spans="1:8" ht="15.75" customHeight="1" x14ac:dyDescent="0.25">
      <c r="A291" s="85">
        <f t="shared" si="7"/>
        <v>21</v>
      </c>
      <c r="B291" s="85"/>
      <c r="C291" s="36" t="s">
        <v>406</v>
      </c>
      <c r="D291" s="36">
        <f>(5.3*6.15+3.775*3.15+1.375*1.5)*10.764</f>
        <v>501.05074499999995</v>
      </c>
      <c r="E291" s="36">
        <v>0</v>
      </c>
      <c r="F291" s="36">
        <f t="shared" si="6"/>
        <v>751.5761174999999</v>
      </c>
      <c r="G291" s="137"/>
      <c r="H291" s="138"/>
    </row>
    <row r="292" spans="1:8" ht="15.75" customHeight="1" x14ac:dyDescent="0.25">
      <c r="A292" s="85">
        <f t="shared" si="7"/>
        <v>22</v>
      </c>
      <c r="B292" s="85"/>
      <c r="C292" s="36" t="s">
        <v>406</v>
      </c>
      <c r="D292" s="36">
        <f>(6.175*9.3+2.17*1.9)*10.764</f>
        <v>662.529582</v>
      </c>
      <c r="E292" s="36">
        <v>0</v>
      </c>
      <c r="F292" s="36">
        <f t="shared" si="6"/>
        <v>993.79437299999995</v>
      </c>
      <c r="G292" s="137"/>
      <c r="H292" s="138"/>
    </row>
    <row r="293" spans="1:8" ht="15.75" customHeight="1" x14ac:dyDescent="0.25">
      <c r="A293" s="85">
        <f t="shared" si="7"/>
        <v>23</v>
      </c>
      <c r="B293" s="85"/>
      <c r="C293" s="36" t="s">
        <v>407</v>
      </c>
      <c r="D293" s="36">
        <f>(10.39*(1.3+2)+11.915*6.85+1.375*1.5)*10.764</f>
        <v>1269.7994789999998</v>
      </c>
      <c r="E293" s="36">
        <v>0</v>
      </c>
      <c r="F293" s="36">
        <f t="shared" si="6"/>
        <v>1904.6992184999997</v>
      </c>
      <c r="G293" s="137"/>
      <c r="H293" s="138"/>
    </row>
    <row r="294" spans="1:8" ht="15.75" customHeight="1" x14ac:dyDescent="0.25">
      <c r="A294" s="85">
        <f t="shared" si="7"/>
        <v>24</v>
      </c>
      <c r="B294" s="85"/>
      <c r="C294" s="36" t="s">
        <v>406</v>
      </c>
      <c r="D294" s="36">
        <f>(3.725*(1.3+2)+5.25*6.85+1.375*1.5)*10.764</f>
        <v>541.61756999999989</v>
      </c>
      <c r="E294" s="36">
        <v>0</v>
      </c>
      <c r="F294" s="36">
        <f t="shared" si="6"/>
        <v>812.42635499999983</v>
      </c>
      <c r="G294" s="137"/>
      <c r="H294" s="138"/>
    </row>
    <row r="295" spans="1:8" ht="15.75" customHeight="1" x14ac:dyDescent="0.25">
      <c r="A295" s="85">
        <f t="shared" si="7"/>
        <v>25</v>
      </c>
      <c r="B295" s="85"/>
      <c r="C295" s="36" t="s">
        <v>406</v>
      </c>
      <c r="D295" s="36">
        <f>(3.725*(1.3+2)+5.25*6.85+1.375*1.5)*10.764</f>
        <v>541.61756999999989</v>
      </c>
      <c r="E295" s="36">
        <v>0</v>
      </c>
      <c r="F295" s="36">
        <f t="shared" si="6"/>
        <v>812.42635499999983</v>
      </c>
      <c r="G295" s="137"/>
      <c r="H295" s="138"/>
    </row>
    <row r="296" spans="1:8" ht="15.75" customHeight="1" x14ac:dyDescent="0.25">
      <c r="A296" s="85">
        <f>A295+1</f>
        <v>26</v>
      </c>
      <c r="B296" s="85"/>
      <c r="C296" s="36" t="s">
        <v>406</v>
      </c>
      <c r="D296" s="36">
        <f t="shared" ref="D296:D297" si="8">(3.725*(1.3+2)+5.25*6.85+1.375*1.5)*10.764</f>
        <v>541.61756999999989</v>
      </c>
      <c r="E296" s="36">
        <v>0</v>
      </c>
      <c r="F296" s="36">
        <f t="shared" si="6"/>
        <v>812.42635499999983</v>
      </c>
      <c r="G296" s="137"/>
      <c r="H296" s="138"/>
    </row>
    <row r="297" spans="1:8" ht="15.75" customHeight="1" x14ac:dyDescent="0.25">
      <c r="A297" s="85">
        <f t="shared" ref="A297:A305" si="9">A296+1</f>
        <v>27</v>
      </c>
      <c r="B297" s="85"/>
      <c r="C297" s="36" t="s">
        <v>406</v>
      </c>
      <c r="D297" s="36">
        <f t="shared" si="8"/>
        <v>541.61756999999989</v>
      </c>
      <c r="E297" s="36">
        <v>0</v>
      </c>
      <c r="F297" s="36">
        <f t="shared" si="6"/>
        <v>812.42635499999983</v>
      </c>
      <c r="G297" s="137"/>
      <c r="H297" s="138"/>
    </row>
    <row r="298" spans="1:8" ht="15.75" customHeight="1" x14ac:dyDescent="0.25">
      <c r="A298" s="85">
        <f t="shared" si="9"/>
        <v>28</v>
      </c>
      <c r="B298" s="85"/>
      <c r="C298" s="36" t="s">
        <v>406</v>
      </c>
      <c r="D298" s="36">
        <f>(3.78*(1.3+2)+5.305*6.85+1.375*1.5)*10.764</f>
        <v>547.62657299999989</v>
      </c>
      <c r="E298" s="36">
        <v>0</v>
      </c>
      <c r="F298" s="36">
        <f t="shared" si="6"/>
        <v>821.43985949999978</v>
      </c>
      <c r="G298" s="137"/>
      <c r="H298" s="138"/>
    </row>
    <row r="299" spans="1:8" ht="15.75" customHeight="1" x14ac:dyDescent="0.25">
      <c r="A299" s="85">
        <f t="shared" si="9"/>
        <v>29</v>
      </c>
      <c r="B299" s="85"/>
      <c r="C299" s="36" t="s">
        <v>407</v>
      </c>
      <c r="D299" s="36">
        <f>(5.08*(1.3+2)+7.375*(1.3+2)+14.13*6.85+1.375*1.5)*10.764</f>
        <v>1506.4702379999999</v>
      </c>
      <c r="E299" s="36">
        <v>0</v>
      </c>
      <c r="F299" s="36">
        <f t="shared" si="6"/>
        <v>2259.7053569999998</v>
      </c>
      <c r="G299" s="137"/>
      <c r="H299" s="138"/>
    </row>
    <row r="300" spans="1:8" x14ac:dyDescent="0.25">
      <c r="A300" s="85">
        <f t="shared" si="9"/>
        <v>30</v>
      </c>
      <c r="B300" s="85"/>
      <c r="C300" s="36" t="s">
        <v>407</v>
      </c>
      <c r="D300" s="36">
        <f>(4.41*(1.3+2)+6.315*(1.3+2)+12.325*6.55+1.3*1.5)*10.764</f>
        <v>1270.9189349999999</v>
      </c>
      <c r="E300" s="36">
        <v>0</v>
      </c>
      <c r="F300" s="36">
        <f t="shared" si="6"/>
        <v>1906.3784025</v>
      </c>
      <c r="G300" s="137"/>
      <c r="H300" s="138"/>
    </row>
    <row r="301" spans="1:8" x14ac:dyDescent="0.25">
      <c r="A301" s="85">
        <f t="shared" si="9"/>
        <v>31</v>
      </c>
      <c r="B301" s="85"/>
      <c r="C301" s="36" t="s">
        <v>407</v>
      </c>
      <c r="D301" s="36">
        <f>(6.15*7.975+3.55*6.175+1.5*1.65)*10.764</f>
        <v>790.53506999999991</v>
      </c>
      <c r="E301" s="36">
        <f>(7.975*2.5)*10.764</f>
        <v>214.60724999999999</v>
      </c>
      <c r="F301" s="36">
        <f t="shared" si="6"/>
        <v>1293.1062299999999</v>
      </c>
      <c r="G301" s="137"/>
      <c r="H301" s="138"/>
    </row>
    <row r="302" spans="1:8" x14ac:dyDescent="0.25">
      <c r="A302" s="85">
        <f t="shared" si="9"/>
        <v>32</v>
      </c>
      <c r="B302" s="85"/>
      <c r="C302" s="36" t="s">
        <v>407</v>
      </c>
      <c r="D302" s="36">
        <f>(6.15*7.9+(4.2+2)*6.1+1.5*1.65)*10.764</f>
        <v>956.70431999999994</v>
      </c>
      <c r="E302" s="36">
        <v>0</v>
      </c>
      <c r="F302" s="36">
        <f t="shared" si="6"/>
        <v>1435.05648</v>
      </c>
      <c r="G302" s="137"/>
      <c r="H302" s="138"/>
    </row>
    <row r="303" spans="1:8" x14ac:dyDescent="0.25">
      <c r="A303" s="85">
        <f t="shared" si="9"/>
        <v>33</v>
      </c>
      <c r="B303" s="85"/>
      <c r="C303" s="36" t="s">
        <v>407</v>
      </c>
      <c r="D303" s="36">
        <f>(6.15*7.85+3.55*6.05+1.5*1.65)*10.764</f>
        <v>777.48371999999983</v>
      </c>
      <c r="E303" s="36">
        <f>(7.85*2.5)*10.764</f>
        <v>211.24349999999998</v>
      </c>
      <c r="F303" s="36">
        <f t="shared" si="6"/>
        <v>1271.8473299999996</v>
      </c>
      <c r="G303" s="137"/>
      <c r="H303" s="138"/>
    </row>
    <row r="304" spans="1:8" x14ac:dyDescent="0.25">
      <c r="A304" s="85">
        <f t="shared" si="9"/>
        <v>34</v>
      </c>
      <c r="B304" s="85"/>
      <c r="C304" s="36" t="s">
        <v>407</v>
      </c>
      <c r="D304" s="36">
        <f>(6.15*9.45+4.2*7.65+7.65*2)*10.764</f>
        <v>1136.11329</v>
      </c>
      <c r="E304" s="36">
        <v>0</v>
      </c>
      <c r="F304" s="36">
        <f t="shared" si="6"/>
        <v>1704.1699349999999</v>
      </c>
      <c r="G304" s="137"/>
      <c r="H304" s="138"/>
    </row>
    <row r="305" spans="1:8" x14ac:dyDescent="0.25">
      <c r="A305" s="85">
        <f t="shared" si="9"/>
        <v>35</v>
      </c>
      <c r="B305" s="85"/>
      <c r="C305" s="36" t="s">
        <v>407</v>
      </c>
      <c r="D305" s="36">
        <f>(6.15*6.425+3.55*4.625+1.5*1.65)*10.764</f>
        <v>628.69833000000006</v>
      </c>
      <c r="E305" s="36">
        <f>(4.625*2.5)*10.764</f>
        <v>124.45874999999999</v>
      </c>
      <c r="F305" s="36">
        <f t="shared" si="6"/>
        <v>1036.3915575000001</v>
      </c>
      <c r="G305" s="139"/>
      <c r="H305" s="140"/>
    </row>
    <row r="306" spans="1:8" s="63" customFormat="1" ht="17.25" customHeight="1" x14ac:dyDescent="0.25">
      <c r="A306" s="109" t="s">
        <v>408</v>
      </c>
      <c r="B306" s="109"/>
      <c r="C306" s="109"/>
      <c r="D306" s="109"/>
      <c r="E306" s="109"/>
      <c r="F306" s="109"/>
      <c r="G306" s="109"/>
      <c r="H306" s="109"/>
    </row>
    <row r="307" spans="1:8" s="63" customFormat="1" ht="17.25" customHeight="1" x14ac:dyDescent="0.25">
      <c r="A307" s="85">
        <v>14</v>
      </c>
      <c r="B307" s="85"/>
      <c r="C307" s="36" t="s">
        <v>406</v>
      </c>
      <c r="D307" s="36">
        <f>(3.55*4.625+7.295*6.425+1.65*4.775+1.5*1.65)*10.764</f>
        <v>792.69190649999985</v>
      </c>
      <c r="E307" s="36">
        <v>0</v>
      </c>
      <c r="F307" s="36">
        <f t="shared" ref="F307:F328" si="10">(D307+(IF(E307&lt;101,E307,IF(E307&lt;201,E307/2,IF(E307&lt;=301,E307/3,E307/4)))))*(($F$278)+1)</f>
        <v>1189.0378597499998</v>
      </c>
      <c r="G307" s="234" t="str">
        <f>A306</f>
        <v>2nd Floor</v>
      </c>
      <c r="H307" s="235"/>
    </row>
    <row r="308" spans="1:8" s="63" customFormat="1" ht="17.25" customHeight="1" x14ac:dyDescent="0.25">
      <c r="A308" s="85">
        <f>A307+1</f>
        <v>15</v>
      </c>
      <c r="B308" s="85"/>
      <c r="C308" s="36" t="s">
        <v>406</v>
      </c>
      <c r="D308" s="36">
        <f>(3.55*6.325+7.295*8.125+1.65*6.15+1.5*1.65)*10.764</f>
        <v>1015.5632175000001</v>
      </c>
      <c r="E308" s="36">
        <v>0</v>
      </c>
      <c r="F308" s="36">
        <f t="shared" si="10"/>
        <v>1523.3448262500001</v>
      </c>
      <c r="G308" s="236"/>
      <c r="H308" s="237"/>
    </row>
    <row r="309" spans="1:8" s="63" customFormat="1" ht="17.25" customHeight="1" x14ac:dyDescent="0.25">
      <c r="A309" s="85">
        <f t="shared" ref="A309:A318" si="11">A308+1</f>
        <v>16</v>
      </c>
      <c r="B309" s="85"/>
      <c r="C309" s="36" t="s">
        <v>406</v>
      </c>
      <c r="D309" s="36">
        <f>(3.55*4.725+7.295*6.525+1.65*4.55+1.5*1.65)*10.764</f>
        <v>800.36932949999982</v>
      </c>
      <c r="E309" s="36">
        <v>0</v>
      </c>
      <c r="F309" s="36">
        <f t="shared" si="10"/>
        <v>1200.5539942499997</v>
      </c>
      <c r="G309" s="236"/>
      <c r="H309" s="237"/>
    </row>
    <row r="310" spans="1:8" s="63" customFormat="1" ht="17.25" customHeight="1" x14ac:dyDescent="0.25">
      <c r="A310" s="85">
        <f t="shared" si="11"/>
        <v>17</v>
      </c>
      <c r="B310" s="85"/>
      <c r="C310" s="36" t="s">
        <v>407</v>
      </c>
      <c r="D310" s="36">
        <f>(3.55*6+7.295*7.8+1.65*5.825+1.5*1.65)*10.764</f>
        <v>971.85195899999974</v>
      </c>
      <c r="E310" s="36">
        <v>0</v>
      </c>
      <c r="F310" s="36">
        <f t="shared" si="10"/>
        <v>1457.7779384999997</v>
      </c>
      <c r="G310" s="236"/>
      <c r="H310" s="237"/>
    </row>
    <row r="311" spans="1:8" s="63" customFormat="1" ht="17.25" customHeight="1" x14ac:dyDescent="0.25">
      <c r="A311" s="85">
        <f t="shared" si="11"/>
        <v>18</v>
      </c>
      <c r="B311" s="85"/>
      <c r="C311" s="36" t="s">
        <v>407</v>
      </c>
      <c r="D311" s="36">
        <f>(3.55*6.275+7.295*8.075+1.65*6.1+1.5*1.65)*10.764</f>
        <v>1008.8384084999998</v>
      </c>
      <c r="E311" s="36">
        <v>0</v>
      </c>
      <c r="F311" s="36">
        <f t="shared" si="10"/>
        <v>1513.2576127499997</v>
      </c>
      <c r="G311" s="236"/>
      <c r="H311" s="237"/>
    </row>
    <row r="312" spans="1:8" s="63" customFormat="1" ht="17.25" customHeight="1" x14ac:dyDescent="0.25">
      <c r="A312" s="85">
        <f t="shared" si="11"/>
        <v>19</v>
      </c>
      <c r="B312" s="85"/>
      <c r="C312" s="36" t="s">
        <v>406</v>
      </c>
      <c r="D312" s="36">
        <f>(5.375*6.15+3.925*3.15+1.3*1.5)*10.764</f>
        <v>509.89068000000003</v>
      </c>
      <c r="E312" s="36">
        <v>0</v>
      </c>
      <c r="F312" s="36">
        <f t="shared" si="10"/>
        <v>764.83602000000008</v>
      </c>
      <c r="G312" s="236"/>
      <c r="H312" s="237"/>
    </row>
    <row r="313" spans="1:8" s="63" customFormat="1" ht="17.25" customHeight="1" x14ac:dyDescent="0.25">
      <c r="A313" s="85">
        <f t="shared" si="11"/>
        <v>20</v>
      </c>
      <c r="B313" s="85"/>
      <c r="C313" s="36" t="s">
        <v>406</v>
      </c>
      <c r="D313" s="36">
        <f>(5.25*6.15+3.725*3.15+1.375*1.5)*10.764</f>
        <v>496.04548499999999</v>
      </c>
      <c r="E313" s="36">
        <v>0</v>
      </c>
      <c r="F313" s="36">
        <f t="shared" si="10"/>
        <v>744.06822749999992</v>
      </c>
      <c r="G313" s="236"/>
      <c r="H313" s="237"/>
    </row>
    <row r="314" spans="1:8" s="63" customFormat="1" ht="17.25" customHeight="1" x14ac:dyDescent="0.25">
      <c r="A314" s="85">
        <f t="shared" si="11"/>
        <v>21</v>
      </c>
      <c r="B314" s="85"/>
      <c r="C314" s="36" t="s">
        <v>406</v>
      </c>
      <c r="D314" s="36">
        <f>(5.3*6.15+3.775*3.15+1.375*1.5)*10.764</f>
        <v>501.05074499999995</v>
      </c>
      <c r="E314" s="36">
        <v>0</v>
      </c>
      <c r="F314" s="36">
        <f t="shared" si="10"/>
        <v>751.5761174999999</v>
      </c>
      <c r="G314" s="236"/>
      <c r="H314" s="237"/>
    </row>
    <row r="315" spans="1:8" s="63" customFormat="1" ht="17.25" customHeight="1" x14ac:dyDescent="0.25">
      <c r="A315" s="85">
        <f t="shared" si="11"/>
        <v>22</v>
      </c>
      <c r="B315" s="85"/>
      <c r="C315" s="36" t="s">
        <v>406</v>
      </c>
      <c r="D315" s="36">
        <f>(6.175*9.3+2.17*1.9)*10.764</f>
        <v>662.529582</v>
      </c>
      <c r="E315" s="36">
        <v>0</v>
      </c>
      <c r="F315" s="36">
        <f t="shared" si="10"/>
        <v>993.79437299999995</v>
      </c>
      <c r="G315" s="236"/>
      <c r="H315" s="237"/>
    </row>
    <row r="316" spans="1:8" s="63" customFormat="1" ht="17.25" customHeight="1" x14ac:dyDescent="0.25">
      <c r="A316" s="85">
        <f t="shared" si="11"/>
        <v>23</v>
      </c>
      <c r="B316" s="85"/>
      <c r="C316" s="36" t="s">
        <v>407</v>
      </c>
      <c r="D316" s="36">
        <f>(10.39*(1.3+2)+11.915*6.85+1.375*1.5)*10.764</f>
        <v>1269.7994789999998</v>
      </c>
      <c r="E316" s="36">
        <v>0</v>
      </c>
      <c r="F316" s="36">
        <f t="shared" si="10"/>
        <v>1904.6992184999997</v>
      </c>
      <c r="G316" s="236"/>
      <c r="H316" s="237"/>
    </row>
    <row r="317" spans="1:8" s="63" customFormat="1" ht="17.25" customHeight="1" x14ac:dyDescent="0.25">
      <c r="A317" s="85">
        <f t="shared" si="11"/>
        <v>24</v>
      </c>
      <c r="B317" s="85"/>
      <c r="C317" s="36" t="s">
        <v>406</v>
      </c>
      <c r="D317" s="36">
        <f>(3.725*(1.3+2)+5.25*6.85+1.375*1.5)*10.764</f>
        <v>541.61756999999989</v>
      </c>
      <c r="E317" s="36">
        <v>0</v>
      </c>
      <c r="F317" s="36">
        <f t="shared" si="10"/>
        <v>812.42635499999983</v>
      </c>
      <c r="G317" s="236"/>
      <c r="H317" s="237"/>
    </row>
    <row r="318" spans="1:8" s="63" customFormat="1" ht="17.25" customHeight="1" x14ac:dyDescent="0.25">
      <c r="A318" s="85">
        <f t="shared" si="11"/>
        <v>25</v>
      </c>
      <c r="B318" s="85"/>
      <c r="C318" s="36" t="s">
        <v>406</v>
      </c>
      <c r="D318" s="36">
        <f>(3.725*(1.3+2)+5.25*6.85+1.375*1.5)*10.764</f>
        <v>541.61756999999989</v>
      </c>
      <c r="E318" s="36">
        <v>0</v>
      </c>
      <c r="F318" s="36">
        <f t="shared" si="10"/>
        <v>812.42635499999983</v>
      </c>
      <c r="G318" s="236"/>
      <c r="H318" s="237"/>
    </row>
    <row r="319" spans="1:8" s="63" customFormat="1" ht="17.25" customHeight="1" x14ac:dyDescent="0.25">
      <c r="A319" s="85">
        <f>A318+1</f>
        <v>26</v>
      </c>
      <c r="B319" s="85"/>
      <c r="C319" s="36" t="s">
        <v>406</v>
      </c>
      <c r="D319" s="36">
        <f t="shared" ref="D319:D320" si="12">(3.725*(1.3+2)+5.25*6.85+1.375*1.5)*10.764</f>
        <v>541.61756999999989</v>
      </c>
      <c r="E319" s="36">
        <v>0</v>
      </c>
      <c r="F319" s="36">
        <f t="shared" si="10"/>
        <v>812.42635499999983</v>
      </c>
      <c r="G319" s="236"/>
      <c r="H319" s="237"/>
    </row>
    <row r="320" spans="1:8" s="63" customFormat="1" ht="17.25" customHeight="1" x14ac:dyDescent="0.25">
      <c r="A320" s="85">
        <f t="shared" ref="A320:A328" si="13">A319+1</f>
        <v>27</v>
      </c>
      <c r="B320" s="85"/>
      <c r="C320" s="36" t="s">
        <v>406</v>
      </c>
      <c r="D320" s="36">
        <f t="shared" si="12"/>
        <v>541.61756999999989</v>
      </c>
      <c r="E320" s="36">
        <v>0</v>
      </c>
      <c r="F320" s="36">
        <f t="shared" si="10"/>
        <v>812.42635499999983</v>
      </c>
      <c r="G320" s="236"/>
      <c r="H320" s="237"/>
    </row>
    <row r="321" spans="1:8" s="63" customFormat="1" ht="17.25" customHeight="1" x14ac:dyDescent="0.25">
      <c r="A321" s="85">
        <f t="shared" si="13"/>
        <v>28</v>
      </c>
      <c r="B321" s="85"/>
      <c r="C321" s="36" t="s">
        <v>406</v>
      </c>
      <c r="D321" s="36">
        <f>(3.78*(1.3+2)+5.305*6.85+1.375*1.5)*10.764</f>
        <v>547.62657299999989</v>
      </c>
      <c r="E321" s="36">
        <v>0</v>
      </c>
      <c r="F321" s="36">
        <f t="shared" si="10"/>
        <v>821.43985949999978</v>
      </c>
      <c r="G321" s="236"/>
      <c r="H321" s="237"/>
    </row>
    <row r="322" spans="1:8" s="63" customFormat="1" ht="17.25" customHeight="1" x14ac:dyDescent="0.25">
      <c r="A322" s="85">
        <f t="shared" si="13"/>
        <v>29</v>
      </c>
      <c r="B322" s="85"/>
      <c r="C322" s="36" t="s">
        <v>407</v>
      </c>
      <c r="D322" s="36">
        <f>(5.08*(1.3+2)+7.375*(1.3+2)+14.13*6.85+1.375*1.5)*10.764</f>
        <v>1506.4702379999999</v>
      </c>
      <c r="E322" s="36">
        <v>0</v>
      </c>
      <c r="F322" s="36">
        <f t="shared" si="10"/>
        <v>2259.7053569999998</v>
      </c>
      <c r="G322" s="236"/>
      <c r="H322" s="237"/>
    </row>
    <row r="323" spans="1:8" s="63" customFormat="1" ht="17.25" customHeight="1" x14ac:dyDescent="0.25">
      <c r="A323" s="85">
        <f t="shared" si="13"/>
        <v>30</v>
      </c>
      <c r="B323" s="85"/>
      <c r="C323" s="36" t="s">
        <v>407</v>
      </c>
      <c r="D323" s="36">
        <f>(4.41*(1.3+2)+6.315*(1.3+2)+12.325*6.55+1.3*1.5)*10.764</f>
        <v>1270.9189349999999</v>
      </c>
      <c r="E323" s="36">
        <v>0</v>
      </c>
      <c r="F323" s="36">
        <f t="shared" si="10"/>
        <v>1906.3784025</v>
      </c>
      <c r="G323" s="236"/>
      <c r="H323" s="237"/>
    </row>
    <row r="324" spans="1:8" s="63" customFormat="1" ht="17.25" customHeight="1" x14ac:dyDescent="0.25">
      <c r="A324" s="85">
        <f t="shared" si="13"/>
        <v>31</v>
      </c>
      <c r="B324" s="85"/>
      <c r="C324" s="36" t="s">
        <v>407</v>
      </c>
      <c r="D324" s="36">
        <f>(6.15*7.975+3.55*6.175+1.5*1.65)*10.764</f>
        <v>790.53506999999991</v>
      </c>
      <c r="E324" s="36">
        <f>(7.975*2.5)*10.764</f>
        <v>214.60724999999999</v>
      </c>
      <c r="F324" s="36">
        <f t="shared" si="10"/>
        <v>1293.1062299999999</v>
      </c>
      <c r="G324" s="236"/>
      <c r="H324" s="237"/>
    </row>
    <row r="325" spans="1:8" s="63" customFormat="1" ht="17.25" customHeight="1" x14ac:dyDescent="0.25">
      <c r="A325" s="85">
        <f t="shared" si="13"/>
        <v>32</v>
      </c>
      <c r="B325" s="85"/>
      <c r="C325" s="36" t="s">
        <v>407</v>
      </c>
      <c r="D325" s="36">
        <f>(6.15*7.9+(4.2+2)*6.1+1.5*1.65)*10.764</f>
        <v>956.70431999999994</v>
      </c>
      <c r="E325" s="36">
        <v>0</v>
      </c>
      <c r="F325" s="36">
        <f t="shared" si="10"/>
        <v>1435.05648</v>
      </c>
      <c r="G325" s="236"/>
      <c r="H325" s="237"/>
    </row>
    <row r="326" spans="1:8" s="63" customFormat="1" ht="17.25" customHeight="1" x14ac:dyDescent="0.25">
      <c r="A326" s="85">
        <f t="shared" si="13"/>
        <v>33</v>
      </c>
      <c r="B326" s="85"/>
      <c r="C326" s="36" t="s">
        <v>407</v>
      </c>
      <c r="D326" s="36">
        <f>(6.15*7.85+3.55*6.05+1.5*1.65)*10.764</f>
        <v>777.48371999999983</v>
      </c>
      <c r="E326" s="36">
        <f>(7.85*2.5)*10.764</f>
        <v>211.24349999999998</v>
      </c>
      <c r="F326" s="36">
        <f t="shared" si="10"/>
        <v>1271.8473299999996</v>
      </c>
      <c r="G326" s="236"/>
      <c r="H326" s="237"/>
    </row>
    <row r="327" spans="1:8" s="63" customFormat="1" ht="17.25" customHeight="1" x14ac:dyDescent="0.25">
      <c r="A327" s="85">
        <f t="shared" si="13"/>
        <v>34</v>
      </c>
      <c r="B327" s="85"/>
      <c r="C327" s="36" t="s">
        <v>407</v>
      </c>
      <c r="D327" s="36">
        <f>(6.15*9.45+4.2*7.65+7.65*2)*10.764</f>
        <v>1136.11329</v>
      </c>
      <c r="E327" s="36">
        <v>0</v>
      </c>
      <c r="F327" s="36">
        <f t="shared" si="10"/>
        <v>1704.1699349999999</v>
      </c>
      <c r="G327" s="236"/>
      <c r="H327" s="237"/>
    </row>
    <row r="328" spans="1:8" s="63" customFormat="1" ht="17.25" customHeight="1" x14ac:dyDescent="0.25">
      <c r="A328" s="85">
        <f t="shared" si="13"/>
        <v>35</v>
      </c>
      <c r="B328" s="85"/>
      <c r="C328" s="36" t="s">
        <v>407</v>
      </c>
      <c r="D328" s="36">
        <f>(6.15*6.425+3.55*4.625+1.5*1.65)*10.764</f>
        <v>628.69833000000006</v>
      </c>
      <c r="E328" s="36">
        <f>(4.625*2.5)*10.764</f>
        <v>124.45874999999999</v>
      </c>
      <c r="F328" s="36">
        <f t="shared" si="10"/>
        <v>1036.3915575000001</v>
      </c>
      <c r="G328" s="238"/>
      <c r="H328" s="239"/>
    </row>
    <row r="329" spans="1:8" s="63" customFormat="1" ht="17.25" customHeight="1" x14ac:dyDescent="0.25">
      <c r="A329" s="109" t="s">
        <v>354</v>
      </c>
      <c r="B329" s="109"/>
      <c r="C329" s="109"/>
      <c r="D329" s="109"/>
      <c r="E329" s="109"/>
      <c r="F329" s="109"/>
      <c r="G329" s="109"/>
      <c r="H329" s="109"/>
    </row>
    <row r="330" spans="1:8" s="63" customFormat="1" ht="17.25" customHeight="1" x14ac:dyDescent="0.25">
      <c r="A330" s="85">
        <v>14</v>
      </c>
      <c r="B330" s="85"/>
      <c r="C330" s="36" t="s">
        <v>406</v>
      </c>
      <c r="D330" s="36">
        <f>(3.55*4.625+7.295*6.425+1.65*4.775+1.5*1.65)*10.764</f>
        <v>792.69190649999985</v>
      </c>
      <c r="E330" s="36">
        <v>0</v>
      </c>
      <c r="F330" s="36">
        <f t="shared" ref="F330:F351" si="14">(D330+(IF(E330&lt;101,E330,IF(E330&lt;201,E330/2,IF(E330&lt;=301,E330/3,E330/4)))))*(($F$278)+1)</f>
        <v>1189.0378597499998</v>
      </c>
      <c r="G330" s="234" t="str">
        <f>A329</f>
        <v>3rd Floor</v>
      </c>
      <c r="H330" s="235"/>
    </row>
    <row r="331" spans="1:8" s="63" customFormat="1" ht="17.25" customHeight="1" x14ac:dyDescent="0.25">
      <c r="A331" s="85">
        <f>A330+1</f>
        <v>15</v>
      </c>
      <c r="B331" s="85"/>
      <c r="C331" s="36" t="s">
        <v>406</v>
      </c>
      <c r="D331" s="36">
        <f>(3.55*6.325+7.295*8.125+1.65*6.15+1.5*1.65)*10.764</f>
        <v>1015.5632175000001</v>
      </c>
      <c r="E331" s="36">
        <v>0</v>
      </c>
      <c r="F331" s="36">
        <f t="shared" si="14"/>
        <v>1523.3448262500001</v>
      </c>
      <c r="G331" s="236"/>
      <c r="H331" s="237"/>
    </row>
    <row r="332" spans="1:8" s="63" customFormat="1" ht="17.25" customHeight="1" x14ac:dyDescent="0.25">
      <c r="A332" s="85">
        <f t="shared" ref="A332:A341" si="15">A331+1</f>
        <v>16</v>
      </c>
      <c r="B332" s="85"/>
      <c r="C332" s="36" t="s">
        <v>406</v>
      </c>
      <c r="D332" s="36">
        <f>(3.55*4.725+7.295*6.525+1.65*4.55+1.5*1.65)*10.764</f>
        <v>800.36932949999982</v>
      </c>
      <c r="E332" s="36">
        <v>0</v>
      </c>
      <c r="F332" s="36">
        <f t="shared" si="14"/>
        <v>1200.5539942499997</v>
      </c>
      <c r="G332" s="236"/>
      <c r="H332" s="237"/>
    </row>
    <row r="333" spans="1:8" s="63" customFormat="1" ht="17.25" customHeight="1" x14ac:dyDescent="0.25">
      <c r="A333" s="85">
        <f t="shared" si="15"/>
        <v>17</v>
      </c>
      <c r="B333" s="85"/>
      <c r="C333" s="36" t="s">
        <v>407</v>
      </c>
      <c r="D333" s="36">
        <f>(3.55*6+7.295*7.8+1.65*5.825+1.5*1.65)*10.764</f>
        <v>971.85195899999974</v>
      </c>
      <c r="E333" s="36">
        <v>0</v>
      </c>
      <c r="F333" s="36">
        <f t="shared" si="14"/>
        <v>1457.7779384999997</v>
      </c>
      <c r="G333" s="236"/>
      <c r="H333" s="237"/>
    </row>
    <row r="334" spans="1:8" s="63" customFormat="1" ht="17.25" customHeight="1" x14ac:dyDescent="0.25">
      <c r="A334" s="85">
        <f t="shared" si="15"/>
        <v>18</v>
      </c>
      <c r="B334" s="85"/>
      <c r="C334" s="36" t="s">
        <v>407</v>
      </c>
      <c r="D334" s="36">
        <f>(3.55*6.275+7.295*8.075+1.65*6.1+1.5*1.65)*10.764</f>
        <v>1008.8384084999998</v>
      </c>
      <c r="E334" s="36">
        <v>0</v>
      </c>
      <c r="F334" s="36">
        <f t="shared" si="14"/>
        <v>1513.2576127499997</v>
      </c>
      <c r="G334" s="236"/>
      <c r="H334" s="237"/>
    </row>
    <row r="335" spans="1:8" s="63" customFormat="1" ht="17.25" customHeight="1" x14ac:dyDescent="0.25">
      <c r="A335" s="85">
        <f t="shared" si="15"/>
        <v>19</v>
      </c>
      <c r="B335" s="85"/>
      <c r="C335" s="36" t="s">
        <v>406</v>
      </c>
      <c r="D335" s="36">
        <f>(5.375*6.15+3.925*3.15+1.3*1.5)*10.764</f>
        <v>509.89068000000003</v>
      </c>
      <c r="E335" s="36">
        <v>0</v>
      </c>
      <c r="F335" s="36">
        <f t="shared" si="14"/>
        <v>764.83602000000008</v>
      </c>
      <c r="G335" s="236"/>
      <c r="H335" s="237"/>
    </row>
    <row r="336" spans="1:8" s="63" customFormat="1" ht="17.25" customHeight="1" x14ac:dyDescent="0.25">
      <c r="A336" s="85">
        <f t="shared" si="15"/>
        <v>20</v>
      </c>
      <c r="B336" s="85"/>
      <c r="C336" s="36" t="s">
        <v>406</v>
      </c>
      <c r="D336" s="36">
        <f>(5.25*6.15+3.725*3.15+1.375*1.5)*10.764</f>
        <v>496.04548499999999</v>
      </c>
      <c r="E336" s="36">
        <v>0</v>
      </c>
      <c r="F336" s="36">
        <f t="shared" si="14"/>
        <v>744.06822749999992</v>
      </c>
      <c r="G336" s="236"/>
      <c r="H336" s="237"/>
    </row>
    <row r="337" spans="1:8" s="63" customFormat="1" ht="17.25" customHeight="1" x14ac:dyDescent="0.25">
      <c r="A337" s="85">
        <f t="shared" si="15"/>
        <v>21</v>
      </c>
      <c r="B337" s="85"/>
      <c r="C337" s="36" t="s">
        <v>406</v>
      </c>
      <c r="D337" s="36">
        <f>(5.3*6.15+3.775*3.15+1.375*1.5)*10.764</f>
        <v>501.05074499999995</v>
      </c>
      <c r="E337" s="36">
        <v>0</v>
      </c>
      <c r="F337" s="36">
        <f t="shared" si="14"/>
        <v>751.5761174999999</v>
      </c>
      <c r="G337" s="236"/>
      <c r="H337" s="237"/>
    </row>
    <row r="338" spans="1:8" s="63" customFormat="1" ht="17.25" customHeight="1" x14ac:dyDescent="0.25">
      <c r="A338" s="85">
        <f t="shared" si="15"/>
        <v>22</v>
      </c>
      <c r="B338" s="85"/>
      <c r="C338" s="36" t="s">
        <v>406</v>
      </c>
      <c r="D338" s="36">
        <f>(6.175*9.3+2.17*1.9)*10.764</f>
        <v>662.529582</v>
      </c>
      <c r="E338" s="36">
        <v>0</v>
      </c>
      <c r="F338" s="36">
        <f t="shared" si="14"/>
        <v>993.79437299999995</v>
      </c>
      <c r="G338" s="236"/>
      <c r="H338" s="237"/>
    </row>
    <row r="339" spans="1:8" s="63" customFormat="1" ht="17.25" customHeight="1" x14ac:dyDescent="0.25">
      <c r="A339" s="85">
        <f t="shared" si="15"/>
        <v>23</v>
      </c>
      <c r="B339" s="85"/>
      <c r="C339" s="36" t="s">
        <v>407</v>
      </c>
      <c r="D339" s="36">
        <f>(10.39*(1.3+2)+11.915*6.85+1.375*1.5)*10.764</f>
        <v>1269.7994789999998</v>
      </c>
      <c r="E339" s="36">
        <v>0</v>
      </c>
      <c r="F339" s="36">
        <f t="shared" si="14"/>
        <v>1904.6992184999997</v>
      </c>
      <c r="G339" s="236"/>
      <c r="H339" s="237"/>
    </row>
    <row r="340" spans="1:8" s="63" customFormat="1" ht="17.25" customHeight="1" x14ac:dyDescent="0.25">
      <c r="A340" s="85">
        <f t="shared" si="15"/>
        <v>24</v>
      </c>
      <c r="B340" s="85"/>
      <c r="C340" s="36" t="s">
        <v>406</v>
      </c>
      <c r="D340" s="36">
        <f>(3.725*(1.3+2)+5.25*6.85+1.375*1.5)*10.764</f>
        <v>541.61756999999989</v>
      </c>
      <c r="E340" s="36">
        <v>0</v>
      </c>
      <c r="F340" s="36">
        <f t="shared" si="14"/>
        <v>812.42635499999983</v>
      </c>
      <c r="G340" s="236"/>
      <c r="H340" s="237"/>
    </row>
    <row r="341" spans="1:8" s="63" customFormat="1" ht="17.25" customHeight="1" x14ac:dyDescent="0.25">
      <c r="A341" s="85">
        <f t="shared" si="15"/>
        <v>25</v>
      </c>
      <c r="B341" s="85"/>
      <c r="C341" s="36" t="s">
        <v>406</v>
      </c>
      <c r="D341" s="36">
        <f>(3.725*(1.3+2)+5.25*6.85+1.375*1.5)*10.764</f>
        <v>541.61756999999989</v>
      </c>
      <c r="E341" s="36">
        <v>0</v>
      </c>
      <c r="F341" s="36">
        <f t="shared" si="14"/>
        <v>812.42635499999983</v>
      </c>
      <c r="G341" s="236"/>
      <c r="H341" s="237"/>
    </row>
    <row r="342" spans="1:8" s="63" customFormat="1" ht="17.25" customHeight="1" x14ac:dyDescent="0.25">
      <c r="A342" s="85">
        <f>A341+1</f>
        <v>26</v>
      </c>
      <c r="B342" s="85"/>
      <c r="C342" s="36" t="s">
        <v>406</v>
      </c>
      <c r="D342" s="36">
        <f t="shared" ref="D342:D343" si="16">(3.725*(1.3+2)+5.25*6.85+1.375*1.5)*10.764</f>
        <v>541.61756999999989</v>
      </c>
      <c r="E342" s="36">
        <v>0</v>
      </c>
      <c r="F342" s="36">
        <f t="shared" si="14"/>
        <v>812.42635499999983</v>
      </c>
      <c r="G342" s="236"/>
      <c r="H342" s="237"/>
    </row>
    <row r="343" spans="1:8" s="63" customFormat="1" ht="17.25" customHeight="1" x14ac:dyDescent="0.25">
      <c r="A343" s="85">
        <f t="shared" ref="A343:A351" si="17">A342+1</f>
        <v>27</v>
      </c>
      <c r="B343" s="85"/>
      <c r="C343" s="36" t="s">
        <v>406</v>
      </c>
      <c r="D343" s="36">
        <f t="shared" si="16"/>
        <v>541.61756999999989</v>
      </c>
      <c r="E343" s="36">
        <v>0</v>
      </c>
      <c r="F343" s="36">
        <f t="shared" si="14"/>
        <v>812.42635499999983</v>
      </c>
      <c r="G343" s="236"/>
      <c r="H343" s="237"/>
    </row>
    <row r="344" spans="1:8" s="63" customFormat="1" ht="17.25" customHeight="1" x14ac:dyDescent="0.25">
      <c r="A344" s="85">
        <f t="shared" si="17"/>
        <v>28</v>
      </c>
      <c r="B344" s="85"/>
      <c r="C344" s="36" t="s">
        <v>406</v>
      </c>
      <c r="D344" s="36">
        <f>(3.78*(1.3+2)+5.305*6.85+1.375*1.5)*10.764</f>
        <v>547.62657299999989</v>
      </c>
      <c r="E344" s="36">
        <v>0</v>
      </c>
      <c r="F344" s="36">
        <f t="shared" si="14"/>
        <v>821.43985949999978</v>
      </c>
      <c r="G344" s="236"/>
      <c r="H344" s="237"/>
    </row>
    <row r="345" spans="1:8" s="63" customFormat="1" ht="17.25" customHeight="1" x14ac:dyDescent="0.25">
      <c r="A345" s="85">
        <f t="shared" si="17"/>
        <v>29</v>
      </c>
      <c r="B345" s="85"/>
      <c r="C345" s="36" t="s">
        <v>407</v>
      </c>
      <c r="D345" s="36">
        <f>(5.08*(1.3+2)+7.375*(1.3+2)+14.13*6.85+1.375*1.5)*10.764</f>
        <v>1506.4702379999999</v>
      </c>
      <c r="E345" s="36">
        <v>0</v>
      </c>
      <c r="F345" s="36">
        <f t="shared" si="14"/>
        <v>2259.7053569999998</v>
      </c>
      <c r="G345" s="236"/>
      <c r="H345" s="237"/>
    </row>
    <row r="346" spans="1:8" s="63" customFormat="1" ht="17.25" customHeight="1" x14ac:dyDescent="0.25">
      <c r="A346" s="85">
        <f t="shared" si="17"/>
        <v>30</v>
      </c>
      <c r="B346" s="85"/>
      <c r="C346" s="36" t="s">
        <v>407</v>
      </c>
      <c r="D346" s="36">
        <f>(4.41*(1.3+2)+6.315*(1.3+2)+12.325*6.55+1.3*1.5)*10.764</f>
        <v>1270.9189349999999</v>
      </c>
      <c r="E346" s="36">
        <v>0</v>
      </c>
      <c r="F346" s="36">
        <f t="shared" si="14"/>
        <v>1906.3784025</v>
      </c>
      <c r="G346" s="236"/>
      <c r="H346" s="237"/>
    </row>
    <row r="347" spans="1:8" s="63" customFormat="1" ht="17.25" customHeight="1" x14ac:dyDescent="0.25">
      <c r="A347" s="85">
        <f t="shared" si="17"/>
        <v>31</v>
      </c>
      <c r="B347" s="85"/>
      <c r="C347" s="36" t="s">
        <v>407</v>
      </c>
      <c r="D347" s="36">
        <f>(6.15*7.975+4.2*6.175+2*6.175+1.5*1.65)*10.764</f>
        <v>966.6744749999998</v>
      </c>
      <c r="E347" s="36">
        <v>0</v>
      </c>
      <c r="F347" s="36">
        <f t="shared" si="14"/>
        <v>1450.0117124999997</v>
      </c>
      <c r="G347" s="236"/>
      <c r="H347" s="237"/>
    </row>
    <row r="348" spans="1:8" s="63" customFormat="1" ht="17.25" customHeight="1" x14ac:dyDescent="0.25">
      <c r="A348" s="85">
        <f t="shared" si="17"/>
        <v>32</v>
      </c>
      <c r="B348" s="85"/>
      <c r="C348" s="36" t="s">
        <v>407</v>
      </c>
      <c r="D348" s="36">
        <f>(6.15*7.9+3.55*6.1+1.5*1.65)*10.764</f>
        <v>782.70425999999998</v>
      </c>
      <c r="E348" s="36">
        <f>2.5*7.9*10.764</f>
        <v>212.589</v>
      </c>
      <c r="F348" s="36">
        <f t="shared" si="14"/>
        <v>1280.3508900000002</v>
      </c>
      <c r="G348" s="236"/>
      <c r="H348" s="237"/>
    </row>
    <row r="349" spans="1:8" s="63" customFormat="1" ht="17.25" customHeight="1" x14ac:dyDescent="0.25">
      <c r="A349" s="85">
        <f t="shared" si="17"/>
        <v>33</v>
      </c>
      <c r="B349" s="85"/>
      <c r="C349" s="36" t="s">
        <v>407</v>
      </c>
      <c r="D349" s="36">
        <f>(6.15*7.85+4.2*6.05+1.5*1.65+2*7.85)*10.764</f>
        <v>988.80794999999989</v>
      </c>
      <c r="E349" s="36">
        <v>0</v>
      </c>
      <c r="F349" s="36">
        <f t="shared" si="14"/>
        <v>1483.2119249999998</v>
      </c>
      <c r="G349" s="236"/>
      <c r="H349" s="237"/>
    </row>
    <row r="350" spans="1:8" s="63" customFormat="1" ht="17.25" customHeight="1" x14ac:dyDescent="0.25">
      <c r="A350" s="85">
        <f t="shared" si="17"/>
        <v>34</v>
      </c>
      <c r="B350" s="85"/>
      <c r="C350" s="36" t="s">
        <v>407</v>
      </c>
      <c r="D350" s="36">
        <f>(6.15*9.45+3.55*7.65+1.5*1.65)*10.764</f>
        <v>944.54099999999994</v>
      </c>
      <c r="E350" s="36">
        <f>2.5*9.45*10.764</f>
        <v>254.29949999999999</v>
      </c>
      <c r="F350" s="36">
        <f t="shared" si="14"/>
        <v>1543.9612499999998</v>
      </c>
      <c r="G350" s="236"/>
      <c r="H350" s="237"/>
    </row>
    <row r="351" spans="1:8" s="63" customFormat="1" ht="17.25" customHeight="1" x14ac:dyDescent="0.25">
      <c r="A351" s="85">
        <f t="shared" si="17"/>
        <v>35</v>
      </c>
      <c r="B351" s="85"/>
      <c r="C351" s="36" t="s">
        <v>407</v>
      </c>
      <c r="D351" s="36">
        <f>(6.15*6.425+4.2*4.625+2*4.625)*10.764</f>
        <v>733.98370499999999</v>
      </c>
      <c r="E351" s="36">
        <v>0</v>
      </c>
      <c r="F351" s="36">
        <f t="shared" si="14"/>
        <v>1100.9755574999999</v>
      </c>
      <c r="G351" s="238"/>
      <c r="H351" s="239"/>
    </row>
    <row r="352" spans="1:8" s="63" customFormat="1" ht="17.25" customHeight="1" x14ac:dyDescent="0.25">
      <c r="A352" s="109" t="s">
        <v>409</v>
      </c>
      <c r="B352" s="109"/>
      <c r="C352" s="109"/>
      <c r="D352" s="109"/>
      <c r="E352" s="109"/>
      <c r="F352" s="109"/>
      <c r="G352" s="109"/>
      <c r="H352" s="109"/>
    </row>
    <row r="353" spans="1:8" s="63" customFormat="1" ht="17.25" customHeight="1" x14ac:dyDescent="0.25">
      <c r="A353" s="85">
        <v>14</v>
      </c>
      <c r="B353" s="85"/>
      <c r="C353" s="36" t="s">
        <v>406</v>
      </c>
      <c r="D353" s="36">
        <f>(3.55*4.625+7.295*6.425+1.65*4.775+1.5*1.65)*10.764</f>
        <v>792.69190649999985</v>
      </c>
      <c r="E353" s="36">
        <v>0</v>
      </c>
      <c r="F353" s="36">
        <f t="shared" ref="F353:F368" si="18">(D353+(IF(E353&lt;101,E353,IF(E353&lt;201,E353/2,IF(E353&lt;=301,E353/3,E353/4)))))*(($F$278)+1)</f>
        <v>1189.0378597499998</v>
      </c>
      <c r="G353" s="234" t="str">
        <f>A352</f>
        <v>4th Floor For Commercial (Part Refuge Area)</v>
      </c>
      <c r="H353" s="235"/>
    </row>
    <row r="354" spans="1:8" s="63" customFormat="1" ht="17.25" customHeight="1" x14ac:dyDescent="0.25">
      <c r="A354" s="85">
        <f>A353+1</f>
        <v>15</v>
      </c>
      <c r="B354" s="85"/>
      <c r="C354" s="36" t="s">
        <v>406</v>
      </c>
      <c r="D354" s="36">
        <f>(3.55*6.325+7.295*8.125+1.65*6.15+1.5*1.65)*10.764</f>
        <v>1015.5632175000001</v>
      </c>
      <c r="E354" s="36">
        <v>0</v>
      </c>
      <c r="F354" s="36">
        <f t="shared" si="18"/>
        <v>1523.3448262500001</v>
      </c>
      <c r="G354" s="236"/>
      <c r="H354" s="237"/>
    </row>
    <row r="355" spans="1:8" s="63" customFormat="1" ht="17.25" customHeight="1" x14ac:dyDescent="0.25">
      <c r="A355" s="85">
        <f t="shared" ref="A355:A364" si="19">A354+1</f>
        <v>16</v>
      </c>
      <c r="B355" s="85"/>
      <c r="C355" s="36" t="s">
        <v>406</v>
      </c>
      <c r="D355" s="36">
        <f>(3.55*4.725+7.295*6.525+1.65*4.55+1.5*1.65)*10.764</f>
        <v>800.36932949999982</v>
      </c>
      <c r="E355" s="36">
        <v>0</v>
      </c>
      <c r="F355" s="36">
        <f t="shared" si="18"/>
        <v>1200.5539942499997</v>
      </c>
      <c r="G355" s="236"/>
      <c r="H355" s="237"/>
    </row>
    <row r="356" spans="1:8" s="63" customFormat="1" ht="17.25" customHeight="1" x14ac:dyDescent="0.25">
      <c r="A356" s="85">
        <f t="shared" si="19"/>
        <v>17</v>
      </c>
      <c r="B356" s="85"/>
      <c r="C356" s="36" t="s">
        <v>407</v>
      </c>
      <c r="D356" s="36">
        <f>(3.55*6+7.295*7.8+1.65*5.825+1.5*1.65)*10.764</f>
        <v>971.85195899999974</v>
      </c>
      <c r="E356" s="36">
        <v>0</v>
      </c>
      <c r="F356" s="36">
        <f t="shared" si="18"/>
        <v>1457.7779384999997</v>
      </c>
      <c r="G356" s="236"/>
      <c r="H356" s="237"/>
    </row>
    <row r="357" spans="1:8" s="63" customFormat="1" ht="17.25" customHeight="1" x14ac:dyDescent="0.25">
      <c r="A357" s="85">
        <f t="shared" si="19"/>
        <v>18</v>
      </c>
      <c r="B357" s="85"/>
      <c r="C357" s="36" t="s">
        <v>407</v>
      </c>
      <c r="D357" s="36">
        <f>(3.55*6.275+7.295*8.075+1.65*6.1+1.5*1.65)*10.764</f>
        <v>1008.8384084999998</v>
      </c>
      <c r="E357" s="36">
        <v>0</v>
      </c>
      <c r="F357" s="36">
        <f t="shared" si="18"/>
        <v>1513.2576127499997</v>
      </c>
      <c r="G357" s="236"/>
      <c r="H357" s="237"/>
    </row>
    <row r="358" spans="1:8" s="63" customFormat="1" ht="17.25" customHeight="1" x14ac:dyDescent="0.25">
      <c r="A358" s="85">
        <f t="shared" si="19"/>
        <v>19</v>
      </c>
      <c r="B358" s="85"/>
      <c r="C358" s="36" t="s">
        <v>406</v>
      </c>
      <c r="D358" s="36">
        <f>(5.375*6.15+3.925*3.15+1.3*1.5)*10.764</f>
        <v>509.89068000000003</v>
      </c>
      <c r="E358" s="36">
        <v>0</v>
      </c>
      <c r="F358" s="36">
        <f t="shared" si="18"/>
        <v>764.83602000000008</v>
      </c>
      <c r="G358" s="236"/>
      <c r="H358" s="237"/>
    </row>
    <row r="359" spans="1:8" s="63" customFormat="1" ht="17.25" customHeight="1" x14ac:dyDescent="0.25">
      <c r="A359" s="85">
        <f t="shared" si="19"/>
        <v>20</v>
      </c>
      <c r="B359" s="85"/>
      <c r="C359" s="36" t="s">
        <v>406</v>
      </c>
      <c r="D359" s="36">
        <f>(5.25*6.15+3.725*3.15+1.375*1.5)*10.764</f>
        <v>496.04548499999999</v>
      </c>
      <c r="E359" s="36">
        <v>0</v>
      </c>
      <c r="F359" s="36">
        <f t="shared" si="18"/>
        <v>744.06822749999992</v>
      </c>
      <c r="G359" s="236"/>
      <c r="H359" s="237"/>
    </row>
    <row r="360" spans="1:8" s="63" customFormat="1" ht="17.25" customHeight="1" x14ac:dyDescent="0.25">
      <c r="A360" s="85">
        <f t="shared" si="19"/>
        <v>21</v>
      </c>
      <c r="B360" s="85"/>
      <c r="C360" s="36" t="s">
        <v>406</v>
      </c>
      <c r="D360" s="36">
        <f>(5.3*6.15+3.775*3.15+1.375*1.5)*10.764</f>
        <v>501.05074499999995</v>
      </c>
      <c r="E360" s="36">
        <v>0</v>
      </c>
      <c r="F360" s="36">
        <f t="shared" si="18"/>
        <v>751.5761174999999</v>
      </c>
      <c r="G360" s="236"/>
      <c r="H360" s="237"/>
    </row>
    <row r="361" spans="1:8" s="63" customFormat="1" ht="17.25" customHeight="1" x14ac:dyDescent="0.25">
      <c r="A361" s="85">
        <f t="shared" si="19"/>
        <v>22</v>
      </c>
      <c r="B361" s="85"/>
      <c r="C361" s="36" t="s">
        <v>406</v>
      </c>
      <c r="D361" s="36">
        <f>(6.175*9.3+2.17*1.9)*10.764</f>
        <v>662.529582</v>
      </c>
      <c r="E361" s="36">
        <v>0</v>
      </c>
      <c r="F361" s="36">
        <f t="shared" si="18"/>
        <v>993.79437299999995</v>
      </c>
      <c r="G361" s="236"/>
      <c r="H361" s="237"/>
    </row>
    <row r="362" spans="1:8" s="63" customFormat="1" ht="17.25" customHeight="1" x14ac:dyDescent="0.25">
      <c r="A362" s="85">
        <f t="shared" si="19"/>
        <v>23</v>
      </c>
      <c r="B362" s="85"/>
      <c r="C362" s="36" t="s">
        <v>407</v>
      </c>
      <c r="D362" s="36">
        <f>(10.39*(1.3+2)+11.915*6.85+1.375*1.5)*10.764</f>
        <v>1269.7994789999998</v>
      </c>
      <c r="E362" s="36">
        <v>0</v>
      </c>
      <c r="F362" s="36">
        <f t="shared" si="18"/>
        <v>1904.6992184999997</v>
      </c>
      <c r="G362" s="236"/>
      <c r="H362" s="237"/>
    </row>
    <row r="363" spans="1:8" s="63" customFormat="1" ht="17.25" customHeight="1" x14ac:dyDescent="0.25">
      <c r="A363" s="85">
        <f t="shared" si="19"/>
        <v>24</v>
      </c>
      <c r="B363" s="85"/>
      <c r="C363" s="36" t="s">
        <v>406</v>
      </c>
      <c r="D363" s="36">
        <f>(3.725*(1.3+2)+5.25*6.85+1.375*1.5)*10.764</f>
        <v>541.61756999999989</v>
      </c>
      <c r="E363" s="36">
        <v>0</v>
      </c>
      <c r="F363" s="36">
        <f t="shared" si="18"/>
        <v>812.42635499999983</v>
      </c>
      <c r="G363" s="236"/>
      <c r="H363" s="237"/>
    </row>
    <row r="364" spans="1:8" s="63" customFormat="1" ht="17.25" customHeight="1" x14ac:dyDescent="0.25">
      <c r="A364" s="85">
        <f t="shared" si="19"/>
        <v>25</v>
      </c>
      <c r="B364" s="85"/>
      <c r="C364" s="36" t="s">
        <v>406</v>
      </c>
      <c r="D364" s="36">
        <f>(3.725*(1.3+2)+5.25*6.85+1.375*1.5)*10.764</f>
        <v>541.61756999999989</v>
      </c>
      <c r="E364" s="36">
        <v>0</v>
      </c>
      <c r="F364" s="36">
        <f t="shared" si="18"/>
        <v>812.42635499999983</v>
      </c>
      <c r="G364" s="236"/>
      <c r="H364" s="237"/>
    </row>
    <row r="365" spans="1:8" s="63" customFormat="1" ht="17.25" customHeight="1" x14ac:dyDescent="0.25">
      <c r="A365" s="85">
        <f>A364+1</f>
        <v>26</v>
      </c>
      <c r="B365" s="85"/>
      <c r="C365" s="36" t="s">
        <v>406</v>
      </c>
      <c r="D365" s="36">
        <f t="shared" ref="D365:D366" si="20">(3.725*(1.3+2)+5.25*6.85+1.375*1.5)*10.764</f>
        <v>541.61756999999989</v>
      </c>
      <c r="E365" s="36">
        <v>0</v>
      </c>
      <c r="F365" s="36">
        <f t="shared" si="18"/>
        <v>812.42635499999983</v>
      </c>
      <c r="G365" s="236"/>
      <c r="H365" s="237"/>
    </row>
    <row r="366" spans="1:8" s="63" customFormat="1" ht="17.25" customHeight="1" x14ac:dyDescent="0.25">
      <c r="A366" s="85">
        <f t="shared" ref="A366:A374" si="21">A365+1</f>
        <v>27</v>
      </c>
      <c r="B366" s="85"/>
      <c r="C366" s="36" t="s">
        <v>406</v>
      </c>
      <c r="D366" s="36">
        <f t="shared" si="20"/>
        <v>541.61756999999989</v>
      </c>
      <c r="E366" s="36">
        <v>0</v>
      </c>
      <c r="F366" s="36">
        <f t="shared" si="18"/>
        <v>812.42635499999983</v>
      </c>
      <c r="G366" s="236"/>
      <c r="H366" s="237"/>
    </row>
    <row r="367" spans="1:8" s="63" customFormat="1" ht="17.25" customHeight="1" x14ac:dyDescent="0.25">
      <c r="A367" s="85">
        <f t="shared" si="21"/>
        <v>28</v>
      </c>
      <c r="B367" s="85"/>
      <c r="C367" s="36" t="s">
        <v>406</v>
      </c>
      <c r="D367" s="36">
        <f>(3.78*(1.3+2)+5.305*6.85+1.375*1.5)*10.764</f>
        <v>547.62657299999989</v>
      </c>
      <c r="E367" s="36">
        <v>0</v>
      </c>
      <c r="F367" s="36">
        <f t="shared" si="18"/>
        <v>821.43985949999978</v>
      </c>
      <c r="G367" s="236"/>
      <c r="H367" s="237"/>
    </row>
    <row r="368" spans="1:8" s="63" customFormat="1" ht="17.25" customHeight="1" x14ac:dyDescent="0.25">
      <c r="A368" s="85">
        <f t="shared" si="21"/>
        <v>29</v>
      </c>
      <c r="B368" s="85"/>
      <c r="C368" s="36" t="s">
        <v>407</v>
      </c>
      <c r="D368" s="36">
        <f>(5.08*(1.3+2)+7.375*(1.3+2)+14.13*6.85+1.375*1.5)*10.764</f>
        <v>1506.4702379999999</v>
      </c>
      <c r="E368" s="36">
        <v>0</v>
      </c>
      <c r="F368" s="36">
        <f t="shared" si="18"/>
        <v>2259.7053569999998</v>
      </c>
      <c r="G368" s="236"/>
      <c r="H368" s="237"/>
    </row>
    <row r="369" spans="1:8" s="63" customFormat="1" ht="17.25" customHeight="1" x14ac:dyDescent="0.25">
      <c r="A369" s="85">
        <f t="shared" si="21"/>
        <v>30</v>
      </c>
      <c r="B369" s="85"/>
      <c r="C369" s="141" t="s">
        <v>176</v>
      </c>
      <c r="D369" s="212"/>
      <c r="E369" s="212"/>
      <c r="F369" s="142"/>
      <c r="G369" s="236"/>
      <c r="H369" s="237"/>
    </row>
    <row r="370" spans="1:8" s="63" customFormat="1" ht="17.25" customHeight="1" x14ac:dyDescent="0.25">
      <c r="A370" s="85">
        <f t="shared" si="21"/>
        <v>31</v>
      </c>
      <c r="B370" s="85"/>
      <c r="C370" s="36" t="s">
        <v>407</v>
      </c>
      <c r="D370" s="36">
        <f>(6.15*7.975+4.2*6.175+2*6.175+1.5*1.65)*10.764</f>
        <v>966.6744749999998</v>
      </c>
      <c r="E370" s="36">
        <v>0</v>
      </c>
      <c r="F370" s="36">
        <f t="shared" ref="F370:F374" si="22">(D370+(IF(E370&lt;101,E370,IF(E370&lt;201,E370/2,IF(E370&lt;=301,E370/3,E370/4)))))*(($F$278)+1)</f>
        <v>1450.0117124999997</v>
      </c>
      <c r="G370" s="236"/>
      <c r="H370" s="237"/>
    </row>
    <row r="371" spans="1:8" s="63" customFormat="1" ht="17.25" customHeight="1" x14ac:dyDescent="0.25">
      <c r="A371" s="85">
        <f t="shared" si="21"/>
        <v>32</v>
      </c>
      <c r="B371" s="85"/>
      <c r="C371" s="36" t="s">
        <v>407</v>
      </c>
      <c r="D371" s="36">
        <f>(6.15*7.9+3.55*6.1+1.5*1.65)*10.764</f>
        <v>782.70425999999998</v>
      </c>
      <c r="E371" s="36">
        <f>2.5*7.9*10.764</f>
        <v>212.589</v>
      </c>
      <c r="F371" s="36">
        <f t="shared" si="22"/>
        <v>1280.3508900000002</v>
      </c>
      <c r="G371" s="236"/>
      <c r="H371" s="237"/>
    </row>
    <row r="372" spans="1:8" s="63" customFormat="1" ht="17.25" customHeight="1" x14ac:dyDescent="0.25">
      <c r="A372" s="85">
        <f t="shared" si="21"/>
        <v>33</v>
      </c>
      <c r="B372" s="85"/>
      <c r="C372" s="36" t="s">
        <v>407</v>
      </c>
      <c r="D372" s="36">
        <f>(6.15*7.85+4.2*6.05+1.5*1.65+2*7.85)*10.764</f>
        <v>988.80794999999989</v>
      </c>
      <c r="E372" s="36">
        <v>0</v>
      </c>
      <c r="F372" s="36">
        <f t="shared" si="22"/>
        <v>1483.2119249999998</v>
      </c>
      <c r="G372" s="236"/>
      <c r="H372" s="237"/>
    </row>
    <row r="373" spans="1:8" s="63" customFormat="1" ht="17.25" customHeight="1" x14ac:dyDescent="0.25">
      <c r="A373" s="85">
        <f t="shared" si="21"/>
        <v>34</v>
      </c>
      <c r="B373" s="85"/>
      <c r="C373" s="36" t="s">
        <v>407</v>
      </c>
      <c r="D373" s="36">
        <f>(6.15*9.45+3.55*7.65+1.5*1.65)*10.764</f>
        <v>944.54099999999994</v>
      </c>
      <c r="E373" s="36">
        <f>2.5*9.45*10.764</f>
        <v>254.29949999999999</v>
      </c>
      <c r="F373" s="36">
        <f t="shared" si="22"/>
        <v>1543.9612499999998</v>
      </c>
      <c r="G373" s="236"/>
      <c r="H373" s="237"/>
    </row>
    <row r="374" spans="1:8" s="63" customFormat="1" ht="17.25" customHeight="1" x14ac:dyDescent="0.25">
      <c r="A374" s="85">
        <f t="shared" si="21"/>
        <v>35</v>
      </c>
      <c r="B374" s="85"/>
      <c r="C374" s="36" t="s">
        <v>407</v>
      </c>
      <c r="D374" s="36">
        <f>(6.15*6.425+4.2*4.625+2*4.625)*10.764</f>
        <v>733.98370499999999</v>
      </c>
      <c r="E374" s="36">
        <v>0</v>
      </c>
      <c r="F374" s="36">
        <f t="shared" si="22"/>
        <v>1100.9755574999999</v>
      </c>
      <c r="G374" s="238"/>
      <c r="H374" s="239"/>
    </row>
    <row r="375" spans="1:8" s="63" customFormat="1" ht="17.25" customHeight="1" x14ac:dyDescent="0.25">
      <c r="A375" s="109" t="s">
        <v>410</v>
      </c>
      <c r="B375" s="109"/>
      <c r="C375" s="109"/>
      <c r="D375" s="109"/>
      <c r="E375" s="109"/>
      <c r="F375" s="109"/>
      <c r="G375" s="109"/>
      <c r="H375" s="109"/>
    </row>
    <row r="376" spans="1:8" s="63" customFormat="1" ht="17.25" customHeight="1" x14ac:dyDescent="0.25">
      <c r="A376" s="85">
        <v>14</v>
      </c>
      <c r="B376" s="85"/>
      <c r="C376" s="36" t="s">
        <v>406</v>
      </c>
      <c r="D376" s="36">
        <f>(3.55*4.625+7.295*6.425+1.65*4.775+1.5*1.65)*10.764</f>
        <v>792.69190649999985</v>
      </c>
      <c r="E376" s="36">
        <v>0</v>
      </c>
      <c r="F376" s="36">
        <f t="shared" ref="F376:F391" si="23">(D376+(IF(E376&lt;101,E376,IF(E376&lt;201,E376/2,IF(E376&lt;=301,E376/3,E376/4)))))*(($F$278)+1)</f>
        <v>1189.0378597499998</v>
      </c>
      <c r="G376" s="234" t="str">
        <f>A375</f>
        <v>5th Floor For Commercial (Part Refuge Area)</v>
      </c>
      <c r="H376" s="235"/>
    </row>
    <row r="377" spans="1:8" s="63" customFormat="1" ht="17.25" customHeight="1" x14ac:dyDescent="0.25">
      <c r="A377" s="85">
        <f>A376+1</f>
        <v>15</v>
      </c>
      <c r="B377" s="85"/>
      <c r="C377" s="36" t="s">
        <v>406</v>
      </c>
      <c r="D377" s="36">
        <f>(3.55*6.325+7.295*8.125+1.65*6.15+1.5*1.65)*10.764</f>
        <v>1015.5632175000001</v>
      </c>
      <c r="E377" s="36">
        <v>0</v>
      </c>
      <c r="F377" s="36">
        <f t="shared" si="23"/>
        <v>1523.3448262500001</v>
      </c>
      <c r="G377" s="236"/>
      <c r="H377" s="237"/>
    </row>
    <row r="378" spans="1:8" s="63" customFormat="1" ht="17.25" customHeight="1" x14ac:dyDescent="0.25">
      <c r="A378" s="85">
        <f t="shared" ref="A378:A387" si="24">A377+1</f>
        <v>16</v>
      </c>
      <c r="B378" s="85"/>
      <c r="C378" s="36" t="s">
        <v>406</v>
      </c>
      <c r="D378" s="36">
        <f>(3.55*4.725+7.295*6.525+1.65*4.55+1.5*1.65)*10.764</f>
        <v>800.36932949999982</v>
      </c>
      <c r="E378" s="36">
        <v>0</v>
      </c>
      <c r="F378" s="36">
        <f t="shared" si="23"/>
        <v>1200.5539942499997</v>
      </c>
      <c r="G378" s="236"/>
      <c r="H378" s="237"/>
    </row>
    <row r="379" spans="1:8" s="63" customFormat="1" ht="17.25" customHeight="1" x14ac:dyDescent="0.25">
      <c r="A379" s="85">
        <f t="shared" si="24"/>
        <v>17</v>
      </c>
      <c r="B379" s="85"/>
      <c r="C379" s="36" t="s">
        <v>406</v>
      </c>
      <c r="D379" s="36">
        <f>(3.55*6+7.295*7.8+1.65*5.825+1.5*1.65)*10.764</f>
        <v>971.85195899999974</v>
      </c>
      <c r="E379" s="36">
        <v>0</v>
      </c>
      <c r="F379" s="36">
        <f t="shared" si="23"/>
        <v>1457.7779384999997</v>
      </c>
      <c r="G379" s="236"/>
      <c r="H379" s="237"/>
    </row>
    <row r="380" spans="1:8" s="63" customFormat="1" ht="17.25" customHeight="1" x14ac:dyDescent="0.25">
      <c r="A380" s="85">
        <f t="shared" si="24"/>
        <v>18</v>
      </c>
      <c r="B380" s="85"/>
      <c r="C380" s="36" t="s">
        <v>406</v>
      </c>
      <c r="D380" s="36">
        <f>(3.55*6.275+7.295*8.075+1.65*6.1+1.5*1.65)*10.764</f>
        <v>1008.8384084999998</v>
      </c>
      <c r="E380" s="36">
        <v>0</v>
      </c>
      <c r="F380" s="36">
        <f t="shared" si="23"/>
        <v>1513.2576127499997</v>
      </c>
      <c r="G380" s="236"/>
      <c r="H380" s="237"/>
    </row>
    <row r="381" spans="1:8" s="63" customFormat="1" ht="17.25" customHeight="1" x14ac:dyDescent="0.25">
      <c r="A381" s="85">
        <f t="shared" si="24"/>
        <v>19</v>
      </c>
      <c r="B381" s="85"/>
      <c r="C381" s="36" t="s">
        <v>406</v>
      </c>
      <c r="D381" s="36">
        <f>(5.375*6.15+3.925*3.15+1.3*1.5)*10.764</f>
        <v>509.89068000000003</v>
      </c>
      <c r="E381" s="36">
        <v>0</v>
      </c>
      <c r="F381" s="36">
        <f t="shared" si="23"/>
        <v>764.83602000000008</v>
      </c>
      <c r="G381" s="236"/>
      <c r="H381" s="237"/>
    </row>
    <row r="382" spans="1:8" s="63" customFormat="1" ht="17.25" customHeight="1" x14ac:dyDescent="0.25">
      <c r="A382" s="85">
        <f t="shared" si="24"/>
        <v>20</v>
      </c>
      <c r="B382" s="85"/>
      <c r="C382" s="36" t="s">
        <v>406</v>
      </c>
      <c r="D382" s="36">
        <f>(5.25*6.15+3.725*3.15+1.375*1.5)*10.764</f>
        <v>496.04548499999999</v>
      </c>
      <c r="E382" s="36">
        <v>0</v>
      </c>
      <c r="F382" s="36">
        <f t="shared" si="23"/>
        <v>744.06822749999992</v>
      </c>
      <c r="G382" s="236"/>
      <c r="H382" s="237"/>
    </row>
    <row r="383" spans="1:8" s="63" customFormat="1" ht="17.25" customHeight="1" x14ac:dyDescent="0.25">
      <c r="A383" s="85">
        <f t="shared" si="24"/>
        <v>21</v>
      </c>
      <c r="B383" s="85"/>
      <c r="C383" s="36" t="s">
        <v>406</v>
      </c>
      <c r="D383" s="36">
        <f>(5.3*6.15+3.775*3.15+1.375*1.5)*10.764</f>
        <v>501.05074499999995</v>
      </c>
      <c r="E383" s="36">
        <v>0</v>
      </c>
      <c r="F383" s="36">
        <f t="shared" si="23"/>
        <v>751.5761174999999</v>
      </c>
      <c r="G383" s="236"/>
      <c r="H383" s="237"/>
    </row>
    <row r="384" spans="1:8" s="63" customFormat="1" ht="17.25" customHeight="1" x14ac:dyDescent="0.25">
      <c r="A384" s="85">
        <f t="shared" si="24"/>
        <v>22</v>
      </c>
      <c r="B384" s="85"/>
      <c r="C384" s="36" t="s">
        <v>406</v>
      </c>
      <c r="D384" s="36">
        <f>(6.175*9.3+2.17*1.9)*10.764</f>
        <v>662.529582</v>
      </c>
      <c r="E384" s="36">
        <v>0</v>
      </c>
      <c r="F384" s="36">
        <f t="shared" si="23"/>
        <v>993.79437299999995</v>
      </c>
      <c r="G384" s="236"/>
      <c r="H384" s="237"/>
    </row>
    <row r="385" spans="1:8" s="63" customFormat="1" ht="17.25" customHeight="1" x14ac:dyDescent="0.25">
      <c r="A385" s="85">
        <f t="shared" si="24"/>
        <v>23</v>
      </c>
      <c r="B385" s="85"/>
      <c r="C385" s="36" t="s">
        <v>406</v>
      </c>
      <c r="D385" s="36">
        <f>(10.39*(1.3+2)+11.915*6.85+1.375*1.5)*10.764</f>
        <v>1269.7994789999998</v>
      </c>
      <c r="E385" s="36">
        <v>0</v>
      </c>
      <c r="F385" s="36">
        <f t="shared" si="23"/>
        <v>1904.6992184999997</v>
      </c>
      <c r="G385" s="236"/>
      <c r="H385" s="237"/>
    </row>
    <row r="386" spans="1:8" s="63" customFormat="1" ht="17.25" customHeight="1" x14ac:dyDescent="0.25">
      <c r="A386" s="85">
        <f t="shared" si="24"/>
        <v>24</v>
      </c>
      <c r="B386" s="85"/>
      <c r="C386" s="36" t="s">
        <v>406</v>
      </c>
      <c r="D386" s="36">
        <f>(3.725*(1.3+2)+5.25*6.85+1.375*1.5)*10.764</f>
        <v>541.61756999999989</v>
      </c>
      <c r="E386" s="36">
        <v>0</v>
      </c>
      <c r="F386" s="36">
        <f t="shared" si="23"/>
        <v>812.42635499999983</v>
      </c>
      <c r="G386" s="236"/>
      <c r="H386" s="237"/>
    </row>
    <row r="387" spans="1:8" s="63" customFormat="1" ht="17.25" customHeight="1" x14ac:dyDescent="0.25">
      <c r="A387" s="85">
        <f t="shared" si="24"/>
        <v>25</v>
      </c>
      <c r="B387" s="85"/>
      <c r="C387" s="36" t="s">
        <v>406</v>
      </c>
      <c r="D387" s="36">
        <f>(3.725*(1.3+2)+5.25*6.85+1.375*1.5)*10.764</f>
        <v>541.61756999999989</v>
      </c>
      <c r="E387" s="36">
        <v>0</v>
      </c>
      <c r="F387" s="36">
        <f t="shared" si="23"/>
        <v>812.42635499999983</v>
      </c>
      <c r="G387" s="236"/>
      <c r="H387" s="237"/>
    </row>
    <row r="388" spans="1:8" s="63" customFormat="1" ht="17.25" customHeight="1" x14ac:dyDescent="0.25">
      <c r="A388" s="85">
        <f>A387+1</f>
        <v>26</v>
      </c>
      <c r="B388" s="85"/>
      <c r="C388" s="36" t="s">
        <v>406</v>
      </c>
      <c r="D388" s="36">
        <f t="shared" ref="D388:D389" si="25">(3.725*(1.3+2)+5.25*6.85+1.375*1.5)*10.764</f>
        <v>541.61756999999989</v>
      </c>
      <c r="E388" s="36">
        <v>0</v>
      </c>
      <c r="F388" s="36">
        <f t="shared" si="23"/>
        <v>812.42635499999983</v>
      </c>
      <c r="G388" s="236"/>
      <c r="H388" s="237"/>
    </row>
    <row r="389" spans="1:8" s="63" customFormat="1" ht="17.25" customHeight="1" x14ac:dyDescent="0.25">
      <c r="A389" s="85">
        <f t="shared" ref="A389:A397" si="26">A388+1</f>
        <v>27</v>
      </c>
      <c r="B389" s="85"/>
      <c r="C389" s="36" t="s">
        <v>406</v>
      </c>
      <c r="D389" s="36">
        <f t="shared" si="25"/>
        <v>541.61756999999989</v>
      </c>
      <c r="E389" s="36">
        <v>0</v>
      </c>
      <c r="F389" s="36">
        <f t="shared" si="23"/>
        <v>812.42635499999983</v>
      </c>
      <c r="G389" s="236"/>
      <c r="H389" s="237"/>
    </row>
    <row r="390" spans="1:8" s="63" customFormat="1" ht="17.25" customHeight="1" x14ac:dyDescent="0.25">
      <c r="A390" s="85">
        <f t="shared" si="26"/>
        <v>28</v>
      </c>
      <c r="B390" s="85"/>
      <c r="C390" s="36" t="s">
        <v>406</v>
      </c>
      <c r="D390" s="36">
        <f>(3.78*(1.3+2)+5.305*6.85+1.375*1.5)*10.764</f>
        <v>547.62657299999989</v>
      </c>
      <c r="E390" s="36">
        <v>0</v>
      </c>
      <c r="F390" s="36">
        <f t="shared" si="23"/>
        <v>821.43985949999978</v>
      </c>
      <c r="G390" s="236"/>
      <c r="H390" s="237"/>
    </row>
    <row r="391" spans="1:8" s="63" customFormat="1" ht="17.25" customHeight="1" x14ac:dyDescent="0.25">
      <c r="A391" s="85">
        <f t="shared" si="26"/>
        <v>29</v>
      </c>
      <c r="B391" s="85"/>
      <c r="C391" s="36" t="s">
        <v>406</v>
      </c>
      <c r="D391" s="36">
        <f>(5.08*(1.3+2)+7.375*(1.3+2)+14.13*6.85+1.375*1.5)*10.764</f>
        <v>1506.4702379999999</v>
      </c>
      <c r="E391" s="36">
        <v>0</v>
      </c>
      <c r="F391" s="36">
        <f t="shared" si="23"/>
        <v>2259.7053569999998</v>
      </c>
      <c r="G391" s="236"/>
      <c r="H391" s="237"/>
    </row>
    <row r="392" spans="1:8" s="63" customFormat="1" ht="17.25" customHeight="1" x14ac:dyDescent="0.25">
      <c r="A392" s="85">
        <f t="shared" si="26"/>
        <v>30</v>
      </c>
      <c r="B392" s="85"/>
      <c r="C392" s="141" t="s">
        <v>176</v>
      </c>
      <c r="D392" s="212"/>
      <c r="E392" s="212"/>
      <c r="F392" s="142"/>
      <c r="G392" s="236"/>
      <c r="H392" s="237"/>
    </row>
    <row r="393" spans="1:8" s="63" customFormat="1" ht="17.25" customHeight="1" x14ac:dyDescent="0.25">
      <c r="A393" s="85">
        <f t="shared" si="26"/>
        <v>31</v>
      </c>
      <c r="B393" s="85"/>
      <c r="C393" s="36" t="s">
        <v>406</v>
      </c>
      <c r="D393" s="36">
        <f>(6.15*7.975+3.55*6.175+1.5*1.65)*10.764</f>
        <v>790.53506999999991</v>
      </c>
      <c r="E393" s="36">
        <f>(7.975*2.5)*10.764</f>
        <v>214.60724999999999</v>
      </c>
      <c r="F393" s="36">
        <f t="shared" ref="F393:F397" si="27">(D393+(IF(E393&lt;101,E393,IF(E393&lt;201,E393/2,IF(E393&lt;=301,E393/3,E393/4)))))*(($F$278)+1)</f>
        <v>1293.1062299999999</v>
      </c>
      <c r="G393" s="236"/>
      <c r="H393" s="237"/>
    </row>
    <row r="394" spans="1:8" s="63" customFormat="1" ht="17.25" customHeight="1" x14ac:dyDescent="0.25">
      <c r="A394" s="85">
        <f t="shared" si="26"/>
        <v>32</v>
      </c>
      <c r="B394" s="85"/>
      <c r="C394" s="36" t="s">
        <v>406</v>
      </c>
      <c r="D394" s="36">
        <f>(6.15*7.9+(4.2+2)*6.1+1.5*1.65)*10.764</f>
        <v>956.70431999999994</v>
      </c>
      <c r="E394" s="36">
        <v>0</v>
      </c>
      <c r="F394" s="36">
        <f t="shared" si="27"/>
        <v>1435.05648</v>
      </c>
      <c r="G394" s="236"/>
      <c r="H394" s="237"/>
    </row>
    <row r="395" spans="1:8" s="63" customFormat="1" ht="17.25" customHeight="1" x14ac:dyDescent="0.25">
      <c r="A395" s="85">
        <f t="shared" si="26"/>
        <v>33</v>
      </c>
      <c r="B395" s="85"/>
      <c r="C395" s="36" t="s">
        <v>406</v>
      </c>
      <c r="D395" s="36">
        <f>(6.15*7.85+3.55*6.05+1.5*1.65)*10.764</f>
        <v>777.48371999999983</v>
      </c>
      <c r="E395" s="36">
        <f>(7.85*2.5)*10.764</f>
        <v>211.24349999999998</v>
      </c>
      <c r="F395" s="36">
        <f t="shared" si="27"/>
        <v>1271.8473299999996</v>
      </c>
      <c r="G395" s="236"/>
      <c r="H395" s="237"/>
    </row>
    <row r="396" spans="1:8" s="63" customFormat="1" ht="17.25" customHeight="1" x14ac:dyDescent="0.25">
      <c r="A396" s="85">
        <f t="shared" si="26"/>
        <v>34</v>
      </c>
      <c r="B396" s="85"/>
      <c r="C396" s="36" t="s">
        <v>406</v>
      </c>
      <c r="D396" s="36">
        <f>(6.15*9.45+4.2*7.65+7.65*2)*10.764</f>
        <v>1136.11329</v>
      </c>
      <c r="E396" s="36">
        <v>0</v>
      </c>
      <c r="F396" s="36">
        <f t="shared" si="27"/>
        <v>1704.1699349999999</v>
      </c>
      <c r="G396" s="236"/>
      <c r="H396" s="237"/>
    </row>
    <row r="397" spans="1:8" s="63" customFormat="1" ht="17.25" customHeight="1" x14ac:dyDescent="0.25">
      <c r="A397" s="85">
        <f t="shared" si="26"/>
        <v>35</v>
      </c>
      <c r="B397" s="85"/>
      <c r="C397" s="36" t="s">
        <v>406</v>
      </c>
      <c r="D397" s="36">
        <f>(6.15*6.425+3.55*4.625+1.5*1.65)*10.764</f>
        <v>628.69833000000006</v>
      </c>
      <c r="E397" s="36">
        <f>(4.625*2.5)*10.764</f>
        <v>124.45874999999999</v>
      </c>
      <c r="F397" s="36">
        <f t="shared" si="27"/>
        <v>1036.3915575000001</v>
      </c>
      <c r="G397" s="238"/>
      <c r="H397" s="239"/>
    </row>
    <row r="398" spans="1:8" s="63" customFormat="1" ht="17.25" customHeight="1" x14ac:dyDescent="0.25">
      <c r="A398" s="109" t="s">
        <v>411</v>
      </c>
      <c r="B398" s="109"/>
      <c r="C398" s="109"/>
      <c r="D398" s="109"/>
      <c r="E398" s="109"/>
      <c r="F398" s="109"/>
      <c r="G398" s="109"/>
      <c r="H398" s="109"/>
    </row>
    <row r="399" spans="1:8" s="63" customFormat="1" ht="17.25" customHeight="1" x14ac:dyDescent="0.25">
      <c r="A399" s="85">
        <v>14</v>
      </c>
      <c r="B399" s="85"/>
      <c r="C399" s="36" t="s">
        <v>406</v>
      </c>
      <c r="D399" s="36">
        <f>(3.55*4.625+7.295*6.425+1.65*4.775+1.5*1.65)*10.764</f>
        <v>792.69190649999985</v>
      </c>
      <c r="E399" s="36">
        <v>0</v>
      </c>
      <c r="F399" s="36">
        <f t="shared" ref="F399:F420" si="28">(D399+(IF(E399&lt;101,E399,IF(E399&lt;201,E399/2,IF(E399&lt;=301,E399/3,E399/4)))))*(($F$278)+1)</f>
        <v>1189.0378597499998</v>
      </c>
      <c r="G399" s="234" t="str">
        <f>A398</f>
        <v>6th Floor</v>
      </c>
      <c r="H399" s="235"/>
    </row>
    <row r="400" spans="1:8" s="63" customFormat="1" ht="17.25" customHeight="1" x14ac:dyDescent="0.25">
      <c r="A400" s="85">
        <f>A399+1</f>
        <v>15</v>
      </c>
      <c r="B400" s="85"/>
      <c r="C400" s="36" t="s">
        <v>406</v>
      </c>
      <c r="D400" s="36">
        <f>(3.55*6.325+7.295*8.125+1.65*6.15+1.5*1.65)*10.764</f>
        <v>1015.5632175000001</v>
      </c>
      <c r="E400" s="36">
        <v>0</v>
      </c>
      <c r="F400" s="36">
        <f t="shared" si="28"/>
        <v>1523.3448262500001</v>
      </c>
      <c r="G400" s="236"/>
      <c r="H400" s="237"/>
    </row>
    <row r="401" spans="1:8" s="63" customFormat="1" ht="17.25" customHeight="1" x14ac:dyDescent="0.25">
      <c r="A401" s="85">
        <f t="shared" ref="A401:A410" si="29">A400+1</f>
        <v>16</v>
      </c>
      <c r="B401" s="85"/>
      <c r="C401" s="36" t="s">
        <v>406</v>
      </c>
      <c r="D401" s="36">
        <f>(3.55*4.725+7.295*6.525+1.65*4.55+1.5*1.65)*10.764</f>
        <v>800.36932949999982</v>
      </c>
      <c r="E401" s="36">
        <v>0</v>
      </c>
      <c r="F401" s="36">
        <f t="shared" si="28"/>
        <v>1200.5539942499997</v>
      </c>
      <c r="G401" s="236"/>
      <c r="H401" s="237"/>
    </row>
    <row r="402" spans="1:8" s="63" customFormat="1" ht="17.25" customHeight="1" x14ac:dyDescent="0.25">
      <c r="A402" s="85">
        <f t="shared" si="29"/>
        <v>17</v>
      </c>
      <c r="B402" s="85"/>
      <c r="C402" s="36" t="s">
        <v>406</v>
      </c>
      <c r="D402" s="36">
        <f>(3.55*6+7.295*7.8+1.65*5.825+1.5*1.65)*10.764</f>
        <v>971.85195899999974</v>
      </c>
      <c r="E402" s="36">
        <v>0</v>
      </c>
      <c r="F402" s="36">
        <f t="shared" si="28"/>
        <v>1457.7779384999997</v>
      </c>
      <c r="G402" s="236"/>
      <c r="H402" s="237"/>
    </row>
    <row r="403" spans="1:8" s="63" customFormat="1" ht="17.25" customHeight="1" x14ac:dyDescent="0.25">
      <c r="A403" s="85">
        <f t="shared" si="29"/>
        <v>18</v>
      </c>
      <c r="B403" s="85"/>
      <c r="C403" s="36" t="s">
        <v>406</v>
      </c>
      <c r="D403" s="36">
        <f>(3.55*6.275+7.295*8.075+1.65*6.1+1.5*1.65)*10.764</f>
        <v>1008.8384084999998</v>
      </c>
      <c r="E403" s="36">
        <v>0</v>
      </c>
      <c r="F403" s="36">
        <f t="shared" si="28"/>
        <v>1513.2576127499997</v>
      </c>
      <c r="G403" s="236"/>
      <c r="H403" s="237"/>
    </row>
    <row r="404" spans="1:8" s="63" customFormat="1" ht="17.25" customHeight="1" x14ac:dyDescent="0.25">
      <c r="A404" s="85">
        <f t="shared" si="29"/>
        <v>19</v>
      </c>
      <c r="B404" s="85"/>
      <c r="C404" s="36" t="s">
        <v>406</v>
      </c>
      <c r="D404" s="36">
        <f>(5.375*6.15+3.925*3.15+1.3*1.5)*10.764</f>
        <v>509.89068000000003</v>
      </c>
      <c r="E404" s="36">
        <v>0</v>
      </c>
      <c r="F404" s="36">
        <f t="shared" si="28"/>
        <v>764.83602000000008</v>
      </c>
      <c r="G404" s="236"/>
      <c r="H404" s="237"/>
    </row>
    <row r="405" spans="1:8" s="63" customFormat="1" ht="17.25" customHeight="1" x14ac:dyDescent="0.25">
      <c r="A405" s="85">
        <f t="shared" si="29"/>
        <v>20</v>
      </c>
      <c r="B405" s="85"/>
      <c r="C405" s="36" t="s">
        <v>406</v>
      </c>
      <c r="D405" s="36">
        <f>(5.25*6.15+3.725*3.15+1.375*1.5)*10.764</f>
        <v>496.04548499999999</v>
      </c>
      <c r="E405" s="36">
        <v>0</v>
      </c>
      <c r="F405" s="36">
        <f t="shared" si="28"/>
        <v>744.06822749999992</v>
      </c>
      <c r="G405" s="236"/>
      <c r="H405" s="237"/>
    </row>
    <row r="406" spans="1:8" s="63" customFormat="1" ht="17.25" customHeight="1" x14ac:dyDescent="0.25">
      <c r="A406" s="85">
        <f t="shared" si="29"/>
        <v>21</v>
      </c>
      <c r="B406" s="85"/>
      <c r="C406" s="36" t="s">
        <v>406</v>
      </c>
      <c r="D406" s="36">
        <f>(5.3*6.15+3.775*3.15+1.375*1.5)*10.764</f>
        <v>501.05074499999995</v>
      </c>
      <c r="E406" s="36">
        <v>0</v>
      </c>
      <c r="F406" s="36">
        <f t="shared" si="28"/>
        <v>751.5761174999999</v>
      </c>
      <c r="G406" s="236"/>
      <c r="H406" s="237"/>
    </row>
    <row r="407" spans="1:8" s="63" customFormat="1" ht="17.25" customHeight="1" x14ac:dyDescent="0.25">
      <c r="A407" s="85">
        <f t="shared" si="29"/>
        <v>22</v>
      </c>
      <c r="B407" s="85"/>
      <c r="C407" s="36" t="s">
        <v>406</v>
      </c>
      <c r="D407" s="36">
        <f>(6.175*9.3+2.17*1.9)*10.764</f>
        <v>662.529582</v>
      </c>
      <c r="E407" s="36">
        <v>0</v>
      </c>
      <c r="F407" s="36">
        <f t="shared" si="28"/>
        <v>993.79437299999995</v>
      </c>
      <c r="G407" s="236"/>
      <c r="H407" s="237"/>
    </row>
    <row r="408" spans="1:8" s="63" customFormat="1" ht="17.25" customHeight="1" x14ac:dyDescent="0.25">
      <c r="A408" s="85">
        <f t="shared" si="29"/>
        <v>23</v>
      </c>
      <c r="B408" s="85"/>
      <c r="C408" s="36" t="s">
        <v>406</v>
      </c>
      <c r="D408" s="36">
        <f>(10.39*(1.3+2)+11.915*6.85+1.375*1.5)*10.764</f>
        <v>1269.7994789999998</v>
      </c>
      <c r="E408" s="36">
        <v>0</v>
      </c>
      <c r="F408" s="36">
        <f t="shared" si="28"/>
        <v>1904.6992184999997</v>
      </c>
      <c r="G408" s="236"/>
      <c r="H408" s="237"/>
    </row>
    <row r="409" spans="1:8" s="63" customFormat="1" ht="17.25" customHeight="1" x14ac:dyDescent="0.25">
      <c r="A409" s="85">
        <f t="shared" si="29"/>
        <v>24</v>
      </c>
      <c r="B409" s="85"/>
      <c r="C409" s="36" t="s">
        <v>406</v>
      </c>
      <c r="D409" s="36">
        <f>(3.725*(1.3+2)+5.25*6.85+1.375*1.5)*10.764</f>
        <v>541.61756999999989</v>
      </c>
      <c r="E409" s="36">
        <v>0</v>
      </c>
      <c r="F409" s="36">
        <f t="shared" si="28"/>
        <v>812.42635499999983</v>
      </c>
      <c r="G409" s="236"/>
      <c r="H409" s="237"/>
    </row>
    <row r="410" spans="1:8" s="63" customFormat="1" ht="17.25" customHeight="1" x14ac:dyDescent="0.25">
      <c r="A410" s="85">
        <f t="shared" si="29"/>
        <v>25</v>
      </c>
      <c r="B410" s="85"/>
      <c r="C410" s="36" t="s">
        <v>406</v>
      </c>
      <c r="D410" s="36">
        <f>(3.725*(1.3+2)+5.25*6.85+1.375*1.5)*10.764</f>
        <v>541.61756999999989</v>
      </c>
      <c r="E410" s="36">
        <v>0</v>
      </c>
      <c r="F410" s="36">
        <f t="shared" si="28"/>
        <v>812.42635499999983</v>
      </c>
      <c r="G410" s="236"/>
      <c r="H410" s="237"/>
    </row>
    <row r="411" spans="1:8" s="63" customFormat="1" ht="17.25" customHeight="1" x14ac:dyDescent="0.25">
      <c r="A411" s="85">
        <f>A410+1</f>
        <v>26</v>
      </c>
      <c r="B411" s="85"/>
      <c r="C411" s="36" t="s">
        <v>406</v>
      </c>
      <c r="D411" s="36">
        <f t="shared" ref="D411:D412" si="30">(3.725*(1.3+2)+5.25*6.85+1.375*1.5)*10.764</f>
        <v>541.61756999999989</v>
      </c>
      <c r="E411" s="36">
        <v>0</v>
      </c>
      <c r="F411" s="36">
        <f t="shared" si="28"/>
        <v>812.42635499999983</v>
      </c>
      <c r="G411" s="236"/>
      <c r="H411" s="237"/>
    </row>
    <row r="412" spans="1:8" s="63" customFormat="1" ht="17.25" customHeight="1" x14ac:dyDescent="0.25">
      <c r="A412" s="85">
        <f t="shared" ref="A412:A420" si="31">A411+1</f>
        <v>27</v>
      </c>
      <c r="B412" s="85"/>
      <c r="C412" s="36" t="s">
        <v>406</v>
      </c>
      <c r="D412" s="36">
        <f t="shared" si="30"/>
        <v>541.61756999999989</v>
      </c>
      <c r="E412" s="36">
        <v>0</v>
      </c>
      <c r="F412" s="36">
        <f t="shared" si="28"/>
        <v>812.42635499999983</v>
      </c>
      <c r="G412" s="236"/>
      <c r="H412" s="237"/>
    </row>
    <row r="413" spans="1:8" s="63" customFormat="1" ht="17.25" customHeight="1" x14ac:dyDescent="0.25">
      <c r="A413" s="85">
        <f t="shared" si="31"/>
        <v>28</v>
      </c>
      <c r="B413" s="85"/>
      <c r="C413" s="36" t="s">
        <v>406</v>
      </c>
      <c r="D413" s="36">
        <f>(3.78*(1.3+2)+5.305*6.85+1.375*1.5)*10.764</f>
        <v>547.62657299999989</v>
      </c>
      <c r="E413" s="36">
        <v>0</v>
      </c>
      <c r="F413" s="36">
        <f t="shared" si="28"/>
        <v>821.43985949999978</v>
      </c>
      <c r="G413" s="236"/>
      <c r="H413" s="237"/>
    </row>
    <row r="414" spans="1:8" s="63" customFormat="1" ht="17.25" customHeight="1" x14ac:dyDescent="0.25">
      <c r="A414" s="85">
        <f t="shared" si="31"/>
        <v>29</v>
      </c>
      <c r="B414" s="85"/>
      <c r="C414" s="36" t="s">
        <v>406</v>
      </c>
      <c r="D414" s="36">
        <f>(5.08*(1.3+2)+7.375*(1.3+2)+14.13*6.85+1.375*1.5)*10.764</f>
        <v>1506.4702379999999</v>
      </c>
      <c r="E414" s="36">
        <v>0</v>
      </c>
      <c r="F414" s="36">
        <f t="shared" si="28"/>
        <v>2259.7053569999998</v>
      </c>
      <c r="G414" s="236"/>
      <c r="H414" s="237"/>
    </row>
    <row r="415" spans="1:8" s="63" customFormat="1" ht="17.25" customHeight="1" x14ac:dyDescent="0.25">
      <c r="A415" s="85">
        <f t="shared" si="31"/>
        <v>30</v>
      </c>
      <c r="B415" s="85"/>
      <c r="C415" s="36" t="s">
        <v>406</v>
      </c>
      <c r="D415" s="36">
        <f>(4.41*(1.3+2)+6.315*(1.3+2)+12.325*6.55+1.3*1.5)*10.764</f>
        <v>1270.9189349999999</v>
      </c>
      <c r="E415" s="36">
        <v>0</v>
      </c>
      <c r="F415" s="36">
        <f t="shared" si="28"/>
        <v>1906.3784025</v>
      </c>
      <c r="G415" s="236"/>
      <c r="H415" s="237"/>
    </row>
    <row r="416" spans="1:8" s="63" customFormat="1" ht="17.25" customHeight="1" x14ac:dyDescent="0.25">
      <c r="A416" s="85">
        <f t="shared" si="31"/>
        <v>31</v>
      </c>
      <c r="B416" s="85"/>
      <c r="C416" s="36" t="s">
        <v>406</v>
      </c>
      <c r="D416" s="36">
        <f>(6.15*7.975+3.55*6.175+1.5*1.65)*10.764</f>
        <v>790.53506999999991</v>
      </c>
      <c r="E416" s="36">
        <f>(7.975*2.5)*10.764</f>
        <v>214.60724999999999</v>
      </c>
      <c r="F416" s="36">
        <f t="shared" si="28"/>
        <v>1293.1062299999999</v>
      </c>
      <c r="G416" s="236"/>
      <c r="H416" s="237"/>
    </row>
    <row r="417" spans="1:8" s="63" customFormat="1" ht="17.25" customHeight="1" x14ac:dyDescent="0.25">
      <c r="A417" s="85">
        <f t="shared" si="31"/>
        <v>32</v>
      </c>
      <c r="B417" s="85"/>
      <c r="C417" s="36" t="s">
        <v>406</v>
      </c>
      <c r="D417" s="36">
        <f>(6.15*7.9+(4.2+2)*6.1+1.5*1.65)*10.764</f>
        <v>956.70431999999994</v>
      </c>
      <c r="E417" s="36">
        <v>0</v>
      </c>
      <c r="F417" s="36">
        <f t="shared" si="28"/>
        <v>1435.05648</v>
      </c>
      <c r="G417" s="236"/>
      <c r="H417" s="237"/>
    </row>
    <row r="418" spans="1:8" s="63" customFormat="1" ht="17.25" customHeight="1" x14ac:dyDescent="0.25">
      <c r="A418" s="85">
        <f t="shared" si="31"/>
        <v>33</v>
      </c>
      <c r="B418" s="85"/>
      <c r="C418" s="36" t="s">
        <v>406</v>
      </c>
      <c r="D418" s="36">
        <f>(6.15*7.85+3.55*6.05+1.5*1.65)*10.764</f>
        <v>777.48371999999983</v>
      </c>
      <c r="E418" s="36">
        <f>(7.85*2.5)*10.764</f>
        <v>211.24349999999998</v>
      </c>
      <c r="F418" s="36">
        <f t="shared" si="28"/>
        <v>1271.8473299999996</v>
      </c>
      <c r="G418" s="236"/>
      <c r="H418" s="237"/>
    </row>
    <row r="419" spans="1:8" s="63" customFormat="1" ht="17.25" customHeight="1" x14ac:dyDescent="0.25">
      <c r="A419" s="85">
        <f t="shared" si="31"/>
        <v>34</v>
      </c>
      <c r="B419" s="85"/>
      <c r="C419" s="36" t="s">
        <v>406</v>
      </c>
      <c r="D419" s="36">
        <f>(6.15*9.45+4.2*7.65+7.65*2)*10.764</f>
        <v>1136.11329</v>
      </c>
      <c r="E419" s="36">
        <v>0</v>
      </c>
      <c r="F419" s="36">
        <f t="shared" si="28"/>
        <v>1704.1699349999999</v>
      </c>
      <c r="G419" s="236"/>
      <c r="H419" s="237"/>
    </row>
    <row r="420" spans="1:8" s="63" customFormat="1" ht="17.25" customHeight="1" x14ac:dyDescent="0.25">
      <c r="A420" s="85">
        <f t="shared" si="31"/>
        <v>35</v>
      </c>
      <c r="B420" s="85"/>
      <c r="C420" s="36" t="s">
        <v>406</v>
      </c>
      <c r="D420" s="36">
        <f>(6.15*6.425+3.55*4.625+1.5*1.65)*10.764</f>
        <v>628.69833000000006</v>
      </c>
      <c r="E420" s="36">
        <f>(4.625*2.5)*10.764</f>
        <v>124.45874999999999</v>
      </c>
      <c r="F420" s="36">
        <f t="shared" si="28"/>
        <v>1036.3915575000001</v>
      </c>
      <c r="G420" s="238"/>
      <c r="H420" s="239"/>
    </row>
    <row r="421" spans="1:8" s="63" customFormat="1" ht="17.25" customHeight="1" x14ac:dyDescent="0.25">
      <c r="A421" s="109" t="s">
        <v>412</v>
      </c>
      <c r="B421" s="109"/>
      <c r="C421" s="109"/>
      <c r="D421" s="109"/>
      <c r="E421" s="109"/>
      <c r="F421" s="109"/>
      <c r="G421" s="109"/>
      <c r="H421" s="109"/>
    </row>
    <row r="422" spans="1:8" s="63" customFormat="1" ht="17.25" customHeight="1" x14ac:dyDescent="0.25">
      <c r="A422" s="85">
        <v>14</v>
      </c>
      <c r="B422" s="85"/>
      <c r="C422" s="36" t="s">
        <v>406</v>
      </c>
      <c r="D422" s="36">
        <f>(3.55*4.625+7.295*6.425+1.65*4.775+1.5*1.65)*10.764</f>
        <v>792.69190649999985</v>
      </c>
      <c r="E422" s="36">
        <v>0</v>
      </c>
      <c r="F422" s="36">
        <f t="shared" ref="F422:F437" si="32">(D422+(IF(E422&lt;101,E422,IF(E422&lt;201,E422/2,IF(E422&lt;=301,E422/3,E422/4)))))*(($F$278)+1)</f>
        <v>1189.0378597499998</v>
      </c>
      <c r="G422" s="234" t="str">
        <f>A421</f>
        <v>7th Floor For Commercial (Part Refuge Area)</v>
      </c>
      <c r="H422" s="235"/>
    </row>
    <row r="423" spans="1:8" s="63" customFormat="1" ht="17.25" customHeight="1" x14ac:dyDescent="0.25">
      <c r="A423" s="85">
        <f>A422+1</f>
        <v>15</v>
      </c>
      <c r="B423" s="85"/>
      <c r="C423" s="36" t="s">
        <v>406</v>
      </c>
      <c r="D423" s="36">
        <f>(3.55*6.325+7.295*8.125+1.65*6.15+1.5*1.65)*10.764</f>
        <v>1015.5632175000001</v>
      </c>
      <c r="E423" s="36">
        <v>0</v>
      </c>
      <c r="F423" s="36">
        <f t="shared" si="32"/>
        <v>1523.3448262500001</v>
      </c>
      <c r="G423" s="236"/>
      <c r="H423" s="237"/>
    </row>
    <row r="424" spans="1:8" s="63" customFormat="1" ht="17.25" customHeight="1" x14ac:dyDescent="0.25">
      <c r="A424" s="85">
        <f t="shared" ref="A424:A433" si="33">A423+1</f>
        <v>16</v>
      </c>
      <c r="B424" s="85"/>
      <c r="C424" s="36" t="s">
        <v>406</v>
      </c>
      <c r="D424" s="36">
        <f>(3.55*4.725+7.295*6.525+1.65*4.55+1.5*1.65)*10.764</f>
        <v>800.36932949999982</v>
      </c>
      <c r="E424" s="36">
        <v>0</v>
      </c>
      <c r="F424" s="36">
        <f t="shared" si="32"/>
        <v>1200.5539942499997</v>
      </c>
      <c r="G424" s="236"/>
      <c r="H424" s="237"/>
    </row>
    <row r="425" spans="1:8" s="63" customFormat="1" ht="17.25" customHeight="1" x14ac:dyDescent="0.25">
      <c r="A425" s="85">
        <f t="shared" si="33"/>
        <v>17</v>
      </c>
      <c r="B425" s="85"/>
      <c r="C425" s="36" t="s">
        <v>406</v>
      </c>
      <c r="D425" s="36">
        <f>(3.55*6+7.295*7.8+1.65*5.825+1.5*1.65)*10.764</f>
        <v>971.85195899999974</v>
      </c>
      <c r="E425" s="36">
        <v>0</v>
      </c>
      <c r="F425" s="36">
        <f t="shared" si="32"/>
        <v>1457.7779384999997</v>
      </c>
      <c r="G425" s="236"/>
      <c r="H425" s="237"/>
    </row>
    <row r="426" spans="1:8" s="63" customFormat="1" ht="17.25" customHeight="1" x14ac:dyDescent="0.25">
      <c r="A426" s="85">
        <f t="shared" si="33"/>
        <v>18</v>
      </c>
      <c r="B426" s="85"/>
      <c r="C426" s="36" t="s">
        <v>406</v>
      </c>
      <c r="D426" s="36">
        <f>(3.55*6.275+7.295*8.075+1.65*6.1+1.5*1.65)*10.764</f>
        <v>1008.8384084999998</v>
      </c>
      <c r="E426" s="36">
        <v>0</v>
      </c>
      <c r="F426" s="36">
        <f t="shared" si="32"/>
        <v>1513.2576127499997</v>
      </c>
      <c r="G426" s="236"/>
      <c r="H426" s="237"/>
    </row>
    <row r="427" spans="1:8" s="63" customFormat="1" ht="17.25" customHeight="1" x14ac:dyDescent="0.25">
      <c r="A427" s="85">
        <f t="shared" si="33"/>
        <v>19</v>
      </c>
      <c r="B427" s="85"/>
      <c r="C427" s="36" t="s">
        <v>406</v>
      </c>
      <c r="D427" s="36">
        <f>(5.375*6.15+3.925*3.15+1.3*1.5)*10.764</f>
        <v>509.89068000000003</v>
      </c>
      <c r="E427" s="36">
        <v>0</v>
      </c>
      <c r="F427" s="36">
        <f t="shared" si="32"/>
        <v>764.83602000000008</v>
      </c>
      <c r="G427" s="236"/>
      <c r="H427" s="237"/>
    </row>
    <row r="428" spans="1:8" s="63" customFormat="1" ht="17.25" customHeight="1" x14ac:dyDescent="0.25">
      <c r="A428" s="85">
        <f t="shared" si="33"/>
        <v>20</v>
      </c>
      <c r="B428" s="85"/>
      <c r="C428" s="36" t="s">
        <v>406</v>
      </c>
      <c r="D428" s="36">
        <f>(5.25*6.15+3.725*3.15+1.375*1.5)*10.764</f>
        <v>496.04548499999999</v>
      </c>
      <c r="E428" s="36">
        <v>0</v>
      </c>
      <c r="F428" s="36">
        <f t="shared" si="32"/>
        <v>744.06822749999992</v>
      </c>
      <c r="G428" s="236"/>
      <c r="H428" s="237"/>
    </row>
    <row r="429" spans="1:8" s="63" customFormat="1" ht="17.25" customHeight="1" x14ac:dyDescent="0.25">
      <c r="A429" s="85">
        <f t="shared" si="33"/>
        <v>21</v>
      </c>
      <c r="B429" s="85"/>
      <c r="C429" s="36" t="s">
        <v>406</v>
      </c>
      <c r="D429" s="36">
        <f>(5.3*6.15+3.775*3.15+1.375*1.5)*10.764</f>
        <v>501.05074499999995</v>
      </c>
      <c r="E429" s="36">
        <v>0</v>
      </c>
      <c r="F429" s="36">
        <f t="shared" si="32"/>
        <v>751.5761174999999</v>
      </c>
      <c r="G429" s="236"/>
      <c r="H429" s="237"/>
    </row>
    <row r="430" spans="1:8" s="63" customFormat="1" ht="17.25" customHeight="1" x14ac:dyDescent="0.25">
      <c r="A430" s="85">
        <f t="shared" si="33"/>
        <v>22</v>
      </c>
      <c r="B430" s="85"/>
      <c r="C430" s="36" t="s">
        <v>406</v>
      </c>
      <c r="D430" s="36">
        <f>(6.175*9.3+2.17*1.9)*10.764</f>
        <v>662.529582</v>
      </c>
      <c r="E430" s="36">
        <v>0</v>
      </c>
      <c r="F430" s="36">
        <f t="shared" si="32"/>
        <v>993.79437299999995</v>
      </c>
      <c r="G430" s="236"/>
      <c r="H430" s="237"/>
    </row>
    <row r="431" spans="1:8" s="63" customFormat="1" ht="17.25" customHeight="1" x14ac:dyDescent="0.25">
      <c r="A431" s="85">
        <f t="shared" si="33"/>
        <v>23</v>
      </c>
      <c r="B431" s="85"/>
      <c r="C431" s="36" t="s">
        <v>406</v>
      </c>
      <c r="D431" s="36">
        <f>(10.39*(1.3+2)+11.915*6.85+1.375*1.5)*10.764</f>
        <v>1269.7994789999998</v>
      </c>
      <c r="E431" s="36">
        <v>0</v>
      </c>
      <c r="F431" s="36">
        <f t="shared" si="32"/>
        <v>1904.6992184999997</v>
      </c>
      <c r="G431" s="236"/>
      <c r="H431" s="237"/>
    </row>
    <row r="432" spans="1:8" s="63" customFormat="1" ht="17.25" customHeight="1" x14ac:dyDescent="0.25">
      <c r="A432" s="85">
        <f t="shared" si="33"/>
        <v>24</v>
      </c>
      <c r="B432" s="85"/>
      <c r="C432" s="36" t="s">
        <v>406</v>
      </c>
      <c r="D432" s="36">
        <f>(3.725*(1.3+2)+5.25*6.85+1.375*1.5)*10.764</f>
        <v>541.61756999999989</v>
      </c>
      <c r="E432" s="36">
        <v>0</v>
      </c>
      <c r="F432" s="36">
        <f t="shared" si="32"/>
        <v>812.42635499999983</v>
      </c>
      <c r="G432" s="236"/>
      <c r="H432" s="237"/>
    </row>
    <row r="433" spans="1:8" s="63" customFormat="1" ht="17.25" customHeight="1" x14ac:dyDescent="0.25">
      <c r="A433" s="85">
        <f t="shared" si="33"/>
        <v>25</v>
      </c>
      <c r="B433" s="85"/>
      <c r="C433" s="36" t="s">
        <v>406</v>
      </c>
      <c r="D433" s="36">
        <f>(3.725*(1.3+2)+5.25*6.85+1.375*1.5)*10.764</f>
        <v>541.61756999999989</v>
      </c>
      <c r="E433" s="36">
        <v>0</v>
      </c>
      <c r="F433" s="36">
        <f t="shared" si="32"/>
        <v>812.42635499999983</v>
      </c>
      <c r="G433" s="236"/>
      <c r="H433" s="237"/>
    </row>
    <row r="434" spans="1:8" s="63" customFormat="1" ht="17.25" customHeight="1" x14ac:dyDescent="0.25">
      <c r="A434" s="85">
        <f>A433+1</f>
        <v>26</v>
      </c>
      <c r="B434" s="85"/>
      <c r="C434" s="36" t="s">
        <v>406</v>
      </c>
      <c r="D434" s="36">
        <f t="shared" ref="D434:D435" si="34">(3.725*(1.3+2)+5.25*6.85+1.375*1.5)*10.764</f>
        <v>541.61756999999989</v>
      </c>
      <c r="E434" s="36">
        <v>0</v>
      </c>
      <c r="F434" s="36">
        <f t="shared" si="32"/>
        <v>812.42635499999983</v>
      </c>
      <c r="G434" s="236"/>
      <c r="H434" s="237"/>
    </row>
    <row r="435" spans="1:8" s="63" customFormat="1" ht="17.25" customHeight="1" x14ac:dyDescent="0.25">
      <c r="A435" s="85">
        <f t="shared" ref="A435:A443" si="35">A434+1</f>
        <v>27</v>
      </c>
      <c r="B435" s="85"/>
      <c r="C435" s="36" t="s">
        <v>406</v>
      </c>
      <c r="D435" s="36">
        <f t="shared" si="34"/>
        <v>541.61756999999989</v>
      </c>
      <c r="E435" s="36">
        <v>0</v>
      </c>
      <c r="F435" s="36">
        <f t="shared" si="32"/>
        <v>812.42635499999983</v>
      </c>
      <c r="G435" s="236"/>
      <c r="H435" s="237"/>
    </row>
    <row r="436" spans="1:8" s="63" customFormat="1" ht="17.25" customHeight="1" x14ac:dyDescent="0.25">
      <c r="A436" s="85">
        <f t="shared" si="35"/>
        <v>28</v>
      </c>
      <c r="B436" s="85"/>
      <c r="C436" s="36" t="s">
        <v>406</v>
      </c>
      <c r="D436" s="36">
        <f>(3.78*(1.3+2)+5.305*6.85+1.375*1.5)*10.764</f>
        <v>547.62657299999989</v>
      </c>
      <c r="E436" s="36">
        <v>0</v>
      </c>
      <c r="F436" s="36">
        <f t="shared" si="32"/>
        <v>821.43985949999978</v>
      </c>
      <c r="G436" s="236"/>
      <c r="H436" s="237"/>
    </row>
    <row r="437" spans="1:8" s="63" customFormat="1" ht="17.25" customHeight="1" x14ac:dyDescent="0.25">
      <c r="A437" s="85">
        <f t="shared" si="35"/>
        <v>29</v>
      </c>
      <c r="B437" s="85"/>
      <c r="C437" s="36" t="s">
        <v>406</v>
      </c>
      <c r="D437" s="36">
        <f>(5.08*(1.3+2)+7.375*(1.3+2)+14.13*6.85+1.375*1.5)*10.764</f>
        <v>1506.4702379999999</v>
      </c>
      <c r="E437" s="36">
        <v>0</v>
      </c>
      <c r="F437" s="36">
        <f t="shared" si="32"/>
        <v>2259.7053569999998</v>
      </c>
      <c r="G437" s="236"/>
      <c r="H437" s="237"/>
    </row>
    <row r="438" spans="1:8" s="63" customFormat="1" ht="17.25" customHeight="1" x14ac:dyDescent="0.25">
      <c r="A438" s="85">
        <f t="shared" si="35"/>
        <v>30</v>
      </c>
      <c r="B438" s="85"/>
      <c r="C438" s="141" t="s">
        <v>176</v>
      </c>
      <c r="D438" s="212"/>
      <c r="E438" s="212"/>
      <c r="F438" s="142"/>
      <c r="G438" s="236"/>
      <c r="H438" s="237"/>
    </row>
    <row r="439" spans="1:8" s="63" customFormat="1" ht="17.25" customHeight="1" x14ac:dyDescent="0.25">
      <c r="A439" s="85">
        <f t="shared" si="35"/>
        <v>31</v>
      </c>
      <c r="B439" s="85"/>
      <c r="C439" s="36" t="s">
        <v>406</v>
      </c>
      <c r="D439" s="36">
        <f>(6.15*7.975+4.2*6.175+2*6.175+1.5*1.65)*10.764</f>
        <v>966.6744749999998</v>
      </c>
      <c r="E439" s="36">
        <v>0</v>
      </c>
      <c r="F439" s="36">
        <f t="shared" ref="F439:F443" si="36">(D439+(IF(E439&lt;101,E439,IF(E439&lt;201,E439/2,IF(E439&lt;=301,E439/3,E439/4)))))*(($F$278)+1)</f>
        <v>1450.0117124999997</v>
      </c>
      <c r="G439" s="236"/>
      <c r="H439" s="237"/>
    </row>
    <row r="440" spans="1:8" s="63" customFormat="1" ht="17.25" customHeight="1" x14ac:dyDescent="0.25">
      <c r="A440" s="85">
        <f t="shared" si="35"/>
        <v>32</v>
      </c>
      <c r="B440" s="85"/>
      <c r="C440" s="36" t="s">
        <v>406</v>
      </c>
      <c r="D440" s="36">
        <f>(6.15*7.9+3.55*6.1+1.5*1.65)*10.764</f>
        <v>782.70425999999998</v>
      </c>
      <c r="E440" s="36">
        <f>2.5*7.9*10.764</f>
        <v>212.589</v>
      </c>
      <c r="F440" s="36">
        <f t="shared" si="36"/>
        <v>1280.3508900000002</v>
      </c>
      <c r="G440" s="236"/>
      <c r="H440" s="237"/>
    </row>
    <row r="441" spans="1:8" s="63" customFormat="1" ht="17.25" customHeight="1" x14ac:dyDescent="0.25">
      <c r="A441" s="85">
        <f t="shared" si="35"/>
        <v>33</v>
      </c>
      <c r="B441" s="85"/>
      <c r="C441" s="36" t="s">
        <v>406</v>
      </c>
      <c r="D441" s="36">
        <f>(6.15*7.85+4.2*6.05+1.5*1.65+2*7.85)*10.764</f>
        <v>988.80794999999989</v>
      </c>
      <c r="E441" s="36">
        <v>0</v>
      </c>
      <c r="F441" s="36">
        <f t="shared" si="36"/>
        <v>1483.2119249999998</v>
      </c>
      <c r="G441" s="236"/>
      <c r="H441" s="237"/>
    </row>
    <row r="442" spans="1:8" s="63" customFormat="1" ht="17.25" customHeight="1" x14ac:dyDescent="0.25">
      <c r="A442" s="85">
        <f t="shared" si="35"/>
        <v>34</v>
      </c>
      <c r="B442" s="85"/>
      <c r="C442" s="36" t="s">
        <v>406</v>
      </c>
      <c r="D442" s="36">
        <f>(6.15*9.45+3.55*7.65+1.5*1.65)*10.764</f>
        <v>944.54099999999994</v>
      </c>
      <c r="E442" s="36">
        <f>2.5*9.45*10.764</f>
        <v>254.29949999999999</v>
      </c>
      <c r="F442" s="36">
        <f t="shared" si="36"/>
        <v>1543.9612499999998</v>
      </c>
      <c r="G442" s="236"/>
      <c r="H442" s="237"/>
    </row>
    <row r="443" spans="1:8" s="63" customFormat="1" ht="17.25" customHeight="1" x14ac:dyDescent="0.25">
      <c r="A443" s="85">
        <f t="shared" si="35"/>
        <v>35</v>
      </c>
      <c r="B443" s="85"/>
      <c r="C443" s="36" t="s">
        <v>406</v>
      </c>
      <c r="D443" s="36">
        <f>(6.15*6.425+4.2*4.625+2*4.625)*10.764</f>
        <v>733.98370499999999</v>
      </c>
      <c r="E443" s="36">
        <v>0</v>
      </c>
      <c r="F443" s="36">
        <f t="shared" si="36"/>
        <v>1100.9755574999999</v>
      </c>
      <c r="G443" s="238"/>
      <c r="H443" s="239"/>
    </row>
    <row r="444" spans="1:8" s="63" customFormat="1" ht="17.25" customHeight="1" x14ac:dyDescent="0.25">
      <c r="A444" s="109" t="s">
        <v>413</v>
      </c>
      <c r="B444" s="109"/>
      <c r="C444" s="109"/>
      <c r="D444" s="109"/>
      <c r="E444" s="109"/>
      <c r="F444" s="109"/>
      <c r="G444" s="109"/>
      <c r="H444" s="109"/>
    </row>
    <row r="445" spans="1:8" s="63" customFormat="1" ht="17.25" customHeight="1" x14ac:dyDescent="0.25">
      <c r="A445" s="85">
        <v>14</v>
      </c>
      <c r="B445" s="85"/>
      <c r="C445" s="36" t="s">
        <v>406</v>
      </c>
      <c r="D445" s="36">
        <f>(3.55*4.625+7.295*6.425+1.65*4.775+1.5*1.65)*10.764</f>
        <v>792.69190649999985</v>
      </c>
      <c r="E445" s="36">
        <v>0</v>
      </c>
      <c r="F445" s="36">
        <f t="shared" ref="F445:F460" si="37">(D445+(IF(E445&lt;101,E445,IF(E445&lt;201,E445/2,IF(E445&lt;=301,E445/3,E445/4)))))*(($F$278)+1)</f>
        <v>1189.0378597499998</v>
      </c>
      <c r="G445" s="234" t="str">
        <f>A444</f>
        <v>8th Floor For Commercial (Part Refuge Area)</v>
      </c>
      <c r="H445" s="235"/>
    </row>
    <row r="446" spans="1:8" s="63" customFormat="1" ht="17.25" customHeight="1" x14ac:dyDescent="0.25">
      <c r="A446" s="85">
        <f>A445+1</f>
        <v>15</v>
      </c>
      <c r="B446" s="85"/>
      <c r="C446" s="36" t="s">
        <v>406</v>
      </c>
      <c r="D446" s="36">
        <f>(3.55*6.325+7.295*8.125+1.65*6.15+1.5*1.65)*10.764</f>
        <v>1015.5632175000001</v>
      </c>
      <c r="E446" s="36">
        <v>0</v>
      </c>
      <c r="F446" s="36">
        <f t="shared" si="37"/>
        <v>1523.3448262500001</v>
      </c>
      <c r="G446" s="236"/>
      <c r="H446" s="237"/>
    </row>
    <row r="447" spans="1:8" s="63" customFormat="1" ht="17.25" customHeight="1" x14ac:dyDescent="0.25">
      <c r="A447" s="85">
        <f t="shared" ref="A447:A456" si="38">A446+1</f>
        <v>16</v>
      </c>
      <c r="B447" s="85"/>
      <c r="C447" s="36" t="s">
        <v>406</v>
      </c>
      <c r="D447" s="36">
        <f>(3.55*4.725+7.295*6.525+1.65*4.55+1.5*1.65)*10.764</f>
        <v>800.36932949999982</v>
      </c>
      <c r="E447" s="36">
        <v>0</v>
      </c>
      <c r="F447" s="36">
        <f t="shared" si="37"/>
        <v>1200.5539942499997</v>
      </c>
      <c r="G447" s="236"/>
      <c r="H447" s="237"/>
    </row>
    <row r="448" spans="1:8" s="63" customFormat="1" ht="17.25" customHeight="1" x14ac:dyDescent="0.25">
      <c r="A448" s="85">
        <f t="shared" si="38"/>
        <v>17</v>
      </c>
      <c r="B448" s="85"/>
      <c r="C448" s="36" t="s">
        <v>406</v>
      </c>
      <c r="D448" s="36">
        <f>(3.55*6+7.295*7.8+1.65*5.825+1.5*1.65)*10.764</f>
        <v>971.85195899999974</v>
      </c>
      <c r="E448" s="36">
        <v>0</v>
      </c>
      <c r="F448" s="36">
        <f t="shared" si="37"/>
        <v>1457.7779384999997</v>
      </c>
      <c r="G448" s="236"/>
      <c r="H448" s="237"/>
    </row>
    <row r="449" spans="1:8" s="63" customFormat="1" ht="17.25" customHeight="1" x14ac:dyDescent="0.25">
      <c r="A449" s="85">
        <f t="shared" si="38"/>
        <v>18</v>
      </c>
      <c r="B449" s="85"/>
      <c r="C449" s="36" t="s">
        <v>406</v>
      </c>
      <c r="D449" s="36">
        <f>(3.55*6.275+7.295*8.075+1.65*6.1+1.5*1.65)*10.764</f>
        <v>1008.8384084999998</v>
      </c>
      <c r="E449" s="36">
        <v>0</v>
      </c>
      <c r="F449" s="36">
        <f t="shared" si="37"/>
        <v>1513.2576127499997</v>
      </c>
      <c r="G449" s="236"/>
      <c r="H449" s="237"/>
    </row>
    <row r="450" spans="1:8" s="63" customFormat="1" ht="17.25" customHeight="1" x14ac:dyDescent="0.25">
      <c r="A450" s="85">
        <f t="shared" si="38"/>
        <v>19</v>
      </c>
      <c r="B450" s="85"/>
      <c r="C450" s="36" t="s">
        <v>406</v>
      </c>
      <c r="D450" s="36">
        <f>(5.375*6.15+3.925*3.15+1.3*1.5)*10.764</f>
        <v>509.89068000000003</v>
      </c>
      <c r="E450" s="36">
        <v>0</v>
      </c>
      <c r="F450" s="36">
        <f t="shared" si="37"/>
        <v>764.83602000000008</v>
      </c>
      <c r="G450" s="236"/>
      <c r="H450" s="237"/>
    </row>
    <row r="451" spans="1:8" s="63" customFormat="1" ht="17.25" customHeight="1" x14ac:dyDescent="0.25">
      <c r="A451" s="85">
        <f t="shared" si="38"/>
        <v>20</v>
      </c>
      <c r="B451" s="85"/>
      <c r="C451" s="36" t="s">
        <v>406</v>
      </c>
      <c r="D451" s="36">
        <f>(5.25*6.15+3.725*3.15+1.375*1.5)*10.764</f>
        <v>496.04548499999999</v>
      </c>
      <c r="E451" s="36">
        <v>0</v>
      </c>
      <c r="F451" s="36">
        <f t="shared" si="37"/>
        <v>744.06822749999992</v>
      </c>
      <c r="G451" s="236"/>
      <c r="H451" s="237"/>
    </row>
    <row r="452" spans="1:8" s="63" customFormat="1" ht="17.25" customHeight="1" x14ac:dyDescent="0.25">
      <c r="A452" s="85">
        <f t="shared" si="38"/>
        <v>21</v>
      </c>
      <c r="B452" s="85"/>
      <c r="C452" s="36" t="s">
        <v>406</v>
      </c>
      <c r="D452" s="36">
        <f>(5.3*6.15+3.775*3.15+1.375*1.5)*10.764</f>
        <v>501.05074499999995</v>
      </c>
      <c r="E452" s="36">
        <v>0</v>
      </c>
      <c r="F452" s="36">
        <f t="shared" si="37"/>
        <v>751.5761174999999</v>
      </c>
      <c r="G452" s="236"/>
      <c r="H452" s="237"/>
    </row>
    <row r="453" spans="1:8" s="63" customFormat="1" ht="17.25" customHeight="1" x14ac:dyDescent="0.25">
      <c r="A453" s="85">
        <f t="shared" si="38"/>
        <v>22</v>
      </c>
      <c r="B453" s="85"/>
      <c r="C453" s="36" t="s">
        <v>406</v>
      </c>
      <c r="D453" s="36">
        <f>(6.175*9.3+2.17*1.9)*10.764</f>
        <v>662.529582</v>
      </c>
      <c r="E453" s="36">
        <v>0</v>
      </c>
      <c r="F453" s="36">
        <f t="shared" si="37"/>
        <v>993.79437299999995</v>
      </c>
      <c r="G453" s="236"/>
      <c r="H453" s="237"/>
    </row>
    <row r="454" spans="1:8" s="63" customFormat="1" ht="17.25" customHeight="1" x14ac:dyDescent="0.25">
      <c r="A454" s="85">
        <f t="shared" si="38"/>
        <v>23</v>
      </c>
      <c r="B454" s="85"/>
      <c r="C454" s="36" t="s">
        <v>406</v>
      </c>
      <c r="D454" s="36">
        <f>(10.39*(1.3+2)+11.915*6.85+1.375*1.5)*10.764</f>
        <v>1269.7994789999998</v>
      </c>
      <c r="E454" s="36">
        <v>0</v>
      </c>
      <c r="F454" s="36">
        <f t="shared" si="37"/>
        <v>1904.6992184999997</v>
      </c>
      <c r="G454" s="236"/>
      <c r="H454" s="237"/>
    </row>
    <row r="455" spans="1:8" s="63" customFormat="1" ht="17.25" customHeight="1" x14ac:dyDescent="0.25">
      <c r="A455" s="85">
        <f t="shared" si="38"/>
        <v>24</v>
      </c>
      <c r="B455" s="85"/>
      <c r="C455" s="36" t="s">
        <v>406</v>
      </c>
      <c r="D455" s="36">
        <f>(3.725*(1.3+2)+5.25*6.85+1.375*1.5)*10.764</f>
        <v>541.61756999999989</v>
      </c>
      <c r="E455" s="36">
        <v>0</v>
      </c>
      <c r="F455" s="36">
        <f t="shared" si="37"/>
        <v>812.42635499999983</v>
      </c>
      <c r="G455" s="236"/>
      <c r="H455" s="237"/>
    </row>
    <row r="456" spans="1:8" s="63" customFormat="1" ht="17.25" customHeight="1" x14ac:dyDescent="0.25">
      <c r="A456" s="85">
        <f t="shared" si="38"/>
        <v>25</v>
      </c>
      <c r="B456" s="85"/>
      <c r="C456" s="36" t="s">
        <v>406</v>
      </c>
      <c r="D456" s="36">
        <f>(3.725*(1.3+2)+5.25*6.85+1.375*1.5)*10.764</f>
        <v>541.61756999999989</v>
      </c>
      <c r="E456" s="36">
        <v>0</v>
      </c>
      <c r="F456" s="36">
        <f t="shared" si="37"/>
        <v>812.42635499999983</v>
      </c>
      <c r="G456" s="236"/>
      <c r="H456" s="237"/>
    </row>
    <row r="457" spans="1:8" s="63" customFormat="1" ht="17.25" customHeight="1" x14ac:dyDescent="0.25">
      <c r="A457" s="85">
        <f>A456+1</f>
        <v>26</v>
      </c>
      <c r="B457" s="85"/>
      <c r="C457" s="36" t="s">
        <v>406</v>
      </c>
      <c r="D457" s="36">
        <f t="shared" ref="D457:D458" si="39">(3.725*(1.3+2)+5.25*6.85+1.375*1.5)*10.764</f>
        <v>541.61756999999989</v>
      </c>
      <c r="E457" s="36">
        <v>0</v>
      </c>
      <c r="F457" s="36">
        <f t="shared" si="37"/>
        <v>812.42635499999983</v>
      </c>
      <c r="G457" s="236"/>
      <c r="H457" s="237"/>
    </row>
    <row r="458" spans="1:8" s="63" customFormat="1" ht="17.25" customHeight="1" x14ac:dyDescent="0.25">
      <c r="A458" s="85">
        <f t="shared" ref="A458:A466" si="40">A457+1</f>
        <v>27</v>
      </c>
      <c r="B458" s="85"/>
      <c r="C458" s="36" t="s">
        <v>406</v>
      </c>
      <c r="D458" s="36">
        <f t="shared" si="39"/>
        <v>541.61756999999989</v>
      </c>
      <c r="E458" s="36">
        <v>0</v>
      </c>
      <c r="F458" s="36">
        <f t="shared" si="37"/>
        <v>812.42635499999983</v>
      </c>
      <c r="G458" s="236"/>
      <c r="H458" s="237"/>
    </row>
    <row r="459" spans="1:8" s="63" customFormat="1" ht="17.25" customHeight="1" x14ac:dyDescent="0.25">
      <c r="A459" s="85">
        <f t="shared" si="40"/>
        <v>28</v>
      </c>
      <c r="B459" s="85"/>
      <c r="C459" s="36" t="s">
        <v>406</v>
      </c>
      <c r="D459" s="36">
        <f>(3.78*(1.3+2)+5.305*6.85+1.375*1.5)*10.764</f>
        <v>547.62657299999989</v>
      </c>
      <c r="E459" s="36">
        <v>0</v>
      </c>
      <c r="F459" s="36">
        <f t="shared" si="37"/>
        <v>821.43985949999978</v>
      </c>
      <c r="G459" s="236"/>
      <c r="H459" s="237"/>
    </row>
    <row r="460" spans="1:8" s="63" customFormat="1" ht="17.25" customHeight="1" x14ac:dyDescent="0.25">
      <c r="A460" s="85">
        <f t="shared" si="40"/>
        <v>29</v>
      </c>
      <c r="B460" s="85"/>
      <c r="C460" s="36" t="s">
        <v>406</v>
      </c>
      <c r="D460" s="36">
        <f>(5.08*(1.3+2)+7.375*(1.3+2)+14.13*6.85+1.375*1.5)*10.764</f>
        <v>1506.4702379999999</v>
      </c>
      <c r="E460" s="36">
        <v>0</v>
      </c>
      <c r="F460" s="36">
        <f t="shared" si="37"/>
        <v>2259.7053569999998</v>
      </c>
      <c r="G460" s="236"/>
      <c r="H460" s="237"/>
    </row>
    <row r="461" spans="1:8" s="63" customFormat="1" ht="17.25" customHeight="1" x14ac:dyDescent="0.25">
      <c r="A461" s="85">
        <f t="shared" si="40"/>
        <v>30</v>
      </c>
      <c r="B461" s="85"/>
      <c r="C461" s="141" t="s">
        <v>176</v>
      </c>
      <c r="D461" s="212"/>
      <c r="E461" s="212"/>
      <c r="F461" s="142"/>
      <c r="G461" s="236"/>
      <c r="H461" s="237"/>
    </row>
    <row r="462" spans="1:8" s="63" customFormat="1" ht="17.25" customHeight="1" x14ac:dyDescent="0.25">
      <c r="A462" s="85">
        <f t="shared" si="40"/>
        <v>31</v>
      </c>
      <c r="B462" s="85"/>
      <c r="C462" s="36" t="s">
        <v>406</v>
      </c>
      <c r="D462" s="36">
        <f>(6.15*7.975+3.55*6.175+1.5*1.65)*10.764</f>
        <v>790.53506999999991</v>
      </c>
      <c r="E462" s="36">
        <f>(7.975*2.5)*10.764</f>
        <v>214.60724999999999</v>
      </c>
      <c r="F462" s="36">
        <f t="shared" ref="F462:F466" si="41">(D462+(IF(E462&lt;101,E462,IF(E462&lt;201,E462/2,IF(E462&lt;=301,E462/3,E462/4)))))*(($F$278)+1)</f>
        <v>1293.1062299999999</v>
      </c>
      <c r="G462" s="236"/>
      <c r="H462" s="237"/>
    </row>
    <row r="463" spans="1:8" s="63" customFormat="1" ht="17.25" customHeight="1" x14ac:dyDescent="0.25">
      <c r="A463" s="85">
        <f t="shared" si="40"/>
        <v>32</v>
      </c>
      <c r="B463" s="85"/>
      <c r="C463" s="36" t="s">
        <v>406</v>
      </c>
      <c r="D463" s="36">
        <f>(6.15*7.9+(4.2+2)*6.1+1.5*1.65)*10.764</f>
        <v>956.70431999999994</v>
      </c>
      <c r="E463" s="36">
        <v>0</v>
      </c>
      <c r="F463" s="36">
        <f t="shared" si="41"/>
        <v>1435.05648</v>
      </c>
      <c r="G463" s="236"/>
      <c r="H463" s="237"/>
    </row>
    <row r="464" spans="1:8" s="63" customFormat="1" ht="17.25" customHeight="1" x14ac:dyDescent="0.25">
      <c r="A464" s="85">
        <f t="shared" si="40"/>
        <v>33</v>
      </c>
      <c r="B464" s="85"/>
      <c r="C464" s="36" t="s">
        <v>406</v>
      </c>
      <c r="D464" s="36">
        <f>(6.15*7.85+3.55*6.05+1.5*1.65)*10.764</f>
        <v>777.48371999999983</v>
      </c>
      <c r="E464" s="36">
        <f>(7.85*2.5)*10.764</f>
        <v>211.24349999999998</v>
      </c>
      <c r="F464" s="36">
        <f t="shared" si="41"/>
        <v>1271.8473299999996</v>
      </c>
      <c r="G464" s="236"/>
      <c r="H464" s="237"/>
    </row>
    <row r="465" spans="1:8" s="63" customFormat="1" ht="17.25" customHeight="1" x14ac:dyDescent="0.25">
      <c r="A465" s="85">
        <f t="shared" si="40"/>
        <v>34</v>
      </c>
      <c r="B465" s="85"/>
      <c r="C465" s="36" t="s">
        <v>406</v>
      </c>
      <c r="D465" s="36">
        <f>(6.15*9.45+4.2*7.65+7.65*2)*10.764</f>
        <v>1136.11329</v>
      </c>
      <c r="E465" s="36">
        <v>0</v>
      </c>
      <c r="F465" s="36">
        <f t="shared" si="41"/>
        <v>1704.1699349999999</v>
      </c>
      <c r="G465" s="236"/>
      <c r="H465" s="237"/>
    </row>
    <row r="466" spans="1:8" s="63" customFormat="1" ht="17.25" customHeight="1" x14ac:dyDescent="0.25">
      <c r="A466" s="85">
        <f t="shared" si="40"/>
        <v>35</v>
      </c>
      <c r="B466" s="85"/>
      <c r="C466" s="36" t="s">
        <v>406</v>
      </c>
      <c r="D466" s="36">
        <f>(6.15*6.425+3.55*4.625+1.5*1.65)*10.764</f>
        <v>628.69833000000006</v>
      </c>
      <c r="E466" s="36">
        <f>(4.625*2.5)*10.764</f>
        <v>124.45874999999999</v>
      </c>
      <c r="F466" s="36">
        <f t="shared" si="41"/>
        <v>1036.3915575000001</v>
      </c>
      <c r="G466" s="238"/>
      <c r="H466" s="239"/>
    </row>
    <row r="467" spans="1:8" s="63" customFormat="1" ht="17.25" customHeight="1" x14ac:dyDescent="0.25">
      <c r="A467" s="109" t="s">
        <v>414</v>
      </c>
      <c r="B467" s="109"/>
      <c r="C467" s="109"/>
      <c r="D467" s="109"/>
      <c r="E467" s="109"/>
      <c r="F467" s="109"/>
      <c r="G467" s="109"/>
      <c r="H467" s="109"/>
    </row>
    <row r="468" spans="1:8" s="63" customFormat="1" ht="17.25" customHeight="1" x14ac:dyDescent="0.25">
      <c r="A468" s="85">
        <v>14</v>
      </c>
      <c r="B468" s="85"/>
      <c r="C468" s="36" t="s">
        <v>406</v>
      </c>
      <c r="D468" s="36">
        <f>(3.55*4.625+7.295*6.425+1.65*4.775+1.5*1.65)*10.764</f>
        <v>792.69190649999985</v>
      </c>
      <c r="E468" s="36">
        <v>0</v>
      </c>
      <c r="F468" s="36">
        <f t="shared" ref="F468:F489" si="42">(D468+(IF(E468&lt;101,E468,IF(E468&lt;201,E468/2,IF(E468&lt;=301,E468/3,E468/4)))))*(($F$278)+1)</f>
        <v>1189.0378597499998</v>
      </c>
      <c r="G468" s="234" t="str">
        <f>A467</f>
        <v>9th &amp; 10th Floor</v>
      </c>
      <c r="H468" s="235"/>
    </row>
    <row r="469" spans="1:8" s="63" customFormat="1" ht="17.25" customHeight="1" x14ac:dyDescent="0.25">
      <c r="A469" s="85">
        <f>A468+1</f>
        <v>15</v>
      </c>
      <c r="B469" s="85"/>
      <c r="C469" s="36" t="s">
        <v>406</v>
      </c>
      <c r="D469" s="36">
        <f>(3.55*6.325+7.295*8.125+1.65*6.15+1.5*1.65)*10.764</f>
        <v>1015.5632175000001</v>
      </c>
      <c r="E469" s="36">
        <v>0</v>
      </c>
      <c r="F469" s="36">
        <f t="shared" si="42"/>
        <v>1523.3448262500001</v>
      </c>
      <c r="G469" s="236"/>
      <c r="H469" s="237"/>
    </row>
    <row r="470" spans="1:8" s="63" customFormat="1" ht="17.25" customHeight="1" x14ac:dyDescent="0.25">
      <c r="A470" s="85">
        <f t="shared" ref="A470:A479" si="43">A469+1</f>
        <v>16</v>
      </c>
      <c r="B470" s="85"/>
      <c r="C470" s="36" t="s">
        <v>406</v>
      </c>
      <c r="D470" s="36">
        <f>(3.55*4.725+7.295*6.525+1.65*4.55+1.5*1.65)*10.764</f>
        <v>800.36932949999982</v>
      </c>
      <c r="E470" s="36">
        <v>0</v>
      </c>
      <c r="F470" s="36">
        <f t="shared" si="42"/>
        <v>1200.5539942499997</v>
      </c>
      <c r="G470" s="236"/>
      <c r="H470" s="237"/>
    </row>
    <row r="471" spans="1:8" s="63" customFormat="1" ht="17.25" customHeight="1" x14ac:dyDescent="0.25">
      <c r="A471" s="85">
        <f t="shared" si="43"/>
        <v>17</v>
      </c>
      <c r="B471" s="85"/>
      <c r="C471" s="36" t="s">
        <v>406</v>
      </c>
      <c r="D471" s="36">
        <f>(3.55*6+7.295*7.8+1.65*5.825+1.5*1.65)*10.764</f>
        <v>971.85195899999974</v>
      </c>
      <c r="E471" s="36">
        <v>0</v>
      </c>
      <c r="F471" s="36">
        <f t="shared" si="42"/>
        <v>1457.7779384999997</v>
      </c>
      <c r="G471" s="236"/>
      <c r="H471" s="237"/>
    </row>
    <row r="472" spans="1:8" s="63" customFormat="1" ht="17.25" customHeight="1" x14ac:dyDescent="0.25">
      <c r="A472" s="85">
        <f t="shared" si="43"/>
        <v>18</v>
      </c>
      <c r="B472" s="85"/>
      <c r="C472" s="36" t="s">
        <v>406</v>
      </c>
      <c r="D472" s="36">
        <f>(3.55*6.275+7.295*8.075+1.65*6.1+1.5*1.65)*10.764</f>
        <v>1008.8384084999998</v>
      </c>
      <c r="E472" s="36">
        <v>0</v>
      </c>
      <c r="F472" s="36">
        <f t="shared" si="42"/>
        <v>1513.2576127499997</v>
      </c>
      <c r="G472" s="236"/>
      <c r="H472" s="237"/>
    </row>
    <row r="473" spans="1:8" s="63" customFormat="1" ht="17.25" customHeight="1" x14ac:dyDescent="0.25">
      <c r="A473" s="85">
        <f t="shared" si="43"/>
        <v>19</v>
      </c>
      <c r="B473" s="85"/>
      <c r="C473" s="36" t="s">
        <v>406</v>
      </c>
      <c r="D473" s="36">
        <f>(5.375*6.15+3.925*3.15+1.3*1.5)*10.764</f>
        <v>509.89068000000003</v>
      </c>
      <c r="E473" s="36">
        <v>0</v>
      </c>
      <c r="F473" s="36">
        <f t="shared" si="42"/>
        <v>764.83602000000008</v>
      </c>
      <c r="G473" s="236"/>
      <c r="H473" s="237"/>
    </row>
    <row r="474" spans="1:8" s="63" customFormat="1" ht="17.25" customHeight="1" x14ac:dyDescent="0.25">
      <c r="A474" s="85">
        <f t="shared" si="43"/>
        <v>20</v>
      </c>
      <c r="B474" s="85"/>
      <c r="C474" s="36" t="s">
        <v>406</v>
      </c>
      <c r="D474" s="36">
        <f>(5.25*6.15+3.725*3.15+1.375*1.5)*10.764</f>
        <v>496.04548499999999</v>
      </c>
      <c r="E474" s="36">
        <v>0</v>
      </c>
      <c r="F474" s="36">
        <f t="shared" si="42"/>
        <v>744.06822749999992</v>
      </c>
      <c r="G474" s="236"/>
      <c r="H474" s="237"/>
    </row>
    <row r="475" spans="1:8" s="63" customFormat="1" ht="17.25" customHeight="1" x14ac:dyDescent="0.25">
      <c r="A475" s="85">
        <f t="shared" si="43"/>
        <v>21</v>
      </c>
      <c r="B475" s="85"/>
      <c r="C475" s="36" t="s">
        <v>406</v>
      </c>
      <c r="D475" s="36">
        <f>(5.3*6.15+3.775*3.15+1.375*1.5)*10.764</f>
        <v>501.05074499999995</v>
      </c>
      <c r="E475" s="36">
        <v>0</v>
      </c>
      <c r="F475" s="36">
        <f t="shared" si="42"/>
        <v>751.5761174999999</v>
      </c>
      <c r="G475" s="236"/>
      <c r="H475" s="237"/>
    </row>
    <row r="476" spans="1:8" s="63" customFormat="1" ht="17.25" customHeight="1" x14ac:dyDescent="0.25">
      <c r="A476" s="85">
        <f t="shared" si="43"/>
        <v>22</v>
      </c>
      <c r="B476" s="85"/>
      <c r="C476" s="36" t="s">
        <v>406</v>
      </c>
      <c r="D476" s="36">
        <f>(6.175*9.3+2.17*1.9)*10.764</f>
        <v>662.529582</v>
      </c>
      <c r="E476" s="36">
        <v>0</v>
      </c>
      <c r="F476" s="36">
        <f t="shared" si="42"/>
        <v>993.79437299999995</v>
      </c>
      <c r="G476" s="236"/>
      <c r="H476" s="237"/>
    </row>
    <row r="477" spans="1:8" s="63" customFormat="1" ht="17.25" customHeight="1" x14ac:dyDescent="0.25">
      <c r="A477" s="85">
        <f t="shared" si="43"/>
        <v>23</v>
      </c>
      <c r="B477" s="85"/>
      <c r="C477" s="36" t="s">
        <v>406</v>
      </c>
      <c r="D477" s="36">
        <f>(10.39*(1.3+2)+11.915*6.85+1.375*1.5)*10.764</f>
        <v>1269.7994789999998</v>
      </c>
      <c r="E477" s="36">
        <v>0</v>
      </c>
      <c r="F477" s="36">
        <f t="shared" si="42"/>
        <v>1904.6992184999997</v>
      </c>
      <c r="G477" s="236"/>
      <c r="H477" s="237"/>
    </row>
    <row r="478" spans="1:8" s="63" customFormat="1" ht="17.25" customHeight="1" x14ac:dyDescent="0.25">
      <c r="A478" s="85">
        <f t="shared" si="43"/>
        <v>24</v>
      </c>
      <c r="B478" s="85"/>
      <c r="C478" s="36" t="s">
        <v>406</v>
      </c>
      <c r="D478" s="36">
        <f>(3.725*(1.3+2)+5.25*6.85+1.375*1.5)*10.764</f>
        <v>541.61756999999989</v>
      </c>
      <c r="E478" s="36">
        <v>0</v>
      </c>
      <c r="F478" s="36">
        <f t="shared" si="42"/>
        <v>812.42635499999983</v>
      </c>
      <c r="G478" s="236"/>
      <c r="H478" s="237"/>
    </row>
    <row r="479" spans="1:8" s="63" customFormat="1" ht="17.25" customHeight="1" x14ac:dyDescent="0.25">
      <c r="A479" s="85">
        <f t="shared" si="43"/>
        <v>25</v>
      </c>
      <c r="B479" s="85"/>
      <c r="C479" s="36" t="s">
        <v>406</v>
      </c>
      <c r="D479" s="36">
        <f>(3.725*(1.3+2)+5.25*6.85+1.375*1.5)*10.764</f>
        <v>541.61756999999989</v>
      </c>
      <c r="E479" s="36">
        <v>0</v>
      </c>
      <c r="F479" s="36">
        <f t="shared" si="42"/>
        <v>812.42635499999983</v>
      </c>
      <c r="G479" s="236"/>
      <c r="H479" s="237"/>
    </row>
    <row r="480" spans="1:8" s="63" customFormat="1" ht="17.25" customHeight="1" x14ac:dyDescent="0.25">
      <c r="A480" s="85">
        <f>A479+1</f>
        <v>26</v>
      </c>
      <c r="B480" s="85"/>
      <c r="C480" s="36" t="s">
        <v>406</v>
      </c>
      <c r="D480" s="36">
        <f t="shared" ref="D480:D481" si="44">(3.725*(1.3+2)+5.25*6.85+1.375*1.5)*10.764</f>
        <v>541.61756999999989</v>
      </c>
      <c r="E480" s="36">
        <v>0</v>
      </c>
      <c r="F480" s="36">
        <f t="shared" si="42"/>
        <v>812.42635499999983</v>
      </c>
      <c r="G480" s="236"/>
      <c r="H480" s="237"/>
    </row>
    <row r="481" spans="1:8" s="63" customFormat="1" ht="17.25" customHeight="1" x14ac:dyDescent="0.25">
      <c r="A481" s="85">
        <f t="shared" ref="A481:A489" si="45">A480+1</f>
        <v>27</v>
      </c>
      <c r="B481" s="85"/>
      <c r="C481" s="36" t="s">
        <v>406</v>
      </c>
      <c r="D481" s="36">
        <f t="shared" si="44"/>
        <v>541.61756999999989</v>
      </c>
      <c r="E481" s="36">
        <v>0</v>
      </c>
      <c r="F481" s="36">
        <f t="shared" si="42"/>
        <v>812.42635499999983</v>
      </c>
      <c r="G481" s="236"/>
      <c r="H481" s="237"/>
    </row>
    <row r="482" spans="1:8" s="63" customFormat="1" ht="17.25" customHeight="1" x14ac:dyDescent="0.25">
      <c r="A482" s="85">
        <f t="shared" si="45"/>
        <v>28</v>
      </c>
      <c r="B482" s="85"/>
      <c r="C482" s="36" t="s">
        <v>406</v>
      </c>
      <c r="D482" s="36">
        <f>(3.78*(1.3+2)+5.305*6.85+1.375*1.5)*10.764</f>
        <v>547.62657299999989</v>
      </c>
      <c r="E482" s="36">
        <v>0</v>
      </c>
      <c r="F482" s="36">
        <f t="shared" si="42"/>
        <v>821.43985949999978</v>
      </c>
      <c r="G482" s="236"/>
      <c r="H482" s="237"/>
    </row>
    <row r="483" spans="1:8" s="63" customFormat="1" ht="17.25" customHeight="1" x14ac:dyDescent="0.25">
      <c r="A483" s="85">
        <f t="shared" si="45"/>
        <v>29</v>
      </c>
      <c r="B483" s="85"/>
      <c r="C483" s="36" t="s">
        <v>406</v>
      </c>
      <c r="D483" s="36">
        <f>(5.08*(1.3+2)+7.375*(1.3+2)+14.13*6.85+1.375*1.5)*10.764</f>
        <v>1506.4702379999999</v>
      </c>
      <c r="E483" s="36">
        <v>0</v>
      </c>
      <c r="F483" s="36">
        <f t="shared" si="42"/>
        <v>2259.7053569999998</v>
      </c>
      <c r="G483" s="236"/>
      <c r="H483" s="237"/>
    </row>
    <row r="484" spans="1:8" s="63" customFormat="1" ht="17.25" customHeight="1" x14ac:dyDescent="0.25">
      <c r="A484" s="85">
        <f t="shared" si="45"/>
        <v>30</v>
      </c>
      <c r="B484" s="85"/>
      <c r="C484" s="36" t="s">
        <v>406</v>
      </c>
      <c r="D484" s="36">
        <f>(4.41*(1.3+2)+6.315*(1.3+2)+12.325*6.55+1.3*1.5)*10.764</f>
        <v>1270.9189349999999</v>
      </c>
      <c r="E484" s="36">
        <v>0</v>
      </c>
      <c r="F484" s="36">
        <f t="shared" si="42"/>
        <v>1906.3784025</v>
      </c>
      <c r="G484" s="236"/>
      <c r="H484" s="237"/>
    </row>
    <row r="485" spans="1:8" s="63" customFormat="1" ht="17.25" customHeight="1" x14ac:dyDescent="0.25">
      <c r="A485" s="85">
        <f t="shared" si="45"/>
        <v>31</v>
      </c>
      <c r="B485" s="85"/>
      <c r="C485" s="36" t="s">
        <v>406</v>
      </c>
      <c r="D485" s="36">
        <f>(6.15*7.975+3.55*6.175+1.5*1.65)*10.764</f>
        <v>790.53506999999991</v>
      </c>
      <c r="E485" s="36">
        <f>(7.975*2.5)*10.764</f>
        <v>214.60724999999999</v>
      </c>
      <c r="F485" s="36">
        <f t="shared" si="42"/>
        <v>1293.1062299999999</v>
      </c>
      <c r="G485" s="236"/>
      <c r="H485" s="237"/>
    </row>
    <row r="486" spans="1:8" s="63" customFormat="1" ht="17.25" customHeight="1" x14ac:dyDescent="0.25">
      <c r="A486" s="85">
        <f t="shared" si="45"/>
        <v>32</v>
      </c>
      <c r="B486" s="85"/>
      <c r="C486" s="36" t="s">
        <v>406</v>
      </c>
      <c r="D486" s="36">
        <f>(6.15*7.9+(4.2+2)*6.1+1.5*1.65)*10.764</f>
        <v>956.70431999999994</v>
      </c>
      <c r="E486" s="36">
        <v>0</v>
      </c>
      <c r="F486" s="36">
        <f t="shared" si="42"/>
        <v>1435.05648</v>
      </c>
      <c r="G486" s="236"/>
      <c r="H486" s="237"/>
    </row>
    <row r="487" spans="1:8" s="63" customFormat="1" ht="17.25" customHeight="1" x14ac:dyDescent="0.25">
      <c r="A487" s="85">
        <f t="shared" si="45"/>
        <v>33</v>
      </c>
      <c r="B487" s="85"/>
      <c r="C487" s="36" t="s">
        <v>406</v>
      </c>
      <c r="D487" s="36">
        <f>(6.15*7.85+3.55*6.05+1.5*1.65)*10.764</f>
        <v>777.48371999999983</v>
      </c>
      <c r="E487" s="36">
        <f>(7.85*2.5)*10.764</f>
        <v>211.24349999999998</v>
      </c>
      <c r="F487" s="36">
        <f t="shared" si="42"/>
        <v>1271.8473299999996</v>
      </c>
      <c r="G487" s="236"/>
      <c r="H487" s="237"/>
    </row>
    <row r="488" spans="1:8" s="63" customFormat="1" ht="17.25" customHeight="1" x14ac:dyDescent="0.25">
      <c r="A488" s="85">
        <f t="shared" si="45"/>
        <v>34</v>
      </c>
      <c r="B488" s="85"/>
      <c r="C488" s="36" t="s">
        <v>406</v>
      </c>
      <c r="D488" s="36">
        <f>(6.15*9.45+4.2*7.65+7.65*2)*10.764</f>
        <v>1136.11329</v>
      </c>
      <c r="E488" s="36">
        <v>0</v>
      </c>
      <c r="F488" s="36">
        <f t="shared" si="42"/>
        <v>1704.1699349999999</v>
      </c>
      <c r="G488" s="236"/>
      <c r="H488" s="237"/>
    </row>
    <row r="489" spans="1:8" s="63" customFormat="1" ht="17.25" customHeight="1" x14ac:dyDescent="0.25">
      <c r="A489" s="85">
        <f t="shared" si="45"/>
        <v>35</v>
      </c>
      <c r="B489" s="85"/>
      <c r="C489" s="36" t="s">
        <v>406</v>
      </c>
      <c r="D489" s="36">
        <f>(6.15*6.425+3.55*4.625+1.5*1.65)*10.764</f>
        <v>628.69833000000006</v>
      </c>
      <c r="E489" s="36">
        <f>(4.625*2.5)*10.764</f>
        <v>124.45874999999999</v>
      </c>
      <c r="F489" s="36">
        <f t="shared" si="42"/>
        <v>1036.3915575000001</v>
      </c>
      <c r="G489" s="238"/>
      <c r="H489" s="239"/>
    </row>
    <row r="490" spans="1:8" s="63" customFormat="1" ht="17.25" customHeight="1" x14ac:dyDescent="0.25">
      <c r="A490" s="109" t="s">
        <v>415</v>
      </c>
      <c r="B490" s="109"/>
      <c r="C490" s="109"/>
      <c r="D490" s="109"/>
      <c r="E490" s="109"/>
      <c r="F490" s="109"/>
      <c r="G490" s="109"/>
      <c r="H490" s="109"/>
    </row>
    <row r="491" spans="1:8" s="63" customFormat="1" ht="17.25" customHeight="1" x14ac:dyDescent="0.25">
      <c r="A491" s="85">
        <v>14</v>
      </c>
      <c r="B491" s="85"/>
      <c r="C491" s="36" t="s">
        <v>407</v>
      </c>
      <c r="D491" s="36">
        <f>(3.55*4.625+7.295*6.425+1.65*4.775+1.5*1.65)*10.764</f>
        <v>792.69190649999985</v>
      </c>
      <c r="E491" s="36">
        <v>0</v>
      </c>
      <c r="F491" s="36">
        <f t="shared" ref="F491:F511" si="46">(D491+(IF(E491&lt;101,E491,IF(E491&lt;201,E491/2,IF(E491&lt;=301,E491/3,E491/4)))))*(($F$278)+1)</f>
        <v>1189.0378597499998</v>
      </c>
      <c r="G491" s="234" t="str">
        <f>A490</f>
        <v>13th &amp; 14th Floor</v>
      </c>
      <c r="H491" s="235"/>
    </row>
    <row r="492" spans="1:8" s="63" customFormat="1" ht="17.25" customHeight="1" x14ac:dyDescent="0.25">
      <c r="A492" s="85">
        <f>A491+1</f>
        <v>15</v>
      </c>
      <c r="B492" s="85"/>
      <c r="C492" s="36" t="s">
        <v>407</v>
      </c>
      <c r="D492" s="36">
        <f>(3.55*6.325+7.295*8.125+1.65*6.15+1.5*1.65)*10.764</f>
        <v>1015.5632175000001</v>
      </c>
      <c r="E492" s="36">
        <v>0</v>
      </c>
      <c r="F492" s="36">
        <f t="shared" si="46"/>
        <v>1523.3448262500001</v>
      </c>
      <c r="G492" s="236"/>
      <c r="H492" s="237"/>
    </row>
    <row r="493" spans="1:8" s="63" customFormat="1" ht="17.25" customHeight="1" x14ac:dyDescent="0.25">
      <c r="A493" s="85">
        <f t="shared" ref="A493:A502" si="47">A492+1</f>
        <v>16</v>
      </c>
      <c r="B493" s="85"/>
      <c r="C493" s="36" t="s">
        <v>407</v>
      </c>
      <c r="D493" s="36">
        <f>(3.55*4.725+7.295*6.525+1.65*4.55+1.5*1.65)*10.764</f>
        <v>800.36932949999982</v>
      </c>
      <c r="E493" s="36">
        <v>0</v>
      </c>
      <c r="F493" s="36">
        <f t="shared" si="46"/>
        <v>1200.5539942499997</v>
      </c>
      <c r="G493" s="236"/>
      <c r="H493" s="237"/>
    </row>
    <row r="494" spans="1:8" s="63" customFormat="1" ht="17.25" customHeight="1" x14ac:dyDescent="0.25">
      <c r="A494" s="85">
        <f t="shared" si="47"/>
        <v>17</v>
      </c>
      <c r="B494" s="85"/>
      <c r="C494" s="36" t="s">
        <v>407</v>
      </c>
      <c r="D494" s="36">
        <f>(3.55*6+7.295*7.8+1.65*5.825+1.5*1.65)*10.764</f>
        <v>971.85195899999974</v>
      </c>
      <c r="E494" s="36">
        <v>0</v>
      </c>
      <c r="F494" s="36">
        <f t="shared" si="46"/>
        <v>1457.7779384999997</v>
      </c>
      <c r="G494" s="236"/>
      <c r="H494" s="237"/>
    </row>
    <row r="495" spans="1:8" s="63" customFormat="1" ht="17.25" customHeight="1" x14ac:dyDescent="0.25">
      <c r="A495" s="85">
        <f t="shared" si="47"/>
        <v>18</v>
      </c>
      <c r="B495" s="85"/>
      <c r="C495" s="36" t="s">
        <v>407</v>
      </c>
      <c r="D495" s="36">
        <f>(3.55*6.275+7.295*8.075+1.65*6.1+1.5*1.65)*10.764</f>
        <v>1008.8384084999998</v>
      </c>
      <c r="E495" s="36">
        <v>0</v>
      </c>
      <c r="F495" s="36">
        <f t="shared" si="46"/>
        <v>1513.2576127499997</v>
      </c>
      <c r="G495" s="236"/>
      <c r="H495" s="237"/>
    </row>
    <row r="496" spans="1:8" s="63" customFormat="1" ht="17.25" customHeight="1" x14ac:dyDescent="0.25">
      <c r="A496" s="85">
        <f t="shared" si="47"/>
        <v>19</v>
      </c>
      <c r="B496" s="85"/>
      <c r="C496" s="36" t="s">
        <v>407</v>
      </c>
      <c r="D496" s="36">
        <f>(5.375*6.15+3.925*3.15+1.3*1.5)*10.764</f>
        <v>509.89068000000003</v>
      </c>
      <c r="E496" s="36">
        <v>0</v>
      </c>
      <c r="F496" s="36">
        <f t="shared" si="46"/>
        <v>764.83602000000008</v>
      </c>
      <c r="G496" s="236"/>
      <c r="H496" s="237"/>
    </row>
    <row r="497" spans="1:8" s="63" customFormat="1" ht="17.25" customHeight="1" x14ac:dyDescent="0.25">
      <c r="A497" s="85">
        <f t="shared" si="47"/>
        <v>20</v>
      </c>
      <c r="B497" s="85"/>
      <c r="C497" s="36" t="s">
        <v>407</v>
      </c>
      <c r="D497" s="36">
        <f>(5.25*6.15+3.725*3.15+1.375*1.5)*10.764</f>
        <v>496.04548499999999</v>
      </c>
      <c r="E497" s="36">
        <v>0</v>
      </c>
      <c r="F497" s="36">
        <f t="shared" si="46"/>
        <v>744.06822749999992</v>
      </c>
      <c r="G497" s="236"/>
      <c r="H497" s="237"/>
    </row>
    <row r="498" spans="1:8" s="63" customFormat="1" ht="17.25" customHeight="1" x14ac:dyDescent="0.25">
      <c r="A498" s="85">
        <f t="shared" si="47"/>
        <v>21</v>
      </c>
      <c r="B498" s="85"/>
      <c r="C498" s="36" t="s">
        <v>407</v>
      </c>
      <c r="D498" s="36">
        <f>(5.3*6.15+3.775*3.15+1.375*1.5)*10.764</f>
        <v>501.05074499999995</v>
      </c>
      <c r="E498" s="36">
        <v>0</v>
      </c>
      <c r="F498" s="36">
        <f t="shared" si="46"/>
        <v>751.5761174999999</v>
      </c>
      <c r="G498" s="236"/>
      <c r="H498" s="237"/>
    </row>
    <row r="499" spans="1:8" s="63" customFormat="1" ht="17.25" customHeight="1" x14ac:dyDescent="0.25">
      <c r="A499" s="85">
        <f t="shared" si="47"/>
        <v>22</v>
      </c>
      <c r="B499" s="85"/>
      <c r="C499" s="36" t="s">
        <v>407</v>
      </c>
      <c r="D499" s="36">
        <f>(6.175*9.3+2.17*1.9)*10.764</f>
        <v>662.529582</v>
      </c>
      <c r="E499" s="36">
        <v>0</v>
      </c>
      <c r="F499" s="36">
        <f t="shared" si="46"/>
        <v>993.79437299999995</v>
      </c>
      <c r="G499" s="236"/>
      <c r="H499" s="237"/>
    </row>
    <row r="500" spans="1:8" s="63" customFormat="1" ht="17.25" customHeight="1" x14ac:dyDescent="0.25">
      <c r="A500" s="85">
        <f t="shared" si="47"/>
        <v>23</v>
      </c>
      <c r="B500" s="85"/>
      <c r="C500" s="36" t="s">
        <v>407</v>
      </c>
      <c r="D500" s="36">
        <f>(10.39*(1.3+2)+11.915*6.85+1.375*1.5)*10.764</f>
        <v>1269.7994789999998</v>
      </c>
      <c r="E500" s="36">
        <v>0</v>
      </c>
      <c r="F500" s="36">
        <f t="shared" si="46"/>
        <v>1904.6992184999997</v>
      </c>
      <c r="G500" s="236"/>
      <c r="H500" s="237"/>
    </row>
    <row r="501" spans="1:8" s="63" customFormat="1" ht="17.25" customHeight="1" x14ac:dyDescent="0.25">
      <c r="A501" s="85">
        <f t="shared" si="47"/>
        <v>24</v>
      </c>
      <c r="B501" s="85"/>
      <c r="C501" s="36" t="s">
        <v>407</v>
      </c>
      <c r="D501" s="36">
        <f>(3.725*(1.3+2)+5.25*6.85+1.375*1.5)*10.764</f>
        <v>541.61756999999989</v>
      </c>
      <c r="E501" s="36">
        <v>0</v>
      </c>
      <c r="F501" s="36">
        <f t="shared" si="46"/>
        <v>812.42635499999983</v>
      </c>
      <c r="G501" s="236"/>
      <c r="H501" s="237"/>
    </row>
    <row r="502" spans="1:8" s="63" customFormat="1" ht="17.25" customHeight="1" x14ac:dyDescent="0.25">
      <c r="A502" s="85">
        <f t="shared" si="47"/>
        <v>25</v>
      </c>
      <c r="B502" s="85"/>
      <c r="C502" s="36" t="s">
        <v>407</v>
      </c>
      <c r="D502" s="36">
        <f>(3.725*(1.3+2)+5.25*6.85+1.375*1.5)*10.764</f>
        <v>541.61756999999989</v>
      </c>
      <c r="E502" s="36">
        <v>0</v>
      </c>
      <c r="F502" s="36">
        <f t="shared" si="46"/>
        <v>812.42635499999983</v>
      </c>
      <c r="G502" s="236"/>
      <c r="H502" s="237"/>
    </row>
    <row r="503" spans="1:8" s="63" customFormat="1" ht="17.25" customHeight="1" x14ac:dyDescent="0.25">
      <c r="A503" s="85">
        <f>A502+1</f>
        <v>26</v>
      </c>
      <c r="B503" s="85"/>
      <c r="C503" s="36" t="s">
        <v>407</v>
      </c>
      <c r="D503" s="36">
        <f t="shared" ref="D503:D504" si="48">(3.725*(1.3+2)+5.25*6.85+1.375*1.5)*10.764</f>
        <v>541.61756999999989</v>
      </c>
      <c r="E503" s="36">
        <v>0</v>
      </c>
      <c r="F503" s="36">
        <f t="shared" si="46"/>
        <v>812.42635499999983</v>
      </c>
      <c r="G503" s="236"/>
      <c r="H503" s="237"/>
    </row>
    <row r="504" spans="1:8" s="63" customFormat="1" ht="17.25" customHeight="1" x14ac:dyDescent="0.25">
      <c r="A504" s="85">
        <f t="shared" ref="A504:A512" si="49">A503+1</f>
        <v>27</v>
      </c>
      <c r="B504" s="85"/>
      <c r="C504" s="36" t="s">
        <v>407</v>
      </c>
      <c r="D504" s="36">
        <f t="shared" si="48"/>
        <v>541.61756999999989</v>
      </c>
      <c r="E504" s="36">
        <v>0</v>
      </c>
      <c r="F504" s="36">
        <f t="shared" si="46"/>
        <v>812.42635499999983</v>
      </c>
      <c r="G504" s="236"/>
      <c r="H504" s="237"/>
    </row>
    <row r="505" spans="1:8" s="63" customFormat="1" ht="17.25" customHeight="1" x14ac:dyDescent="0.25">
      <c r="A505" s="85">
        <f t="shared" si="49"/>
        <v>28</v>
      </c>
      <c r="B505" s="85"/>
      <c r="C505" s="36" t="s">
        <v>407</v>
      </c>
      <c r="D505" s="36">
        <f>(3.78*(1.3+2)+5.305*6.85+1.375*1.5)*10.764</f>
        <v>547.62657299999989</v>
      </c>
      <c r="E505" s="36">
        <v>0</v>
      </c>
      <c r="F505" s="36">
        <f t="shared" si="46"/>
        <v>821.43985949999978</v>
      </c>
      <c r="G505" s="236"/>
      <c r="H505" s="237"/>
    </row>
    <row r="506" spans="1:8" s="63" customFormat="1" ht="17.25" customHeight="1" x14ac:dyDescent="0.25">
      <c r="A506" s="85">
        <f t="shared" si="49"/>
        <v>29</v>
      </c>
      <c r="B506" s="85"/>
      <c r="C506" s="36" t="s">
        <v>407</v>
      </c>
      <c r="D506" s="36">
        <f>(5.08*(1.3+2)+7.375*(1.3+2)+14.13*6.85+1.375*1.5)*10.764</f>
        <v>1506.4702379999999</v>
      </c>
      <c r="E506" s="36">
        <v>0</v>
      </c>
      <c r="F506" s="36">
        <f t="shared" si="46"/>
        <v>2259.7053569999998</v>
      </c>
      <c r="G506" s="236"/>
      <c r="H506" s="237"/>
    </row>
    <row r="507" spans="1:8" s="63" customFormat="1" ht="17.25" customHeight="1" x14ac:dyDescent="0.25">
      <c r="A507" s="85">
        <f t="shared" si="49"/>
        <v>30</v>
      </c>
      <c r="B507" s="85"/>
      <c r="C507" s="36" t="s">
        <v>407</v>
      </c>
      <c r="D507" s="36">
        <f>(4.41*(1.3+2)+6.315*(1.3+2)+12.325*6.55+1.3*1.5)*10.764</f>
        <v>1270.9189349999999</v>
      </c>
      <c r="E507" s="36">
        <v>0</v>
      </c>
      <c r="F507" s="36">
        <f t="shared" si="46"/>
        <v>1906.3784025</v>
      </c>
      <c r="G507" s="236"/>
      <c r="H507" s="237"/>
    </row>
    <row r="508" spans="1:8" s="63" customFormat="1" ht="17.25" customHeight="1" x14ac:dyDescent="0.25">
      <c r="A508" s="85">
        <f t="shared" si="49"/>
        <v>31</v>
      </c>
      <c r="B508" s="85"/>
      <c r="C508" s="36" t="s">
        <v>407</v>
      </c>
      <c r="D508" s="36">
        <f>(6.15*7.975+3.55*6.175+1.5*1.65)*10.764</f>
        <v>790.53506999999991</v>
      </c>
      <c r="E508" s="36">
        <f>(7.975*2.5)*10.764</f>
        <v>214.60724999999999</v>
      </c>
      <c r="F508" s="36">
        <f t="shared" si="46"/>
        <v>1293.1062299999999</v>
      </c>
      <c r="G508" s="236"/>
      <c r="H508" s="237"/>
    </row>
    <row r="509" spans="1:8" s="63" customFormat="1" ht="17.25" customHeight="1" x14ac:dyDescent="0.25">
      <c r="A509" s="85">
        <f t="shared" si="49"/>
        <v>32</v>
      </c>
      <c r="B509" s="85"/>
      <c r="C509" s="36" t="s">
        <v>407</v>
      </c>
      <c r="D509" s="36">
        <f>(6.15*7.9+(4.2+2)*6.1+1.5*1.65)*10.764</f>
        <v>956.70431999999994</v>
      </c>
      <c r="E509" s="36">
        <v>0</v>
      </c>
      <c r="F509" s="36">
        <f t="shared" si="46"/>
        <v>1435.05648</v>
      </c>
      <c r="G509" s="236"/>
      <c r="H509" s="237"/>
    </row>
    <row r="510" spans="1:8" s="63" customFormat="1" ht="17.25" customHeight="1" x14ac:dyDescent="0.25">
      <c r="A510" s="85">
        <f t="shared" si="49"/>
        <v>33</v>
      </c>
      <c r="B510" s="85"/>
      <c r="C510" s="36" t="s">
        <v>407</v>
      </c>
      <c r="D510" s="36">
        <f>(6.15*7.85+3.55*6.05+1.5*1.65)*10.764</f>
        <v>777.48371999999983</v>
      </c>
      <c r="E510" s="36">
        <f>(7.85*2.5)*10.764</f>
        <v>211.24349999999998</v>
      </c>
      <c r="F510" s="36">
        <f t="shared" si="46"/>
        <v>1271.8473299999996</v>
      </c>
      <c r="G510" s="236"/>
      <c r="H510" s="237"/>
    </row>
    <row r="511" spans="1:8" s="63" customFormat="1" ht="17.25" customHeight="1" x14ac:dyDescent="0.25">
      <c r="A511" s="85">
        <f t="shared" si="49"/>
        <v>34</v>
      </c>
      <c r="B511" s="85"/>
      <c r="C511" s="36" t="s">
        <v>407</v>
      </c>
      <c r="D511" s="36">
        <f>(6.15*9.45+4.2*7.65+7.65*2)*10.764</f>
        <v>1136.11329</v>
      </c>
      <c r="E511" s="36">
        <v>0</v>
      </c>
      <c r="F511" s="36">
        <f t="shared" si="46"/>
        <v>1704.1699349999999</v>
      </c>
      <c r="G511" s="236"/>
      <c r="H511" s="237"/>
    </row>
    <row r="512" spans="1:8" s="63" customFormat="1" ht="17.25" customHeight="1" x14ac:dyDescent="0.25">
      <c r="A512" s="85">
        <f t="shared" si="49"/>
        <v>35</v>
      </c>
      <c r="B512" s="85"/>
      <c r="C512" s="36" t="s">
        <v>407</v>
      </c>
      <c r="D512" s="36">
        <f>(6.15*6.425+3.55*4.625+1.5*1.65)*10.764</f>
        <v>628.69833000000006</v>
      </c>
      <c r="E512" s="36">
        <f>(4.625*2.5)*10.764</f>
        <v>124.45874999999999</v>
      </c>
      <c r="F512" s="36">
        <f>(D512+(IF(E512&lt;101,E512,IF(E512&lt;201,E512/2,IF(E512&lt;=301,E512/3,E512/4)))))*(($F$278)+1)</f>
        <v>1036.3915575000001</v>
      </c>
      <c r="G512" s="238"/>
      <c r="H512" s="239"/>
    </row>
    <row r="513" spans="1:8" s="63" customFormat="1" ht="17.25" customHeight="1" x14ac:dyDescent="0.25">
      <c r="A513" s="109" t="s">
        <v>416</v>
      </c>
      <c r="B513" s="109"/>
      <c r="C513" s="109"/>
      <c r="D513" s="109"/>
      <c r="E513" s="109"/>
      <c r="F513" s="109"/>
      <c r="G513" s="109"/>
      <c r="H513" s="109"/>
    </row>
    <row r="514" spans="1:8" s="63" customFormat="1" ht="17.25" customHeight="1" x14ac:dyDescent="0.25">
      <c r="A514" s="85">
        <v>14</v>
      </c>
      <c r="B514" s="85"/>
      <c r="C514" s="36" t="s">
        <v>407</v>
      </c>
      <c r="D514" s="36">
        <f>(3.55*4.625+7.295*6.425+1.65*4.775+1.5*1.65)*10.764</f>
        <v>792.69190649999985</v>
      </c>
      <c r="E514" s="36">
        <v>0</v>
      </c>
      <c r="F514" s="36">
        <f t="shared" ref="F514:F529" si="50">(D514+(IF(E514&lt;101,E514,IF(E514&lt;201,E514/2,IF(E514&lt;=301,E514/3,E514/4)))))*(($F$278)+1)</f>
        <v>1189.0378597499998</v>
      </c>
      <c r="G514" s="234" t="str">
        <f>A513</f>
        <v>11th Floor For Commercial (Part Refuge Area)</v>
      </c>
      <c r="H514" s="235"/>
    </row>
    <row r="515" spans="1:8" s="63" customFormat="1" ht="17.25" customHeight="1" x14ac:dyDescent="0.25">
      <c r="A515" s="85">
        <f>A514+1</f>
        <v>15</v>
      </c>
      <c r="B515" s="85"/>
      <c r="C515" s="36" t="s">
        <v>407</v>
      </c>
      <c r="D515" s="36">
        <f>(3.55*6.325+7.295*8.125+1.65*6.15+1.5*1.65)*10.764</f>
        <v>1015.5632175000001</v>
      </c>
      <c r="E515" s="36">
        <v>0</v>
      </c>
      <c r="F515" s="36">
        <f t="shared" si="50"/>
        <v>1523.3448262500001</v>
      </c>
      <c r="G515" s="236"/>
      <c r="H515" s="237"/>
    </row>
    <row r="516" spans="1:8" s="63" customFormat="1" ht="17.25" customHeight="1" x14ac:dyDescent="0.25">
      <c r="A516" s="85">
        <f t="shared" ref="A516:A525" si="51">A515+1</f>
        <v>16</v>
      </c>
      <c r="B516" s="85"/>
      <c r="C516" s="36" t="s">
        <v>407</v>
      </c>
      <c r="D516" s="36">
        <f>(3.55*4.725+7.295*6.525+1.65*4.55+1.5*1.65)*10.764</f>
        <v>800.36932949999982</v>
      </c>
      <c r="E516" s="36">
        <v>0</v>
      </c>
      <c r="F516" s="36">
        <f t="shared" si="50"/>
        <v>1200.5539942499997</v>
      </c>
      <c r="G516" s="236"/>
      <c r="H516" s="237"/>
    </row>
    <row r="517" spans="1:8" s="63" customFormat="1" ht="17.25" customHeight="1" x14ac:dyDescent="0.25">
      <c r="A517" s="85">
        <f t="shared" si="51"/>
        <v>17</v>
      </c>
      <c r="B517" s="85"/>
      <c r="C517" s="36" t="s">
        <v>407</v>
      </c>
      <c r="D517" s="36">
        <f>(3.55*6+7.295*7.8+1.65*5.825+1.5*1.65)*10.764</f>
        <v>971.85195899999974</v>
      </c>
      <c r="E517" s="36">
        <v>0</v>
      </c>
      <c r="F517" s="36">
        <f t="shared" si="50"/>
        <v>1457.7779384999997</v>
      </c>
      <c r="G517" s="236"/>
      <c r="H517" s="237"/>
    </row>
    <row r="518" spans="1:8" s="63" customFormat="1" ht="17.25" customHeight="1" x14ac:dyDescent="0.25">
      <c r="A518" s="85">
        <f t="shared" si="51"/>
        <v>18</v>
      </c>
      <c r="B518" s="85"/>
      <c r="C518" s="36" t="s">
        <v>407</v>
      </c>
      <c r="D518" s="36">
        <f>(3.55*6.275+7.295*8.075+1.65*6.1+1.5*1.65)*10.764</f>
        <v>1008.8384084999998</v>
      </c>
      <c r="E518" s="36">
        <v>0</v>
      </c>
      <c r="F518" s="36">
        <f t="shared" si="50"/>
        <v>1513.2576127499997</v>
      </c>
      <c r="G518" s="236"/>
      <c r="H518" s="237"/>
    </row>
    <row r="519" spans="1:8" s="63" customFormat="1" ht="17.25" customHeight="1" x14ac:dyDescent="0.25">
      <c r="A519" s="85">
        <f t="shared" si="51"/>
        <v>19</v>
      </c>
      <c r="B519" s="85"/>
      <c r="C519" s="36" t="s">
        <v>406</v>
      </c>
      <c r="D519" s="36">
        <f>(5.375*6.15+3.925*3.15+1.3*1.5)*10.764</f>
        <v>509.89068000000003</v>
      </c>
      <c r="E519" s="36">
        <v>0</v>
      </c>
      <c r="F519" s="36">
        <f t="shared" si="50"/>
        <v>764.83602000000008</v>
      </c>
      <c r="G519" s="236"/>
      <c r="H519" s="237"/>
    </row>
    <row r="520" spans="1:8" s="63" customFormat="1" ht="17.25" customHeight="1" x14ac:dyDescent="0.25">
      <c r="A520" s="85">
        <f t="shared" si="51"/>
        <v>20</v>
      </c>
      <c r="B520" s="85"/>
      <c r="C520" s="36" t="s">
        <v>406</v>
      </c>
      <c r="D520" s="36">
        <f>(5.25*6.15+3.725*3.15+1.375*1.5)*10.764</f>
        <v>496.04548499999999</v>
      </c>
      <c r="E520" s="36">
        <v>0</v>
      </c>
      <c r="F520" s="36">
        <f t="shared" si="50"/>
        <v>744.06822749999992</v>
      </c>
      <c r="G520" s="236"/>
      <c r="H520" s="237"/>
    </row>
    <row r="521" spans="1:8" s="63" customFormat="1" ht="17.25" customHeight="1" x14ac:dyDescent="0.25">
      <c r="A521" s="85">
        <f t="shared" si="51"/>
        <v>21</v>
      </c>
      <c r="B521" s="85"/>
      <c r="C521" s="36" t="s">
        <v>406</v>
      </c>
      <c r="D521" s="36">
        <f>(5.3*6.15+3.775*3.15+1.375*1.5)*10.764</f>
        <v>501.05074499999995</v>
      </c>
      <c r="E521" s="36">
        <v>0</v>
      </c>
      <c r="F521" s="36">
        <f t="shared" si="50"/>
        <v>751.5761174999999</v>
      </c>
      <c r="G521" s="236"/>
      <c r="H521" s="237"/>
    </row>
    <row r="522" spans="1:8" s="63" customFormat="1" ht="17.25" customHeight="1" x14ac:dyDescent="0.25">
      <c r="A522" s="85">
        <f t="shared" si="51"/>
        <v>22</v>
      </c>
      <c r="B522" s="85"/>
      <c r="C522" s="36" t="s">
        <v>406</v>
      </c>
      <c r="D522" s="36">
        <f>(6.175*9.3+2.17*1.9)*10.764</f>
        <v>662.529582</v>
      </c>
      <c r="E522" s="36">
        <v>0</v>
      </c>
      <c r="F522" s="36">
        <f t="shared" si="50"/>
        <v>993.79437299999995</v>
      </c>
      <c r="G522" s="236"/>
      <c r="H522" s="237"/>
    </row>
    <row r="523" spans="1:8" s="63" customFormat="1" ht="17.25" customHeight="1" x14ac:dyDescent="0.25">
      <c r="A523" s="85">
        <f t="shared" si="51"/>
        <v>23</v>
      </c>
      <c r="B523" s="85"/>
      <c r="C523" s="36" t="s">
        <v>406</v>
      </c>
      <c r="D523" s="36">
        <f>(10.39*(1.3+2)+11.915*6.85+1.375*1.5)*10.764</f>
        <v>1269.7994789999998</v>
      </c>
      <c r="E523" s="36">
        <v>0</v>
      </c>
      <c r="F523" s="36">
        <f t="shared" si="50"/>
        <v>1904.6992184999997</v>
      </c>
      <c r="G523" s="236"/>
      <c r="H523" s="237"/>
    </row>
    <row r="524" spans="1:8" s="63" customFormat="1" ht="17.25" customHeight="1" x14ac:dyDescent="0.25">
      <c r="A524" s="85">
        <f t="shared" si="51"/>
        <v>24</v>
      </c>
      <c r="B524" s="85"/>
      <c r="C524" s="36" t="s">
        <v>406</v>
      </c>
      <c r="D524" s="36">
        <f>(3.725*(1.3+2)+5.25*6.85+1.375*1.5)*10.764</f>
        <v>541.61756999999989</v>
      </c>
      <c r="E524" s="36">
        <v>0</v>
      </c>
      <c r="F524" s="36">
        <f t="shared" si="50"/>
        <v>812.42635499999983</v>
      </c>
      <c r="G524" s="236"/>
      <c r="H524" s="237"/>
    </row>
    <row r="525" spans="1:8" s="63" customFormat="1" ht="17.25" customHeight="1" x14ac:dyDescent="0.25">
      <c r="A525" s="85">
        <f t="shared" si="51"/>
        <v>25</v>
      </c>
      <c r="B525" s="85"/>
      <c r="C525" s="36" t="s">
        <v>406</v>
      </c>
      <c r="D525" s="36">
        <f>(3.725*(1.3+2)+5.25*6.85+1.375*1.5)*10.764</f>
        <v>541.61756999999989</v>
      </c>
      <c r="E525" s="36">
        <v>0</v>
      </c>
      <c r="F525" s="36">
        <f t="shared" si="50"/>
        <v>812.42635499999983</v>
      </c>
      <c r="G525" s="236"/>
      <c r="H525" s="237"/>
    </row>
    <row r="526" spans="1:8" s="63" customFormat="1" ht="17.25" customHeight="1" x14ac:dyDescent="0.25">
      <c r="A526" s="85">
        <f>A525+1</f>
        <v>26</v>
      </c>
      <c r="B526" s="85"/>
      <c r="C526" s="36" t="s">
        <v>406</v>
      </c>
      <c r="D526" s="36">
        <f t="shared" ref="D526:D527" si="52">(3.725*(1.3+2)+5.25*6.85+1.375*1.5)*10.764</f>
        <v>541.61756999999989</v>
      </c>
      <c r="E526" s="36">
        <v>0</v>
      </c>
      <c r="F526" s="36">
        <f t="shared" si="50"/>
        <v>812.42635499999983</v>
      </c>
      <c r="G526" s="236"/>
      <c r="H526" s="237"/>
    </row>
    <row r="527" spans="1:8" s="63" customFormat="1" ht="17.25" customHeight="1" x14ac:dyDescent="0.25">
      <c r="A527" s="85">
        <f t="shared" ref="A527:A535" si="53">A526+1</f>
        <v>27</v>
      </c>
      <c r="B527" s="85"/>
      <c r="C527" s="36" t="s">
        <v>406</v>
      </c>
      <c r="D527" s="36">
        <f t="shared" si="52"/>
        <v>541.61756999999989</v>
      </c>
      <c r="E527" s="36">
        <v>0</v>
      </c>
      <c r="F527" s="36">
        <f t="shared" si="50"/>
        <v>812.42635499999983</v>
      </c>
      <c r="G527" s="236"/>
      <c r="H527" s="237"/>
    </row>
    <row r="528" spans="1:8" s="63" customFormat="1" ht="17.25" customHeight="1" x14ac:dyDescent="0.25">
      <c r="A528" s="85">
        <f t="shared" si="53"/>
        <v>28</v>
      </c>
      <c r="B528" s="85"/>
      <c r="C528" s="36" t="s">
        <v>406</v>
      </c>
      <c r="D528" s="36">
        <f>(3.78*(1.3+2)+5.305*6.85+1.375*1.5)*10.764</f>
        <v>547.62657299999989</v>
      </c>
      <c r="E528" s="36">
        <v>0</v>
      </c>
      <c r="F528" s="36">
        <f t="shared" si="50"/>
        <v>821.43985949999978</v>
      </c>
      <c r="G528" s="236"/>
      <c r="H528" s="237"/>
    </row>
    <row r="529" spans="1:8" s="63" customFormat="1" ht="17.25" customHeight="1" x14ac:dyDescent="0.25">
      <c r="A529" s="85">
        <f t="shared" si="53"/>
        <v>29</v>
      </c>
      <c r="B529" s="85"/>
      <c r="C529" s="36" t="s">
        <v>406</v>
      </c>
      <c r="D529" s="36">
        <f>(5.08*(1.3+2)+7.375*(1.3+2)+14.13*6.85+1.375*1.5)*10.764</f>
        <v>1506.4702379999999</v>
      </c>
      <c r="E529" s="36">
        <v>0</v>
      </c>
      <c r="F529" s="36">
        <f t="shared" si="50"/>
        <v>2259.7053569999998</v>
      </c>
      <c r="G529" s="236"/>
      <c r="H529" s="237"/>
    </row>
    <row r="530" spans="1:8" s="63" customFormat="1" ht="17.25" customHeight="1" x14ac:dyDescent="0.25">
      <c r="A530" s="85">
        <f t="shared" si="53"/>
        <v>30</v>
      </c>
      <c r="B530" s="85"/>
      <c r="C530" s="141" t="s">
        <v>176</v>
      </c>
      <c r="D530" s="212"/>
      <c r="E530" s="212"/>
      <c r="F530" s="142"/>
      <c r="G530" s="236"/>
      <c r="H530" s="237"/>
    </row>
    <row r="531" spans="1:8" s="63" customFormat="1" ht="17.25" customHeight="1" x14ac:dyDescent="0.25">
      <c r="A531" s="85">
        <f t="shared" si="53"/>
        <v>31</v>
      </c>
      <c r="B531" s="85"/>
      <c r="C531" s="36" t="s">
        <v>406</v>
      </c>
      <c r="D531" s="36">
        <f>(6.15*7.975+4.2*6.175+2*6.175+1.5*1.65)*10.764</f>
        <v>966.6744749999998</v>
      </c>
      <c r="E531" s="36">
        <v>0</v>
      </c>
      <c r="F531" s="36">
        <f t="shared" ref="F531:F535" si="54">(D531+(IF(E531&lt;101,E531,IF(E531&lt;201,E531/2,IF(E531&lt;=301,E531/3,E531/4)))))*(($F$278)+1)</f>
        <v>1450.0117124999997</v>
      </c>
      <c r="G531" s="236"/>
      <c r="H531" s="237"/>
    </row>
    <row r="532" spans="1:8" s="63" customFormat="1" ht="17.25" customHeight="1" x14ac:dyDescent="0.25">
      <c r="A532" s="85">
        <f t="shared" si="53"/>
        <v>32</v>
      </c>
      <c r="B532" s="85"/>
      <c r="C532" s="36" t="s">
        <v>406</v>
      </c>
      <c r="D532" s="36">
        <f>(6.15*7.9+3.55*6.1+1.5*1.65)*10.764</f>
        <v>782.70425999999998</v>
      </c>
      <c r="E532" s="36">
        <f>2.5*7.9*10.764</f>
        <v>212.589</v>
      </c>
      <c r="F532" s="36">
        <f t="shared" si="54"/>
        <v>1280.3508900000002</v>
      </c>
      <c r="G532" s="236"/>
      <c r="H532" s="237"/>
    </row>
    <row r="533" spans="1:8" s="63" customFormat="1" ht="17.25" customHeight="1" x14ac:dyDescent="0.25">
      <c r="A533" s="85">
        <f t="shared" si="53"/>
        <v>33</v>
      </c>
      <c r="B533" s="85"/>
      <c r="C533" s="36" t="s">
        <v>406</v>
      </c>
      <c r="D533" s="36">
        <f>(6.15*7.85+4.2*6.05+1.5*1.65+2*7.85)*10.764</f>
        <v>988.80794999999989</v>
      </c>
      <c r="E533" s="36">
        <v>0</v>
      </c>
      <c r="F533" s="36">
        <f t="shared" si="54"/>
        <v>1483.2119249999998</v>
      </c>
      <c r="G533" s="236"/>
      <c r="H533" s="237"/>
    </row>
    <row r="534" spans="1:8" s="63" customFormat="1" ht="17.25" customHeight="1" x14ac:dyDescent="0.25">
      <c r="A534" s="85">
        <f t="shared" si="53"/>
        <v>34</v>
      </c>
      <c r="B534" s="85"/>
      <c r="C534" s="36" t="s">
        <v>406</v>
      </c>
      <c r="D534" s="36">
        <f>(6.15*9.45+3.55*7.65+1.5*1.65)*10.764</f>
        <v>944.54099999999994</v>
      </c>
      <c r="E534" s="36">
        <f>2.5*9.45*10.764</f>
        <v>254.29949999999999</v>
      </c>
      <c r="F534" s="36">
        <f t="shared" si="54"/>
        <v>1543.9612499999998</v>
      </c>
      <c r="G534" s="236"/>
      <c r="H534" s="237"/>
    </row>
    <row r="535" spans="1:8" s="63" customFormat="1" ht="17.25" customHeight="1" x14ac:dyDescent="0.25">
      <c r="A535" s="85">
        <f t="shared" si="53"/>
        <v>35</v>
      </c>
      <c r="B535" s="85"/>
      <c r="C535" s="36" t="s">
        <v>406</v>
      </c>
      <c r="D535" s="36">
        <f>(6.15*6.425+4.2*4.625+2*4.625)*10.764</f>
        <v>733.98370499999999</v>
      </c>
      <c r="E535" s="36">
        <v>0</v>
      </c>
      <c r="F535" s="36">
        <f t="shared" si="54"/>
        <v>1100.9755574999999</v>
      </c>
      <c r="G535" s="238"/>
      <c r="H535" s="239"/>
    </row>
    <row r="536" spans="1:8" s="63" customFormat="1" ht="17.25" customHeight="1" x14ac:dyDescent="0.25">
      <c r="A536" s="109" t="s">
        <v>398</v>
      </c>
      <c r="B536" s="109"/>
      <c r="C536" s="109"/>
      <c r="D536" s="109"/>
      <c r="E536" s="109"/>
      <c r="F536" s="109"/>
      <c r="G536" s="109"/>
      <c r="H536" s="109"/>
    </row>
    <row r="537" spans="1:8" s="63" customFormat="1" ht="36.6" customHeight="1" x14ac:dyDescent="0.25">
      <c r="A537" s="85">
        <v>14</v>
      </c>
      <c r="B537" s="85"/>
      <c r="C537" s="36" t="s">
        <v>417</v>
      </c>
      <c r="D537" s="36">
        <f>(3.55*4.625+7.295*6.425+1.65*4.775+1.5*1.65)*10.764</f>
        <v>792.69190649999985</v>
      </c>
      <c r="E537" s="36">
        <v>0</v>
      </c>
      <c r="F537" s="36">
        <f t="shared" ref="F537:F558" si="55">(D537+(IF(E537&lt;101,E537,IF(E537&lt;201,E537/2,IF(E537&lt;=301,E537/3,E537/4)))))*(($F$278)+1)</f>
        <v>1189.0378597499998</v>
      </c>
      <c r="G537" s="234" t="str">
        <f>A536</f>
        <v>12th Floor</v>
      </c>
      <c r="H537" s="235"/>
    </row>
    <row r="538" spans="1:8" s="63" customFormat="1" ht="37.15" customHeight="1" x14ac:dyDescent="0.25">
      <c r="A538" s="85">
        <f>A537+1</f>
        <v>15</v>
      </c>
      <c r="B538" s="85"/>
      <c r="C538" s="36" t="s">
        <v>417</v>
      </c>
      <c r="D538" s="36">
        <f>(3.55*6.325+7.295*8.125+1.65*6.15+1.5*1.65)*10.764</f>
        <v>1015.5632175000001</v>
      </c>
      <c r="E538" s="36">
        <v>0</v>
      </c>
      <c r="F538" s="36">
        <f t="shared" si="55"/>
        <v>1523.3448262500001</v>
      </c>
      <c r="G538" s="236"/>
      <c r="H538" s="237"/>
    </row>
    <row r="539" spans="1:8" s="63" customFormat="1" ht="17.25" customHeight="1" x14ac:dyDescent="0.25">
      <c r="A539" s="85">
        <f t="shared" ref="A539:A548" si="56">A538+1</f>
        <v>16</v>
      </c>
      <c r="B539" s="85"/>
      <c r="C539" s="36" t="s">
        <v>407</v>
      </c>
      <c r="D539" s="36">
        <f>(3.55*4.725+7.295*6.525+1.65*4.55+1.5*1.65)*10.764</f>
        <v>800.36932949999982</v>
      </c>
      <c r="E539" s="36">
        <v>0</v>
      </c>
      <c r="F539" s="36">
        <f t="shared" si="55"/>
        <v>1200.5539942499997</v>
      </c>
      <c r="G539" s="236"/>
      <c r="H539" s="237"/>
    </row>
    <row r="540" spans="1:8" s="63" customFormat="1" ht="17.25" customHeight="1" x14ac:dyDescent="0.25">
      <c r="A540" s="85">
        <f t="shared" si="56"/>
        <v>17</v>
      </c>
      <c r="B540" s="85"/>
      <c r="C540" s="36" t="s">
        <v>407</v>
      </c>
      <c r="D540" s="36">
        <f>(3.55*6+7.295*7.8+1.65*5.825+1.5*1.65)*10.764</f>
        <v>971.85195899999974</v>
      </c>
      <c r="E540" s="36">
        <v>0</v>
      </c>
      <c r="F540" s="36">
        <f t="shared" si="55"/>
        <v>1457.7779384999997</v>
      </c>
      <c r="G540" s="236"/>
      <c r="H540" s="237"/>
    </row>
    <row r="541" spans="1:8" s="63" customFormat="1" ht="17.25" customHeight="1" x14ac:dyDescent="0.25">
      <c r="A541" s="85">
        <f t="shared" si="56"/>
        <v>18</v>
      </c>
      <c r="B541" s="85"/>
      <c r="C541" s="36" t="s">
        <v>407</v>
      </c>
      <c r="D541" s="36">
        <f>(3.55*6.275+7.295*8.075+1.65*6.1+1.5*1.65)*10.764</f>
        <v>1008.8384084999998</v>
      </c>
      <c r="E541" s="36">
        <v>0</v>
      </c>
      <c r="F541" s="36">
        <f t="shared" si="55"/>
        <v>1513.2576127499997</v>
      </c>
      <c r="G541" s="236"/>
      <c r="H541" s="237"/>
    </row>
    <row r="542" spans="1:8" s="63" customFormat="1" ht="17.25" customHeight="1" x14ac:dyDescent="0.25">
      <c r="A542" s="85">
        <f t="shared" si="56"/>
        <v>19</v>
      </c>
      <c r="B542" s="85"/>
      <c r="C542" s="36" t="s">
        <v>407</v>
      </c>
      <c r="D542" s="36">
        <f>(5.375*6.15+3.925*3.15+1.3*1.5)*10.764</f>
        <v>509.89068000000003</v>
      </c>
      <c r="E542" s="36">
        <v>0</v>
      </c>
      <c r="F542" s="36">
        <f t="shared" si="55"/>
        <v>764.83602000000008</v>
      </c>
      <c r="G542" s="236"/>
      <c r="H542" s="237"/>
    </row>
    <row r="543" spans="1:8" s="63" customFormat="1" ht="17.25" customHeight="1" x14ac:dyDescent="0.25">
      <c r="A543" s="85">
        <f t="shared" si="56"/>
        <v>20</v>
      </c>
      <c r="B543" s="85"/>
      <c r="C543" s="36" t="s">
        <v>407</v>
      </c>
      <c r="D543" s="36">
        <f>(5.25*6.15+3.725*3.15+1.375*1.5)*10.764</f>
        <v>496.04548499999999</v>
      </c>
      <c r="E543" s="36">
        <v>0</v>
      </c>
      <c r="F543" s="36">
        <f t="shared" si="55"/>
        <v>744.06822749999992</v>
      </c>
      <c r="G543" s="236"/>
      <c r="H543" s="237"/>
    </row>
    <row r="544" spans="1:8" s="63" customFormat="1" ht="17.25" customHeight="1" x14ac:dyDescent="0.25">
      <c r="A544" s="85">
        <f t="shared" si="56"/>
        <v>21</v>
      </c>
      <c r="B544" s="85"/>
      <c r="C544" s="36" t="s">
        <v>407</v>
      </c>
      <c r="D544" s="36">
        <f>(5.3*6.15+3.775*3.15+1.375*1.5)*10.764</f>
        <v>501.05074499999995</v>
      </c>
      <c r="E544" s="36">
        <v>0</v>
      </c>
      <c r="F544" s="36">
        <f t="shared" si="55"/>
        <v>751.5761174999999</v>
      </c>
      <c r="G544" s="236"/>
      <c r="H544" s="237"/>
    </row>
    <row r="545" spans="1:8" s="63" customFormat="1" ht="17.25" customHeight="1" x14ac:dyDescent="0.25">
      <c r="A545" s="85">
        <f t="shared" si="56"/>
        <v>22</v>
      </c>
      <c r="B545" s="85"/>
      <c r="C545" s="36" t="s">
        <v>407</v>
      </c>
      <c r="D545" s="36">
        <f>(6.175*9.3+2.17*1.9)*10.764</f>
        <v>662.529582</v>
      </c>
      <c r="E545" s="36">
        <v>0</v>
      </c>
      <c r="F545" s="36">
        <f t="shared" si="55"/>
        <v>993.79437299999995</v>
      </c>
      <c r="G545" s="236"/>
      <c r="H545" s="237"/>
    </row>
    <row r="546" spans="1:8" s="63" customFormat="1" ht="17.25" customHeight="1" x14ac:dyDescent="0.25">
      <c r="A546" s="85">
        <f t="shared" si="56"/>
        <v>23</v>
      </c>
      <c r="B546" s="85"/>
      <c r="C546" s="36" t="s">
        <v>407</v>
      </c>
      <c r="D546" s="36">
        <f>(10.39*(1.3+2)+11.915*6.85+1.375*1.5)*10.764</f>
        <v>1269.7994789999998</v>
      </c>
      <c r="E546" s="36">
        <v>0</v>
      </c>
      <c r="F546" s="36">
        <f t="shared" si="55"/>
        <v>1904.6992184999997</v>
      </c>
      <c r="G546" s="236"/>
      <c r="H546" s="237"/>
    </row>
    <row r="547" spans="1:8" s="63" customFormat="1" ht="17.25" customHeight="1" x14ac:dyDescent="0.25">
      <c r="A547" s="85">
        <f t="shared" si="56"/>
        <v>24</v>
      </c>
      <c r="B547" s="85"/>
      <c r="C547" s="36" t="s">
        <v>407</v>
      </c>
      <c r="D547" s="36">
        <f>(3.725*(1.3+2)+5.25*6.85+1.375*1.5)*10.764</f>
        <v>541.61756999999989</v>
      </c>
      <c r="E547" s="36">
        <v>0</v>
      </c>
      <c r="F547" s="36">
        <f t="shared" si="55"/>
        <v>812.42635499999983</v>
      </c>
      <c r="G547" s="236"/>
      <c r="H547" s="237"/>
    </row>
    <row r="548" spans="1:8" s="63" customFormat="1" ht="17.25" customHeight="1" x14ac:dyDescent="0.25">
      <c r="A548" s="85">
        <f t="shared" si="56"/>
        <v>25</v>
      </c>
      <c r="B548" s="85"/>
      <c r="C548" s="36" t="s">
        <v>407</v>
      </c>
      <c r="D548" s="36">
        <f>(3.725*(1.3+2)+5.25*6.85+1.375*1.5)*10.764</f>
        <v>541.61756999999989</v>
      </c>
      <c r="E548" s="36">
        <v>0</v>
      </c>
      <c r="F548" s="36">
        <f t="shared" si="55"/>
        <v>812.42635499999983</v>
      </c>
      <c r="G548" s="236"/>
      <c r="H548" s="237"/>
    </row>
    <row r="549" spans="1:8" s="63" customFormat="1" ht="17.25" customHeight="1" x14ac:dyDescent="0.25">
      <c r="A549" s="85">
        <f>A548+1</f>
        <v>26</v>
      </c>
      <c r="B549" s="85"/>
      <c r="C549" s="36" t="s">
        <v>407</v>
      </c>
      <c r="D549" s="36">
        <f t="shared" ref="D549:D550" si="57">(3.725*(1.3+2)+5.25*6.85+1.375*1.5)*10.764</f>
        <v>541.61756999999989</v>
      </c>
      <c r="E549" s="36">
        <v>0</v>
      </c>
      <c r="F549" s="36">
        <f t="shared" si="55"/>
        <v>812.42635499999983</v>
      </c>
      <c r="G549" s="236"/>
      <c r="H549" s="237"/>
    </row>
    <row r="550" spans="1:8" s="63" customFormat="1" ht="17.25" customHeight="1" x14ac:dyDescent="0.25">
      <c r="A550" s="85">
        <f t="shared" ref="A550:A558" si="58">A549+1</f>
        <v>27</v>
      </c>
      <c r="B550" s="85"/>
      <c r="C550" s="36" t="s">
        <v>407</v>
      </c>
      <c r="D550" s="36">
        <f t="shared" si="57"/>
        <v>541.61756999999989</v>
      </c>
      <c r="E550" s="36">
        <v>0</v>
      </c>
      <c r="F550" s="36">
        <f t="shared" si="55"/>
        <v>812.42635499999983</v>
      </c>
      <c r="G550" s="236"/>
      <c r="H550" s="237"/>
    </row>
    <row r="551" spans="1:8" s="63" customFormat="1" ht="17.25" customHeight="1" x14ac:dyDescent="0.25">
      <c r="A551" s="85">
        <f t="shared" si="58"/>
        <v>28</v>
      </c>
      <c r="B551" s="85"/>
      <c r="C551" s="36" t="s">
        <v>407</v>
      </c>
      <c r="D551" s="36">
        <f>(3.78*(1.3+2)+5.305*6.85+1.375*1.5)*10.764</f>
        <v>547.62657299999989</v>
      </c>
      <c r="E551" s="36">
        <v>0</v>
      </c>
      <c r="F551" s="36">
        <f t="shared" si="55"/>
        <v>821.43985949999978</v>
      </c>
      <c r="G551" s="236"/>
      <c r="H551" s="237"/>
    </row>
    <row r="552" spans="1:8" s="63" customFormat="1" ht="17.25" customHeight="1" x14ac:dyDescent="0.25">
      <c r="A552" s="85">
        <f t="shared" si="58"/>
        <v>29</v>
      </c>
      <c r="B552" s="85"/>
      <c r="C552" s="36" t="s">
        <v>407</v>
      </c>
      <c r="D552" s="36">
        <f>(5.08*(1.3+2)+7.375*(1.3+2)+14.13*6.85+1.375*1.5)*10.764</f>
        <v>1506.4702379999999</v>
      </c>
      <c r="E552" s="36">
        <v>0</v>
      </c>
      <c r="F552" s="36">
        <f t="shared" si="55"/>
        <v>2259.7053569999998</v>
      </c>
      <c r="G552" s="236"/>
      <c r="H552" s="237"/>
    </row>
    <row r="553" spans="1:8" s="63" customFormat="1" ht="17.25" customHeight="1" x14ac:dyDescent="0.25">
      <c r="A553" s="85">
        <f t="shared" si="58"/>
        <v>30</v>
      </c>
      <c r="B553" s="85"/>
      <c r="C553" s="36" t="s">
        <v>407</v>
      </c>
      <c r="D553" s="36">
        <f>(4.41*(1.3+2)+6.315*(1.3+2)+12.325*6.55+1.3*1.5)*10.764</f>
        <v>1270.9189349999999</v>
      </c>
      <c r="E553" s="36">
        <v>0</v>
      </c>
      <c r="F553" s="36">
        <f t="shared" si="55"/>
        <v>1906.3784025</v>
      </c>
      <c r="G553" s="236"/>
      <c r="H553" s="237"/>
    </row>
    <row r="554" spans="1:8" s="63" customFormat="1" ht="32.450000000000003" customHeight="1" x14ac:dyDescent="0.25">
      <c r="A554" s="85">
        <f t="shared" si="58"/>
        <v>31</v>
      </c>
      <c r="B554" s="85"/>
      <c r="C554" s="36" t="s">
        <v>417</v>
      </c>
      <c r="D554" s="36">
        <f>(6.15*7.975+4.2*6.175+2*6.175+1.5*1.65)*10.764</f>
        <v>966.6744749999998</v>
      </c>
      <c r="E554" s="36">
        <v>0</v>
      </c>
      <c r="F554" s="36">
        <f t="shared" si="55"/>
        <v>1450.0117124999997</v>
      </c>
      <c r="G554" s="236"/>
      <c r="H554" s="237"/>
    </row>
    <row r="555" spans="1:8" s="63" customFormat="1" ht="34.9" customHeight="1" x14ac:dyDescent="0.25">
      <c r="A555" s="85">
        <f t="shared" si="58"/>
        <v>32</v>
      </c>
      <c r="B555" s="85"/>
      <c r="C555" s="36" t="s">
        <v>417</v>
      </c>
      <c r="D555" s="36">
        <f>(6.15*7.9+3.55*6.1+1.5*1.65)*10.764</f>
        <v>782.70425999999998</v>
      </c>
      <c r="E555" s="36">
        <f>2.5*7.9*10.764</f>
        <v>212.589</v>
      </c>
      <c r="F555" s="36">
        <f t="shared" si="55"/>
        <v>1280.3508900000002</v>
      </c>
      <c r="G555" s="236"/>
      <c r="H555" s="237"/>
    </row>
    <row r="556" spans="1:8" s="63" customFormat="1" ht="35.450000000000003" customHeight="1" x14ac:dyDescent="0.25">
      <c r="A556" s="85">
        <f t="shared" si="58"/>
        <v>33</v>
      </c>
      <c r="B556" s="85"/>
      <c r="C556" s="36" t="s">
        <v>417</v>
      </c>
      <c r="D556" s="36">
        <f>(6.15*7.85+4.2*6.05+1.5*1.65)*10.764</f>
        <v>819.81314999999984</v>
      </c>
      <c r="E556" s="36">
        <f>2*7.85*10.764</f>
        <v>168.99479999999997</v>
      </c>
      <c r="F556" s="36">
        <f t="shared" si="55"/>
        <v>1356.4658249999998</v>
      </c>
      <c r="G556" s="236"/>
      <c r="H556" s="237"/>
    </row>
    <row r="557" spans="1:8" s="63" customFormat="1" ht="31.15" customHeight="1" x14ac:dyDescent="0.25">
      <c r="A557" s="85">
        <f t="shared" si="58"/>
        <v>34</v>
      </c>
      <c r="B557" s="85"/>
      <c r="C557" s="36" t="s">
        <v>417</v>
      </c>
      <c r="D557" s="36">
        <f>(6.15*9.45+3.55*7.65+1.5*1.65)*10.764</f>
        <v>944.54099999999994</v>
      </c>
      <c r="E557" s="36">
        <f>2.5*9.45*10.764</f>
        <v>254.29949999999999</v>
      </c>
      <c r="F557" s="36">
        <f t="shared" si="55"/>
        <v>1543.9612499999998</v>
      </c>
      <c r="G557" s="236"/>
      <c r="H557" s="237"/>
    </row>
    <row r="558" spans="1:8" s="63" customFormat="1" ht="35.450000000000003" customHeight="1" x14ac:dyDescent="0.25">
      <c r="A558" s="85">
        <f t="shared" si="58"/>
        <v>35</v>
      </c>
      <c r="B558" s="85"/>
      <c r="C558" s="36" t="s">
        <v>417</v>
      </c>
      <c r="D558" s="36">
        <f>(6.15*6.425+4.2*4.625+2*4.625)*10.764</f>
        <v>733.98370499999999</v>
      </c>
      <c r="E558" s="36">
        <v>0</v>
      </c>
      <c r="F558" s="36">
        <f t="shared" si="55"/>
        <v>1100.9755574999999</v>
      </c>
      <c r="G558" s="238"/>
      <c r="H558" s="239"/>
    </row>
    <row r="559" spans="1:8" s="63" customFormat="1" ht="17.25" customHeight="1" x14ac:dyDescent="0.25">
      <c r="A559" s="109" t="s">
        <v>418</v>
      </c>
      <c r="B559" s="109"/>
      <c r="C559" s="109"/>
      <c r="D559" s="109"/>
      <c r="E559" s="109"/>
      <c r="F559" s="109"/>
      <c r="G559" s="109"/>
      <c r="H559" s="109"/>
    </row>
    <row r="560" spans="1:8" s="63" customFormat="1" ht="17.25" customHeight="1" x14ac:dyDescent="0.25">
      <c r="A560" s="141" t="s">
        <v>419</v>
      </c>
      <c r="B560" s="142"/>
      <c r="C560" s="135" t="s">
        <v>420</v>
      </c>
      <c r="D560" s="240"/>
      <c r="E560" s="240"/>
      <c r="F560" s="136"/>
      <c r="G560" s="234" t="str">
        <f>A559</f>
        <v>15th Floor (Part Resturant Area)</v>
      </c>
      <c r="H560" s="235"/>
    </row>
    <row r="561" spans="1:8" s="63" customFormat="1" ht="17.25" customHeight="1" x14ac:dyDescent="0.25">
      <c r="A561" s="141" t="s">
        <v>421</v>
      </c>
      <c r="B561" s="142"/>
      <c r="C561" s="139"/>
      <c r="D561" s="241"/>
      <c r="E561" s="241"/>
      <c r="F561" s="140"/>
      <c r="G561" s="236"/>
      <c r="H561" s="237"/>
    </row>
    <row r="562" spans="1:8" s="63" customFormat="1" ht="17.25" customHeight="1" x14ac:dyDescent="0.25">
      <c r="A562" s="141">
        <v>1</v>
      </c>
      <c r="B562" s="142"/>
      <c r="C562" s="36" t="s">
        <v>407</v>
      </c>
      <c r="D562" s="36">
        <f>(10.595*23.55+7.295*1.8+1.9*2.5+1.9*12.425+1.9*4.725+2*(12.425+4.725+2.5)+1.5*1.65)*10.764</f>
        <v>3678.6319830000007</v>
      </c>
      <c r="E562" s="36">
        <v>0</v>
      </c>
      <c r="F562" s="36">
        <f t="shared" ref="F562:F564" si="59">(D562+(IF(E562&lt;101,E562,IF(E562&lt;201,E562/2,IF(E562&lt;=301,E562/3,E562/4)))))*(($F$278)+1)</f>
        <v>5517.9479745000008</v>
      </c>
      <c r="G562" s="236"/>
      <c r="H562" s="237"/>
    </row>
    <row r="563" spans="1:8" s="63" customFormat="1" ht="17.25" customHeight="1" x14ac:dyDescent="0.25">
      <c r="A563" s="141">
        <v>4</v>
      </c>
      <c r="B563" s="142"/>
      <c r="C563" s="36" t="s">
        <v>407</v>
      </c>
      <c r="D563" s="36">
        <f>(3.55*6+7.295*7.8+1.65*5.825+1.5*1.65)*10.764</f>
        <v>971.85195899999974</v>
      </c>
      <c r="E563" s="36">
        <v>0</v>
      </c>
      <c r="F563" s="36">
        <f t="shared" si="59"/>
        <v>1457.7779384999997</v>
      </c>
      <c r="G563" s="236"/>
      <c r="H563" s="237"/>
    </row>
    <row r="564" spans="1:8" s="63" customFormat="1" ht="17.25" customHeight="1" x14ac:dyDescent="0.25">
      <c r="A564" s="141">
        <v>3</v>
      </c>
      <c r="B564" s="142"/>
      <c r="C564" s="36" t="s">
        <v>407</v>
      </c>
      <c r="D564" s="36">
        <f>(18.55*8.5+4.7*1.5+7.6*1.5+2*(7.6+4.55))*10.764</f>
        <v>2157.3746999999998</v>
      </c>
      <c r="E564" s="36">
        <v>0</v>
      </c>
      <c r="F564" s="36">
        <f t="shared" si="59"/>
        <v>3236.0620499999995</v>
      </c>
      <c r="G564" s="236"/>
      <c r="H564" s="237"/>
    </row>
    <row r="565" spans="1:8" s="63" customFormat="1" ht="17.25" customHeight="1" x14ac:dyDescent="0.25">
      <c r="A565" s="141" t="s">
        <v>419</v>
      </c>
      <c r="B565" s="142"/>
      <c r="C565" s="135" t="s">
        <v>420</v>
      </c>
      <c r="D565" s="240"/>
      <c r="E565" s="240"/>
      <c r="F565" s="136"/>
      <c r="G565" s="236"/>
      <c r="H565" s="237"/>
    </row>
    <row r="566" spans="1:8" s="63" customFormat="1" ht="17.25" customHeight="1" x14ac:dyDescent="0.25">
      <c r="A566" s="141" t="s">
        <v>419</v>
      </c>
      <c r="B566" s="142"/>
      <c r="C566" s="137"/>
      <c r="D566" s="242"/>
      <c r="E566" s="242"/>
      <c r="F566" s="138"/>
      <c r="G566" s="236"/>
      <c r="H566" s="237"/>
    </row>
    <row r="567" spans="1:8" s="63" customFormat="1" ht="17.25" customHeight="1" x14ac:dyDescent="0.25">
      <c r="A567" s="141" t="s">
        <v>419</v>
      </c>
      <c r="B567" s="142"/>
      <c r="C567" s="137"/>
      <c r="D567" s="242"/>
      <c r="E567" s="242"/>
      <c r="F567" s="138"/>
      <c r="G567" s="236"/>
      <c r="H567" s="237"/>
    </row>
    <row r="568" spans="1:8" s="63" customFormat="1" ht="17.25" customHeight="1" x14ac:dyDescent="0.25">
      <c r="A568" s="141" t="s">
        <v>419</v>
      </c>
      <c r="B568" s="142"/>
      <c r="C568" s="137"/>
      <c r="D568" s="242"/>
      <c r="E568" s="242"/>
      <c r="F568" s="138"/>
      <c r="G568" s="236"/>
      <c r="H568" s="237"/>
    </row>
    <row r="569" spans="1:8" s="63" customFormat="1" ht="17.25" customHeight="1" x14ac:dyDescent="0.25">
      <c r="A569" s="141" t="s">
        <v>419</v>
      </c>
      <c r="B569" s="142"/>
      <c r="C569" s="139"/>
      <c r="D569" s="241"/>
      <c r="E569" s="241"/>
      <c r="F569" s="140"/>
      <c r="G569" s="236"/>
      <c r="H569" s="237"/>
    </row>
    <row r="570" spans="1:8" s="63" customFormat="1" ht="17.25" customHeight="1" x14ac:dyDescent="0.25">
      <c r="A570" s="141">
        <v>2</v>
      </c>
      <c r="B570" s="142"/>
      <c r="C570" s="36" t="s">
        <v>407</v>
      </c>
      <c r="D570" s="36">
        <f>(9.95*31.825+1.9*12.3+1.9*7.65+12.2*4.625+8.3*3.75+12.3*2.5+4.625*2)*10.764</f>
        <v>5189.4724050000004</v>
      </c>
      <c r="E570" s="36">
        <v>0</v>
      </c>
      <c r="F570" s="36">
        <f>(D570+(IF(E570&lt;101,E570,IF(E570&lt;201,E570/2,IF(E570&lt;=301,E570/3,E570/4)))))*(($F$278)+1)</f>
        <v>7784.2086075000007</v>
      </c>
      <c r="G570" s="236"/>
      <c r="H570" s="237"/>
    </row>
    <row r="571" spans="1:8" s="63" customFormat="1" ht="17.25" customHeight="1" x14ac:dyDescent="0.25">
      <c r="A571" s="141" t="s">
        <v>419</v>
      </c>
      <c r="B571" s="142"/>
      <c r="C571" s="135" t="s">
        <v>420</v>
      </c>
      <c r="D571" s="240"/>
      <c r="E571" s="240"/>
      <c r="F571" s="136"/>
      <c r="G571" s="236"/>
      <c r="H571" s="237"/>
    </row>
    <row r="572" spans="1:8" s="63" customFormat="1" ht="17.25" customHeight="1" x14ac:dyDescent="0.25">
      <c r="A572" s="141" t="s">
        <v>421</v>
      </c>
      <c r="B572" s="142"/>
      <c r="C572" s="139"/>
      <c r="D572" s="241"/>
      <c r="E572" s="241"/>
      <c r="F572" s="140"/>
      <c r="G572" s="238"/>
      <c r="H572" s="239"/>
    </row>
    <row r="573" spans="1:8" x14ac:dyDescent="0.25">
      <c r="A573" s="143" t="s">
        <v>73</v>
      </c>
      <c r="B573" s="143"/>
      <c r="C573" s="143"/>
      <c r="D573" s="143"/>
      <c r="E573" s="143"/>
      <c r="F573" s="143"/>
      <c r="G573" s="143"/>
      <c r="H573" s="143"/>
    </row>
    <row r="574" spans="1:8" ht="273.75" customHeight="1" x14ac:dyDescent="0.25">
      <c r="A574" s="144" t="s">
        <v>422</v>
      </c>
      <c r="B574" s="144"/>
      <c r="C574" s="144"/>
      <c r="D574" s="144"/>
      <c r="E574" s="144"/>
      <c r="F574" s="144"/>
      <c r="G574" s="144"/>
      <c r="H574" s="144"/>
    </row>
    <row r="575" spans="1:8" x14ac:dyDescent="0.25">
      <c r="A575" s="145" t="s">
        <v>64</v>
      </c>
      <c r="B575" s="145"/>
      <c r="C575" s="145"/>
      <c r="D575" s="145"/>
      <c r="E575" s="145"/>
      <c r="F575" s="145"/>
      <c r="G575" s="145"/>
      <c r="H575" s="145"/>
    </row>
    <row r="576" spans="1:8" x14ac:dyDescent="0.25">
      <c r="A576" s="96" t="s">
        <v>65</v>
      </c>
      <c r="B576" s="96"/>
      <c r="C576" s="96"/>
      <c r="D576" s="96"/>
      <c r="E576" s="96"/>
      <c r="F576" s="96"/>
      <c r="G576" s="96"/>
      <c r="H576" s="96"/>
    </row>
    <row r="577" spans="1:8" x14ac:dyDescent="0.25">
      <c r="A577" s="145" t="s">
        <v>66</v>
      </c>
      <c r="B577" s="145"/>
      <c r="C577" s="145"/>
      <c r="D577" s="145"/>
      <c r="E577" s="145"/>
      <c r="F577" s="145"/>
      <c r="G577" s="145"/>
      <c r="H577" s="145"/>
    </row>
    <row r="578" spans="1:8" x14ac:dyDescent="0.25">
      <c r="A578" s="96" t="s">
        <v>67</v>
      </c>
      <c r="B578" s="96"/>
      <c r="C578" s="96"/>
      <c r="D578" s="96"/>
      <c r="E578" s="96"/>
      <c r="F578" s="96"/>
      <c r="G578" s="96"/>
      <c r="H578" s="96"/>
    </row>
    <row r="579" spans="1:8" x14ac:dyDescent="0.25">
      <c r="A579" s="96" t="s">
        <v>68</v>
      </c>
      <c r="B579" s="96"/>
      <c r="C579" s="96"/>
      <c r="D579" s="96"/>
      <c r="E579" s="96"/>
      <c r="F579" s="96"/>
      <c r="G579" s="96"/>
      <c r="H579" s="96"/>
    </row>
    <row r="580" spans="1:8" x14ac:dyDescent="0.25">
      <c r="A580" s="96" t="s">
        <v>69</v>
      </c>
      <c r="B580" s="96"/>
      <c r="C580" s="96"/>
      <c r="D580" s="96"/>
      <c r="E580" s="96"/>
      <c r="F580" s="96"/>
      <c r="G580" s="96"/>
      <c r="H580" s="96"/>
    </row>
    <row r="581" spans="1:8" x14ac:dyDescent="0.25">
      <c r="A581" s="108" t="s">
        <v>70</v>
      </c>
      <c r="B581" s="108"/>
      <c r="C581" s="108"/>
      <c r="D581" s="108"/>
      <c r="E581" s="108"/>
      <c r="F581" s="108"/>
      <c r="G581" s="108"/>
      <c r="H581" s="108"/>
    </row>
    <row r="582" spans="1:8" x14ac:dyDescent="0.25">
      <c r="A582" s="186" t="s">
        <v>104</v>
      </c>
      <c r="B582" s="186"/>
      <c r="C582" s="186" t="s">
        <v>338</v>
      </c>
      <c r="D582" s="186"/>
      <c r="E582" s="186" t="s">
        <v>137</v>
      </c>
      <c r="F582" s="186"/>
      <c r="G582" s="186" t="s">
        <v>423</v>
      </c>
      <c r="H582" s="186"/>
    </row>
    <row r="583" spans="1:8" x14ac:dyDescent="0.25">
      <c r="A583" s="185" t="s">
        <v>106</v>
      </c>
      <c r="B583" s="185"/>
      <c r="C583" s="185"/>
      <c r="D583" s="185"/>
      <c r="E583" s="185"/>
      <c r="F583" s="185"/>
      <c r="G583" s="185"/>
      <c r="H583" s="185"/>
    </row>
    <row r="584" spans="1:8" x14ac:dyDescent="0.25">
      <c r="A584" s="185"/>
      <c r="B584" s="185"/>
      <c r="C584" s="185"/>
      <c r="D584" s="185"/>
      <c r="E584" s="185"/>
      <c r="F584" s="185"/>
      <c r="G584" s="185"/>
      <c r="H584" s="185"/>
    </row>
    <row r="585" spans="1:8" x14ac:dyDescent="0.25">
      <c r="A585" s="185"/>
      <c r="B585" s="185"/>
      <c r="C585" s="185"/>
      <c r="D585" s="185"/>
      <c r="E585" s="185"/>
      <c r="F585" s="185"/>
      <c r="G585" s="185"/>
      <c r="H585" s="185"/>
    </row>
    <row r="586" spans="1:8" x14ac:dyDescent="0.25">
      <c r="A586" s="185"/>
      <c r="B586" s="185"/>
      <c r="C586" s="185"/>
      <c r="D586" s="185"/>
      <c r="E586" s="185"/>
      <c r="F586" s="185"/>
      <c r="G586" s="185"/>
      <c r="H586" s="185"/>
    </row>
    <row r="587" spans="1:8" x14ac:dyDescent="0.25">
      <c r="A587" s="65" t="s">
        <v>71</v>
      </c>
      <c r="B587" s="66"/>
      <c r="C587" s="66"/>
      <c r="D587" s="65" t="str">
        <f>E8</f>
        <v>Centrum Business Square Phase 1 &amp; 2</v>
      </c>
      <c r="F587" s="66"/>
      <c r="G587" s="66"/>
      <c r="H587" s="70"/>
    </row>
    <row r="588" spans="1:8" x14ac:dyDescent="0.25">
      <c r="A588" s="70"/>
      <c r="B588" s="70"/>
      <c r="C588" s="70"/>
      <c r="D588" s="70"/>
      <c r="E588" s="70"/>
      <c r="F588" s="70"/>
      <c r="G588" s="70"/>
      <c r="H588" s="70"/>
    </row>
    <row r="589" spans="1:8" x14ac:dyDescent="0.25">
      <c r="A589" s="70"/>
      <c r="B589" s="70"/>
      <c r="C589" s="70"/>
      <c r="D589" s="70"/>
      <c r="E589" s="70"/>
      <c r="F589" s="70"/>
      <c r="G589" s="70"/>
      <c r="H589" s="70"/>
    </row>
    <row r="590" spans="1:8" x14ac:dyDescent="0.25">
      <c r="A590" s="70"/>
      <c r="B590" s="70"/>
      <c r="C590" s="70"/>
      <c r="D590" s="70"/>
      <c r="E590" s="70"/>
      <c r="F590" s="70"/>
      <c r="G590" s="70"/>
      <c r="H590" s="70"/>
    </row>
    <row r="591" spans="1:8" x14ac:dyDescent="0.25">
      <c r="A591" s="70"/>
      <c r="B591" s="70"/>
      <c r="C591" s="70"/>
      <c r="D591" s="70"/>
      <c r="E591" s="70"/>
      <c r="F591" s="70"/>
      <c r="G591" s="70"/>
      <c r="H591" s="70"/>
    </row>
    <row r="592" spans="1:8" x14ac:dyDescent="0.25">
      <c r="A592" s="70"/>
      <c r="B592" s="70"/>
      <c r="C592" s="70"/>
      <c r="D592" s="70"/>
      <c r="E592" s="70"/>
      <c r="F592" s="70"/>
      <c r="G592" s="70"/>
      <c r="H592" s="70"/>
    </row>
    <row r="593" spans="1:8" x14ac:dyDescent="0.25">
      <c r="A593" s="70"/>
      <c r="B593" s="70"/>
      <c r="C593" s="70"/>
      <c r="D593" s="70"/>
      <c r="E593" s="70"/>
      <c r="F593" s="70"/>
      <c r="G593" s="70"/>
      <c r="H593" s="70"/>
    </row>
    <row r="594" spans="1:8" x14ac:dyDescent="0.25">
      <c r="A594" s="70"/>
      <c r="B594" s="70"/>
      <c r="C594" s="70"/>
      <c r="D594" s="70"/>
      <c r="E594" s="70"/>
      <c r="F594" s="70"/>
      <c r="G594" s="70"/>
      <c r="H594" s="70"/>
    </row>
    <row r="595" spans="1:8" x14ac:dyDescent="0.25">
      <c r="A595" s="70"/>
      <c r="B595" s="70"/>
      <c r="C595" s="70"/>
      <c r="D595" s="70"/>
      <c r="E595" s="70"/>
      <c r="F595" s="70"/>
      <c r="G595" s="70"/>
      <c r="H595" s="70"/>
    </row>
    <row r="596" spans="1:8" x14ac:dyDescent="0.25">
      <c r="A596" s="70"/>
      <c r="B596" s="70"/>
      <c r="C596" s="70"/>
      <c r="D596" s="70"/>
      <c r="E596" s="70"/>
      <c r="F596" s="70"/>
      <c r="G596" s="70"/>
      <c r="H596" s="70"/>
    </row>
    <row r="597" spans="1:8" x14ac:dyDescent="0.25">
      <c r="A597" s="70"/>
      <c r="B597" s="70"/>
      <c r="C597" s="70"/>
      <c r="D597" s="70"/>
      <c r="E597" s="70"/>
      <c r="F597" s="70"/>
      <c r="G597" s="70"/>
      <c r="H597" s="70"/>
    </row>
    <row r="598" spans="1:8" x14ac:dyDescent="0.25">
      <c r="A598" s="70"/>
      <c r="B598" s="70"/>
      <c r="C598" s="70"/>
      <c r="D598" s="70"/>
      <c r="E598" s="70"/>
      <c r="F598" s="70"/>
      <c r="G598" s="70"/>
      <c r="H598" s="70"/>
    </row>
    <row r="599" spans="1:8" x14ac:dyDescent="0.25">
      <c r="A599" s="70"/>
      <c r="B599" s="70"/>
      <c r="C599" s="70"/>
      <c r="D599" s="70"/>
      <c r="E599" s="70"/>
      <c r="F599" s="70"/>
      <c r="G599" s="70"/>
      <c r="H599" s="70"/>
    </row>
    <row r="600" spans="1:8" x14ac:dyDescent="0.25">
      <c r="A600" s="70"/>
      <c r="B600" s="70"/>
      <c r="C600" s="70"/>
      <c r="D600" s="70"/>
      <c r="E600" s="70"/>
      <c r="F600" s="70"/>
      <c r="G600" s="70"/>
      <c r="H600" s="70"/>
    </row>
    <row r="601" spans="1:8" x14ac:dyDescent="0.25">
      <c r="A601" s="70"/>
      <c r="B601" s="70"/>
      <c r="C601" s="70"/>
      <c r="D601" s="70"/>
      <c r="E601" s="70"/>
      <c r="F601" s="70"/>
      <c r="G601" s="70"/>
      <c r="H601" s="70"/>
    </row>
    <row r="602" spans="1:8" x14ac:dyDescent="0.25">
      <c r="A602" s="70"/>
      <c r="B602" s="70"/>
      <c r="C602" s="70"/>
      <c r="D602" s="70"/>
      <c r="E602" s="70"/>
      <c r="F602" s="70"/>
      <c r="G602" s="70"/>
      <c r="H602" s="70"/>
    </row>
    <row r="603" spans="1:8" x14ac:dyDescent="0.25">
      <c r="A603" s="70"/>
      <c r="B603" s="70"/>
      <c r="C603" s="70"/>
      <c r="D603" s="70"/>
      <c r="E603" s="70"/>
      <c r="F603" s="70"/>
      <c r="G603" s="70"/>
      <c r="H603" s="70"/>
    </row>
    <row r="604" spans="1:8" x14ac:dyDescent="0.25">
      <c r="A604" s="70"/>
      <c r="B604" s="70"/>
      <c r="C604" s="70"/>
      <c r="D604" s="70"/>
      <c r="E604" s="70"/>
      <c r="F604" s="70"/>
      <c r="G604" s="70"/>
      <c r="H604" s="70"/>
    </row>
    <row r="605" spans="1:8" x14ac:dyDescent="0.25">
      <c r="A605" s="70"/>
      <c r="B605" s="70"/>
      <c r="C605" s="70"/>
      <c r="D605" s="70"/>
      <c r="E605" s="70"/>
      <c r="F605" s="70"/>
      <c r="G605" s="70"/>
      <c r="H605" s="70"/>
    </row>
    <row r="606" spans="1:8" x14ac:dyDescent="0.25">
      <c r="A606" s="70"/>
      <c r="B606" s="70"/>
      <c r="C606" s="70"/>
      <c r="D606" s="70"/>
      <c r="E606" s="70"/>
      <c r="F606" s="70"/>
      <c r="G606" s="70"/>
      <c r="H606" s="70"/>
    </row>
    <row r="607" spans="1:8" x14ac:dyDescent="0.25">
      <c r="A607" s="70"/>
      <c r="B607" s="70"/>
      <c r="C607" s="70"/>
      <c r="D607" s="70"/>
      <c r="E607" s="70"/>
      <c r="F607" s="70"/>
      <c r="G607" s="70"/>
      <c r="H607" s="70"/>
    </row>
    <row r="608" spans="1:8" x14ac:dyDescent="0.25">
      <c r="A608" s="70"/>
      <c r="B608" s="70"/>
      <c r="C608" s="70"/>
      <c r="D608" s="70"/>
      <c r="E608" s="70"/>
      <c r="F608" s="70"/>
      <c r="G608" s="70"/>
      <c r="H608" s="70"/>
    </row>
    <row r="609" spans="1:8" x14ac:dyDescent="0.25">
      <c r="A609" s="70"/>
      <c r="B609" s="70"/>
      <c r="C609" s="70"/>
      <c r="D609" s="70"/>
      <c r="E609" s="70"/>
      <c r="F609" s="70"/>
      <c r="G609" s="70"/>
      <c r="H609" s="70"/>
    </row>
    <row r="610" spans="1:8" x14ac:dyDescent="0.25">
      <c r="A610" s="70"/>
      <c r="B610" s="70"/>
      <c r="C610" s="70"/>
      <c r="D610" s="70"/>
      <c r="E610" s="70"/>
      <c r="F610" s="70"/>
      <c r="G610" s="70"/>
      <c r="H610" s="70"/>
    </row>
    <row r="611" spans="1:8" x14ac:dyDescent="0.25">
      <c r="A611" s="70"/>
      <c r="B611" s="70"/>
      <c r="C611" s="70"/>
      <c r="D611" s="70"/>
      <c r="E611" s="70"/>
      <c r="F611" s="70"/>
      <c r="G611" s="70"/>
      <c r="H611" s="70"/>
    </row>
    <row r="612" spans="1:8" x14ac:dyDescent="0.25">
      <c r="A612" s="70"/>
      <c r="B612" s="70"/>
      <c r="C612" s="70"/>
      <c r="D612" s="70"/>
      <c r="E612" s="70"/>
      <c r="F612" s="70"/>
      <c r="G612" s="70"/>
      <c r="H612" s="70"/>
    </row>
    <row r="613" spans="1:8" x14ac:dyDescent="0.25">
      <c r="A613" s="70"/>
      <c r="B613" s="70"/>
      <c r="C613" s="70"/>
      <c r="D613" s="70"/>
      <c r="E613" s="70"/>
      <c r="F613" s="70"/>
      <c r="G613" s="70"/>
      <c r="H613" s="70"/>
    </row>
    <row r="614" spans="1:8" x14ac:dyDescent="0.25">
      <c r="A614" s="70"/>
      <c r="B614" s="70"/>
      <c r="C614" s="70"/>
      <c r="D614" s="70"/>
      <c r="E614" s="70"/>
      <c r="F614" s="70"/>
      <c r="G614" s="70"/>
      <c r="H614" s="70"/>
    </row>
    <row r="615" spans="1:8" x14ac:dyDescent="0.25">
      <c r="A615" s="70"/>
      <c r="B615" s="70"/>
      <c r="C615" s="70"/>
      <c r="D615" s="70"/>
      <c r="E615" s="70"/>
      <c r="F615" s="70"/>
      <c r="G615" s="70"/>
      <c r="H615" s="70"/>
    </row>
    <row r="616" spans="1:8" x14ac:dyDescent="0.25">
      <c r="A616" s="70"/>
      <c r="B616" s="70"/>
      <c r="C616" s="70"/>
      <c r="D616" s="70"/>
      <c r="E616" s="70"/>
      <c r="F616" s="70"/>
      <c r="G616" s="70"/>
      <c r="H616" s="70"/>
    </row>
    <row r="617" spans="1:8" x14ac:dyDescent="0.25">
      <c r="A617" s="70"/>
      <c r="B617" s="70"/>
      <c r="C617" s="70"/>
      <c r="D617" s="70"/>
      <c r="E617" s="70"/>
      <c r="F617" s="70"/>
      <c r="G617" s="70"/>
      <c r="H617" s="70"/>
    </row>
    <row r="618" spans="1:8" x14ac:dyDescent="0.25">
      <c r="A618" s="70"/>
      <c r="B618" s="70"/>
      <c r="C618" s="70"/>
      <c r="D618" s="70"/>
      <c r="E618" s="70"/>
      <c r="F618" s="70"/>
      <c r="G618" s="70"/>
      <c r="H618" s="70"/>
    </row>
    <row r="619" spans="1:8" x14ac:dyDescent="0.25">
      <c r="A619" s="70"/>
      <c r="B619" s="70"/>
      <c r="C619" s="70"/>
      <c r="D619" s="70"/>
      <c r="E619" s="70"/>
      <c r="F619" s="70"/>
      <c r="G619" s="70"/>
      <c r="H619" s="70"/>
    </row>
    <row r="620" spans="1:8" x14ac:dyDescent="0.25">
      <c r="A620" s="70"/>
      <c r="B620" s="70"/>
      <c r="C620" s="70"/>
      <c r="D620" s="70"/>
      <c r="E620" s="70"/>
      <c r="F620" s="70"/>
      <c r="G620" s="70"/>
      <c r="H620" s="70"/>
    </row>
    <row r="621" spans="1:8" x14ac:dyDescent="0.25">
      <c r="A621" s="70"/>
      <c r="B621" s="70"/>
      <c r="C621" s="70"/>
      <c r="D621" s="70"/>
      <c r="E621" s="70"/>
      <c r="F621" s="70"/>
      <c r="G621" s="70"/>
      <c r="H621" s="70"/>
    </row>
    <row r="622" spans="1:8" x14ac:dyDescent="0.25">
      <c r="A622" s="70"/>
      <c r="B622" s="70"/>
      <c r="C622" s="70"/>
      <c r="D622" s="70"/>
      <c r="E622" s="70"/>
      <c r="F622" s="70"/>
      <c r="G622" s="70"/>
      <c r="H622" s="70"/>
    </row>
    <row r="623" spans="1:8" x14ac:dyDescent="0.25">
      <c r="A623" s="70"/>
      <c r="B623" s="70"/>
      <c r="C623" s="70"/>
      <c r="D623" s="70"/>
      <c r="E623" s="70"/>
      <c r="F623" s="70"/>
      <c r="G623" s="70"/>
      <c r="H623" s="70"/>
    </row>
    <row r="624" spans="1:8" x14ac:dyDescent="0.25">
      <c r="A624" s="70"/>
      <c r="B624" s="70"/>
      <c r="C624" s="70"/>
      <c r="D624" s="70"/>
      <c r="E624" s="70"/>
      <c r="F624" s="70"/>
      <c r="G624" s="70"/>
      <c r="H624" s="70"/>
    </row>
    <row r="625" spans="1:8" x14ac:dyDescent="0.25">
      <c r="A625" s="70"/>
      <c r="B625" s="70"/>
      <c r="C625" s="70"/>
      <c r="D625" s="70"/>
      <c r="E625" s="70"/>
      <c r="F625" s="70"/>
      <c r="G625" s="70"/>
      <c r="H625" s="70"/>
    </row>
    <row r="626" spans="1:8" x14ac:dyDescent="0.25">
      <c r="A626" s="71" t="s">
        <v>332</v>
      </c>
      <c r="B626" s="40"/>
      <c r="C626" s="40"/>
      <c r="D626" s="40"/>
      <c r="E626" s="40"/>
      <c r="F626" s="40"/>
      <c r="G626" s="40"/>
      <c r="H626" s="40"/>
    </row>
    <row r="627" spans="1:8" x14ac:dyDescent="0.25">
      <c r="A627" s="70"/>
      <c r="B627" s="70"/>
      <c r="C627" s="70"/>
      <c r="D627" s="70"/>
      <c r="E627" s="70"/>
      <c r="F627" s="70"/>
      <c r="G627" s="70"/>
      <c r="H627" s="70"/>
    </row>
    <row r="628" spans="1:8" x14ac:dyDescent="0.25">
      <c r="A628" s="70"/>
      <c r="B628" s="70"/>
      <c r="C628" s="70"/>
      <c r="D628" s="70"/>
      <c r="E628" s="70"/>
      <c r="F628" s="70"/>
      <c r="G628" s="70"/>
      <c r="H628" s="70"/>
    </row>
    <row r="629" spans="1:8" x14ac:dyDescent="0.25">
      <c r="A629" s="70"/>
      <c r="B629" s="70"/>
      <c r="C629" s="70"/>
      <c r="D629" s="70"/>
      <c r="E629" s="70"/>
      <c r="F629" s="70"/>
      <c r="G629" s="70"/>
      <c r="H629" s="70"/>
    </row>
    <row r="630" spans="1:8" x14ac:dyDescent="0.25">
      <c r="A630" s="70"/>
      <c r="B630" s="70"/>
      <c r="C630" s="70"/>
      <c r="D630" s="70"/>
      <c r="E630" s="70"/>
      <c r="F630" s="70"/>
      <c r="G630" s="70"/>
      <c r="H630" s="70"/>
    </row>
    <row r="631" spans="1:8" x14ac:dyDescent="0.25">
      <c r="A631" s="70"/>
      <c r="B631" s="70"/>
      <c r="C631" s="70"/>
      <c r="D631" s="70"/>
      <c r="E631" s="70"/>
      <c r="F631" s="70"/>
      <c r="G631" s="70"/>
      <c r="H631" s="70"/>
    </row>
    <row r="632" spans="1:8" x14ac:dyDescent="0.25">
      <c r="A632" s="70"/>
      <c r="B632" s="70"/>
      <c r="C632" s="70"/>
      <c r="D632" s="70"/>
      <c r="E632" s="70"/>
      <c r="F632" s="70"/>
      <c r="G632" s="70"/>
      <c r="H632" s="70"/>
    </row>
    <row r="633" spans="1:8" x14ac:dyDescent="0.25">
      <c r="A633" s="70"/>
      <c r="B633" s="70"/>
      <c r="C633" s="70"/>
      <c r="D633" s="70"/>
      <c r="E633" s="70"/>
      <c r="F633" s="70"/>
      <c r="G633" s="70"/>
      <c r="H633" s="70"/>
    </row>
    <row r="634" spans="1:8" x14ac:dyDescent="0.25">
      <c r="A634" s="70"/>
      <c r="B634" s="70"/>
      <c r="C634" s="70"/>
      <c r="D634" s="70"/>
      <c r="E634" s="70"/>
      <c r="F634" s="70"/>
      <c r="G634" s="70"/>
      <c r="H634" s="70"/>
    </row>
    <row r="635" spans="1:8" x14ac:dyDescent="0.25">
      <c r="A635" s="70"/>
      <c r="B635" s="70"/>
      <c r="C635" s="70"/>
      <c r="D635" s="70"/>
      <c r="E635" s="70"/>
      <c r="F635" s="70"/>
      <c r="G635" s="70"/>
      <c r="H635" s="70"/>
    </row>
    <row r="636" spans="1:8" x14ac:dyDescent="0.25">
      <c r="A636" s="70"/>
      <c r="B636" s="70"/>
      <c r="C636" s="70"/>
      <c r="D636" s="70"/>
      <c r="E636" s="70"/>
      <c r="F636" s="70"/>
      <c r="G636" s="70"/>
      <c r="H636" s="70"/>
    </row>
    <row r="637" spans="1:8" x14ac:dyDescent="0.25">
      <c r="A637" s="70"/>
      <c r="B637" s="70"/>
      <c r="C637" s="70"/>
      <c r="D637" s="70"/>
      <c r="E637" s="70"/>
      <c r="F637" s="70"/>
      <c r="G637" s="70"/>
      <c r="H637" s="70"/>
    </row>
    <row r="638" spans="1:8" x14ac:dyDescent="0.25">
      <c r="A638" s="70"/>
      <c r="B638" s="70"/>
      <c r="C638" s="70"/>
      <c r="D638" s="70"/>
      <c r="E638" s="70"/>
      <c r="F638" s="70"/>
      <c r="G638" s="70"/>
      <c r="H638" s="70"/>
    </row>
    <row r="639" spans="1:8" x14ac:dyDescent="0.25">
      <c r="A639" s="70"/>
      <c r="B639" s="70"/>
      <c r="C639" s="70"/>
      <c r="D639" s="70"/>
      <c r="E639" s="70"/>
      <c r="F639" s="70"/>
      <c r="G639" s="70"/>
      <c r="H639" s="70"/>
    </row>
    <row r="640" spans="1:8" x14ac:dyDescent="0.25">
      <c r="A640" s="70"/>
      <c r="B640" s="70"/>
      <c r="C640" s="70"/>
      <c r="D640" s="70"/>
      <c r="E640" s="70"/>
      <c r="F640" s="70"/>
      <c r="G640" s="70"/>
      <c r="H640" s="70"/>
    </row>
    <row r="641" spans="1:8" x14ac:dyDescent="0.25">
      <c r="A641" s="70"/>
      <c r="B641" s="70"/>
      <c r="C641" s="70"/>
      <c r="D641" s="70"/>
      <c r="E641" s="70"/>
      <c r="F641" s="70"/>
      <c r="G641" s="70"/>
      <c r="H641" s="70"/>
    </row>
    <row r="642" spans="1:8" x14ac:dyDescent="0.25">
      <c r="A642" s="70"/>
      <c r="B642" s="70"/>
      <c r="C642" s="70"/>
      <c r="D642" s="70"/>
      <c r="E642" s="70"/>
      <c r="F642" s="70"/>
      <c r="G642" s="70"/>
      <c r="H642" s="70"/>
    </row>
    <row r="643" spans="1:8" x14ac:dyDescent="0.25">
      <c r="A643" s="70"/>
      <c r="B643" s="70"/>
      <c r="C643" s="70"/>
      <c r="D643" s="70"/>
      <c r="E643" s="70"/>
      <c r="F643" s="70"/>
      <c r="G643" s="70"/>
      <c r="H643" s="70"/>
    </row>
    <row r="644" spans="1:8" x14ac:dyDescent="0.25">
      <c r="A644" s="70"/>
      <c r="B644" s="70"/>
      <c r="C644" s="70"/>
      <c r="D644" s="70"/>
      <c r="E644" s="70"/>
      <c r="F644" s="70"/>
      <c r="G644" s="70"/>
      <c r="H644" s="70"/>
    </row>
    <row r="645" spans="1:8" x14ac:dyDescent="0.25">
      <c r="A645" s="70"/>
      <c r="B645" s="70"/>
      <c r="C645" s="70"/>
      <c r="D645" s="70"/>
      <c r="E645" s="70"/>
      <c r="F645" s="70"/>
      <c r="G645" s="70"/>
      <c r="H645" s="70"/>
    </row>
    <row r="646" spans="1:8" x14ac:dyDescent="0.25">
      <c r="A646" s="70"/>
      <c r="B646" s="70"/>
      <c r="C646" s="70"/>
      <c r="D646" s="70"/>
      <c r="E646" s="70"/>
      <c r="F646" s="70"/>
      <c r="G646" s="70"/>
      <c r="H646" s="70"/>
    </row>
    <row r="647" spans="1:8" x14ac:dyDescent="0.25">
      <c r="A647" s="70"/>
      <c r="B647" s="70"/>
      <c r="C647" s="70"/>
      <c r="D647" s="70"/>
      <c r="E647" s="70"/>
      <c r="F647" s="70"/>
      <c r="G647" s="70"/>
      <c r="H647" s="70"/>
    </row>
    <row r="648" spans="1:8" x14ac:dyDescent="0.25">
      <c r="A648" s="70"/>
      <c r="B648" s="70"/>
      <c r="C648" s="70"/>
      <c r="D648" s="70"/>
      <c r="E648" s="70"/>
      <c r="F648" s="70"/>
      <c r="G648" s="70"/>
      <c r="H648" s="70"/>
    </row>
    <row r="649" spans="1:8" x14ac:dyDescent="0.25">
      <c r="A649" s="70"/>
      <c r="B649" s="70"/>
      <c r="C649" s="70"/>
      <c r="D649" s="70"/>
      <c r="E649" s="70"/>
      <c r="F649" s="70"/>
      <c r="G649" s="70"/>
      <c r="H649" s="70"/>
    </row>
    <row r="650" spans="1:8" x14ac:dyDescent="0.25">
      <c r="A650" s="70"/>
      <c r="B650" s="70"/>
      <c r="C650" s="70"/>
      <c r="D650" s="70"/>
      <c r="E650" s="70"/>
      <c r="F650" s="70"/>
      <c r="G650" s="70"/>
      <c r="H650" s="70"/>
    </row>
    <row r="651" spans="1:8" x14ac:dyDescent="0.25">
      <c r="A651" s="70"/>
      <c r="B651" s="70"/>
      <c r="C651" s="70"/>
      <c r="D651" s="70"/>
      <c r="E651" s="70"/>
      <c r="F651" s="70"/>
      <c r="G651" s="70"/>
      <c r="H651" s="70"/>
    </row>
    <row r="652" spans="1:8" x14ac:dyDescent="0.25">
      <c r="A652" s="70"/>
      <c r="B652" s="70"/>
      <c r="C652" s="70"/>
      <c r="D652" s="70"/>
      <c r="E652" s="70"/>
      <c r="F652" s="70"/>
      <c r="G652" s="70"/>
      <c r="H652" s="70"/>
    </row>
    <row r="653" spans="1:8" x14ac:dyDescent="0.25">
      <c r="A653" s="70"/>
      <c r="B653" s="70"/>
      <c r="C653" s="70"/>
      <c r="D653" s="70"/>
      <c r="E653" s="70"/>
      <c r="F653" s="70"/>
      <c r="G653" s="70"/>
      <c r="H653" s="70"/>
    </row>
    <row r="654" spans="1:8" x14ac:dyDescent="0.25">
      <c r="A654" s="70"/>
      <c r="B654" s="70"/>
      <c r="C654" s="70"/>
      <c r="D654" s="70"/>
      <c r="E654" s="70"/>
      <c r="F654" s="70"/>
      <c r="G654" s="70"/>
      <c r="H654" s="70"/>
    </row>
    <row r="655" spans="1:8" x14ac:dyDescent="0.25">
      <c r="A655" s="70"/>
      <c r="B655" s="70"/>
      <c r="C655" s="70"/>
      <c r="D655" s="70"/>
      <c r="E655" s="70"/>
      <c r="F655" s="70"/>
      <c r="G655" s="70"/>
      <c r="H655" s="70"/>
    </row>
    <row r="656" spans="1:8" x14ac:dyDescent="0.25">
      <c r="A656" s="70"/>
      <c r="B656" s="70"/>
      <c r="C656" s="70"/>
      <c r="D656" s="70"/>
      <c r="E656" s="70"/>
      <c r="F656" s="70"/>
      <c r="G656" s="70"/>
      <c r="H656" s="70"/>
    </row>
    <row r="657" spans="1:8" x14ac:dyDescent="0.25">
      <c r="A657" s="70"/>
      <c r="B657" s="70"/>
      <c r="C657" s="70"/>
      <c r="D657" s="70"/>
      <c r="E657" s="70"/>
      <c r="F657" s="70"/>
      <c r="G657" s="70"/>
      <c r="H657" s="70"/>
    </row>
    <row r="658" spans="1:8" x14ac:dyDescent="0.25">
      <c r="A658" s="70"/>
      <c r="B658" s="70"/>
      <c r="C658" s="70"/>
      <c r="D658" s="70"/>
      <c r="E658" s="70"/>
      <c r="F658" s="70"/>
      <c r="G658" s="70"/>
      <c r="H658" s="70"/>
    </row>
    <row r="659" spans="1:8" x14ac:dyDescent="0.25">
      <c r="A659" s="70"/>
      <c r="B659" s="70"/>
      <c r="C659" s="70"/>
      <c r="D659" s="70"/>
      <c r="E659" s="70"/>
      <c r="F659" s="70"/>
      <c r="G659" s="70"/>
      <c r="H659" s="70"/>
    </row>
    <row r="660" spans="1:8" x14ac:dyDescent="0.25">
      <c r="A660" s="70"/>
      <c r="B660" s="70"/>
      <c r="C660" s="70"/>
      <c r="D660" s="70"/>
      <c r="E660" s="70"/>
      <c r="F660" s="70"/>
      <c r="G660" s="70"/>
      <c r="H660" s="70"/>
    </row>
    <row r="661" spans="1:8" x14ac:dyDescent="0.25">
      <c r="A661" s="70"/>
      <c r="B661" s="70"/>
      <c r="C661" s="70"/>
      <c r="D661" s="70"/>
      <c r="E661" s="70"/>
      <c r="F661" s="70"/>
      <c r="G661" s="70"/>
      <c r="H661" s="70"/>
    </row>
    <row r="662" spans="1:8" x14ac:dyDescent="0.25">
      <c r="A662" s="70"/>
      <c r="B662" s="70"/>
      <c r="C662" s="70"/>
      <c r="D662" s="70"/>
      <c r="E662" s="70"/>
      <c r="F662" s="70"/>
      <c r="G662" s="70"/>
      <c r="H662" s="70"/>
    </row>
    <row r="663" spans="1:8" x14ac:dyDescent="0.25">
      <c r="A663" s="70"/>
      <c r="B663" s="70"/>
      <c r="C663" s="70"/>
      <c r="D663" s="70"/>
      <c r="E663" s="70"/>
      <c r="F663" s="70"/>
      <c r="G663" s="70"/>
      <c r="H663" s="70"/>
    </row>
    <row r="664" spans="1:8" x14ac:dyDescent="0.25">
      <c r="A664" s="70"/>
      <c r="B664" s="70"/>
      <c r="C664" s="70"/>
      <c r="D664" s="70"/>
      <c r="E664" s="70"/>
      <c r="F664" s="70"/>
      <c r="G664" s="70"/>
      <c r="H664" s="70"/>
    </row>
    <row r="665" spans="1:8" x14ac:dyDescent="0.25">
      <c r="A665" s="70"/>
      <c r="B665" s="70"/>
      <c r="C665" s="70"/>
      <c r="D665" s="70"/>
      <c r="E665" s="70"/>
      <c r="F665" s="70"/>
      <c r="G665" s="70"/>
      <c r="H665" s="70"/>
    </row>
    <row r="666" spans="1:8" x14ac:dyDescent="0.25">
      <c r="A666" s="70"/>
      <c r="B666" s="70"/>
      <c r="C666" s="70"/>
      <c r="D666" s="70"/>
      <c r="E666" s="70"/>
      <c r="F666" s="70"/>
      <c r="G666" s="70"/>
      <c r="H666" s="70"/>
    </row>
    <row r="667" spans="1:8" x14ac:dyDescent="0.25">
      <c r="A667" s="70"/>
      <c r="B667" s="70"/>
      <c r="C667" s="70"/>
      <c r="D667" s="70"/>
      <c r="E667" s="70"/>
      <c r="F667" s="70"/>
      <c r="G667" s="70"/>
      <c r="H667" s="70"/>
    </row>
    <row r="668" spans="1:8" x14ac:dyDescent="0.25">
      <c r="A668" s="70"/>
      <c r="B668" s="70"/>
      <c r="C668" s="70"/>
      <c r="D668" s="70"/>
      <c r="E668" s="70"/>
      <c r="F668" s="70"/>
      <c r="G668" s="70"/>
      <c r="H668" s="70"/>
    </row>
    <row r="669" spans="1:8" x14ac:dyDescent="0.25">
      <c r="A669" s="75" t="s">
        <v>373</v>
      </c>
      <c r="B669" s="40"/>
      <c r="C669" s="40"/>
      <c r="D669" s="40"/>
      <c r="E669" s="40"/>
      <c r="F669" s="40"/>
      <c r="G669" s="40"/>
      <c r="H669" s="66"/>
    </row>
    <row r="670" spans="1:8" x14ac:dyDescent="0.25">
      <c r="A670" s="66"/>
      <c r="B670" s="66"/>
      <c r="C670" s="66"/>
      <c r="D670" s="66"/>
      <c r="E670" s="66"/>
      <c r="F670" s="66"/>
      <c r="G670" s="66"/>
      <c r="H670" s="66"/>
    </row>
    <row r="671" spans="1:8" x14ac:dyDescent="0.25">
      <c r="A671" s="66"/>
      <c r="B671" s="66"/>
      <c r="C671" s="66"/>
      <c r="D671" s="66"/>
      <c r="E671" s="66"/>
      <c r="F671" s="66"/>
      <c r="G671" s="66"/>
      <c r="H671" s="66"/>
    </row>
    <row r="674" spans="3:3" x14ac:dyDescent="0.25">
      <c r="C674"/>
    </row>
    <row r="712" spans="1:8" x14ac:dyDescent="0.25">
      <c r="A712" s="71" t="s">
        <v>72</v>
      </c>
      <c r="B712" s="70"/>
      <c r="C712" s="70"/>
      <c r="D712" s="70"/>
      <c r="E712" s="70"/>
      <c r="F712" s="70"/>
      <c r="G712" s="70"/>
      <c r="H712" s="70"/>
    </row>
    <row r="713" spans="1:8" x14ac:dyDescent="0.25">
      <c r="A713" s="70"/>
      <c r="B713" s="70"/>
      <c r="C713" s="70"/>
      <c r="D713" s="70"/>
      <c r="E713" s="70"/>
      <c r="F713" s="70"/>
      <c r="G713" s="70"/>
      <c r="H713" s="70"/>
    </row>
    <row r="714" spans="1:8" x14ac:dyDescent="0.25">
      <c r="A714" s="70"/>
      <c r="B714" s="70"/>
      <c r="C714" s="70"/>
      <c r="D714" s="70"/>
      <c r="E714" s="70"/>
      <c r="F714" s="70"/>
      <c r="G714" s="70"/>
      <c r="H714" s="70"/>
    </row>
    <row r="715" spans="1:8" x14ac:dyDescent="0.25">
      <c r="A715" s="70"/>
      <c r="B715" s="70"/>
      <c r="C715" s="70"/>
      <c r="D715" s="70"/>
      <c r="E715" s="70"/>
      <c r="F715" s="70"/>
      <c r="G715" s="70"/>
      <c r="H715" s="70"/>
    </row>
    <row r="716" spans="1:8" x14ac:dyDescent="0.25">
      <c r="A716" s="70"/>
      <c r="B716" s="70"/>
      <c r="C716" s="70"/>
      <c r="D716" s="70"/>
      <c r="E716" s="70"/>
      <c r="F716" s="70"/>
      <c r="G716" s="70"/>
      <c r="H716" s="70"/>
    </row>
    <row r="717" spans="1:8" x14ac:dyDescent="0.25">
      <c r="A717" s="70"/>
      <c r="B717" s="70"/>
      <c r="C717" s="70"/>
      <c r="D717" s="70"/>
      <c r="E717" s="70"/>
      <c r="F717" s="70"/>
      <c r="G717" s="70"/>
      <c r="H717" s="70"/>
    </row>
    <row r="718" spans="1:8" x14ac:dyDescent="0.25">
      <c r="A718" s="70"/>
      <c r="B718" s="70"/>
      <c r="C718" s="70"/>
      <c r="D718" s="70"/>
      <c r="E718" s="70"/>
      <c r="F718" s="70"/>
      <c r="G718" s="70"/>
      <c r="H718" s="70"/>
    </row>
    <row r="719" spans="1:8" x14ac:dyDescent="0.25">
      <c r="A719" s="70"/>
      <c r="B719" s="70"/>
      <c r="C719" s="70"/>
      <c r="D719" s="70"/>
      <c r="E719" s="70"/>
      <c r="F719" s="70"/>
      <c r="G719" s="70"/>
      <c r="H719" s="70"/>
    </row>
    <row r="720" spans="1:8" x14ac:dyDescent="0.25">
      <c r="A720" s="70"/>
      <c r="B720" s="70"/>
      <c r="C720" s="70"/>
      <c r="D720" s="70"/>
      <c r="E720" s="70"/>
      <c r="F720" s="70"/>
      <c r="G720" s="70"/>
      <c r="H720" s="70"/>
    </row>
    <row r="721" spans="1:8" x14ac:dyDescent="0.25">
      <c r="A721" s="70"/>
      <c r="B721" s="70"/>
      <c r="C721" s="70"/>
      <c r="D721" s="70"/>
      <c r="E721" s="70"/>
      <c r="F721" s="70"/>
      <c r="G721" s="70"/>
      <c r="H721" s="70"/>
    </row>
    <row r="722" spans="1:8" x14ac:dyDescent="0.25">
      <c r="A722" s="70"/>
      <c r="B722" s="70"/>
      <c r="C722" s="70"/>
      <c r="D722" s="70"/>
      <c r="E722" s="70"/>
      <c r="F722" s="70"/>
      <c r="G722" s="70"/>
      <c r="H722" s="70"/>
    </row>
    <row r="723" spans="1:8" x14ac:dyDescent="0.25">
      <c r="A723" s="70"/>
      <c r="B723" s="70"/>
      <c r="C723" s="70"/>
      <c r="D723" s="70"/>
      <c r="E723" s="70"/>
      <c r="F723" s="70"/>
      <c r="G723" s="70"/>
      <c r="H723" s="70"/>
    </row>
    <row r="724" spans="1:8" x14ac:dyDescent="0.25">
      <c r="A724" s="70"/>
      <c r="B724" s="70"/>
      <c r="C724" s="70"/>
      <c r="D724" s="70"/>
      <c r="E724" s="70"/>
      <c r="F724" s="70"/>
      <c r="G724" s="70"/>
      <c r="H724" s="70"/>
    </row>
    <row r="725" spans="1:8" x14ac:dyDescent="0.25">
      <c r="A725" s="70"/>
      <c r="B725" s="70"/>
      <c r="C725" s="70"/>
      <c r="D725" s="70"/>
      <c r="E725" s="70"/>
      <c r="F725" s="70"/>
      <c r="G725" s="70"/>
      <c r="H725" s="70"/>
    </row>
    <row r="726" spans="1:8" x14ac:dyDescent="0.25">
      <c r="A726" s="70"/>
      <c r="B726" s="70"/>
      <c r="C726" s="70"/>
      <c r="D726" s="70"/>
      <c r="E726" s="70"/>
      <c r="F726" s="70"/>
      <c r="G726" s="70"/>
      <c r="H726" s="70"/>
    </row>
    <row r="727" spans="1:8" x14ac:dyDescent="0.25">
      <c r="A727" s="70"/>
      <c r="B727" s="70"/>
      <c r="C727" s="70"/>
      <c r="D727" s="70"/>
      <c r="E727" s="70"/>
      <c r="F727" s="70"/>
      <c r="G727" s="70"/>
      <c r="H727" s="70"/>
    </row>
    <row r="728" spans="1:8" x14ac:dyDescent="0.25">
      <c r="A728" s="70"/>
      <c r="B728" s="70"/>
      <c r="C728" s="70"/>
      <c r="D728" s="70"/>
      <c r="E728" s="70"/>
      <c r="F728" s="70"/>
      <c r="G728" s="70"/>
      <c r="H728" s="70"/>
    </row>
    <row r="729" spans="1:8" x14ac:dyDescent="0.25">
      <c r="A729" s="70"/>
      <c r="B729" s="70"/>
      <c r="C729" s="70"/>
      <c r="D729" s="70"/>
      <c r="E729" s="70"/>
      <c r="F729" s="70"/>
      <c r="G729" s="70"/>
      <c r="H729" s="70"/>
    </row>
    <row r="730" spans="1:8" x14ac:dyDescent="0.25">
      <c r="A730" s="70"/>
      <c r="B730" s="70"/>
      <c r="C730" s="70"/>
      <c r="D730" s="70"/>
      <c r="E730" s="70"/>
      <c r="F730" s="70"/>
      <c r="G730" s="70"/>
      <c r="H730" s="70"/>
    </row>
    <row r="731" spans="1:8" x14ac:dyDescent="0.25">
      <c r="A731" s="70"/>
      <c r="B731" s="70"/>
      <c r="C731" s="70"/>
      <c r="D731" s="70"/>
      <c r="E731" s="70"/>
      <c r="F731" s="70"/>
      <c r="G731" s="70"/>
      <c r="H731" s="70"/>
    </row>
    <row r="732" spans="1:8" x14ac:dyDescent="0.25">
      <c r="A732" s="70"/>
      <c r="B732" s="70"/>
      <c r="C732" s="70"/>
      <c r="D732" s="70"/>
      <c r="E732" s="70"/>
      <c r="F732" s="70"/>
      <c r="G732" s="70"/>
      <c r="H732" s="70"/>
    </row>
    <row r="733" spans="1:8" x14ac:dyDescent="0.25">
      <c r="A733" s="70"/>
      <c r="B733" s="70"/>
      <c r="C733" s="70"/>
      <c r="D733" s="70"/>
      <c r="E733" s="70"/>
      <c r="F733" s="70"/>
      <c r="G733" s="70"/>
      <c r="H733" s="70"/>
    </row>
    <row r="734" spans="1:8" x14ac:dyDescent="0.25">
      <c r="A734" s="70"/>
      <c r="B734" s="70"/>
      <c r="C734" s="70"/>
      <c r="D734" s="70"/>
      <c r="E734" s="70"/>
      <c r="F734" s="70"/>
      <c r="G734" s="70"/>
      <c r="H734" s="70"/>
    </row>
    <row r="735" spans="1:8" x14ac:dyDescent="0.25">
      <c r="A735" s="70"/>
      <c r="B735" s="70"/>
      <c r="C735" s="70"/>
      <c r="D735" s="70"/>
      <c r="E735" s="70"/>
      <c r="F735" s="70"/>
      <c r="G735" s="70"/>
      <c r="H735" s="70"/>
    </row>
    <row r="736" spans="1:8" x14ac:dyDescent="0.25">
      <c r="A736" s="70"/>
      <c r="B736" s="70"/>
      <c r="C736" s="70"/>
      <c r="D736" s="70"/>
      <c r="E736" s="70"/>
      <c r="F736" s="70"/>
      <c r="G736" s="70"/>
      <c r="H736" s="70"/>
    </row>
    <row r="737" spans="1:8" x14ac:dyDescent="0.25">
      <c r="A737" s="70"/>
      <c r="B737" s="70"/>
      <c r="C737" s="70"/>
      <c r="D737" s="70"/>
      <c r="E737" s="70"/>
      <c r="F737" s="70"/>
      <c r="G737" s="70"/>
      <c r="H737" s="70"/>
    </row>
    <row r="738" spans="1:8" x14ac:dyDescent="0.25">
      <c r="A738" s="70"/>
      <c r="B738" s="70"/>
      <c r="C738" s="70"/>
      <c r="D738" s="70"/>
      <c r="E738" s="70"/>
      <c r="F738" s="70"/>
      <c r="G738" s="70"/>
      <c r="H738" s="70"/>
    </row>
    <row r="739" spans="1:8" x14ac:dyDescent="0.25">
      <c r="A739" s="70"/>
      <c r="B739" s="70"/>
      <c r="C739" s="70"/>
      <c r="D739" s="70"/>
      <c r="E739" s="70"/>
      <c r="F739" s="70"/>
      <c r="G739" s="70"/>
      <c r="H739" s="70"/>
    </row>
    <row r="740" spans="1:8" x14ac:dyDescent="0.25">
      <c r="A740" s="70"/>
      <c r="B740" s="70"/>
      <c r="C740" s="70"/>
      <c r="D740" s="70"/>
      <c r="E740" s="70"/>
      <c r="F740" s="70"/>
      <c r="G740" s="70"/>
      <c r="H740" s="70"/>
    </row>
    <row r="741" spans="1:8" x14ac:dyDescent="0.25">
      <c r="A741" s="70"/>
      <c r="B741" s="70"/>
      <c r="C741" s="70"/>
      <c r="D741" s="70"/>
      <c r="E741" s="70"/>
      <c r="F741" s="70"/>
      <c r="G741" s="70"/>
      <c r="H741" s="70"/>
    </row>
    <row r="742" spans="1:8" x14ac:dyDescent="0.25">
      <c r="A742" s="70"/>
      <c r="B742" s="70"/>
      <c r="C742" s="70"/>
      <c r="D742" s="70"/>
      <c r="E742" s="70"/>
      <c r="F742" s="70"/>
      <c r="G742" s="70"/>
      <c r="H742" s="70"/>
    </row>
    <row r="743" spans="1:8" x14ac:dyDescent="0.25">
      <c r="A743" s="70"/>
      <c r="B743" s="70"/>
      <c r="C743" s="70"/>
      <c r="D743" s="70"/>
      <c r="E743" s="70"/>
      <c r="F743" s="70"/>
      <c r="G743" s="70"/>
      <c r="H743" s="70"/>
    </row>
    <row r="744" spans="1:8" x14ac:dyDescent="0.25">
      <c r="A744" s="70"/>
      <c r="B744" s="70"/>
      <c r="C744" s="70"/>
      <c r="D744" s="70"/>
      <c r="E744" s="70"/>
      <c r="F744" s="70"/>
      <c r="G744" s="70"/>
      <c r="H744" s="70"/>
    </row>
    <row r="745" spans="1:8" x14ac:dyDescent="0.25">
      <c r="A745" s="70"/>
      <c r="B745" s="70"/>
      <c r="C745" s="70"/>
      <c r="D745" s="70"/>
      <c r="E745" s="70"/>
      <c r="F745" s="70"/>
      <c r="G745" s="70"/>
      <c r="H745" s="70"/>
    </row>
    <row r="746" spans="1:8" x14ac:dyDescent="0.25">
      <c r="A746" s="70"/>
      <c r="B746" s="70"/>
      <c r="C746" s="70"/>
      <c r="D746" s="70"/>
      <c r="E746" s="70"/>
      <c r="F746" s="70"/>
      <c r="G746" s="70"/>
      <c r="H746" s="70"/>
    </row>
    <row r="747" spans="1:8" x14ac:dyDescent="0.25">
      <c r="A747" s="70"/>
      <c r="B747" s="70"/>
      <c r="C747" s="70"/>
      <c r="D747" s="70"/>
      <c r="E747" s="70"/>
      <c r="F747" s="70"/>
      <c r="G747" s="70"/>
      <c r="H747" s="70"/>
    </row>
    <row r="748" spans="1:8" x14ac:dyDescent="0.25">
      <c r="A748" s="70"/>
      <c r="B748" s="70"/>
      <c r="C748" s="70"/>
      <c r="D748" s="70"/>
      <c r="E748" s="70"/>
      <c r="F748" s="70"/>
      <c r="G748" s="70"/>
      <c r="H748" s="70"/>
    </row>
    <row r="749" spans="1:8" x14ac:dyDescent="0.25">
      <c r="A749" s="70"/>
      <c r="B749" s="70"/>
      <c r="C749" s="70"/>
      <c r="D749" s="70"/>
      <c r="E749" s="70"/>
      <c r="F749" s="70"/>
      <c r="G749" s="70"/>
      <c r="H749" s="70"/>
    </row>
    <row r="750" spans="1:8" x14ac:dyDescent="0.25">
      <c r="A750" s="70"/>
      <c r="B750" s="70"/>
      <c r="C750" s="70"/>
      <c r="D750" s="70"/>
      <c r="E750" s="70"/>
      <c r="F750" s="70"/>
      <c r="G750" s="70"/>
      <c r="H750" s="70"/>
    </row>
    <row r="751" spans="1:8" x14ac:dyDescent="0.25">
      <c r="A751" s="70"/>
      <c r="B751" s="70"/>
      <c r="C751" s="70"/>
      <c r="D751" s="70"/>
      <c r="E751" s="70"/>
      <c r="F751" s="70"/>
      <c r="G751" s="70"/>
      <c r="H751" s="70"/>
    </row>
    <row r="752" spans="1:8" x14ac:dyDescent="0.25">
      <c r="A752" s="70"/>
      <c r="B752" s="70"/>
      <c r="C752" s="70"/>
      <c r="D752" s="70"/>
      <c r="E752" s="70"/>
      <c r="F752" s="70"/>
      <c r="G752" s="70"/>
      <c r="H752" s="70"/>
    </row>
    <row r="753" spans="1:8" x14ac:dyDescent="0.25">
      <c r="A753" s="70"/>
      <c r="B753" s="70"/>
      <c r="C753" s="70"/>
      <c r="D753" s="70"/>
      <c r="E753" s="70"/>
      <c r="F753" s="70"/>
      <c r="G753" s="70"/>
      <c r="H753" s="70"/>
    </row>
    <row r="754" spans="1:8" x14ac:dyDescent="0.25">
      <c r="A754" s="70"/>
      <c r="B754" s="70"/>
      <c r="C754" s="70"/>
      <c r="D754" s="70"/>
      <c r="E754" s="70"/>
      <c r="F754" s="70"/>
      <c r="G754" s="70"/>
      <c r="H754" s="70"/>
    </row>
    <row r="755" spans="1:8" x14ac:dyDescent="0.25">
      <c r="A755" s="71"/>
      <c r="B755" s="40"/>
      <c r="C755" s="40"/>
      <c r="D755" s="40"/>
      <c r="E755" s="40"/>
      <c r="F755" s="40"/>
      <c r="G755" s="40"/>
      <c r="H755" s="66"/>
    </row>
    <row r="756" spans="1:8" x14ac:dyDescent="0.25">
      <c r="A756" s="66"/>
      <c r="B756" s="66"/>
      <c r="C756" s="66"/>
      <c r="D756" s="66"/>
      <c r="E756" s="66"/>
      <c r="F756" s="66"/>
      <c r="G756" s="66"/>
      <c r="H756" s="66"/>
    </row>
    <row r="757" spans="1:8" x14ac:dyDescent="0.25">
      <c r="A757" s="66"/>
      <c r="B757" s="66"/>
      <c r="C757" s="66"/>
      <c r="D757" s="66"/>
      <c r="E757" s="66"/>
      <c r="F757" s="66"/>
      <c r="G757" s="66"/>
      <c r="H757" s="66"/>
    </row>
  </sheetData>
  <mergeCells count="767">
    <mergeCell ref="A554:B554"/>
    <mergeCell ref="A555:B555"/>
    <mergeCell ref="A556:B556"/>
    <mergeCell ref="A557:B557"/>
    <mergeCell ref="A558:B558"/>
    <mergeCell ref="A559:H559"/>
    <mergeCell ref="A560:B560"/>
    <mergeCell ref="C560:F561"/>
    <mergeCell ref="G560:H572"/>
    <mergeCell ref="A561:B561"/>
    <mergeCell ref="A562:B562"/>
    <mergeCell ref="A563:B563"/>
    <mergeCell ref="A564:B564"/>
    <mergeCell ref="A565:B565"/>
    <mergeCell ref="C565:F569"/>
    <mergeCell ref="A566:B566"/>
    <mergeCell ref="A567:B567"/>
    <mergeCell ref="A568:B568"/>
    <mergeCell ref="A569:B569"/>
    <mergeCell ref="A570:B570"/>
    <mergeCell ref="A571:B571"/>
    <mergeCell ref="C571:F572"/>
    <mergeCell ref="A572:B572"/>
    <mergeCell ref="A531:B531"/>
    <mergeCell ref="A532:B532"/>
    <mergeCell ref="A533:B533"/>
    <mergeCell ref="A534:B534"/>
    <mergeCell ref="A535:B535"/>
    <mergeCell ref="A536:H536"/>
    <mergeCell ref="A537:B537"/>
    <mergeCell ref="G537:H558"/>
    <mergeCell ref="A538:B538"/>
    <mergeCell ref="A539:B539"/>
    <mergeCell ref="A540:B540"/>
    <mergeCell ref="A541:B541"/>
    <mergeCell ref="A542:B542"/>
    <mergeCell ref="A543:B543"/>
    <mergeCell ref="A544:B544"/>
    <mergeCell ref="A545:B545"/>
    <mergeCell ref="A546:B546"/>
    <mergeCell ref="A547:B547"/>
    <mergeCell ref="A548:B548"/>
    <mergeCell ref="A549:B549"/>
    <mergeCell ref="A550:B550"/>
    <mergeCell ref="A551:B551"/>
    <mergeCell ref="A552:B552"/>
    <mergeCell ref="A553:B553"/>
    <mergeCell ref="A509:B509"/>
    <mergeCell ref="A510:B510"/>
    <mergeCell ref="A511:B511"/>
    <mergeCell ref="A512:B512"/>
    <mergeCell ref="A513:H513"/>
    <mergeCell ref="A514:B514"/>
    <mergeCell ref="G514:H535"/>
    <mergeCell ref="A515:B515"/>
    <mergeCell ref="A516:B516"/>
    <mergeCell ref="A517:B517"/>
    <mergeCell ref="A518:B518"/>
    <mergeCell ref="A519:B519"/>
    <mergeCell ref="A520:B520"/>
    <mergeCell ref="A521:B521"/>
    <mergeCell ref="A522:B522"/>
    <mergeCell ref="A523:B523"/>
    <mergeCell ref="A524:B524"/>
    <mergeCell ref="A525:B525"/>
    <mergeCell ref="A526:B526"/>
    <mergeCell ref="A527:B527"/>
    <mergeCell ref="A528:B528"/>
    <mergeCell ref="A529:B529"/>
    <mergeCell ref="A530:B530"/>
    <mergeCell ref="C530:F530"/>
    <mergeCell ref="A486:B486"/>
    <mergeCell ref="A487:B487"/>
    <mergeCell ref="A488:B488"/>
    <mergeCell ref="A489:B489"/>
    <mergeCell ref="A490:H490"/>
    <mergeCell ref="A491:B491"/>
    <mergeCell ref="G491:H512"/>
    <mergeCell ref="A492:B492"/>
    <mergeCell ref="A493:B493"/>
    <mergeCell ref="A494:B494"/>
    <mergeCell ref="A495:B495"/>
    <mergeCell ref="A496:B496"/>
    <mergeCell ref="A497:B497"/>
    <mergeCell ref="A498:B498"/>
    <mergeCell ref="A499:B499"/>
    <mergeCell ref="A500:B500"/>
    <mergeCell ref="A501:B501"/>
    <mergeCell ref="A502:B502"/>
    <mergeCell ref="A503:B503"/>
    <mergeCell ref="A504:B504"/>
    <mergeCell ref="A505:B505"/>
    <mergeCell ref="A506:B506"/>
    <mergeCell ref="A507:B507"/>
    <mergeCell ref="A508:B508"/>
    <mergeCell ref="A463:B463"/>
    <mergeCell ref="A464:B464"/>
    <mergeCell ref="A465:B465"/>
    <mergeCell ref="A466:B466"/>
    <mergeCell ref="A467:H467"/>
    <mergeCell ref="A468:B468"/>
    <mergeCell ref="G468:H489"/>
    <mergeCell ref="A469:B469"/>
    <mergeCell ref="A470:B470"/>
    <mergeCell ref="A471:B471"/>
    <mergeCell ref="A472:B472"/>
    <mergeCell ref="A473:B473"/>
    <mergeCell ref="A474:B474"/>
    <mergeCell ref="A475:B475"/>
    <mergeCell ref="A476:B476"/>
    <mergeCell ref="A477:B477"/>
    <mergeCell ref="A478:B478"/>
    <mergeCell ref="A479:B479"/>
    <mergeCell ref="A480:B480"/>
    <mergeCell ref="A481:B481"/>
    <mergeCell ref="A482:B482"/>
    <mergeCell ref="A483:B483"/>
    <mergeCell ref="A484:B484"/>
    <mergeCell ref="A485:B485"/>
    <mergeCell ref="A441:B441"/>
    <mergeCell ref="A442:B442"/>
    <mergeCell ref="A443:B443"/>
    <mergeCell ref="A444:H444"/>
    <mergeCell ref="A445:B445"/>
    <mergeCell ref="G445:H466"/>
    <mergeCell ref="A446:B446"/>
    <mergeCell ref="A447:B447"/>
    <mergeCell ref="A448:B448"/>
    <mergeCell ref="A449:B449"/>
    <mergeCell ref="A450:B450"/>
    <mergeCell ref="A451:B451"/>
    <mergeCell ref="A452:B452"/>
    <mergeCell ref="A453:B453"/>
    <mergeCell ref="A454:B454"/>
    <mergeCell ref="A455:B455"/>
    <mergeCell ref="A456:B456"/>
    <mergeCell ref="A457:B457"/>
    <mergeCell ref="A458:B458"/>
    <mergeCell ref="A459:B459"/>
    <mergeCell ref="A460:B460"/>
    <mergeCell ref="A461:B461"/>
    <mergeCell ref="C461:F461"/>
    <mergeCell ref="A462:B462"/>
    <mergeCell ref="A419:B419"/>
    <mergeCell ref="A420:B420"/>
    <mergeCell ref="A421:H421"/>
    <mergeCell ref="A422:B422"/>
    <mergeCell ref="G422:H443"/>
    <mergeCell ref="A423:B423"/>
    <mergeCell ref="A424:B424"/>
    <mergeCell ref="A425:B425"/>
    <mergeCell ref="A426:B426"/>
    <mergeCell ref="A427:B427"/>
    <mergeCell ref="A428:B428"/>
    <mergeCell ref="A429:B429"/>
    <mergeCell ref="A430:B430"/>
    <mergeCell ref="A431:B431"/>
    <mergeCell ref="A432:B432"/>
    <mergeCell ref="A433:B433"/>
    <mergeCell ref="A434:B434"/>
    <mergeCell ref="A435:B435"/>
    <mergeCell ref="A436:B436"/>
    <mergeCell ref="A437:B437"/>
    <mergeCell ref="A438:B438"/>
    <mergeCell ref="C438:F438"/>
    <mergeCell ref="A439:B439"/>
    <mergeCell ref="A440:B440"/>
    <mergeCell ref="A396:B396"/>
    <mergeCell ref="A397:B397"/>
    <mergeCell ref="A398:H398"/>
    <mergeCell ref="A399:B399"/>
    <mergeCell ref="G399:H420"/>
    <mergeCell ref="A400:B400"/>
    <mergeCell ref="A401:B401"/>
    <mergeCell ref="A402:B402"/>
    <mergeCell ref="A403:B403"/>
    <mergeCell ref="A404:B404"/>
    <mergeCell ref="A405:B405"/>
    <mergeCell ref="A406:B406"/>
    <mergeCell ref="A407:B407"/>
    <mergeCell ref="A408:B408"/>
    <mergeCell ref="A409:B409"/>
    <mergeCell ref="A410:B410"/>
    <mergeCell ref="A411:B411"/>
    <mergeCell ref="A412:B412"/>
    <mergeCell ref="A413:B413"/>
    <mergeCell ref="A414:B414"/>
    <mergeCell ref="A415:B415"/>
    <mergeCell ref="A416:B416"/>
    <mergeCell ref="A417:B417"/>
    <mergeCell ref="A418:B418"/>
    <mergeCell ref="A374:B374"/>
    <mergeCell ref="A375:H375"/>
    <mergeCell ref="A376:B376"/>
    <mergeCell ref="G376:H397"/>
    <mergeCell ref="A377:B377"/>
    <mergeCell ref="A378:B378"/>
    <mergeCell ref="A379:B379"/>
    <mergeCell ref="A380:B380"/>
    <mergeCell ref="A381:B381"/>
    <mergeCell ref="A382:B382"/>
    <mergeCell ref="A383:B383"/>
    <mergeCell ref="A384:B384"/>
    <mergeCell ref="A385:B385"/>
    <mergeCell ref="A386:B386"/>
    <mergeCell ref="A387:B387"/>
    <mergeCell ref="A388:B388"/>
    <mergeCell ref="A389:B389"/>
    <mergeCell ref="A390:B390"/>
    <mergeCell ref="A391:B391"/>
    <mergeCell ref="A392:B392"/>
    <mergeCell ref="C392:F392"/>
    <mergeCell ref="A393:B393"/>
    <mergeCell ref="A394:B394"/>
    <mergeCell ref="A395:B395"/>
    <mergeCell ref="A352:H352"/>
    <mergeCell ref="A353:B353"/>
    <mergeCell ref="G353:H374"/>
    <mergeCell ref="A354:B354"/>
    <mergeCell ref="A355:B355"/>
    <mergeCell ref="A356:B356"/>
    <mergeCell ref="A357:B357"/>
    <mergeCell ref="A358:B358"/>
    <mergeCell ref="A359:B359"/>
    <mergeCell ref="A360:B360"/>
    <mergeCell ref="A361:B361"/>
    <mergeCell ref="A362:B362"/>
    <mergeCell ref="A363:B363"/>
    <mergeCell ref="A364:B364"/>
    <mergeCell ref="A365:B365"/>
    <mergeCell ref="A366:B366"/>
    <mergeCell ref="A367:B367"/>
    <mergeCell ref="A368:B368"/>
    <mergeCell ref="A369:B369"/>
    <mergeCell ref="C369:F369"/>
    <mergeCell ref="A370:B370"/>
    <mergeCell ref="A371:B371"/>
    <mergeCell ref="A372:B372"/>
    <mergeCell ref="A373:B373"/>
    <mergeCell ref="A329:H329"/>
    <mergeCell ref="A330:B330"/>
    <mergeCell ref="G330:H351"/>
    <mergeCell ref="A331:B331"/>
    <mergeCell ref="A332:B332"/>
    <mergeCell ref="A333:B333"/>
    <mergeCell ref="A334:B334"/>
    <mergeCell ref="A335:B335"/>
    <mergeCell ref="A336:B336"/>
    <mergeCell ref="A337:B337"/>
    <mergeCell ref="A338:B338"/>
    <mergeCell ref="A339:B339"/>
    <mergeCell ref="A340:B340"/>
    <mergeCell ref="A341:B341"/>
    <mergeCell ref="A342:B342"/>
    <mergeCell ref="A343:B343"/>
    <mergeCell ref="A344:B344"/>
    <mergeCell ref="A345:B345"/>
    <mergeCell ref="A346:B346"/>
    <mergeCell ref="A347:B347"/>
    <mergeCell ref="A348:B348"/>
    <mergeCell ref="A349:B349"/>
    <mergeCell ref="A350:B350"/>
    <mergeCell ref="A351:B351"/>
    <mergeCell ref="A306:H306"/>
    <mergeCell ref="A307:B307"/>
    <mergeCell ref="G307:H328"/>
    <mergeCell ref="A308:B308"/>
    <mergeCell ref="A309:B309"/>
    <mergeCell ref="A310:B310"/>
    <mergeCell ref="A311:B311"/>
    <mergeCell ref="A312:B312"/>
    <mergeCell ref="A313:B313"/>
    <mergeCell ref="A314:B314"/>
    <mergeCell ref="A315:B315"/>
    <mergeCell ref="A316:B316"/>
    <mergeCell ref="A317:B317"/>
    <mergeCell ref="A318:B318"/>
    <mergeCell ref="A319:B319"/>
    <mergeCell ref="A320:B320"/>
    <mergeCell ref="A321:B321"/>
    <mergeCell ref="A322:B322"/>
    <mergeCell ref="A323:B323"/>
    <mergeCell ref="A324:B324"/>
    <mergeCell ref="A325:B325"/>
    <mergeCell ref="A326:B326"/>
    <mergeCell ref="A327:B327"/>
    <mergeCell ref="A328:B328"/>
    <mergeCell ref="C64:E64"/>
    <mergeCell ref="G64:H64"/>
    <mergeCell ref="C65:H65"/>
    <mergeCell ref="A66:B66"/>
    <mergeCell ref="C66:E66"/>
    <mergeCell ref="G66:H66"/>
    <mergeCell ref="A153:H153"/>
    <mergeCell ref="A279:H279"/>
    <mergeCell ref="A147:B147"/>
    <mergeCell ref="D147:E147"/>
    <mergeCell ref="F147:H147"/>
    <mergeCell ref="A149:B149"/>
    <mergeCell ref="D149:E149"/>
    <mergeCell ref="F149:H149"/>
    <mergeCell ref="D141:E141"/>
    <mergeCell ref="E111:F111"/>
    <mergeCell ref="G111:H111"/>
    <mergeCell ref="A112:B112"/>
    <mergeCell ref="E112:F121"/>
    <mergeCell ref="G112:H121"/>
    <mergeCell ref="A113:B113"/>
    <mergeCell ref="A114:B114"/>
    <mergeCell ref="A115:B115"/>
    <mergeCell ref="C58:E58"/>
    <mergeCell ref="G58:H58"/>
    <mergeCell ref="A59:B59"/>
    <mergeCell ref="C59:E59"/>
    <mergeCell ref="G59:H59"/>
    <mergeCell ref="A118:B118"/>
    <mergeCell ref="A119:B119"/>
    <mergeCell ref="A106:B106"/>
    <mergeCell ref="A107:B107"/>
    <mergeCell ref="A90:B90"/>
    <mergeCell ref="A91:B91"/>
    <mergeCell ref="A92:B92"/>
    <mergeCell ref="C92:H92"/>
    <mergeCell ref="A94:B94"/>
    <mergeCell ref="C94:H94"/>
    <mergeCell ref="A97:B97"/>
    <mergeCell ref="E98:F107"/>
    <mergeCell ref="G98:H107"/>
    <mergeCell ref="A108:B108"/>
    <mergeCell ref="C108:H108"/>
    <mergeCell ref="A110:B110"/>
    <mergeCell ref="C110:H110"/>
    <mergeCell ref="A111:B111"/>
    <mergeCell ref="A64:B65"/>
    <mergeCell ref="A302:B302"/>
    <mergeCell ref="A303:B303"/>
    <mergeCell ref="A304:B304"/>
    <mergeCell ref="A305:B305"/>
    <mergeCell ref="G284:H305"/>
    <mergeCell ref="A276:H276"/>
    <mergeCell ref="C277:C278"/>
    <mergeCell ref="D277:D278"/>
    <mergeCell ref="E277:E278"/>
    <mergeCell ref="G277:H278"/>
    <mergeCell ref="A277:A278"/>
    <mergeCell ref="B277:B278"/>
    <mergeCell ref="A280:H280"/>
    <mergeCell ref="A281:H281"/>
    <mergeCell ref="A284:B284"/>
    <mergeCell ref="A285:B285"/>
    <mergeCell ref="A286:B286"/>
    <mergeCell ref="A287:B287"/>
    <mergeCell ref="A288:B288"/>
    <mergeCell ref="A289:B289"/>
    <mergeCell ref="A290:B290"/>
    <mergeCell ref="A291:B291"/>
    <mergeCell ref="A292:B292"/>
    <mergeCell ref="A293:B293"/>
    <mergeCell ref="A294:B294"/>
    <mergeCell ref="A297:B297"/>
    <mergeCell ref="A298:B298"/>
    <mergeCell ref="A299:B299"/>
    <mergeCell ref="A300:B300"/>
    <mergeCell ref="A301:B301"/>
    <mergeCell ref="A282:H282"/>
    <mergeCell ref="A283:H283"/>
    <mergeCell ref="A295:B295"/>
    <mergeCell ref="A296:B296"/>
    <mergeCell ref="F142:H142"/>
    <mergeCell ref="F128:H128"/>
    <mergeCell ref="A129:E129"/>
    <mergeCell ref="A133:E133"/>
    <mergeCell ref="F133:H133"/>
    <mergeCell ref="A134:E134"/>
    <mergeCell ref="F134:H134"/>
    <mergeCell ref="A116:B116"/>
    <mergeCell ref="A117:B117"/>
    <mergeCell ref="A120:B120"/>
    <mergeCell ref="A121:B121"/>
    <mergeCell ref="F140:H140"/>
    <mergeCell ref="A141:B141"/>
    <mergeCell ref="F141:H141"/>
    <mergeCell ref="A233:B233"/>
    <mergeCell ref="G221:H233"/>
    <mergeCell ref="A204:B204"/>
    <mergeCell ref="A216:B216"/>
    <mergeCell ref="A217:B217"/>
    <mergeCell ref="A218:B218"/>
    <mergeCell ref="A219:B219"/>
    <mergeCell ref="G207:H219"/>
    <mergeCell ref="C201:F201"/>
    <mergeCell ref="C215:F215"/>
    <mergeCell ref="C221:F221"/>
    <mergeCell ref="C222:F222"/>
    <mergeCell ref="C225:F225"/>
    <mergeCell ref="C226:F226"/>
    <mergeCell ref="C232:F232"/>
    <mergeCell ref="C233:F233"/>
    <mergeCell ref="A208:B208"/>
    <mergeCell ref="A209:B209"/>
    <mergeCell ref="A210:B210"/>
    <mergeCell ref="A211:B211"/>
    <mergeCell ref="A212:B212"/>
    <mergeCell ref="A220:H220"/>
    <mergeCell ref="A256:B256"/>
    <mergeCell ref="A257:B257"/>
    <mergeCell ref="A146:B146"/>
    <mergeCell ref="D146:E146"/>
    <mergeCell ref="F146:H146"/>
    <mergeCell ref="G169:H177"/>
    <mergeCell ref="G156:H166"/>
    <mergeCell ref="A249:B249"/>
    <mergeCell ref="A251:B251"/>
    <mergeCell ref="A252:B252"/>
    <mergeCell ref="A253:B253"/>
    <mergeCell ref="A250:B250"/>
    <mergeCell ref="A202:B202"/>
    <mergeCell ref="A203:B203"/>
    <mergeCell ref="A199:B199"/>
    <mergeCell ref="A200:B200"/>
    <mergeCell ref="A235:H235"/>
    <mergeCell ref="A206:H206"/>
    <mergeCell ref="A207:B207"/>
    <mergeCell ref="A246:B246"/>
    <mergeCell ref="A247:B247"/>
    <mergeCell ref="A248:B248"/>
    <mergeCell ref="A160:B160"/>
    <mergeCell ref="A161:B161"/>
    <mergeCell ref="A267:B267"/>
    <mergeCell ref="A268:B268"/>
    <mergeCell ref="A269:B269"/>
    <mergeCell ref="A270:B270"/>
    <mergeCell ref="A271:B271"/>
    <mergeCell ref="A272:B272"/>
    <mergeCell ref="A273:B273"/>
    <mergeCell ref="A258:B258"/>
    <mergeCell ref="A259:B259"/>
    <mergeCell ref="A260:B260"/>
    <mergeCell ref="A261:B261"/>
    <mergeCell ref="A262:B262"/>
    <mergeCell ref="E82:F91"/>
    <mergeCell ref="G82:H91"/>
    <mergeCell ref="A83:B83"/>
    <mergeCell ref="A84:B84"/>
    <mergeCell ref="A85:B85"/>
    <mergeCell ref="A86:B86"/>
    <mergeCell ref="A87:B87"/>
    <mergeCell ref="A88:B88"/>
    <mergeCell ref="A89:B89"/>
    <mergeCell ref="A35:B35"/>
    <mergeCell ref="C35:E35"/>
    <mergeCell ref="C36:E36"/>
    <mergeCell ref="A125:H125"/>
    <mergeCell ref="A123:H123"/>
    <mergeCell ref="A124:B124"/>
    <mergeCell ref="C124:H124"/>
    <mergeCell ref="A122:H122"/>
    <mergeCell ref="C54:H54"/>
    <mergeCell ref="G57:H57"/>
    <mergeCell ref="A57:B57"/>
    <mergeCell ref="C57:E57"/>
    <mergeCell ref="A76:B76"/>
    <mergeCell ref="C76:H76"/>
    <mergeCell ref="A38:B38"/>
    <mergeCell ref="A53:B54"/>
    <mergeCell ref="G53:H53"/>
    <mergeCell ref="D70:H70"/>
    <mergeCell ref="A70:C70"/>
    <mergeCell ref="A71:C71"/>
    <mergeCell ref="D71:H71"/>
    <mergeCell ref="A78:B78"/>
    <mergeCell ref="C78:H78"/>
    <mergeCell ref="A81:B81"/>
    <mergeCell ref="A69:C69"/>
    <mergeCell ref="D69:H69"/>
    <mergeCell ref="D68:H68"/>
    <mergeCell ref="A32:B32"/>
    <mergeCell ref="A72:C72"/>
    <mergeCell ref="A73:C73"/>
    <mergeCell ref="D72:H72"/>
    <mergeCell ref="D73:H73"/>
    <mergeCell ref="F36:H36"/>
    <mergeCell ref="F32:H32"/>
    <mergeCell ref="A33:B33"/>
    <mergeCell ref="C61:E61"/>
    <mergeCell ref="C53:E53"/>
    <mergeCell ref="A48:B48"/>
    <mergeCell ref="C48:E48"/>
    <mergeCell ref="A43:D43"/>
    <mergeCell ref="E43:H43"/>
    <mergeCell ref="E44:H44"/>
    <mergeCell ref="E45:H45"/>
    <mergeCell ref="E46:H46"/>
    <mergeCell ref="A44:D44"/>
    <mergeCell ref="A45:D45"/>
    <mergeCell ref="A46:D46"/>
    <mergeCell ref="A47:H47"/>
    <mergeCell ref="A583:H586"/>
    <mergeCell ref="A582:B582"/>
    <mergeCell ref="E582:F582"/>
    <mergeCell ref="C582:D582"/>
    <mergeCell ref="G582:H582"/>
    <mergeCell ref="A138:H138"/>
    <mergeCell ref="A136:E136"/>
    <mergeCell ref="F136:H136"/>
    <mergeCell ref="A137:E137"/>
    <mergeCell ref="F137:H137"/>
    <mergeCell ref="D145:E145"/>
    <mergeCell ref="F145:H145"/>
    <mergeCell ref="A152:B152"/>
    <mergeCell ref="A154:H154"/>
    <mergeCell ref="A145:B145"/>
    <mergeCell ref="A166:B166"/>
    <mergeCell ref="A577:H577"/>
    <mergeCell ref="A242:B242"/>
    <mergeCell ref="A243:B243"/>
    <mergeCell ref="A244:B244"/>
    <mergeCell ref="A245:B245"/>
    <mergeCell ref="A274:H274"/>
    <mergeCell ref="A275:B275"/>
    <mergeCell ref="A254:H254"/>
    <mergeCell ref="A19:B19"/>
    <mergeCell ref="C19:D19"/>
    <mergeCell ref="E19:F19"/>
    <mergeCell ref="G19:H19"/>
    <mergeCell ref="A29:D29"/>
    <mergeCell ref="E29:H29"/>
    <mergeCell ref="A42:D42"/>
    <mergeCell ref="E42:H42"/>
    <mergeCell ref="A30:D30"/>
    <mergeCell ref="E30:H30"/>
    <mergeCell ref="A37:H37"/>
    <mergeCell ref="A36:B36"/>
    <mergeCell ref="A31:D31"/>
    <mergeCell ref="E31:H31"/>
    <mergeCell ref="A40:H40"/>
    <mergeCell ref="A41:D41"/>
    <mergeCell ref="E41:H41"/>
    <mergeCell ref="F33:H33"/>
    <mergeCell ref="F34:H34"/>
    <mergeCell ref="C32:E32"/>
    <mergeCell ref="F35:H35"/>
    <mergeCell ref="C33:E33"/>
    <mergeCell ref="A34:B34"/>
    <mergeCell ref="C34:E34"/>
    <mergeCell ref="A1:H1"/>
    <mergeCell ref="A2:H2"/>
    <mergeCell ref="A3:D3"/>
    <mergeCell ref="E3:H3"/>
    <mergeCell ref="A4:D4"/>
    <mergeCell ref="A8:D8"/>
    <mergeCell ref="E8:H8"/>
    <mergeCell ref="A9:D9"/>
    <mergeCell ref="E9:H9"/>
    <mergeCell ref="E4:H4"/>
    <mergeCell ref="A11:D11"/>
    <mergeCell ref="E11:H11"/>
    <mergeCell ref="A5:D5"/>
    <mergeCell ref="E5:H5"/>
    <mergeCell ref="A6:D6"/>
    <mergeCell ref="E6:H6"/>
    <mergeCell ref="A7:D7"/>
    <mergeCell ref="E7:H7"/>
    <mergeCell ref="A17:B17"/>
    <mergeCell ref="A12:D12"/>
    <mergeCell ref="E12:H12"/>
    <mergeCell ref="A16:B16"/>
    <mergeCell ref="C16:H16"/>
    <mergeCell ref="C17:H17"/>
    <mergeCell ref="G15:H15"/>
    <mergeCell ref="G14:H14"/>
    <mergeCell ref="E13:F14"/>
    <mergeCell ref="A10:D10"/>
    <mergeCell ref="E10:H10"/>
    <mergeCell ref="A13:D15"/>
    <mergeCell ref="G13:H13"/>
    <mergeCell ref="E15:F15"/>
    <mergeCell ref="A18:B18"/>
    <mergeCell ref="C18:D18"/>
    <mergeCell ref="E18:F18"/>
    <mergeCell ref="G18:H18"/>
    <mergeCell ref="A26:D26"/>
    <mergeCell ref="A27:D27"/>
    <mergeCell ref="E27:H27"/>
    <mergeCell ref="E26:H26"/>
    <mergeCell ref="A28:D28"/>
    <mergeCell ref="E28:H28"/>
    <mergeCell ref="A25:D25"/>
    <mergeCell ref="E25:H25"/>
    <mergeCell ref="A20:B20"/>
    <mergeCell ref="C20:D20"/>
    <mergeCell ref="E20:F20"/>
    <mergeCell ref="G20:H20"/>
    <mergeCell ref="A21:B21"/>
    <mergeCell ref="C21:D21"/>
    <mergeCell ref="E21:F21"/>
    <mergeCell ref="G21:H21"/>
    <mergeCell ref="A22:D23"/>
    <mergeCell ref="E22:H23"/>
    <mergeCell ref="A24:D24"/>
    <mergeCell ref="E24:H24"/>
    <mergeCell ref="A581:H581"/>
    <mergeCell ref="A74:C74"/>
    <mergeCell ref="D74:H74"/>
    <mergeCell ref="A573:H573"/>
    <mergeCell ref="A574:H574"/>
    <mergeCell ref="A575:H575"/>
    <mergeCell ref="A576:H576"/>
    <mergeCell ref="A151:H151"/>
    <mergeCell ref="A156:B156"/>
    <mergeCell ref="D139:E139"/>
    <mergeCell ref="F139:H139"/>
    <mergeCell ref="A140:B140"/>
    <mergeCell ref="D140:E140"/>
    <mergeCell ref="A143:H143"/>
    <mergeCell ref="A127:E127"/>
    <mergeCell ref="A240:B240"/>
    <mergeCell ref="A241:B241"/>
    <mergeCell ref="F144:H144"/>
    <mergeCell ref="A139:B139"/>
    <mergeCell ref="A150:H150"/>
    <mergeCell ref="A144:B144"/>
    <mergeCell ref="A75:C75"/>
    <mergeCell ref="D75:H75"/>
    <mergeCell ref="A128:E128"/>
    <mergeCell ref="A578:H578"/>
    <mergeCell ref="A579:H579"/>
    <mergeCell ref="A580:H580"/>
    <mergeCell ref="G275:H275"/>
    <mergeCell ref="G236:H253"/>
    <mergeCell ref="G193:H205"/>
    <mergeCell ref="G179:H191"/>
    <mergeCell ref="A237:B237"/>
    <mergeCell ref="A238:B238"/>
    <mergeCell ref="A188:B188"/>
    <mergeCell ref="A189:B189"/>
    <mergeCell ref="A190:B190"/>
    <mergeCell ref="A263:B263"/>
    <mergeCell ref="A264:B264"/>
    <mergeCell ref="A265:B265"/>
    <mergeCell ref="A266:B266"/>
    <mergeCell ref="A239:B239"/>
    <mergeCell ref="A236:B236"/>
    <mergeCell ref="A201:B201"/>
    <mergeCell ref="A193:B193"/>
    <mergeCell ref="A194:B194"/>
    <mergeCell ref="A195:B195"/>
    <mergeCell ref="A255:B255"/>
    <mergeCell ref="G255:H273"/>
    <mergeCell ref="A234:H234"/>
    <mergeCell ref="A167:H167"/>
    <mergeCell ref="A169:B169"/>
    <mergeCell ref="A170:B170"/>
    <mergeCell ref="A171:B171"/>
    <mergeCell ref="A172:B172"/>
    <mergeCell ref="A173:B173"/>
    <mergeCell ref="A174:B174"/>
    <mergeCell ref="A175:B175"/>
    <mergeCell ref="A176:B176"/>
    <mergeCell ref="A229:B229"/>
    <mergeCell ref="A230:B230"/>
    <mergeCell ref="A182:B182"/>
    <mergeCell ref="A205:B205"/>
    <mergeCell ref="A231:B231"/>
    <mergeCell ref="A232:B232"/>
    <mergeCell ref="A178:H178"/>
    <mergeCell ref="A191:B191"/>
    <mergeCell ref="A213:B213"/>
    <mergeCell ref="A225:B225"/>
    <mergeCell ref="A226:B226"/>
    <mergeCell ref="A214:B214"/>
    <mergeCell ref="A215:B215"/>
    <mergeCell ref="A168:H168"/>
    <mergeCell ref="C38:H38"/>
    <mergeCell ref="A39:B39"/>
    <mergeCell ref="C39:H39"/>
    <mergeCell ref="A50:B50"/>
    <mergeCell ref="C62:E62"/>
    <mergeCell ref="G62:H62"/>
    <mergeCell ref="A62:B63"/>
    <mergeCell ref="C52:E52"/>
    <mergeCell ref="G52:H52"/>
    <mergeCell ref="C63:H63"/>
    <mergeCell ref="C50:E50"/>
    <mergeCell ref="G50:H50"/>
    <mergeCell ref="A52:B52"/>
    <mergeCell ref="A49:B49"/>
    <mergeCell ref="C49:H49"/>
    <mergeCell ref="A51:H51"/>
    <mergeCell ref="A60:H60"/>
    <mergeCell ref="A55:B56"/>
    <mergeCell ref="C55:E55"/>
    <mergeCell ref="G55:H55"/>
    <mergeCell ref="G48:H48"/>
    <mergeCell ref="G61:H61"/>
    <mergeCell ref="A61:B61"/>
    <mergeCell ref="A58:B58"/>
    <mergeCell ref="C56:H56"/>
    <mergeCell ref="A197:B197"/>
    <mergeCell ref="A130:E130"/>
    <mergeCell ref="F130:H130"/>
    <mergeCell ref="A131:E131"/>
    <mergeCell ref="D148:E148"/>
    <mergeCell ref="F148:H148"/>
    <mergeCell ref="A67:H67"/>
    <mergeCell ref="A68:C68"/>
    <mergeCell ref="A192:H192"/>
    <mergeCell ref="A183:B183"/>
    <mergeCell ref="A184:B184"/>
    <mergeCell ref="A177:B177"/>
    <mergeCell ref="A179:B179"/>
    <mergeCell ref="A180:B180"/>
    <mergeCell ref="A181:B181"/>
    <mergeCell ref="A157:B157"/>
    <mergeCell ref="A158:B158"/>
    <mergeCell ref="A159:B159"/>
    <mergeCell ref="G79:H80"/>
    <mergeCell ref="G95:H96"/>
    <mergeCell ref="F135:H135"/>
    <mergeCell ref="A155:H155"/>
    <mergeCell ref="A164:B164"/>
    <mergeCell ref="E79:F80"/>
    <mergeCell ref="A95:B96"/>
    <mergeCell ref="C95:D96"/>
    <mergeCell ref="E95:F96"/>
    <mergeCell ref="A198:B198"/>
    <mergeCell ref="A185:B185"/>
    <mergeCell ref="A186:B186"/>
    <mergeCell ref="A187:B187"/>
    <mergeCell ref="F131:H131"/>
    <mergeCell ref="A132:E132"/>
    <mergeCell ref="F132:H132"/>
    <mergeCell ref="F129:H129"/>
    <mergeCell ref="F126:H126"/>
    <mergeCell ref="A126:E126"/>
    <mergeCell ref="F127:H127"/>
    <mergeCell ref="A135:E135"/>
    <mergeCell ref="D144:E144"/>
    <mergeCell ref="G152:H152"/>
    <mergeCell ref="A165:B165"/>
    <mergeCell ref="E97:F97"/>
    <mergeCell ref="G97:H97"/>
    <mergeCell ref="A98:B98"/>
    <mergeCell ref="E81:F81"/>
    <mergeCell ref="G81:H81"/>
    <mergeCell ref="A148:B148"/>
    <mergeCell ref="A221:B221"/>
    <mergeCell ref="A222:B222"/>
    <mergeCell ref="A223:B223"/>
    <mergeCell ref="A224:B224"/>
    <mergeCell ref="A227:B227"/>
    <mergeCell ref="A228:B228"/>
    <mergeCell ref="A79:B80"/>
    <mergeCell ref="C79:D80"/>
    <mergeCell ref="A82:B82"/>
    <mergeCell ref="A162:B162"/>
    <mergeCell ref="A163:B163"/>
    <mergeCell ref="A196:B196"/>
    <mergeCell ref="A142:B142"/>
    <mergeCell ref="D142:E142"/>
    <mergeCell ref="A99:B99"/>
    <mergeCell ref="A100:B100"/>
    <mergeCell ref="A101:B101"/>
    <mergeCell ref="A102:B102"/>
    <mergeCell ref="A103:B103"/>
    <mergeCell ref="A104:B104"/>
    <mergeCell ref="A105:B105"/>
  </mergeCells>
  <dataValidations count="2">
    <dataValidation type="list" allowBlank="1" showInputMessage="1" showErrorMessage="1" sqref="F278" xr:uid="{00000000-0002-0000-0000-000000000000}">
      <formula1>".45,.50,.55,.60"</formula1>
    </dataValidation>
    <dataValidation type="list" allowBlank="1" showInputMessage="1" showErrorMessage="1" sqref="F277" xr:uid="{00000000-0002-0000-0000-000001000000}">
      <formula1>"Saleable area Loading :,Builder Saleable Area"</formula1>
    </dataValidation>
  </dataValidations>
  <hyperlinks>
    <hyperlink ref="C39" r:id="rId1" xr:uid="{00000000-0004-0000-0000-000000000000}"/>
    <hyperlink ref="I123" r:id="rId2" location="amenities" xr:uid="{00000000-0004-0000-0000-000001000000}"/>
  </hyperlinks>
  <printOptions horizontalCentered="1"/>
  <pageMargins left="0.39370078740157483" right="0.39370078740157483" top="0.78740157480314965" bottom="0.78740157480314965" header="0.19685039370078741" footer="0.19685039370078741"/>
  <pageSetup paperSize="2" fitToHeight="0" orientation="portrait" r:id="rId3"/>
  <headerFooter>
    <oddHeader>&amp;C&amp;G</oddHeader>
    <oddFooter>&amp;L&amp;"Times New Roman,Bold"&amp;12Ref No: &amp;F&amp;C&amp;G&amp;R&amp;"Times New Roman,Bold"&amp;12                                                        &amp;P</oddFooter>
  </headerFooter>
  <rowBreaks count="8" manualBreakCount="8">
    <brk id="59" max="16383" man="1"/>
    <brk id="75" max="16383" man="1"/>
    <brk id="142" max="7" man="1"/>
    <brk id="177" max="7" man="1"/>
    <brk id="586" max="16383" man="1"/>
    <brk id="625" max="16383" man="1"/>
    <brk id="668" max="16383" man="1"/>
    <brk id="711" max="16383" man="1"/>
  </rowBreaks>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36"/>
  <sheetViews>
    <sheetView topLeftCell="A19" workbookViewId="0">
      <selection activeCell="E18" sqref="E18"/>
    </sheetView>
  </sheetViews>
  <sheetFormatPr defaultRowHeight="15" x14ac:dyDescent="0.25"/>
  <cols>
    <col min="2" max="2" width="12.28515625" customWidth="1"/>
  </cols>
  <sheetData>
    <row r="2" spans="1:12" x14ac:dyDescent="0.25">
      <c r="B2" s="1" t="s">
        <v>74</v>
      </c>
      <c r="C2" s="243"/>
      <c r="D2" s="243"/>
    </row>
    <row r="3" spans="1:12" x14ac:dyDescent="0.25">
      <c r="D3" s="2"/>
      <c r="E3" s="2"/>
      <c r="F3" s="2"/>
      <c r="G3" s="2"/>
      <c r="H3" s="2"/>
      <c r="I3" s="2"/>
    </row>
    <row r="4" spans="1:12" x14ac:dyDescent="0.25">
      <c r="A4" s="1" t="s">
        <v>75</v>
      </c>
      <c r="B4" s="3" t="s">
        <v>76</v>
      </c>
      <c r="C4" s="244" t="s">
        <v>77</v>
      </c>
      <c r="D4" s="244"/>
      <c r="E4" s="244"/>
      <c r="F4" s="4"/>
      <c r="G4" s="244" t="s">
        <v>78</v>
      </c>
      <c r="H4" s="244"/>
      <c r="I4" s="244"/>
      <c r="J4" s="244" t="s">
        <v>79</v>
      </c>
      <c r="K4" s="244"/>
      <c r="L4" s="244"/>
    </row>
    <row r="5" spans="1:12" x14ac:dyDescent="0.25">
      <c r="A5" s="1">
        <v>202</v>
      </c>
      <c r="B5" s="3"/>
      <c r="C5" s="3" t="s">
        <v>80</v>
      </c>
      <c r="D5" s="3" t="s">
        <v>81</v>
      </c>
      <c r="E5" s="3" t="s">
        <v>56</v>
      </c>
      <c r="F5" s="3"/>
      <c r="G5" s="3" t="s">
        <v>80</v>
      </c>
      <c r="H5" s="3" t="s">
        <v>81</v>
      </c>
      <c r="I5" s="3" t="s">
        <v>56</v>
      </c>
      <c r="J5" s="3" t="s">
        <v>80</v>
      </c>
      <c r="K5" s="3" t="s">
        <v>81</v>
      </c>
      <c r="L5" s="3" t="s">
        <v>56</v>
      </c>
    </row>
    <row r="6" spans="1:12" x14ac:dyDescent="0.25">
      <c r="B6" s="5" t="s">
        <v>82</v>
      </c>
      <c r="C6" s="5"/>
      <c r="D6" s="5"/>
      <c r="E6" s="5">
        <f>C6*D6</f>
        <v>0</v>
      </c>
      <c r="F6" s="5" t="s">
        <v>83</v>
      </c>
      <c r="G6" s="5"/>
      <c r="H6" s="5"/>
      <c r="I6" s="5">
        <f>G6*H6</f>
        <v>0</v>
      </c>
      <c r="J6" s="5"/>
      <c r="K6" s="5"/>
      <c r="L6" s="5">
        <f>J6*K6</f>
        <v>0</v>
      </c>
    </row>
    <row r="7" spans="1:12" x14ac:dyDescent="0.25">
      <c r="B7" s="5"/>
      <c r="C7" s="5"/>
      <c r="D7" s="5"/>
      <c r="E7" s="5">
        <f t="shared" ref="E7:E33" si="0">C7*D7</f>
        <v>0</v>
      </c>
      <c r="F7" s="5" t="s">
        <v>84</v>
      </c>
      <c r="G7" s="5"/>
      <c r="H7" s="5"/>
      <c r="I7" s="5">
        <f t="shared" ref="I7:I29" si="1">G7*H7</f>
        <v>0</v>
      </c>
      <c r="J7" s="5"/>
      <c r="K7" s="5"/>
      <c r="L7" s="5">
        <f t="shared" ref="L7:L29" si="2">J7*K7</f>
        <v>0</v>
      </c>
    </row>
    <row r="8" spans="1:12" x14ac:dyDescent="0.25">
      <c r="B8" s="5"/>
      <c r="C8" s="5"/>
      <c r="D8" s="5"/>
      <c r="E8" s="5">
        <f t="shared" si="0"/>
        <v>0</v>
      </c>
      <c r="F8" s="5"/>
      <c r="G8" s="5"/>
      <c r="H8" s="5"/>
      <c r="I8" s="5">
        <f t="shared" si="1"/>
        <v>0</v>
      </c>
      <c r="J8" s="5"/>
      <c r="K8" s="5"/>
      <c r="L8" s="5">
        <f t="shared" si="2"/>
        <v>0</v>
      </c>
    </row>
    <row r="9" spans="1:12" x14ac:dyDescent="0.25">
      <c r="B9" s="5" t="s">
        <v>85</v>
      </c>
      <c r="C9" s="5"/>
      <c r="D9" s="5"/>
      <c r="E9" s="5">
        <f t="shared" si="0"/>
        <v>0</v>
      </c>
      <c r="F9" s="5" t="s">
        <v>83</v>
      </c>
      <c r="G9" s="5"/>
      <c r="H9" s="5"/>
      <c r="I9" s="5">
        <f t="shared" si="1"/>
        <v>0</v>
      </c>
      <c r="J9" s="5"/>
      <c r="K9" s="5"/>
      <c r="L9" s="5">
        <f t="shared" si="2"/>
        <v>0</v>
      </c>
    </row>
    <row r="10" spans="1:12" x14ac:dyDescent="0.25">
      <c r="B10" s="5"/>
      <c r="C10" s="5"/>
      <c r="D10" s="5"/>
      <c r="E10" s="5">
        <f t="shared" si="0"/>
        <v>0</v>
      </c>
      <c r="F10" s="5" t="s">
        <v>84</v>
      </c>
      <c r="G10" s="5"/>
      <c r="H10" s="5"/>
      <c r="I10" s="5">
        <f t="shared" si="1"/>
        <v>0</v>
      </c>
      <c r="J10" s="5"/>
      <c r="K10" s="5"/>
      <c r="L10" s="5">
        <f t="shared" si="2"/>
        <v>0</v>
      </c>
    </row>
    <row r="11" spans="1:12" x14ac:dyDescent="0.25">
      <c r="B11" s="5"/>
      <c r="C11" s="5"/>
      <c r="D11" s="5"/>
      <c r="E11" s="5">
        <f t="shared" si="0"/>
        <v>0</v>
      </c>
      <c r="F11" s="5"/>
      <c r="G11" s="5"/>
      <c r="H11" s="5"/>
      <c r="I11" s="5">
        <f t="shared" si="1"/>
        <v>0</v>
      </c>
      <c r="J11" s="5"/>
      <c r="K11" s="5"/>
      <c r="L11" s="5">
        <f t="shared" si="2"/>
        <v>0</v>
      </c>
    </row>
    <row r="12" spans="1:12" x14ac:dyDescent="0.25">
      <c r="B12" s="5"/>
      <c r="C12" s="5"/>
      <c r="D12" s="5"/>
      <c r="E12" s="5">
        <f t="shared" si="0"/>
        <v>0</v>
      </c>
      <c r="F12" s="5"/>
      <c r="G12" s="5"/>
      <c r="H12" s="5"/>
      <c r="I12" s="5">
        <f t="shared" si="1"/>
        <v>0</v>
      </c>
      <c r="J12" s="5"/>
      <c r="K12" s="5"/>
      <c r="L12" s="5">
        <f t="shared" si="2"/>
        <v>0</v>
      </c>
    </row>
    <row r="13" spans="1:12" x14ac:dyDescent="0.25">
      <c r="B13" s="5" t="s">
        <v>86</v>
      </c>
      <c r="C13" s="5"/>
      <c r="D13" s="5"/>
      <c r="E13" s="5">
        <f t="shared" si="0"/>
        <v>0</v>
      </c>
      <c r="F13" s="5" t="s">
        <v>83</v>
      </c>
      <c r="G13" s="5"/>
      <c r="H13" s="5"/>
      <c r="I13" s="5">
        <f t="shared" si="1"/>
        <v>0</v>
      </c>
      <c r="J13" s="5"/>
      <c r="K13" s="5"/>
      <c r="L13" s="5">
        <f t="shared" si="2"/>
        <v>0</v>
      </c>
    </row>
    <row r="14" spans="1:12" x14ac:dyDescent="0.25">
      <c r="B14" s="5"/>
      <c r="C14" s="5"/>
      <c r="D14" s="5"/>
      <c r="E14" s="5">
        <f t="shared" si="0"/>
        <v>0</v>
      </c>
      <c r="F14" s="5" t="s">
        <v>84</v>
      </c>
      <c r="G14" s="5"/>
      <c r="H14" s="5"/>
      <c r="I14" s="5">
        <f t="shared" si="1"/>
        <v>0</v>
      </c>
      <c r="J14" s="5"/>
      <c r="K14" s="5"/>
      <c r="L14" s="5">
        <f t="shared" si="2"/>
        <v>0</v>
      </c>
    </row>
    <row r="15" spans="1:12" x14ac:dyDescent="0.25">
      <c r="B15" s="5"/>
      <c r="C15" s="5"/>
      <c r="D15" s="5"/>
      <c r="E15" s="5">
        <f t="shared" si="0"/>
        <v>0</v>
      </c>
      <c r="F15" s="5"/>
      <c r="G15" s="5"/>
      <c r="H15" s="5"/>
      <c r="I15" s="5">
        <f t="shared" si="1"/>
        <v>0</v>
      </c>
      <c r="J15" s="5"/>
      <c r="K15" s="5"/>
      <c r="L15" s="5">
        <f t="shared" si="2"/>
        <v>0</v>
      </c>
    </row>
    <row r="16" spans="1:12" x14ac:dyDescent="0.25">
      <c r="B16" s="5"/>
      <c r="C16" s="5"/>
      <c r="D16" s="5"/>
      <c r="E16" s="5">
        <f t="shared" si="0"/>
        <v>0</v>
      </c>
      <c r="F16" s="5"/>
      <c r="G16" s="5"/>
      <c r="H16" s="5"/>
      <c r="I16" s="5">
        <f t="shared" si="1"/>
        <v>0</v>
      </c>
      <c r="J16" s="5"/>
      <c r="K16" s="5"/>
      <c r="L16" s="5">
        <f t="shared" si="2"/>
        <v>0</v>
      </c>
    </row>
    <row r="17" spans="2:12" x14ac:dyDescent="0.25">
      <c r="B17" s="5" t="s">
        <v>87</v>
      </c>
      <c r="C17" s="5"/>
      <c r="D17" s="5"/>
      <c r="E17" s="5">
        <f t="shared" si="0"/>
        <v>0</v>
      </c>
      <c r="F17" s="5" t="s">
        <v>83</v>
      </c>
      <c r="G17" s="5"/>
      <c r="H17" s="5"/>
      <c r="I17" s="5">
        <f t="shared" si="1"/>
        <v>0</v>
      </c>
      <c r="J17" s="5"/>
      <c r="K17" s="5"/>
      <c r="L17" s="5">
        <f t="shared" si="2"/>
        <v>0</v>
      </c>
    </row>
    <row r="18" spans="2:12" x14ac:dyDescent="0.25">
      <c r="B18" s="5"/>
      <c r="C18" s="5"/>
      <c r="D18" s="5"/>
      <c r="E18" s="5">
        <f t="shared" si="0"/>
        <v>0</v>
      </c>
      <c r="F18" s="5" t="s">
        <v>84</v>
      </c>
      <c r="G18" s="5"/>
      <c r="H18" s="5"/>
      <c r="I18" s="5">
        <f t="shared" si="1"/>
        <v>0</v>
      </c>
      <c r="J18" s="5"/>
      <c r="K18" s="5"/>
      <c r="L18" s="5">
        <f t="shared" si="2"/>
        <v>0</v>
      </c>
    </row>
    <row r="19" spans="2:12" x14ac:dyDescent="0.25">
      <c r="B19" s="5"/>
      <c r="C19" s="5"/>
      <c r="D19" s="5"/>
      <c r="E19" s="5">
        <f t="shared" si="0"/>
        <v>0</v>
      </c>
      <c r="F19" s="5"/>
      <c r="G19" s="5"/>
      <c r="H19" s="5"/>
      <c r="I19" s="5">
        <f t="shared" si="1"/>
        <v>0</v>
      </c>
      <c r="J19" s="5"/>
      <c r="K19" s="5"/>
      <c r="L19" s="5">
        <f t="shared" si="2"/>
        <v>0</v>
      </c>
    </row>
    <row r="20" spans="2:12" x14ac:dyDescent="0.25">
      <c r="B20" s="5" t="s">
        <v>87</v>
      </c>
      <c r="C20" s="5"/>
      <c r="D20" s="5"/>
      <c r="E20" s="5">
        <f t="shared" si="0"/>
        <v>0</v>
      </c>
      <c r="F20" s="5" t="s">
        <v>83</v>
      </c>
      <c r="G20" s="5"/>
      <c r="H20" s="5"/>
      <c r="I20" s="5">
        <f t="shared" si="1"/>
        <v>0</v>
      </c>
      <c r="J20" s="5"/>
      <c r="K20" s="5"/>
      <c r="L20" s="5">
        <f t="shared" si="2"/>
        <v>0</v>
      </c>
    </row>
    <row r="21" spans="2:12" x14ac:dyDescent="0.25">
      <c r="B21" s="5"/>
      <c r="C21" s="5"/>
      <c r="D21" s="5"/>
      <c r="E21" s="5">
        <f t="shared" si="0"/>
        <v>0</v>
      </c>
      <c r="F21" s="5" t="s">
        <v>84</v>
      </c>
      <c r="G21" s="5"/>
      <c r="H21" s="5"/>
      <c r="I21" s="5">
        <f t="shared" si="1"/>
        <v>0</v>
      </c>
      <c r="J21" s="5"/>
      <c r="K21" s="5"/>
      <c r="L21" s="5">
        <f t="shared" si="2"/>
        <v>0</v>
      </c>
    </row>
    <row r="22" spans="2:12" x14ac:dyDescent="0.25">
      <c r="B22" s="5"/>
      <c r="C22" s="5"/>
      <c r="D22" s="5"/>
      <c r="E22" s="5">
        <f t="shared" si="0"/>
        <v>0</v>
      </c>
      <c r="F22" s="5"/>
      <c r="G22" s="5"/>
      <c r="H22" s="5"/>
      <c r="I22" s="5">
        <f t="shared" si="1"/>
        <v>0</v>
      </c>
      <c r="J22" s="5"/>
      <c r="K22" s="5"/>
      <c r="L22" s="5">
        <f t="shared" si="2"/>
        <v>0</v>
      </c>
    </row>
    <row r="23" spans="2:12" x14ac:dyDescent="0.25">
      <c r="B23" s="5" t="s">
        <v>88</v>
      </c>
      <c r="C23" s="5"/>
      <c r="D23" s="5"/>
      <c r="E23" s="5">
        <f t="shared" si="0"/>
        <v>0</v>
      </c>
      <c r="F23" s="5" t="s">
        <v>89</v>
      </c>
      <c r="G23" s="5"/>
      <c r="H23" s="5"/>
      <c r="I23" s="5">
        <f t="shared" si="1"/>
        <v>0</v>
      </c>
      <c r="J23" s="5"/>
      <c r="K23" s="5"/>
      <c r="L23" s="5">
        <f t="shared" si="2"/>
        <v>0</v>
      </c>
    </row>
    <row r="24" spans="2:12" x14ac:dyDescent="0.25">
      <c r="B24" s="5" t="s">
        <v>90</v>
      </c>
      <c r="C24" s="5"/>
      <c r="D24" s="5"/>
      <c r="E24" s="5">
        <f t="shared" si="0"/>
        <v>0</v>
      </c>
      <c r="F24" s="5" t="s">
        <v>89</v>
      </c>
      <c r="G24" s="5"/>
      <c r="H24" s="5"/>
      <c r="I24" s="5">
        <f t="shared" si="1"/>
        <v>0</v>
      </c>
      <c r="J24" s="5"/>
      <c r="K24" s="5"/>
      <c r="L24" s="5">
        <f t="shared" si="2"/>
        <v>0</v>
      </c>
    </row>
    <row r="25" spans="2:12" x14ac:dyDescent="0.25">
      <c r="B25" s="5" t="s">
        <v>91</v>
      </c>
      <c r="C25" s="5"/>
      <c r="D25" s="5"/>
      <c r="E25" s="5">
        <f t="shared" si="0"/>
        <v>0</v>
      </c>
      <c r="F25" s="5" t="s">
        <v>89</v>
      </c>
      <c r="G25" s="5"/>
      <c r="H25" s="5"/>
      <c r="I25" s="5">
        <f t="shared" si="1"/>
        <v>0</v>
      </c>
      <c r="J25" s="5"/>
      <c r="K25" s="5"/>
      <c r="L25" s="5">
        <f t="shared" si="2"/>
        <v>0</v>
      </c>
    </row>
    <row r="26" spans="2:12" x14ac:dyDescent="0.25">
      <c r="B26" s="5"/>
      <c r="C26" s="5"/>
      <c r="D26" s="5"/>
      <c r="E26" s="5">
        <f t="shared" si="0"/>
        <v>0</v>
      </c>
      <c r="F26" s="5"/>
      <c r="G26" s="5"/>
      <c r="H26" s="5"/>
      <c r="I26" s="5">
        <f t="shared" si="1"/>
        <v>0</v>
      </c>
      <c r="J26" s="5"/>
      <c r="K26" s="5"/>
      <c r="L26" s="5">
        <f t="shared" si="2"/>
        <v>0</v>
      </c>
    </row>
    <row r="27" spans="2:12" x14ac:dyDescent="0.25">
      <c r="B27" s="5" t="s">
        <v>92</v>
      </c>
      <c r="C27" s="5"/>
      <c r="D27" s="5"/>
      <c r="E27" s="5">
        <f t="shared" si="0"/>
        <v>0</v>
      </c>
      <c r="F27" s="5"/>
      <c r="G27" s="5"/>
      <c r="H27" s="5"/>
      <c r="I27" s="5">
        <f t="shared" si="1"/>
        <v>0</v>
      </c>
      <c r="J27" s="5"/>
      <c r="K27" s="5"/>
      <c r="L27" s="5">
        <f t="shared" si="2"/>
        <v>0</v>
      </c>
    </row>
    <row r="28" spans="2:12" x14ac:dyDescent="0.25">
      <c r="B28" s="5" t="s">
        <v>93</v>
      </c>
      <c r="C28" s="5"/>
      <c r="D28" s="5"/>
      <c r="E28" s="5">
        <f t="shared" si="0"/>
        <v>0</v>
      </c>
      <c r="F28" s="5"/>
      <c r="G28" s="5"/>
      <c r="H28" s="5"/>
      <c r="I28" s="5">
        <f t="shared" si="1"/>
        <v>0</v>
      </c>
      <c r="J28" s="5"/>
      <c r="K28" s="5"/>
      <c r="L28" s="5">
        <f t="shared" si="2"/>
        <v>0</v>
      </c>
    </row>
    <row r="29" spans="2:12" x14ac:dyDescent="0.25">
      <c r="B29" s="5" t="s">
        <v>94</v>
      </c>
      <c r="C29" s="5"/>
      <c r="D29" s="5"/>
      <c r="E29" s="5">
        <f t="shared" si="0"/>
        <v>0</v>
      </c>
      <c r="F29" s="5"/>
      <c r="G29" s="5"/>
      <c r="H29" s="5"/>
      <c r="I29" s="5">
        <f t="shared" si="1"/>
        <v>0</v>
      </c>
      <c r="J29" s="5"/>
      <c r="K29" s="5"/>
      <c r="L29" s="5">
        <f t="shared" si="2"/>
        <v>0</v>
      </c>
    </row>
    <row r="30" spans="2:12" x14ac:dyDescent="0.25">
      <c r="B30" s="5" t="s">
        <v>95</v>
      </c>
      <c r="C30" s="5"/>
      <c r="D30" s="5"/>
      <c r="E30" s="5">
        <f t="shared" si="0"/>
        <v>0</v>
      </c>
      <c r="F30" s="5"/>
      <c r="G30" s="5"/>
      <c r="H30" s="5"/>
      <c r="I30" s="5">
        <f>G30*H30</f>
        <v>0</v>
      </c>
      <c r="J30" s="5"/>
      <c r="K30" s="5"/>
      <c r="L30" s="5">
        <f>J30*K30</f>
        <v>0</v>
      </c>
    </row>
    <row r="31" spans="2:12" x14ac:dyDescent="0.25">
      <c r="B31" s="5"/>
      <c r="C31" s="5"/>
      <c r="D31" s="5"/>
      <c r="E31" s="5">
        <f t="shared" si="0"/>
        <v>0</v>
      </c>
      <c r="F31" s="5"/>
      <c r="G31" s="5"/>
      <c r="H31" s="5"/>
      <c r="I31" s="5">
        <f>G31*H31</f>
        <v>0</v>
      </c>
      <c r="J31" s="5"/>
      <c r="K31" s="5"/>
      <c r="L31" s="5">
        <f>J31*K31</f>
        <v>0</v>
      </c>
    </row>
    <row r="32" spans="2:12" x14ac:dyDescent="0.25">
      <c r="B32" s="5"/>
      <c r="C32" s="5"/>
      <c r="D32" s="5"/>
      <c r="E32" s="5">
        <f t="shared" si="0"/>
        <v>0</v>
      </c>
      <c r="F32" s="5"/>
      <c r="G32" s="5"/>
      <c r="H32" s="5"/>
      <c r="I32" s="5">
        <f>G32*H32</f>
        <v>0</v>
      </c>
      <c r="J32" s="5"/>
      <c r="K32" s="5"/>
      <c r="L32" s="5">
        <f>J32*K32</f>
        <v>0</v>
      </c>
    </row>
    <row r="33" spans="2:12" x14ac:dyDescent="0.25">
      <c r="B33" s="5"/>
      <c r="C33" s="5"/>
      <c r="D33" s="5"/>
      <c r="E33" s="5">
        <f t="shared" si="0"/>
        <v>0</v>
      </c>
      <c r="F33" s="5"/>
      <c r="G33" s="5"/>
      <c r="H33" s="5"/>
      <c r="I33" s="5">
        <f>G33*H33</f>
        <v>0</v>
      </c>
      <c r="J33" s="5"/>
      <c r="K33" s="5"/>
      <c r="L33" s="5">
        <f>J33*K33</f>
        <v>0</v>
      </c>
    </row>
    <row r="34" spans="2:12" x14ac:dyDescent="0.25">
      <c r="B34" s="5" t="s">
        <v>57</v>
      </c>
      <c r="C34" s="5"/>
      <c r="D34" s="5">
        <f>E34*10.764</f>
        <v>0</v>
      </c>
      <c r="E34" s="5">
        <f>SUM(E6:E33)</f>
        <v>0</v>
      </c>
      <c r="F34" s="5"/>
      <c r="G34" s="5"/>
      <c r="H34" s="5">
        <f>I34*10.764</f>
        <v>0</v>
      </c>
      <c r="I34" s="5">
        <f>SUM(I6:I33)</f>
        <v>0</v>
      </c>
      <c r="J34" s="5"/>
      <c r="K34" s="5">
        <f>L34*10.764</f>
        <v>0</v>
      </c>
      <c r="L34" s="5">
        <f>SUM(L6:L33)</f>
        <v>0</v>
      </c>
    </row>
    <row r="36" spans="2:12" x14ac:dyDescent="0.25">
      <c r="D36">
        <f>D34+H34</f>
        <v>0</v>
      </c>
      <c r="E36">
        <f>E34+I34</f>
        <v>0</v>
      </c>
    </row>
  </sheetData>
  <mergeCells count="4">
    <mergeCell ref="C2:D2"/>
    <mergeCell ref="C4:E4"/>
    <mergeCell ref="G4:I4"/>
    <mergeCell ref="J4:L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4"/>
  <sheetViews>
    <sheetView zoomScale="85" zoomScaleNormal="85" workbookViewId="0">
      <selection activeCell="G5" sqref="G5"/>
    </sheetView>
  </sheetViews>
  <sheetFormatPr defaultColWidth="8.7109375" defaultRowHeight="15" x14ac:dyDescent="0.25"/>
  <cols>
    <col min="1" max="1" width="8.7109375" style="7"/>
    <col min="2" max="2" width="22.140625" style="7" customWidth="1"/>
    <col min="3" max="3" width="37" style="7" customWidth="1"/>
    <col min="4" max="5" width="11.42578125" style="7" customWidth="1"/>
    <col min="6" max="6" width="14" style="7" customWidth="1"/>
    <col min="7" max="7" width="20" style="7" customWidth="1"/>
    <col min="8" max="8" width="16.42578125" style="7" customWidth="1"/>
    <col min="9" max="9" width="8.7109375" style="7"/>
    <col min="10" max="10" width="9.85546875" style="7" bestFit="1" customWidth="1"/>
    <col min="11" max="16384" width="8.7109375" style="7"/>
  </cols>
  <sheetData>
    <row r="1" spans="1:10" ht="15" customHeight="1" x14ac:dyDescent="0.25"/>
    <row r="2" spans="1:10" ht="15" customHeight="1" x14ac:dyDescent="0.25">
      <c r="A2" s="8"/>
      <c r="B2" s="8"/>
      <c r="C2" s="8"/>
      <c r="D2" s="8"/>
      <c r="E2" s="8"/>
      <c r="F2" s="8"/>
      <c r="G2" s="8"/>
      <c r="H2" s="8"/>
    </row>
    <row r="3" spans="1:10" ht="15.75" customHeight="1" x14ac:dyDescent="0.25">
      <c r="A3" s="8"/>
      <c r="B3" s="26" t="s">
        <v>138</v>
      </c>
      <c r="C3" s="26"/>
      <c r="D3" s="26"/>
      <c r="E3" s="26"/>
      <c r="F3" s="26"/>
      <c r="G3" s="26"/>
      <c r="H3" s="26"/>
    </row>
    <row r="4" spans="1:10" x14ac:dyDescent="0.25">
      <c r="A4" s="8"/>
      <c r="B4" s="9" t="s">
        <v>139</v>
      </c>
      <c r="C4" s="9" t="s">
        <v>140</v>
      </c>
      <c r="D4" s="9" t="s">
        <v>75</v>
      </c>
      <c r="E4" s="9" t="s">
        <v>141</v>
      </c>
      <c r="F4" s="9" t="s">
        <v>145</v>
      </c>
      <c r="G4" s="9" t="s">
        <v>146</v>
      </c>
      <c r="H4" s="9" t="s">
        <v>142</v>
      </c>
    </row>
    <row r="5" spans="1:10" ht="15" customHeight="1" x14ac:dyDescent="0.25">
      <c r="A5" s="8"/>
      <c r="B5" s="21" t="s">
        <v>151</v>
      </c>
      <c r="C5" s="24"/>
      <c r="D5" s="25" t="s">
        <v>150</v>
      </c>
      <c r="E5" s="22">
        <v>5000</v>
      </c>
      <c r="F5" s="23">
        <v>6750</v>
      </c>
      <c r="G5" s="12">
        <f>H5/F5</f>
        <v>32592.592592592591</v>
      </c>
      <c r="H5" s="18">
        <v>220000000</v>
      </c>
      <c r="J5" s="20"/>
    </row>
    <row r="6" spans="1:10" x14ac:dyDescent="0.25">
      <c r="A6" s="8"/>
      <c r="B6" s="21" t="s">
        <v>151</v>
      </c>
      <c r="C6" s="24"/>
      <c r="D6" s="25" t="s">
        <v>150</v>
      </c>
      <c r="E6" s="22">
        <v>4800</v>
      </c>
      <c r="F6" s="23">
        <v>6800</v>
      </c>
      <c r="G6" s="12">
        <f t="shared" ref="G6:G12" si="0">H6/F6</f>
        <v>30882.352941176472</v>
      </c>
      <c r="H6" s="18">
        <v>210000000</v>
      </c>
      <c r="J6" s="20"/>
    </row>
    <row r="7" spans="1:10" ht="15" customHeight="1" x14ac:dyDescent="0.25">
      <c r="A7" s="8"/>
      <c r="B7" s="21" t="s">
        <v>151</v>
      </c>
      <c r="C7" s="24"/>
      <c r="D7" s="25" t="s">
        <v>152</v>
      </c>
      <c r="E7" s="22">
        <v>2350</v>
      </c>
      <c r="F7" s="23">
        <v>3350</v>
      </c>
      <c r="G7" s="12">
        <f t="shared" si="0"/>
        <v>27611.940298507463</v>
      </c>
      <c r="H7" s="18">
        <v>92500000</v>
      </c>
      <c r="J7" s="20"/>
    </row>
    <row r="8" spans="1:10" ht="15" customHeight="1" x14ac:dyDescent="0.25">
      <c r="A8" s="8"/>
      <c r="B8" s="21" t="s">
        <v>153</v>
      </c>
      <c r="C8" s="24"/>
      <c r="D8" s="25" t="s">
        <v>152</v>
      </c>
      <c r="E8" s="22">
        <v>2400</v>
      </c>
      <c r="F8" s="23">
        <f>E8*1.6</f>
        <v>3840</v>
      </c>
      <c r="G8" s="12">
        <f t="shared" si="0"/>
        <v>24088.541666666668</v>
      </c>
      <c r="H8" s="18">
        <v>92500000</v>
      </c>
      <c r="J8" s="20"/>
    </row>
    <row r="9" spans="1:10" x14ac:dyDescent="0.25">
      <c r="A9" s="8"/>
      <c r="B9" s="21" t="s">
        <v>148</v>
      </c>
      <c r="C9" s="24"/>
      <c r="D9" s="27" t="s">
        <v>154</v>
      </c>
      <c r="E9" s="22">
        <v>2400</v>
      </c>
      <c r="F9" s="23">
        <f t="shared" ref="F9:F10" si="1">E9*1.45</f>
        <v>3480</v>
      </c>
      <c r="G9" s="12">
        <f t="shared" si="0"/>
        <v>25833.333333333332</v>
      </c>
      <c r="H9" s="18">
        <v>89900000</v>
      </c>
      <c r="J9" s="20"/>
    </row>
    <row r="10" spans="1:10" ht="15" customHeight="1" x14ac:dyDescent="0.25">
      <c r="A10" s="8"/>
      <c r="B10" s="21" t="s">
        <v>148</v>
      </c>
      <c r="C10" s="24"/>
      <c r="D10" s="27" t="s">
        <v>152</v>
      </c>
      <c r="E10" s="22">
        <v>2500</v>
      </c>
      <c r="F10" s="23">
        <f t="shared" si="1"/>
        <v>3625</v>
      </c>
      <c r="G10" s="12">
        <f t="shared" si="0"/>
        <v>29655.172413793105</v>
      </c>
      <c r="H10" s="18">
        <v>107500000</v>
      </c>
      <c r="J10" s="20"/>
    </row>
    <row r="11" spans="1:10" x14ac:dyDescent="0.25">
      <c r="A11" s="8"/>
      <c r="B11" s="21" t="s">
        <v>148</v>
      </c>
      <c r="C11" s="24"/>
      <c r="D11" s="27" t="s">
        <v>155</v>
      </c>
      <c r="E11" s="22">
        <v>5000</v>
      </c>
      <c r="F11" s="23">
        <f t="shared" ref="F11:F12" si="2">E11*1.45</f>
        <v>7250</v>
      </c>
      <c r="G11" s="12">
        <f t="shared" si="0"/>
        <v>22758.620689655174</v>
      </c>
      <c r="H11" s="18">
        <v>165000000</v>
      </c>
      <c r="J11" s="20"/>
    </row>
    <row r="12" spans="1:10" x14ac:dyDescent="0.25">
      <c r="A12" s="8"/>
      <c r="B12" s="21" t="s">
        <v>148</v>
      </c>
      <c r="C12" s="24"/>
      <c r="D12" s="27" t="s">
        <v>156</v>
      </c>
      <c r="E12" s="22">
        <v>4800</v>
      </c>
      <c r="F12" s="23">
        <f t="shared" si="2"/>
        <v>6960</v>
      </c>
      <c r="G12" s="12">
        <f t="shared" si="0"/>
        <v>28735.632183908045</v>
      </c>
      <c r="H12" s="18">
        <v>200000000</v>
      </c>
      <c r="J12" s="20"/>
    </row>
    <row r="13" spans="1:10" ht="15" customHeight="1" x14ac:dyDescent="0.25">
      <c r="A13" s="8"/>
      <c r="B13" s="13" t="s">
        <v>143</v>
      </c>
      <c r="C13" s="11"/>
      <c r="D13" s="11"/>
      <c r="E13" s="22">
        <v>0</v>
      </c>
      <c r="F13" s="12">
        <f>E13*1.5</f>
        <v>0</v>
      </c>
      <c r="G13" s="14">
        <f>AVERAGE(G5:G12)</f>
        <v>27769.773264954103</v>
      </c>
      <c r="H13" s="11"/>
      <c r="J13" s="20"/>
    </row>
    <row r="14" spans="1:10" ht="15" customHeight="1" x14ac:dyDescent="0.25">
      <c r="B14" s="13" t="s">
        <v>144</v>
      </c>
      <c r="C14" s="16"/>
      <c r="D14" s="16"/>
      <c r="E14" s="16"/>
      <c r="F14" s="15"/>
      <c r="G14" s="13">
        <v>28000</v>
      </c>
      <c r="H14" s="13"/>
      <c r="I14" s="10"/>
      <c r="J14" s="20"/>
    </row>
    <row r="15" spans="1:10" ht="15" customHeight="1" x14ac:dyDescent="0.25">
      <c r="G15" s="17"/>
    </row>
    <row r="16" spans="1:10" x14ac:dyDescent="0.25">
      <c r="E16" s="17"/>
      <c r="G16" s="17"/>
    </row>
    <row r="17" spans="2:7" x14ac:dyDescent="0.25">
      <c r="E17" s="17"/>
      <c r="G17" s="17"/>
    </row>
    <row r="18" spans="2:7" x14ac:dyDescent="0.25">
      <c r="E18" s="17"/>
      <c r="G18" s="17"/>
    </row>
    <row r="19" spans="2:7" x14ac:dyDescent="0.25">
      <c r="E19" s="17"/>
      <c r="G19" s="17"/>
    </row>
    <row r="20" spans="2:7" x14ac:dyDescent="0.25">
      <c r="E20" s="17"/>
      <c r="G20" s="17"/>
    </row>
    <row r="21" spans="2:7" x14ac:dyDescent="0.25">
      <c r="E21" s="17"/>
      <c r="G21" s="17"/>
    </row>
    <row r="22" spans="2:7" x14ac:dyDescent="0.25">
      <c r="G22" s="17"/>
    </row>
    <row r="23" spans="2:7" x14ac:dyDescent="0.25">
      <c r="G23" s="17"/>
    </row>
    <row r="24" spans="2:7" x14ac:dyDescent="0.25">
      <c r="B24" s="19"/>
      <c r="G24" s="17"/>
    </row>
  </sheetData>
  <sortState xmlns:xlrd2="http://schemas.microsoft.com/office/spreadsheetml/2017/richdata2" ref="B19:C25">
    <sortCondition ref="B19"/>
  </sortState>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
  <sheetViews>
    <sheetView workbookViewId="0">
      <selection activeCell="B10" sqref="B10"/>
    </sheetView>
  </sheetViews>
  <sheetFormatPr defaultRowHeight="15" x14ac:dyDescent="0.25"/>
  <cols>
    <col min="1" max="1" width="11.42578125" customWidth="1"/>
    <col min="2" max="2" width="12" customWidth="1"/>
    <col min="257" max="257" width="11.42578125" customWidth="1"/>
    <col min="258" max="258" width="12" customWidth="1"/>
    <col min="513" max="513" width="11.42578125" customWidth="1"/>
    <col min="514" max="514" width="12" customWidth="1"/>
    <col min="769" max="769" width="11.42578125" customWidth="1"/>
    <col min="770" max="770" width="12" customWidth="1"/>
    <col min="1025" max="1025" width="11.42578125" customWidth="1"/>
    <col min="1026" max="1026" width="12" customWidth="1"/>
    <col min="1281" max="1281" width="11.42578125" customWidth="1"/>
    <col min="1282" max="1282" width="12" customWidth="1"/>
    <col min="1537" max="1537" width="11.42578125" customWidth="1"/>
    <col min="1538" max="1538" width="12" customWidth="1"/>
    <col min="1793" max="1793" width="11.42578125" customWidth="1"/>
    <col min="1794" max="1794" width="12" customWidth="1"/>
    <col min="2049" max="2049" width="11.42578125" customWidth="1"/>
    <col min="2050" max="2050" width="12" customWidth="1"/>
    <col min="2305" max="2305" width="11.42578125" customWidth="1"/>
    <col min="2306" max="2306" width="12" customWidth="1"/>
    <col min="2561" max="2561" width="11.42578125" customWidth="1"/>
    <col min="2562" max="2562" width="12" customWidth="1"/>
    <col min="2817" max="2817" width="11.42578125" customWidth="1"/>
    <col min="2818" max="2818" width="12" customWidth="1"/>
    <col min="3073" max="3073" width="11.42578125" customWidth="1"/>
    <col min="3074" max="3074" width="12" customWidth="1"/>
    <col min="3329" max="3329" width="11.42578125" customWidth="1"/>
    <col min="3330" max="3330" width="12" customWidth="1"/>
    <col min="3585" max="3585" width="11.42578125" customWidth="1"/>
    <col min="3586" max="3586" width="12" customWidth="1"/>
    <col min="3841" max="3841" width="11.42578125" customWidth="1"/>
    <col min="3842" max="3842" width="12" customWidth="1"/>
    <col min="4097" max="4097" width="11.42578125" customWidth="1"/>
    <col min="4098" max="4098" width="12" customWidth="1"/>
    <col min="4353" max="4353" width="11.42578125" customWidth="1"/>
    <col min="4354" max="4354" width="12" customWidth="1"/>
    <col min="4609" max="4609" width="11.42578125" customWidth="1"/>
    <col min="4610" max="4610" width="12" customWidth="1"/>
    <col min="4865" max="4865" width="11.42578125" customWidth="1"/>
    <col min="4866" max="4866" width="12" customWidth="1"/>
    <col min="5121" max="5121" width="11.42578125" customWidth="1"/>
    <col min="5122" max="5122" width="12" customWidth="1"/>
    <col min="5377" max="5377" width="11.42578125" customWidth="1"/>
    <col min="5378" max="5378" width="12" customWidth="1"/>
    <col min="5633" max="5633" width="11.42578125" customWidth="1"/>
    <col min="5634" max="5634" width="12" customWidth="1"/>
    <col min="5889" max="5889" width="11.42578125" customWidth="1"/>
    <col min="5890" max="5890" width="12" customWidth="1"/>
    <col min="6145" max="6145" width="11.42578125" customWidth="1"/>
    <col min="6146" max="6146" width="12" customWidth="1"/>
    <col min="6401" max="6401" width="11.42578125" customWidth="1"/>
    <col min="6402" max="6402" width="12" customWidth="1"/>
    <col min="6657" max="6657" width="11.42578125" customWidth="1"/>
    <col min="6658" max="6658" width="12" customWidth="1"/>
    <col min="6913" max="6913" width="11.42578125" customWidth="1"/>
    <col min="6914" max="6914" width="12" customWidth="1"/>
    <col min="7169" max="7169" width="11.42578125" customWidth="1"/>
    <col min="7170" max="7170" width="12" customWidth="1"/>
    <col min="7425" max="7425" width="11.42578125" customWidth="1"/>
    <col min="7426" max="7426" width="12" customWidth="1"/>
    <col min="7681" max="7681" width="11.42578125" customWidth="1"/>
    <col min="7682" max="7682" width="12" customWidth="1"/>
    <col min="7937" max="7937" width="11.42578125" customWidth="1"/>
    <col min="7938" max="7938" width="12" customWidth="1"/>
    <col min="8193" max="8193" width="11.42578125" customWidth="1"/>
    <col min="8194" max="8194" width="12" customWidth="1"/>
    <col min="8449" max="8449" width="11.42578125" customWidth="1"/>
    <col min="8450" max="8450" width="12" customWidth="1"/>
    <col min="8705" max="8705" width="11.42578125" customWidth="1"/>
    <col min="8706" max="8706" width="12" customWidth="1"/>
    <col min="8961" max="8961" width="11.42578125" customWidth="1"/>
    <col min="8962" max="8962" width="12" customWidth="1"/>
    <col min="9217" max="9217" width="11.42578125" customWidth="1"/>
    <col min="9218" max="9218" width="12" customWidth="1"/>
    <col min="9473" max="9473" width="11.42578125" customWidth="1"/>
    <col min="9474" max="9474" width="12" customWidth="1"/>
    <col min="9729" max="9729" width="11.42578125" customWidth="1"/>
    <col min="9730" max="9730" width="12" customWidth="1"/>
    <col min="9985" max="9985" width="11.42578125" customWidth="1"/>
    <col min="9986" max="9986" width="12" customWidth="1"/>
    <col min="10241" max="10241" width="11.42578125" customWidth="1"/>
    <col min="10242" max="10242" width="12" customWidth="1"/>
    <col min="10497" max="10497" width="11.42578125" customWidth="1"/>
    <col min="10498" max="10498" width="12" customWidth="1"/>
    <col min="10753" max="10753" width="11.42578125" customWidth="1"/>
    <col min="10754" max="10754" width="12" customWidth="1"/>
    <col min="11009" max="11009" width="11.42578125" customWidth="1"/>
    <col min="11010" max="11010" width="12" customWidth="1"/>
    <col min="11265" max="11265" width="11.42578125" customWidth="1"/>
    <col min="11266" max="11266" width="12" customWidth="1"/>
    <col min="11521" max="11521" width="11.42578125" customWidth="1"/>
    <col min="11522" max="11522" width="12" customWidth="1"/>
    <col min="11777" max="11777" width="11.42578125" customWidth="1"/>
    <col min="11778" max="11778" width="12" customWidth="1"/>
    <col min="12033" max="12033" width="11.42578125" customWidth="1"/>
    <col min="12034" max="12034" width="12" customWidth="1"/>
    <col min="12289" max="12289" width="11.42578125" customWidth="1"/>
    <col min="12290" max="12290" width="12" customWidth="1"/>
    <col min="12545" max="12545" width="11.42578125" customWidth="1"/>
    <col min="12546" max="12546" width="12" customWidth="1"/>
    <col min="12801" max="12801" width="11.42578125" customWidth="1"/>
    <col min="12802" max="12802" width="12" customWidth="1"/>
    <col min="13057" max="13057" width="11.42578125" customWidth="1"/>
    <col min="13058" max="13058" width="12" customWidth="1"/>
    <col min="13313" max="13313" width="11.42578125" customWidth="1"/>
    <col min="13314" max="13314" width="12" customWidth="1"/>
    <col min="13569" max="13569" width="11.42578125" customWidth="1"/>
    <col min="13570" max="13570" width="12" customWidth="1"/>
    <col min="13825" max="13825" width="11.42578125" customWidth="1"/>
    <col min="13826" max="13826" width="12" customWidth="1"/>
    <col min="14081" max="14081" width="11.42578125" customWidth="1"/>
    <col min="14082" max="14082" width="12" customWidth="1"/>
    <col min="14337" max="14337" width="11.42578125" customWidth="1"/>
    <col min="14338" max="14338" width="12" customWidth="1"/>
    <col min="14593" max="14593" width="11.42578125" customWidth="1"/>
    <col min="14594" max="14594" width="12" customWidth="1"/>
    <col min="14849" max="14849" width="11.42578125" customWidth="1"/>
    <col min="14850" max="14850" width="12" customWidth="1"/>
    <col min="15105" max="15105" width="11.42578125" customWidth="1"/>
    <col min="15106" max="15106" width="12" customWidth="1"/>
    <col min="15361" max="15361" width="11.42578125" customWidth="1"/>
    <col min="15362" max="15362" width="12" customWidth="1"/>
    <col min="15617" max="15617" width="11.42578125" customWidth="1"/>
    <col min="15618" max="15618" width="12" customWidth="1"/>
    <col min="15873" max="15873" width="11.42578125" customWidth="1"/>
    <col min="15874" max="15874" width="12" customWidth="1"/>
    <col min="16129" max="16129" width="11.42578125" customWidth="1"/>
    <col min="16130" max="16130" width="12" customWidth="1"/>
  </cols>
  <sheetData>
    <row r="1" spans="1:3" x14ac:dyDescent="0.25">
      <c r="A1" t="s">
        <v>149</v>
      </c>
      <c r="B1" t="s">
        <v>147</v>
      </c>
      <c r="C1" t="s">
        <v>193</v>
      </c>
    </row>
    <row r="3" spans="1:3" x14ac:dyDescent="0.25">
      <c r="B3" t="s">
        <v>199</v>
      </c>
    </row>
    <row r="4" spans="1:3" x14ac:dyDescent="0.25">
      <c r="B4" t="s">
        <v>200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Flat detail</vt:lpstr>
      <vt:lpstr>valuation</vt:lpstr>
      <vt:lpstr>Note</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madhurapanchal77@gmail.com</cp:lastModifiedBy>
  <cp:lastPrinted>2025-08-12T05:27:45Z</cp:lastPrinted>
  <dcterms:created xsi:type="dcterms:W3CDTF">2019-07-16T09:29:46Z</dcterms:created>
  <dcterms:modified xsi:type="dcterms:W3CDTF">2025-08-12T05:29:33Z</dcterms:modified>
</cp:coreProperties>
</file>