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24226"/>
  <mc:AlternateContent xmlns:mc="http://schemas.openxmlformats.org/markup-compatibility/2006">
    <mc:Choice Requires="x15">
      <x15ac:absPath xmlns:x15ac="http://schemas.microsoft.com/office/spreadsheetml/2010/11/ac" url="D:\VSJCV\Making\AXIS\2025-26\Axis\APF Dump\Aug 2025\20-08-2025\Axis Sanpada\"/>
    </mc:Choice>
  </mc:AlternateContent>
  <bookViews>
    <workbookView xWindow="0" yWindow="0" windowWidth="19200" windowHeight="6640" tabRatio="853"/>
  </bookViews>
  <sheets>
    <sheet name="Sheet1" sheetId="1" r:id="rId1"/>
    <sheet name="C%" sheetId="25" r:id="rId2"/>
    <sheet name="pLOT aREA" sheetId="24" r:id="rId3"/>
    <sheet name="Wing A" sheetId="11" r:id="rId4"/>
    <sheet name="Wing B" sheetId="12" r:id="rId5"/>
    <sheet name="Wing C" sheetId="13" r:id="rId6"/>
    <sheet name="Sheet2" sheetId="26" r:id="rId7"/>
    <sheet name="Sheet3" sheetId="27" r:id="rId8"/>
  </sheets>
  <definedNames>
    <definedName name="_xlnm._FilterDatabase" localSheetId="1" hidden="1">'C%'!$A$1:$R$148</definedName>
    <definedName name="_xlnm._FilterDatabase" localSheetId="0" hidden="1">Sheet1!$A$207:$Q$666</definedName>
    <definedName name="_xlnm.Print_Area" localSheetId="0">Sheet1!$A$1:$J$708</definedName>
    <definedName name="_xlnm.Print_Area" localSheetId="6">Sheet2!$A$1:$K$46</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P51" i="25" l="1"/>
  <c r="R51" i="25" s="1"/>
  <c r="P146" i="25" l="1"/>
  <c r="P58" i="25"/>
  <c r="E524" i="1" l="1"/>
  <c r="F427" i="1" l="1"/>
  <c r="D427" i="1"/>
  <c r="C427" i="1"/>
  <c r="B427" i="1"/>
  <c r="Q80" i="25"/>
  <c r="P80" i="25"/>
  <c r="R80" i="25" s="1"/>
  <c r="H121" i="1"/>
  <c r="G427" i="1" l="1"/>
  <c r="L427" i="1" s="1"/>
  <c r="F453" i="1"/>
  <c r="C453" i="1"/>
  <c r="B453" i="1"/>
  <c r="G157" i="1"/>
  <c r="G453" i="1" l="1"/>
  <c r="L453" i="1" s="1"/>
  <c r="E569" i="1"/>
  <c r="Q116" i="25"/>
  <c r="P116" i="25"/>
  <c r="R116" i="25" s="1"/>
  <c r="Q146" i="25" l="1"/>
  <c r="R146" i="25"/>
  <c r="E618" i="1"/>
  <c r="C475" i="1" l="1"/>
  <c r="G475" i="1" s="1"/>
  <c r="L475" i="1" s="1"/>
  <c r="F475" i="1"/>
  <c r="B475" i="1"/>
  <c r="G187" i="1"/>
  <c r="G184" i="1"/>
  <c r="H187" i="1"/>
  <c r="P122" i="25" l="1"/>
  <c r="Q11" i="25" l="1"/>
  <c r="P11" i="25"/>
  <c r="R11" i="25" s="1"/>
  <c r="B217" i="1" s="1"/>
  <c r="C371" i="1"/>
  <c r="D371" i="1"/>
  <c r="F371" i="1"/>
  <c r="B371" i="1"/>
  <c r="G52" i="1"/>
  <c r="K43" i="1"/>
  <c r="G371" i="1" l="1"/>
  <c r="L371" i="1" s="1"/>
  <c r="F433" i="1"/>
  <c r="D433" i="1"/>
  <c r="C433" i="1"/>
  <c r="B433" i="1"/>
  <c r="P90" i="25"/>
  <c r="R90" i="25" s="1"/>
  <c r="Q90" i="25"/>
  <c r="G131" i="1"/>
  <c r="H131" i="1"/>
  <c r="G433" i="1" l="1"/>
  <c r="C399" i="1"/>
  <c r="D399" i="1"/>
  <c r="F399" i="1"/>
  <c r="B399" i="1"/>
  <c r="P45" i="25"/>
  <c r="P43" i="25"/>
  <c r="R43" i="25" s="1"/>
  <c r="B249" i="1" s="1"/>
  <c r="Q43" i="25"/>
  <c r="G399" i="1" l="1"/>
  <c r="F3" i="1"/>
  <c r="Q135" i="25" l="1"/>
  <c r="P135" i="25"/>
  <c r="R135" i="25" s="1"/>
  <c r="F467" i="1" l="1"/>
  <c r="D467" i="1"/>
  <c r="C467" i="1"/>
  <c r="F457" i="1"/>
  <c r="B467" i="1"/>
  <c r="G467" i="1" l="1"/>
  <c r="L467" i="1" s="1"/>
  <c r="B469" i="1"/>
  <c r="B465" i="1"/>
  <c r="I202" i="1"/>
  <c r="P35" i="25" l="1"/>
  <c r="R35" i="25" s="1"/>
  <c r="Q35" i="25"/>
  <c r="F391" i="1" l="1"/>
  <c r="C391" i="1"/>
  <c r="D391" i="1"/>
  <c r="B391" i="1"/>
  <c r="B389" i="1"/>
  <c r="T394" i="1"/>
  <c r="G391" i="1" l="1"/>
  <c r="P61" i="25"/>
  <c r="R61" i="25" s="1"/>
  <c r="B267" i="1" s="1"/>
  <c r="Q61" i="25"/>
  <c r="I267" i="1" s="1"/>
  <c r="D409" i="1"/>
  <c r="F409" i="1"/>
  <c r="C409" i="1"/>
  <c r="B409" i="1"/>
  <c r="F419" i="1"/>
  <c r="D419" i="1"/>
  <c r="C419" i="1"/>
  <c r="D383" i="1"/>
  <c r="C383" i="1"/>
  <c r="F383" i="1"/>
  <c r="B383" i="1"/>
  <c r="B419" i="1"/>
  <c r="Q75" i="25"/>
  <c r="P75" i="25"/>
  <c r="R75" i="25" s="1"/>
  <c r="Q29" i="25"/>
  <c r="P29" i="25"/>
  <c r="R29" i="25" s="1"/>
  <c r="C381" i="1"/>
  <c r="G381" i="1" s="1"/>
  <c r="L381" i="1" s="1"/>
  <c r="B403" i="1"/>
  <c r="B381" i="1"/>
  <c r="F381" i="1"/>
  <c r="D403" i="1"/>
  <c r="C403" i="1"/>
  <c r="K403" i="1"/>
  <c r="F403" i="1"/>
  <c r="Q27" i="25"/>
  <c r="P27" i="25"/>
  <c r="R27" i="25" s="1"/>
  <c r="Q51" i="25"/>
  <c r="B257" i="1"/>
  <c r="G92" i="1"/>
  <c r="G409" i="1" l="1"/>
  <c r="L409" i="1" s="1"/>
  <c r="G267" i="1"/>
  <c r="G383" i="1"/>
  <c r="G419" i="1"/>
  <c r="L419" i="1" s="1"/>
  <c r="G403" i="1"/>
  <c r="F439" i="1"/>
  <c r="D439" i="1"/>
  <c r="C439" i="1"/>
  <c r="B439" i="1"/>
  <c r="Q101" i="25"/>
  <c r="P101" i="25"/>
  <c r="R101" i="25" s="1"/>
  <c r="G142" i="1"/>
  <c r="G439" i="1" l="1"/>
  <c r="K439" i="1" s="1"/>
  <c r="Q147" i="25"/>
  <c r="P147" i="25"/>
  <c r="R147" i="25" s="1"/>
  <c r="F477" i="1"/>
  <c r="D477" i="1"/>
  <c r="C477" i="1"/>
  <c r="B477" i="1"/>
  <c r="G477" i="1" l="1"/>
  <c r="L477" i="1" s="1"/>
  <c r="Q106" i="25"/>
  <c r="P106" i="25"/>
  <c r="R106" i="25" s="1"/>
  <c r="B312" i="1" s="1"/>
  <c r="Q66" i="25"/>
  <c r="P66" i="25"/>
  <c r="R66" i="25" s="1"/>
  <c r="Q31" i="25" l="1"/>
  <c r="P31" i="25"/>
  <c r="R31" i="25" s="1"/>
  <c r="D445" i="1"/>
  <c r="C445" i="1"/>
  <c r="F445" i="1"/>
  <c r="B445" i="1"/>
  <c r="D413" i="1"/>
  <c r="C413" i="1"/>
  <c r="F413" i="1"/>
  <c r="B413" i="1"/>
  <c r="F415" i="1"/>
  <c r="D415" i="1"/>
  <c r="C415" i="1"/>
  <c r="B415" i="1"/>
  <c r="D387" i="1"/>
  <c r="C387" i="1"/>
  <c r="F387" i="1"/>
  <c r="B387" i="1"/>
  <c r="G387" i="1" l="1"/>
  <c r="K387" i="1" s="1"/>
  <c r="G415" i="1"/>
  <c r="G445" i="1"/>
  <c r="Q108" i="25"/>
  <c r="P108" i="25"/>
  <c r="R108" i="25" s="1"/>
  <c r="L445" i="1" l="1"/>
  <c r="K445" i="1"/>
  <c r="L415" i="1"/>
  <c r="K415" i="1"/>
  <c r="F447" i="1"/>
  <c r="D447" i="1"/>
  <c r="C447" i="1"/>
  <c r="B447" i="1"/>
  <c r="G447" i="1" l="1"/>
  <c r="L447" i="1" s="1"/>
  <c r="Q34" i="25"/>
  <c r="P34" i="25"/>
  <c r="R34" i="25" s="1"/>
  <c r="D389" i="1"/>
  <c r="F389" i="1"/>
  <c r="C389" i="1"/>
  <c r="G389" i="1" l="1"/>
  <c r="Q128" i="25"/>
  <c r="P128" i="25"/>
  <c r="R128" i="25" s="1"/>
  <c r="Q126" i="25" l="1"/>
  <c r="P126" i="25"/>
  <c r="R126" i="25" s="1"/>
  <c r="Q77" i="25"/>
  <c r="P77" i="25"/>
  <c r="R77" i="25" s="1"/>
  <c r="Q76" i="25"/>
  <c r="P76" i="25"/>
  <c r="R76" i="25" s="1"/>
  <c r="F463" i="1" l="1"/>
  <c r="D463" i="1"/>
  <c r="C463" i="1"/>
  <c r="B463" i="1"/>
  <c r="D423" i="1"/>
  <c r="C423" i="1"/>
  <c r="F423" i="1"/>
  <c r="B423" i="1"/>
  <c r="D421" i="1"/>
  <c r="C421" i="1"/>
  <c r="F421" i="1"/>
  <c r="B421" i="1"/>
  <c r="B461" i="1"/>
  <c r="F461" i="1"/>
  <c r="D461" i="1"/>
  <c r="C461" i="1"/>
  <c r="F465" i="1"/>
  <c r="D465" i="1"/>
  <c r="C465" i="1"/>
  <c r="G465" i="1" s="1"/>
  <c r="G461" i="1" l="1"/>
  <c r="L461" i="1" s="1"/>
  <c r="G421" i="1"/>
  <c r="L421" i="1" s="1"/>
  <c r="G423" i="1"/>
  <c r="L423" i="1" s="1"/>
  <c r="G463" i="1"/>
  <c r="L463" i="1" s="1"/>
  <c r="Q78" i="25"/>
  <c r="P78" i="25"/>
  <c r="G284" i="1" s="1"/>
  <c r="R78" i="25" l="1"/>
  <c r="D425" i="1"/>
  <c r="F425" i="1"/>
  <c r="C425" i="1"/>
  <c r="B425" i="1"/>
  <c r="G425" i="1" l="1"/>
  <c r="L425" i="1" s="1"/>
  <c r="Q148" i="25" l="1"/>
  <c r="P148" i="25"/>
  <c r="R148" i="25" s="1"/>
  <c r="C479" i="1" l="1"/>
  <c r="D479" i="1"/>
  <c r="F479" i="1"/>
  <c r="B479" i="1"/>
  <c r="G479" i="1" l="1"/>
  <c r="L479" i="1" s="1"/>
  <c r="Q86" i="25"/>
  <c r="P86" i="25"/>
  <c r="R86" i="25" s="1"/>
  <c r="Q58" i="25"/>
  <c r="R58" i="25"/>
  <c r="F405" i="1" l="1"/>
  <c r="C405" i="1"/>
  <c r="G405" i="1" s="1"/>
  <c r="B405" i="1"/>
  <c r="K405" i="1"/>
  <c r="N404" i="1"/>
  <c r="M404" i="1"/>
  <c r="K404" i="1"/>
  <c r="F429" i="1"/>
  <c r="C429" i="1"/>
  <c r="G429" i="1" s="1"/>
  <c r="L429" i="1" s="1"/>
  <c r="B429" i="1"/>
  <c r="L405" i="1" l="1"/>
  <c r="O405" i="1"/>
  <c r="Q72" i="25"/>
  <c r="P72" i="25"/>
  <c r="R72" i="25" s="1"/>
  <c r="C417" i="1" l="1"/>
  <c r="B417" i="1"/>
  <c r="F417" i="1"/>
  <c r="D417" i="1"/>
  <c r="G417" i="1" l="1"/>
  <c r="L417" i="1" s="1"/>
  <c r="Q132" i="25"/>
  <c r="P132" i="25"/>
  <c r="R132" i="25" s="1"/>
  <c r="Q18" i="25"/>
  <c r="I224" i="1" s="1"/>
  <c r="P18" i="25"/>
  <c r="R18" i="25" s="1"/>
  <c r="F375" i="1"/>
  <c r="B375" i="1"/>
  <c r="D375" i="1"/>
  <c r="C375" i="1"/>
  <c r="G338" i="1" l="1"/>
  <c r="G375" i="1"/>
  <c r="L465" i="1"/>
  <c r="G224" i="1"/>
  <c r="A246" i="1"/>
  <c r="A244" i="1" l="1"/>
  <c r="B397" i="1"/>
  <c r="P40" i="25" l="1"/>
  <c r="R40" i="25" s="1"/>
  <c r="B246" i="1" s="1"/>
  <c r="Q40" i="25"/>
  <c r="I247" i="1" s="1"/>
  <c r="P39" i="25"/>
  <c r="B247" i="1" l="1"/>
  <c r="G247" i="1"/>
  <c r="F397" i="1"/>
  <c r="C397" i="1"/>
  <c r="D397" i="1"/>
  <c r="G397" i="1" l="1"/>
  <c r="R39" i="25"/>
  <c r="B245" i="1" s="1"/>
  <c r="B209" i="1"/>
  <c r="B210" i="1"/>
  <c r="B211" i="1"/>
  <c r="B212" i="1"/>
  <c r="B213" i="1"/>
  <c r="B214" i="1"/>
  <c r="B215" i="1"/>
  <c r="B216" i="1"/>
  <c r="B218" i="1"/>
  <c r="B219" i="1"/>
  <c r="B220" i="1"/>
  <c r="B221" i="1"/>
  <c r="B222" i="1"/>
  <c r="B224" i="1"/>
  <c r="B225" i="1"/>
  <c r="B227" i="1"/>
  <c r="B228" i="1"/>
  <c r="B229" i="1"/>
  <c r="B230" i="1"/>
  <c r="B231" i="1"/>
  <c r="B232" i="1"/>
  <c r="B233" i="1"/>
  <c r="B234" i="1"/>
  <c r="B235" i="1"/>
  <c r="B237" i="1"/>
  <c r="B238" i="1"/>
  <c r="B239" i="1"/>
  <c r="B240" i="1"/>
  <c r="B241" i="1"/>
  <c r="B242" i="1"/>
  <c r="B243" i="1"/>
  <c r="B248" i="1"/>
  <c r="B250" i="1"/>
  <c r="B251" i="1"/>
  <c r="B252" i="1"/>
  <c r="B253" i="1"/>
  <c r="B255" i="1"/>
  <c r="B256" i="1"/>
  <c r="B258" i="1"/>
  <c r="B259" i="1"/>
  <c r="B260" i="1"/>
  <c r="B261" i="1"/>
  <c r="B262" i="1"/>
  <c r="B263" i="1"/>
  <c r="B264" i="1"/>
  <c r="B266" i="1"/>
  <c r="B270" i="1"/>
  <c r="B271" i="1"/>
  <c r="B272" i="1"/>
  <c r="B273" i="1"/>
  <c r="B274" i="1"/>
  <c r="B275" i="1"/>
  <c r="B276" i="1"/>
  <c r="B277" i="1"/>
  <c r="B278" i="1"/>
  <c r="B279" i="1"/>
  <c r="B280" i="1"/>
  <c r="B281" i="1"/>
  <c r="B282" i="1"/>
  <c r="B283" i="1"/>
  <c r="B284" i="1"/>
  <c r="B285" i="1"/>
  <c r="B286" i="1"/>
  <c r="B287" i="1"/>
  <c r="B288" i="1"/>
  <c r="B289" i="1"/>
  <c r="B290" i="1"/>
  <c r="B291" i="1"/>
  <c r="B292" i="1"/>
  <c r="B293" i="1"/>
  <c r="B294" i="1"/>
  <c r="B296" i="1"/>
  <c r="B297" i="1"/>
  <c r="B298" i="1"/>
  <c r="B299" i="1"/>
  <c r="B300" i="1"/>
  <c r="B302" i="1"/>
  <c r="B303" i="1"/>
  <c r="B305" i="1"/>
  <c r="B307" i="1"/>
  <c r="B308" i="1"/>
  <c r="B310" i="1"/>
  <c r="B314" i="1"/>
  <c r="B315" i="1"/>
  <c r="B317" i="1"/>
  <c r="B318" i="1"/>
  <c r="B319" i="1"/>
  <c r="B320" i="1"/>
  <c r="B322" i="1"/>
  <c r="B323" i="1"/>
  <c r="B324" i="1"/>
  <c r="B325" i="1"/>
  <c r="B326" i="1"/>
  <c r="B327" i="1"/>
  <c r="B332" i="1"/>
  <c r="B333" i="1"/>
  <c r="B334" i="1"/>
  <c r="B335" i="1"/>
  <c r="B336" i="1"/>
  <c r="B337" i="1"/>
  <c r="B338" i="1"/>
  <c r="B341" i="1"/>
  <c r="B342" i="1"/>
  <c r="B345" i="1"/>
  <c r="B346" i="1"/>
  <c r="B347" i="1"/>
  <c r="B348" i="1"/>
  <c r="B349" i="1"/>
  <c r="B351" i="1"/>
  <c r="B352" i="1"/>
  <c r="B353" i="1"/>
  <c r="B354" i="1"/>
  <c r="G209" i="1"/>
  <c r="I209" i="1"/>
  <c r="G210" i="1"/>
  <c r="I210" i="1"/>
  <c r="G211" i="1"/>
  <c r="I211" i="1"/>
  <c r="G212" i="1"/>
  <c r="I212" i="1"/>
  <c r="G213" i="1"/>
  <c r="I213" i="1"/>
  <c r="G214" i="1"/>
  <c r="I214" i="1"/>
  <c r="G215" i="1"/>
  <c r="I215" i="1"/>
  <c r="G216" i="1"/>
  <c r="I216" i="1"/>
  <c r="G217" i="1"/>
  <c r="I217" i="1"/>
  <c r="G218" i="1"/>
  <c r="I218" i="1"/>
  <c r="G219" i="1"/>
  <c r="I219" i="1"/>
  <c r="G220" i="1"/>
  <c r="I220" i="1"/>
  <c r="G221" i="1"/>
  <c r="I221" i="1"/>
  <c r="G222" i="1"/>
  <c r="I222" i="1"/>
  <c r="G225" i="1"/>
  <c r="I225" i="1"/>
  <c r="G227" i="1"/>
  <c r="I227" i="1"/>
  <c r="G228" i="1"/>
  <c r="I228" i="1"/>
  <c r="G229" i="1"/>
  <c r="I229" i="1"/>
  <c r="G230" i="1"/>
  <c r="I230" i="1"/>
  <c r="G231" i="1"/>
  <c r="I231" i="1"/>
  <c r="G232" i="1"/>
  <c r="I232" i="1"/>
  <c r="G233" i="1"/>
  <c r="I233" i="1"/>
  <c r="G234" i="1"/>
  <c r="I234" i="1"/>
  <c r="G235" i="1"/>
  <c r="I235" i="1"/>
  <c r="G237" i="1"/>
  <c r="I237" i="1"/>
  <c r="G238" i="1"/>
  <c r="I238" i="1"/>
  <c r="G239" i="1"/>
  <c r="I239" i="1"/>
  <c r="G240" i="1"/>
  <c r="I240" i="1"/>
  <c r="G241" i="1"/>
  <c r="I241" i="1"/>
  <c r="G242" i="1"/>
  <c r="I242" i="1"/>
  <c r="G243" i="1"/>
  <c r="I243" i="1"/>
  <c r="G246" i="1"/>
  <c r="I246" i="1"/>
  <c r="G248" i="1"/>
  <c r="I248" i="1"/>
  <c r="G249" i="1"/>
  <c r="I249" i="1"/>
  <c r="G250" i="1"/>
  <c r="I250" i="1"/>
  <c r="G251" i="1"/>
  <c r="I251" i="1"/>
  <c r="G252" i="1"/>
  <c r="I252" i="1"/>
  <c r="G253" i="1"/>
  <c r="I253" i="1"/>
  <c r="G255" i="1"/>
  <c r="I255" i="1"/>
  <c r="G256" i="1"/>
  <c r="I256" i="1"/>
  <c r="G257" i="1"/>
  <c r="I257" i="1"/>
  <c r="G258" i="1"/>
  <c r="I258" i="1"/>
  <c r="G259" i="1"/>
  <c r="I259" i="1"/>
  <c r="G260" i="1"/>
  <c r="I260" i="1"/>
  <c r="G261" i="1"/>
  <c r="I261" i="1"/>
  <c r="G262" i="1"/>
  <c r="I262" i="1"/>
  <c r="G263" i="1"/>
  <c r="I263" i="1"/>
  <c r="G264" i="1"/>
  <c r="I264" i="1"/>
  <c r="G266" i="1"/>
  <c r="I266" i="1"/>
  <c r="G270" i="1"/>
  <c r="I270" i="1"/>
  <c r="G271" i="1"/>
  <c r="I271" i="1"/>
  <c r="G272" i="1"/>
  <c r="I272" i="1"/>
  <c r="G273" i="1"/>
  <c r="I273" i="1"/>
  <c r="G274" i="1"/>
  <c r="I274" i="1"/>
  <c r="G275" i="1"/>
  <c r="I275" i="1"/>
  <c r="G276" i="1"/>
  <c r="I276" i="1"/>
  <c r="G277" i="1"/>
  <c r="I277" i="1"/>
  <c r="G278" i="1"/>
  <c r="I278" i="1"/>
  <c r="G279" i="1"/>
  <c r="I279" i="1"/>
  <c r="G280" i="1"/>
  <c r="I280" i="1"/>
  <c r="G281" i="1"/>
  <c r="I281" i="1"/>
  <c r="G282" i="1"/>
  <c r="I282" i="1"/>
  <c r="G283" i="1"/>
  <c r="I283" i="1"/>
  <c r="I284" i="1"/>
  <c r="G285" i="1"/>
  <c r="I285" i="1"/>
  <c r="G286" i="1"/>
  <c r="I286" i="1"/>
  <c r="G287" i="1"/>
  <c r="I287" i="1"/>
  <c r="G288" i="1"/>
  <c r="I288" i="1"/>
  <c r="G289" i="1"/>
  <c r="I289" i="1"/>
  <c r="G290" i="1"/>
  <c r="I290" i="1"/>
  <c r="G291" i="1"/>
  <c r="I291" i="1"/>
  <c r="G292" i="1"/>
  <c r="I292" i="1"/>
  <c r="G293" i="1"/>
  <c r="I293" i="1"/>
  <c r="G294" i="1"/>
  <c r="I294" i="1"/>
  <c r="G296" i="1"/>
  <c r="I296" i="1"/>
  <c r="G297" i="1"/>
  <c r="I297" i="1"/>
  <c r="G298" i="1"/>
  <c r="I298" i="1"/>
  <c r="G299" i="1"/>
  <c r="I299" i="1"/>
  <c r="G300" i="1"/>
  <c r="I300" i="1"/>
  <c r="G302" i="1"/>
  <c r="I302" i="1"/>
  <c r="G303" i="1"/>
  <c r="I303" i="1"/>
  <c r="G305" i="1"/>
  <c r="I305" i="1"/>
  <c r="G307" i="1"/>
  <c r="I307" i="1"/>
  <c r="G308" i="1"/>
  <c r="I308" i="1"/>
  <c r="G310" i="1"/>
  <c r="I310" i="1"/>
  <c r="G312" i="1"/>
  <c r="I312" i="1"/>
  <c r="G314" i="1"/>
  <c r="I314" i="1"/>
  <c r="G315" i="1"/>
  <c r="I315" i="1"/>
  <c r="G317" i="1"/>
  <c r="I317" i="1"/>
  <c r="G318" i="1"/>
  <c r="I318" i="1"/>
  <c r="G319" i="1"/>
  <c r="I319" i="1"/>
  <c r="G320" i="1"/>
  <c r="I320" i="1"/>
  <c r="G322" i="1"/>
  <c r="I322" i="1"/>
  <c r="G323" i="1"/>
  <c r="I323" i="1"/>
  <c r="G324" i="1"/>
  <c r="I324" i="1"/>
  <c r="G325" i="1"/>
  <c r="I325" i="1"/>
  <c r="G326" i="1"/>
  <c r="I326" i="1"/>
  <c r="G327" i="1"/>
  <c r="I327" i="1"/>
  <c r="G332" i="1"/>
  <c r="I332" i="1"/>
  <c r="G333" i="1"/>
  <c r="I333" i="1"/>
  <c r="G334" i="1"/>
  <c r="I334" i="1"/>
  <c r="G335" i="1"/>
  <c r="I335" i="1"/>
  <c r="G336" i="1"/>
  <c r="I336" i="1"/>
  <c r="G337" i="1"/>
  <c r="I337" i="1"/>
  <c r="I338" i="1"/>
  <c r="G341" i="1"/>
  <c r="I341" i="1"/>
  <c r="G342" i="1"/>
  <c r="I342" i="1"/>
  <c r="G345" i="1"/>
  <c r="I345" i="1"/>
  <c r="G346" i="1"/>
  <c r="I346" i="1"/>
  <c r="G347" i="1"/>
  <c r="I347" i="1"/>
  <c r="G348" i="1"/>
  <c r="I348" i="1"/>
  <c r="G349" i="1"/>
  <c r="I349" i="1"/>
  <c r="G351" i="1"/>
  <c r="I351" i="1"/>
  <c r="G352" i="1"/>
  <c r="I352" i="1"/>
  <c r="G353" i="1"/>
  <c r="I353" i="1"/>
  <c r="G354" i="1"/>
  <c r="I354" i="1"/>
  <c r="A354" i="1"/>
  <c r="A353" i="1"/>
  <c r="A352" i="1"/>
  <c r="A351" i="1"/>
  <c r="A350" i="1"/>
  <c r="A349" i="1"/>
  <c r="A348" i="1"/>
  <c r="A347" i="1"/>
  <c r="A346" i="1"/>
  <c r="A345" i="1"/>
  <c r="A344" i="1"/>
  <c r="A343" i="1"/>
  <c r="A342" i="1"/>
  <c r="A341" i="1"/>
  <c r="A340" i="1"/>
  <c r="A339" i="1"/>
  <c r="A338" i="1"/>
  <c r="A337" i="1"/>
  <c r="A336" i="1"/>
  <c r="A335" i="1"/>
  <c r="A334" i="1"/>
  <c r="A333" i="1"/>
  <c r="A209" i="1"/>
  <c r="A210" i="1"/>
  <c r="A211" i="1"/>
  <c r="A212" i="1"/>
  <c r="A213" i="1"/>
  <c r="A214" i="1"/>
  <c r="A215" i="1"/>
  <c r="A216" i="1"/>
  <c r="A217" i="1"/>
  <c r="A218" i="1"/>
  <c r="A219" i="1"/>
  <c r="A220" i="1"/>
  <c r="A221" i="1"/>
  <c r="A222" i="1"/>
  <c r="A223" i="1"/>
  <c r="A224" i="1"/>
  <c r="A225" i="1"/>
  <c r="A226" i="1"/>
  <c r="A227" i="1"/>
  <c r="A228" i="1"/>
  <c r="A229" i="1"/>
  <c r="A230" i="1"/>
  <c r="A231" i="1"/>
  <c r="A232" i="1"/>
  <c r="A233" i="1"/>
  <c r="A234" i="1"/>
  <c r="A235" i="1"/>
  <c r="A236" i="1"/>
  <c r="A237" i="1"/>
  <c r="A238" i="1"/>
  <c r="A239" i="1"/>
  <c r="A240" i="1"/>
  <c r="A241" i="1"/>
  <c r="A242" i="1"/>
  <c r="A243" i="1"/>
  <c r="A245" i="1"/>
  <c r="A247" i="1"/>
  <c r="A248" i="1"/>
  <c r="A249" i="1"/>
  <c r="A250" i="1"/>
  <c r="A251" i="1"/>
  <c r="A252" i="1"/>
  <c r="A253" i="1"/>
  <c r="A254" i="1"/>
  <c r="A255" i="1"/>
  <c r="A256" i="1"/>
  <c r="A257" i="1"/>
  <c r="A258" i="1"/>
  <c r="A259" i="1"/>
  <c r="A260" i="1"/>
  <c r="A261" i="1"/>
  <c r="A262" i="1"/>
  <c r="A263" i="1"/>
  <c r="A264" i="1"/>
  <c r="A265" i="1"/>
  <c r="A266" i="1"/>
  <c r="A267" i="1"/>
  <c r="A268" i="1"/>
  <c r="A269" i="1"/>
  <c r="A270" i="1"/>
  <c r="A271" i="1"/>
  <c r="A272" i="1"/>
  <c r="A273" i="1"/>
  <c r="A274" i="1"/>
  <c r="A275" i="1"/>
  <c r="A276" i="1"/>
  <c r="A277" i="1"/>
  <c r="A278" i="1"/>
  <c r="A279" i="1"/>
  <c r="A280" i="1"/>
  <c r="A281" i="1"/>
  <c r="A282" i="1"/>
  <c r="A283" i="1"/>
  <c r="A284" i="1"/>
  <c r="A285" i="1"/>
  <c r="A286" i="1"/>
  <c r="A287" i="1"/>
  <c r="A288" i="1"/>
  <c r="A289" i="1"/>
  <c r="A290" i="1"/>
  <c r="A291" i="1"/>
  <c r="A292" i="1"/>
  <c r="A293" i="1"/>
  <c r="A294" i="1"/>
  <c r="A295" i="1"/>
  <c r="A296" i="1"/>
  <c r="A297" i="1"/>
  <c r="A298" i="1"/>
  <c r="A299" i="1"/>
  <c r="A300" i="1"/>
  <c r="A301" i="1"/>
  <c r="A302" i="1"/>
  <c r="A303" i="1"/>
  <c r="A304" i="1"/>
  <c r="A305" i="1"/>
  <c r="A306" i="1"/>
  <c r="A307" i="1"/>
  <c r="A308" i="1"/>
  <c r="A309" i="1"/>
  <c r="A310" i="1"/>
  <c r="A311" i="1"/>
  <c r="A312" i="1"/>
  <c r="A313" i="1"/>
  <c r="A314" i="1"/>
  <c r="A315" i="1"/>
  <c r="A316" i="1"/>
  <c r="A317" i="1"/>
  <c r="A318" i="1"/>
  <c r="A319" i="1"/>
  <c r="A320" i="1"/>
  <c r="A321" i="1"/>
  <c r="A322" i="1"/>
  <c r="A323" i="1"/>
  <c r="A324" i="1"/>
  <c r="A325" i="1"/>
  <c r="A326" i="1"/>
  <c r="A327" i="1"/>
  <c r="A328" i="1"/>
  <c r="A329" i="1"/>
  <c r="A330" i="1"/>
  <c r="A331" i="1"/>
  <c r="A332" i="1"/>
  <c r="A208" i="1"/>
  <c r="Q110" i="25"/>
  <c r="I316" i="1" s="1"/>
  <c r="P110" i="25"/>
  <c r="G316" i="1" s="1"/>
  <c r="P115" i="25"/>
  <c r="G321" i="1" s="1"/>
  <c r="P30" i="25"/>
  <c r="R30" i="25" s="1"/>
  <c r="P144" i="25"/>
  <c r="R144" i="25" s="1"/>
  <c r="Q144" i="25"/>
  <c r="I350" i="1" s="1"/>
  <c r="P138" i="25"/>
  <c r="G344" i="1" s="1"/>
  <c r="Q138" i="25"/>
  <c r="I344" i="1" s="1"/>
  <c r="P137" i="25"/>
  <c r="R137" i="25" s="1"/>
  <c r="B343" i="1" s="1"/>
  <c r="Q137" i="25"/>
  <c r="I343" i="1" s="1"/>
  <c r="P134" i="25"/>
  <c r="R134" i="25" s="1"/>
  <c r="Q134" i="25"/>
  <c r="I340" i="1" s="1"/>
  <c r="P133" i="25"/>
  <c r="G339" i="1" s="1"/>
  <c r="Q133" i="25"/>
  <c r="I339" i="1" s="1"/>
  <c r="P125" i="25"/>
  <c r="R125" i="25" s="1"/>
  <c r="Q125" i="25"/>
  <c r="I331" i="1" s="1"/>
  <c r="P124" i="25"/>
  <c r="G330" i="1" s="1"/>
  <c r="Q124" i="25"/>
  <c r="I330" i="1" s="1"/>
  <c r="P123" i="25"/>
  <c r="R123" i="25" s="1"/>
  <c r="Q123" i="25"/>
  <c r="I329" i="1" s="1"/>
  <c r="R122" i="25"/>
  <c r="Q122" i="25"/>
  <c r="I328" i="1" s="1"/>
  <c r="Q115" i="25"/>
  <c r="I321" i="1" s="1"/>
  <c r="P107" i="25"/>
  <c r="R107" i="25" s="1"/>
  <c r="Q107" i="25"/>
  <c r="I313" i="1" s="1"/>
  <c r="P105" i="25"/>
  <c r="R105" i="25" s="1"/>
  <c r="Q105" i="25"/>
  <c r="I311" i="1" s="1"/>
  <c r="P103" i="25"/>
  <c r="R103" i="25" s="1"/>
  <c r="P100" i="25"/>
  <c r="G306" i="1" s="1"/>
  <c r="Q100" i="25"/>
  <c r="I306" i="1" s="1"/>
  <c r="P98" i="25"/>
  <c r="R98" i="25" s="1"/>
  <c r="Q98" i="25"/>
  <c r="I304" i="1" s="1"/>
  <c r="P95" i="25"/>
  <c r="R95" i="25" s="1"/>
  <c r="Q95" i="25"/>
  <c r="I301" i="1" s="1"/>
  <c r="P89" i="25"/>
  <c r="G295" i="1" s="1"/>
  <c r="Q89" i="25"/>
  <c r="I295" i="1" s="1"/>
  <c r="P63" i="25"/>
  <c r="G269" i="1" s="1"/>
  <c r="Q63" i="25"/>
  <c r="I269" i="1" s="1"/>
  <c r="P62" i="25"/>
  <c r="R62" i="25" s="1"/>
  <c r="Q62" i="25"/>
  <c r="I268" i="1" s="1"/>
  <c r="P59" i="25"/>
  <c r="Q59" i="25"/>
  <c r="I265" i="1" s="1"/>
  <c r="P48" i="25"/>
  <c r="R48" i="25" s="1"/>
  <c r="B254" i="1" s="1"/>
  <c r="Q48" i="25"/>
  <c r="I254" i="1" s="1"/>
  <c r="Q38" i="25"/>
  <c r="I244" i="1" s="1"/>
  <c r="P38" i="25"/>
  <c r="R38" i="25" s="1"/>
  <c r="G245" i="1"/>
  <c r="Q39" i="25"/>
  <c r="I245" i="1" s="1"/>
  <c r="Q30" i="25"/>
  <c r="I236" i="1" s="1"/>
  <c r="P20" i="25"/>
  <c r="R20" i="25" s="1"/>
  <c r="B226" i="1" s="1"/>
  <c r="Q20" i="25"/>
  <c r="I226" i="1" s="1"/>
  <c r="P17" i="25"/>
  <c r="G223" i="1" s="1"/>
  <c r="Q17" i="25"/>
  <c r="I223" i="1" s="1"/>
  <c r="P2" i="25"/>
  <c r="C2" i="25"/>
  <c r="R2" i="25" l="1"/>
  <c r="B208" i="1" s="1"/>
  <c r="G208" i="1"/>
  <c r="G226" i="1"/>
  <c r="R100" i="25"/>
  <c r="B306" i="1" s="1"/>
  <c r="G311" i="1"/>
  <c r="R89" i="25"/>
  <c r="B295" i="1" s="1"/>
  <c r="B236" i="1"/>
  <c r="R133" i="25"/>
  <c r="B339" i="1" s="1"/>
  <c r="G268" i="1"/>
  <c r="G331" i="1"/>
  <c r="B331" i="1"/>
  <c r="R124" i="25"/>
  <c r="B330" i="1" s="1"/>
  <c r="G329" i="1"/>
  <c r="G343" i="1"/>
  <c r="R138" i="25"/>
  <c r="B344" i="1" s="1"/>
  <c r="R115" i="25"/>
  <c r="B321" i="1" s="1"/>
  <c r="R110" i="25"/>
  <c r="B316" i="1" s="1"/>
  <c r="R63" i="25"/>
  <c r="B269" i="1" s="1"/>
  <c r="G254" i="1"/>
  <c r="G244" i="1"/>
  <c r="R17" i="25"/>
  <c r="B223" i="1" s="1"/>
  <c r="R59" i="25"/>
  <c r="B265" i="1" s="1"/>
  <c r="B309" i="1"/>
  <c r="B301" i="1"/>
  <c r="B328" i="1"/>
  <c r="B350" i="1"/>
  <c r="B311" i="1"/>
  <c r="B313" i="1"/>
  <c r="B268" i="1"/>
  <c r="B329" i="1"/>
  <c r="B340" i="1"/>
  <c r="B244" i="1"/>
  <c r="G309" i="1"/>
  <c r="G313" i="1"/>
  <c r="G236" i="1"/>
  <c r="G350" i="1"/>
  <c r="G340" i="1"/>
  <c r="G328" i="1"/>
  <c r="G301" i="1"/>
  <c r="G265" i="1"/>
  <c r="B304" i="1"/>
  <c r="G304" i="1"/>
  <c r="Q103" i="25"/>
  <c r="I309" i="1" s="1"/>
  <c r="Q2" i="25"/>
  <c r="I208" i="1" s="1"/>
  <c r="G179" i="1"/>
  <c r="G130" i="1"/>
  <c r="G136" i="1"/>
  <c r="G166" i="1" l="1"/>
  <c r="F459" i="1" l="1"/>
  <c r="D459" i="1"/>
  <c r="C459" i="1"/>
  <c r="B459" i="1"/>
  <c r="B437" i="1"/>
  <c r="F437" i="1"/>
  <c r="D437" i="1"/>
  <c r="C437" i="1"/>
  <c r="G437" i="1" s="1"/>
  <c r="K437" i="1" s="1"/>
  <c r="G459" i="1" l="1"/>
  <c r="L459" i="1" s="1"/>
  <c r="D473" i="1"/>
  <c r="F401" i="1"/>
  <c r="C401" i="1"/>
  <c r="G401" i="1" s="1"/>
  <c r="N406" i="1"/>
  <c r="M406" i="1"/>
  <c r="K401" i="1"/>
  <c r="K406" i="1" s="1"/>
  <c r="B401" i="1"/>
  <c r="C473" i="1"/>
  <c r="F473" i="1"/>
  <c r="B473" i="1"/>
  <c r="F407" i="1"/>
  <c r="C407" i="1"/>
  <c r="G407" i="1" s="1"/>
  <c r="L407" i="1" s="1"/>
  <c r="B407" i="1"/>
  <c r="K407" i="1"/>
  <c r="G178" i="1"/>
  <c r="G100" i="1"/>
  <c r="G89" i="1"/>
  <c r="G473" i="1" l="1"/>
  <c r="L473" i="1" s="1"/>
  <c r="C393" i="1"/>
  <c r="C395" i="1"/>
  <c r="D395" i="1"/>
  <c r="G79" i="1"/>
  <c r="F395" i="1" l="1"/>
  <c r="G395" i="1"/>
  <c r="F393" i="1"/>
  <c r="G393" i="1"/>
  <c r="F411" i="1" l="1"/>
  <c r="B395" i="1"/>
  <c r="B393" i="1"/>
  <c r="B379" i="1"/>
  <c r="F379" i="1"/>
  <c r="F455" i="1" l="1"/>
  <c r="D455" i="1"/>
  <c r="C455" i="1"/>
  <c r="B455" i="1"/>
  <c r="G163" i="1"/>
  <c r="B471" i="1"/>
  <c r="B385" i="1"/>
  <c r="C379" i="1"/>
  <c r="G379" i="1" s="1"/>
  <c r="L379" i="1" s="1"/>
  <c r="B377" i="1"/>
  <c r="G164" i="1"/>
  <c r="G156" i="1"/>
  <c r="G151" i="1"/>
  <c r="G146" i="1"/>
  <c r="G144" i="1"/>
  <c r="G104" i="1"/>
  <c r="G103" i="1"/>
  <c r="G61" i="1"/>
  <c r="G43" i="1"/>
  <c r="F471" i="1"/>
  <c r="D471" i="1"/>
  <c r="C471" i="1"/>
  <c r="F469" i="1"/>
  <c r="C469" i="1"/>
  <c r="G469" i="1" s="1"/>
  <c r="L469" i="1" s="1"/>
  <c r="F451" i="1"/>
  <c r="D451" i="1"/>
  <c r="C451" i="1"/>
  <c r="B451" i="1"/>
  <c r="F449" i="1"/>
  <c r="D449" i="1"/>
  <c r="C449" i="1"/>
  <c r="B449" i="1"/>
  <c r="F443" i="1"/>
  <c r="D443" i="1"/>
  <c r="C443" i="1"/>
  <c r="B443" i="1"/>
  <c r="F441" i="1"/>
  <c r="D441" i="1"/>
  <c r="C441" i="1"/>
  <c r="B441" i="1"/>
  <c r="D411" i="1"/>
  <c r="C411" i="1"/>
  <c r="B411" i="1"/>
  <c r="F377" i="1"/>
  <c r="C377" i="1"/>
  <c r="G377" i="1" s="1"/>
  <c r="L377" i="1" s="1"/>
  <c r="F369" i="1"/>
  <c r="D369" i="1"/>
  <c r="C369" i="1"/>
  <c r="B369" i="1"/>
  <c r="F373" i="1"/>
  <c r="D373" i="1"/>
  <c r="C373" i="1"/>
  <c r="G58" i="1"/>
  <c r="B373" i="1"/>
  <c r="G364" i="1"/>
  <c r="G71" i="1"/>
  <c r="F385" i="1"/>
  <c r="D385" i="1"/>
  <c r="C385" i="1"/>
  <c r="D457" i="1"/>
  <c r="C457" i="1"/>
  <c r="F435" i="1"/>
  <c r="D435" i="1"/>
  <c r="C435" i="1"/>
  <c r="F431" i="1"/>
  <c r="D431" i="1"/>
  <c r="C431" i="1"/>
  <c r="B457" i="1"/>
  <c r="B435" i="1"/>
  <c r="B431" i="1"/>
  <c r="D200" i="1"/>
  <c r="G189" i="1"/>
  <c r="G141" i="1"/>
  <c r="G190" i="1"/>
  <c r="G191" i="1"/>
  <c r="G192" i="1"/>
  <c r="D202" i="1"/>
  <c r="K191" i="1"/>
  <c r="K192" i="1"/>
  <c r="K190" i="1"/>
  <c r="G7" i="13"/>
  <c r="K7" i="13"/>
  <c r="N7" i="13"/>
  <c r="G8" i="13"/>
  <c r="K8" i="13"/>
  <c r="N8" i="13"/>
  <c r="G9" i="13"/>
  <c r="K9" i="13"/>
  <c r="N9" i="13"/>
  <c r="G10" i="13"/>
  <c r="K10" i="13"/>
  <c r="N10" i="13"/>
  <c r="G11" i="13"/>
  <c r="K11" i="13"/>
  <c r="N11" i="13"/>
  <c r="G12" i="13"/>
  <c r="K12" i="13"/>
  <c r="N12" i="13"/>
  <c r="G13" i="13"/>
  <c r="K13" i="13"/>
  <c r="N13" i="13"/>
  <c r="G14" i="13"/>
  <c r="K14" i="13"/>
  <c r="N14" i="13"/>
  <c r="G15" i="13"/>
  <c r="K15" i="13"/>
  <c r="N15" i="13"/>
  <c r="G16" i="13"/>
  <c r="K16" i="13"/>
  <c r="N16" i="13"/>
  <c r="G17" i="13"/>
  <c r="K17" i="13"/>
  <c r="N17" i="13"/>
  <c r="G18" i="13"/>
  <c r="K18" i="13"/>
  <c r="N18" i="13"/>
  <c r="G19" i="13"/>
  <c r="K19" i="13"/>
  <c r="N19" i="13"/>
  <c r="G20" i="13"/>
  <c r="K20" i="13"/>
  <c r="N20" i="13"/>
  <c r="G21" i="13"/>
  <c r="K21" i="13"/>
  <c r="N21" i="13"/>
  <c r="G22" i="13"/>
  <c r="K22" i="13"/>
  <c r="N22" i="13"/>
  <c r="G23" i="13"/>
  <c r="K23" i="13"/>
  <c r="N23" i="13"/>
  <c r="G24" i="13"/>
  <c r="K24" i="13"/>
  <c r="N24" i="13"/>
  <c r="G25" i="13"/>
  <c r="K25" i="13"/>
  <c r="N25" i="13"/>
  <c r="G26" i="13"/>
  <c r="K26" i="13"/>
  <c r="N26" i="13"/>
  <c r="G27" i="13"/>
  <c r="K27" i="13"/>
  <c r="N27" i="13"/>
  <c r="G28" i="13"/>
  <c r="K28" i="13"/>
  <c r="N28" i="13"/>
  <c r="G29" i="13"/>
  <c r="K29" i="13"/>
  <c r="N29" i="13"/>
  <c r="G30" i="13"/>
  <c r="K30" i="13"/>
  <c r="N30" i="13"/>
  <c r="G31" i="13"/>
  <c r="K31" i="13"/>
  <c r="N31" i="13"/>
  <c r="G32" i="13"/>
  <c r="K32" i="13"/>
  <c r="N32" i="13"/>
  <c r="G33" i="13"/>
  <c r="K33" i="13"/>
  <c r="N33" i="13"/>
  <c r="G34" i="13"/>
  <c r="K34" i="13"/>
  <c r="N34" i="13"/>
  <c r="F7" i="12"/>
  <c r="J7" i="12"/>
  <c r="M7" i="12"/>
  <c r="F8" i="12"/>
  <c r="J8" i="12"/>
  <c r="M8" i="12"/>
  <c r="F9" i="12"/>
  <c r="J9" i="12"/>
  <c r="M9" i="12"/>
  <c r="F10" i="12"/>
  <c r="J10" i="12"/>
  <c r="M10" i="12"/>
  <c r="F11" i="12"/>
  <c r="J11" i="12"/>
  <c r="M11" i="12"/>
  <c r="F12" i="12"/>
  <c r="J12" i="12"/>
  <c r="M12" i="12"/>
  <c r="F13" i="12"/>
  <c r="J13" i="12"/>
  <c r="M13" i="12"/>
  <c r="F14" i="12"/>
  <c r="J14" i="12"/>
  <c r="M14" i="12"/>
  <c r="F15" i="12"/>
  <c r="J15" i="12"/>
  <c r="M15" i="12"/>
  <c r="F16" i="12"/>
  <c r="J16" i="12"/>
  <c r="M16" i="12"/>
  <c r="F17" i="12"/>
  <c r="J17" i="12"/>
  <c r="M17" i="12"/>
  <c r="F18" i="12"/>
  <c r="J18" i="12"/>
  <c r="M18" i="12"/>
  <c r="F19" i="12"/>
  <c r="J19" i="12"/>
  <c r="M19" i="12"/>
  <c r="F20" i="12"/>
  <c r="J20" i="12"/>
  <c r="M20" i="12"/>
  <c r="F21" i="12"/>
  <c r="J21" i="12"/>
  <c r="M21" i="12"/>
  <c r="F22" i="12"/>
  <c r="J22" i="12"/>
  <c r="M22" i="12"/>
  <c r="F23" i="12"/>
  <c r="J23" i="12"/>
  <c r="M23" i="12"/>
  <c r="F24" i="12"/>
  <c r="J24" i="12"/>
  <c r="M24" i="12"/>
  <c r="F25" i="12"/>
  <c r="J25" i="12"/>
  <c r="M25" i="12"/>
  <c r="F26" i="12"/>
  <c r="J26" i="12"/>
  <c r="M26" i="12"/>
  <c r="F27" i="12"/>
  <c r="J27" i="12"/>
  <c r="M27" i="12"/>
  <c r="F28" i="12"/>
  <c r="J28" i="12"/>
  <c r="M28" i="12"/>
  <c r="F29" i="12"/>
  <c r="J29" i="12"/>
  <c r="M29" i="12"/>
  <c r="F30" i="12"/>
  <c r="J30" i="12"/>
  <c r="M30" i="12"/>
  <c r="F31" i="12"/>
  <c r="J31" i="12"/>
  <c r="M31" i="12"/>
  <c r="F32" i="12"/>
  <c r="J32" i="12"/>
  <c r="M32" i="12"/>
  <c r="F33" i="12"/>
  <c r="J33" i="12"/>
  <c r="M33" i="12"/>
  <c r="F34" i="12"/>
  <c r="J34" i="12"/>
  <c r="M34" i="12"/>
  <c r="F6" i="11"/>
  <c r="J6" i="11"/>
  <c r="M6" i="11"/>
  <c r="F7" i="11"/>
  <c r="J7" i="11"/>
  <c r="M7" i="11"/>
  <c r="F8" i="11"/>
  <c r="J8" i="11"/>
  <c r="M8" i="11"/>
  <c r="F9" i="11"/>
  <c r="J9" i="11"/>
  <c r="M9" i="11"/>
  <c r="F10" i="11"/>
  <c r="J10" i="11"/>
  <c r="M10" i="11"/>
  <c r="F11" i="11"/>
  <c r="J11" i="11"/>
  <c r="M11" i="11"/>
  <c r="F12" i="11"/>
  <c r="J12" i="11"/>
  <c r="M12" i="11"/>
  <c r="F13" i="11"/>
  <c r="J13" i="11"/>
  <c r="M13" i="11"/>
  <c r="F14" i="11"/>
  <c r="J14" i="11"/>
  <c r="M14" i="11"/>
  <c r="F15" i="11"/>
  <c r="J15" i="11"/>
  <c r="M15" i="11"/>
  <c r="F16" i="11"/>
  <c r="J16" i="11"/>
  <c r="M16" i="11"/>
  <c r="F17" i="11"/>
  <c r="J17" i="11"/>
  <c r="M17" i="11"/>
  <c r="F18" i="11"/>
  <c r="J18" i="11"/>
  <c r="M18" i="11"/>
  <c r="F19" i="11"/>
  <c r="J19" i="11"/>
  <c r="M19" i="11"/>
  <c r="F20" i="11"/>
  <c r="J20" i="11"/>
  <c r="M20" i="11"/>
  <c r="F21" i="11"/>
  <c r="J21" i="11"/>
  <c r="M21" i="11"/>
  <c r="F22" i="11"/>
  <c r="J22" i="11"/>
  <c r="M22" i="11"/>
  <c r="F23" i="11"/>
  <c r="J23" i="11"/>
  <c r="M23" i="11"/>
  <c r="F24" i="11"/>
  <c r="J24" i="11"/>
  <c r="M24" i="11"/>
  <c r="F25" i="11"/>
  <c r="J25" i="11"/>
  <c r="M25" i="11"/>
  <c r="F26" i="11"/>
  <c r="J26" i="11"/>
  <c r="M26" i="11"/>
  <c r="F27" i="11"/>
  <c r="J27" i="11"/>
  <c r="M27" i="11"/>
  <c r="F28" i="11"/>
  <c r="J28" i="11"/>
  <c r="M28" i="11"/>
  <c r="F29" i="11"/>
  <c r="J29" i="11"/>
  <c r="M29" i="11"/>
  <c r="F30" i="11"/>
  <c r="J30" i="11"/>
  <c r="M30" i="11"/>
  <c r="F31" i="11"/>
  <c r="J31" i="11"/>
  <c r="M31" i="11"/>
  <c r="F32" i="11"/>
  <c r="J32" i="11"/>
  <c r="M32" i="11"/>
  <c r="F33" i="11"/>
  <c r="J33" i="11"/>
  <c r="M33" i="11"/>
  <c r="F7" i="1"/>
  <c r="J34" i="11" l="1"/>
  <c r="I34" i="11" s="1"/>
  <c r="M35" i="12"/>
  <c r="L35" i="12" s="1"/>
  <c r="G35" i="13"/>
  <c r="F35" i="13" s="1"/>
  <c r="F35" i="12"/>
  <c r="E35" i="12" s="1"/>
  <c r="K35" i="13"/>
  <c r="J35" i="13" s="1"/>
  <c r="M34" i="11"/>
  <c r="L34" i="11" s="1"/>
  <c r="J35" i="12"/>
  <c r="I35" i="12" s="1"/>
  <c r="N35" i="13"/>
  <c r="M35" i="13" s="1"/>
  <c r="F34" i="11"/>
  <c r="E34" i="11" s="1"/>
  <c r="G373" i="1"/>
  <c r="G385" i="1"/>
  <c r="G441" i="1"/>
  <c r="L441" i="1" s="1"/>
  <c r="G413" i="1"/>
  <c r="L413" i="1" s="1"/>
  <c r="G431" i="1"/>
  <c r="G455" i="1"/>
  <c r="L455" i="1" s="1"/>
  <c r="G451" i="1"/>
  <c r="L451" i="1" s="1"/>
  <c r="G435" i="1"/>
  <c r="M435" i="1" s="1"/>
  <c r="G369" i="1"/>
  <c r="L369" i="1" s="1"/>
  <c r="G443" i="1"/>
  <c r="L443" i="1" s="1"/>
  <c r="G411" i="1"/>
  <c r="L411" i="1" s="1"/>
  <c r="G471" i="1"/>
  <c r="L471" i="1" s="1"/>
  <c r="G449" i="1"/>
  <c r="L449" i="1" s="1"/>
  <c r="G457" i="1"/>
</calcChain>
</file>

<file path=xl/sharedStrings.xml><?xml version="1.0" encoding="utf-8"?>
<sst xmlns="http://schemas.openxmlformats.org/spreadsheetml/2006/main" count="808" uniqueCount="365">
  <si>
    <t>Date:</t>
  </si>
  <si>
    <t>CPC Name:</t>
  </si>
  <si>
    <t>Date Of Property Visit</t>
  </si>
  <si>
    <t>Name of the builder group</t>
  </si>
  <si>
    <t>Name of the builder company</t>
  </si>
  <si>
    <t>Name of the Project</t>
  </si>
  <si>
    <t>Docouments Provided</t>
  </si>
  <si>
    <t>Road</t>
  </si>
  <si>
    <t>Class of locality</t>
  </si>
  <si>
    <t>Nature of land with topographical condtion</t>
  </si>
  <si>
    <t xml:space="preserve">Nature of the locality </t>
  </si>
  <si>
    <t>Boundaries</t>
  </si>
  <si>
    <t>East</t>
  </si>
  <si>
    <t>West</t>
  </si>
  <si>
    <t>North</t>
  </si>
  <si>
    <t>As per deed</t>
  </si>
  <si>
    <t>At site</t>
  </si>
  <si>
    <t>Approval details:</t>
  </si>
  <si>
    <t>Total number of Buildings</t>
  </si>
  <si>
    <t>Building wise Construction details</t>
  </si>
  <si>
    <t>Undertaking :</t>
  </si>
  <si>
    <t>Authorized Signatory
                                                                                                                                                                                                                                                                                     Name &amp; Seal of the agency</t>
  </si>
  <si>
    <t>Quality of infrastructure in vicinity</t>
  </si>
  <si>
    <t>Description</t>
  </si>
  <si>
    <t>PLC Y/N</t>
  </si>
  <si>
    <t>Plinth</t>
  </si>
  <si>
    <t>RCC</t>
  </si>
  <si>
    <t>3) The information furnished above is true and correct to my/our knowledge.</t>
  </si>
  <si>
    <t xml:space="preserve">Latitude &amp; Longitude </t>
  </si>
  <si>
    <t>Flooring</t>
  </si>
  <si>
    <t>Finishing</t>
  </si>
  <si>
    <t xml:space="preserve">Valuation Report </t>
  </si>
  <si>
    <t xml:space="preserve">Details of Flats in Building   </t>
  </si>
  <si>
    <t>Yes</t>
  </si>
  <si>
    <t>Quality of construction: Good</t>
  </si>
  <si>
    <t>Violations Observed if any : NA</t>
  </si>
  <si>
    <t>NA</t>
  </si>
  <si>
    <t>South</t>
  </si>
  <si>
    <t xml:space="preserve">Distance from city centre: </t>
  </si>
  <si>
    <t>Plane</t>
  </si>
  <si>
    <t>Projected life of the structure: 60 Years After Completion</t>
  </si>
  <si>
    <t>Material laying at Site: :Bricks, Cement &amp; Steel etc.</t>
  </si>
  <si>
    <t>Wheather the construction is as per approved Building plan : Under Construction</t>
  </si>
  <si>
    <t>Does the boundaries at site match, as mentioned in the Docoumentation: NA</t>
  </si>
  <si>
    <t>Dated</t>
  </si>
  <si>
    <t xml:space="preserve">Project location details       </t>
  </si>
  <si>
    <t>Locality</t>
  </si>
  <si>
    <t>District</t>
  </si>
  <si>
    <t>Pin Code</t>
  </si>
  <si>
    <t>Near by Landmark</t>
  </si>
  <si>
    <t>Good</t>
  </si>
  <si>
    <t xml:space="preserve">Layout Approval No     </t>
  </si>
  <si>
    <t xml:space="preserve">Approval Detail : Plan approval </t>
  </si>
  <si>
    <t>Expected Completion</t>
  </si>
  <si>
    <t>Approved no of Floors</t>
  </si>
  <si>
    <r>
      <t xml:space="preserve">Proposed Amenities                                                                                                                                                                                                                                   </t>
    </r>
    <r>
      <rPr>
        <sz val="11"/>
        <rFont val="Times New Roman"/>
        <family val="1"/>
      </rPr>
      <t xml:space="preserve">1.  Vitrified tiles flooring 2. Granite Kitchen Platform  3. Decorative Enternace  etc.   </t>
    </r>
    <r>
      <rPr>
        <b/>
        <sz val="11"/>
        <rFont val="Times New Roman"/>
        <family val="1"/>
      </rPr>
      <t xml:space="preserve">                                               </t>
    </r>
  </si>
  <si>
    <t xml:space="preserve">Commencement date of construction </t>
  </si>
  <si>
    <t>Discription</t>
  </si>
  <si>
    <t>Carpet</t>
  </si>
  <si>
    <t>Fungible</t>
  </si>
  <si>
    <t>Terrace</t>
  </si>
  <si>
    <t>L</t>
  </si>
  <si>
    <t>W</t>
  </si>
  <si>
    <t>A</t>
  </si>
  <si>
    <t>Hall</t>
  </si>
  <si>
    <t>Bed1</t>
  </si>
  <si>
    <t>Bed2</t>
  </si>
  <si>
    <t>kitch</t>
  </si>
  <si>
    <t>passage1</t>
  </si>
  <si>
    <t>passage2</t>
  </si>
  <si>
    <t>passage3</t>
  </si>
  <si>
    <t>passage4</t>
  </si>
  <si>
    <t>toilet1</t>
  </si>
  <si>
    <t>toilet2</t>
  </si>
  <si>
    <t>toilet3</t>
  </si>
  <si>
    <t>Total</t>
  </si>
  <si>
    <t xml:space="preserve">Floor No </t>
  </si>
  <si>
    <t>Flat</t>
  </si>
  <si>
    <t>CB</t>
  </si>
  <si>
    <t>FB</t>
  </si>
  <si>
    <t>DB</t>
  </si>
  <si>
    <t>Approved area of the building in Sq.Mt</t>
  </si>
  <si>
    <t>Contect Details ( Name &amp; Contect No.)</t>
  </si>
  <si>
    <t>Name / no of the Building</t>
  </si>
  <si>
    <t>Does property have Electricity / Water / Drainage Connection</t>
  </si>
  <si>
    <t>Building details Floor Wise</t>
  </si>
  <si>
    <t>Floor</t>
  </si>
  <si>
    <t>Type of Structure : RCC Frame Structure</t>
  </si>
  <si>
    <t>Approved no of units</t>
  </si>
  <si>
    <t>Google Map :</t>
  </si>
  <si>
    <t>Middle Class</t>
  </si>
  <si>
    <t>Developing</t>
  </si>
  <si>
    <t>Gut. No</t>
  </si>
  <si>
    <t xml:space="preserve">RERA No. </t>
  </si>
  <si>
    <t>Open Plot</t>
  </si>
  <si>
    <t>N</t>
  </si>
  <si>
    <t>Date of approval: 31/07/2014</t>
  </si>
  <si>
    <t>O. Certificate No.: NA</t>
  </si>
  <si>
    <t>Date of approval: NA</t>
  </si>
  <si>
    <t>Axis Goregaon</t>
  </si>
  <si>
    <t>Plot No.</t>
  </si>
  <si>
    <t>Accessibility to the Project from the City:
(Proximity to civic amenities like school, hospital, market)</t>
  </si>
  <si>
    <t>all available at  1 to 5 km.</t>
  </si>
  <si>
    <t xml:space="preserve">NA Order No.: </t>
  </si>
  <si>
    <t xml:space="preserve">Approved usage of the Property: Residential
(Restrictive Covenants in regard to Land Use, if any)                                                                                                                                                </t>
  </si>
  <si>
    <t>Permissible FAR</t>
  </si>
  <si>
    <t>2BHK + Terrace</t>
  </si>
  <si>
    <t>G + 1st Floor</t>
  </si>
  <si>
    <t>Attached Terrace area
(Sq.Ft)</t>
  </si>
  <si>
    <t>Built-Up Area
(Sq.Ft)</t>
  </si>
  <si>
    <t xml:space="preserve"> Saleable area
(Sq.Ft)</t>
  </si>
  <si>
    <t>Plot Area
(Sq.Ft)</t>
  </si>
  <si>
    <t>Recommended Value of the Property :</t>
  </si>
  <si>
    <t>Permissible TDR/Paid FAR</t>
  </si>
  <si>
    <t>Total FAR availaible</t>
  </si>
  <si>
    <t>Floor Approved Plan No.</t>
  </si>
  <si>
    <t>Not Mentioned in Plan</t>
  </si>
  <si>
    <t>1) We have personally visited the property &amp; identified the same based on the documents provided.</t>
  </si>
  <si>
    <t>4) Legal title of the property is not verified by us.</t>
  </si>
  <si>
    <t>5) Gross carpet area =  Net Carpet area + Fungible area.</t>
  </si>
  <si>
    <t>6) Fungible Area= Enclosed Balcony + Flower Bed + Covered Balcony + Service Slab + Duct + Chajja + Wheather Shed area.</t>
  </si>
  <si>
    <t>2) Ie have no direct or Indirect Interest in the property being valued</t>
  </si>
  <si>
    <t>Total Approved Builtup area of the Villa in Sq. Mt.</t>
  </si>
  <si>
    <t>3BHK + Terrace</t>
  </si>
  <si>
    <t>RERA Carpet area
(Sq.Ft)</t>
  </si>
  <si>
    <t>M/s. Nirvana Leisure Realty</t>
  </si>
  <si>
    <t xml:space="preserve">8208930283 &amp; Anita- 8591302669 </t>
  </si>
  <si>
    <t>MHSL/L.N.A.1(B)/S.R.560/2014</t>
  </si>
  <si>
    <t>09/12/2015.</t>
  </si>
  <si>
    <t>Total Land Area under Layout as Per 7/12 = 80950 Sq.Mt.</t>
  </si>
  <si>
    <t>Land Area under Plots (1 to 130) = 39692 Sq.Mt.</t>
  </si>
  <si>
    <t>Bhilpada (khuravale)</t>
  </si>
  <si>
    <t>Sudhagad</t>
  </si>
  <si>
    <t>Taluka</t>
  </si>
  <si>
    <t>Raigad</t>
  </si>
  <si>
    <t>Khopoli Pali Road</t>
  </si>
  <si>
    <t>Lake City Apratim Group</t>
  </si>
  <si>
    <t>Khopoli to Pali Road</t>
  </si>
  <si>
    <t>River</t>
  </si>
  <si>
    <t>Approved Layout &amp; NA order (By District Collector of Raigad)
Building/Villa Floor Plan &amp; CC Approved by Grampanchayat, Chive, Tal. Sudhagad, Dist. Raigad.</t>
  </si>
  <si>
    <t>Building/Villa Floor Plan-Approved by Grampanchayat of Chive, Tal. Sudhagad, Dist. Raigad.</t>
  </si>
  <si>
    <t>Approved by Grampanchayat of Chive, Tal. Sudhagad, Dist. Raigad.</t>
  </si>
  <si>
    <t>Date of CC
Approved by Grampanchayat of Chive, Tal. Sudhagad, Dist. Raigad.</t>
  </si>
  <si>
    <t>City of Music Phase II &amp; Phase III, On Gat No. 70/1A, 70/1B, 73/1A, 73/4, 73/5A, 75/1B, 75/1A/1, 75/1A/2, 78/1A, 78/1B, 76/1, 76/2 of Village - Bhilpada, Bhilpada Khopoli Road, Khopoli-Pali National Highway, Opp Lake City, Pali, Tal -Sudhagad, Dist -Raigad- 410205.</t>
  </si>
  <si>
    <t>Bungalow/Villa on Plot no.75 = Villa No.75</t>
  </si>
  <si>
    <t>Bungalow/Villa on Plot no.81 = Villa No.81</t>
  </si>
  <si>
    <t>Bungalow/Villa on Plot no.109 = Villa No.109</t>
  </si>
  <si>
    <t>About 7 Km from Pali Bus Stand</t>
  </si>
  <si>
    <t>Bungalow/Villa on Plot no.24B = Villa No.24B</t>
  </si>
  <si>
    <t>24B</t>
  </si>
  <si>
    <t>Distressed valuation of the Property</t>
  </si>
  <si>
    <t>Recommended rate of the Plot + Villa Per Sq. Ft. (on Saleable area)</t>
  </si>
  <si>
    <t>Bungalow/Villa on Plot no.16 = Villa No.16</t>
  </si>
  <si>
    <t xml:space="preserve">2BHK </t>
  </si>
  <si>
    <t xml:space="preserve">1BHK </t>
  </si>
  <si>
    <t>3BHK</t>
  </si>
  <si>
    <t>Ground</t>
  </si>
  <si>
    <t xml:space="preserve">Stage of construction: </t>
  </si>
  <si>
    <t>Progress %</t>
  </si>
  <si>
    <t>Disbursement %</t>
  </si>
  <si>
    <t>Excavation</t>
  </si>
  <si>
    <t>Internal Plaster</t>
  </si>
  <si>
    <t>Possession</t>
  </si>
  <si>
    <t>Bungalow/Villa on Plot no.19A = Villa No.19A</t>
  </si>
  <si>
    <t>G + Terrace Floor</t>
  </si>
  <si>
    <t>Bungalow/Villa on Plot no.19B = Villa No.19B</t>
  </si>
  <si>
    <t>Bungalow/Villa on Plot no.96 = Villa No.96</t>
  </si>
  <si>
    <t>Bungalow/Villa on Plot no.91 = Villa No.91</t>
  </si>
  <si>
    <t>Bungalow/Villa on Plot no.89 = Villa No.89</t>
  </si>
  <si>
    <t>Bungalow/Villa on Plot no.49 = Villa No.49</t>
  </si>
  <si>
    <t>Bungalow/Villa on Plot no.48 = Villa No.48</t>
  </si>
  <si>
    <t>Bungalow/Villa on Plot no.01 = Villa No.01</t>
  </si>
  <si>
    <t>Bungalow/Villa on Plot no.101 = Villa No.101</t>
  </si>
  <si>
    <t>Bungalow/Villa on Plot no.122A = Villa No.122A</t>
  </si>
  <si>
    <t>Bungalow/Villa on Plot no.122B = Villa No.122B</t>
  </si>
  <si>
    <t>City of Music</t>
  </si>
  <si>
    <t>Bungalow/Villa on Plot no.108 = Villa No.108</t>
  </si>
  <si>
    <t>G + 1st Floor + Terrace</t>
  </si>
  <si>
    <t>Bungalow/Villa on Plot no.30 = Villa No.30A</t>
  </si>
  <si>
    <t>Bungalow/Villa on Plot no.30 = Villa No.30B</t>
  </si>
  <si>
    <t>Ground Floor</t>
  </si>
  <si>
    <t>125B</t>
  </si>
  <si>
    <t>Bungalow/Villa on Plot no.36 = Villa No.36</t>
  </si>
  <si>
    <t>Bungalow/Villa on Plot no.45 = Villa No.45</t>
  </si>
  <si>
    <t>Bungalow/Villa on Plot no.125B = Villa No.125B</t>
  </si>
  <si>
    <t xml:space="preserve">4BHK </t>
  </si>
  <si>
    <t>Note - Deck Area &amp; Pool Area is not Considered in any villa</t>
  </si>
  <si>
    <t>Development  Charges</t>
  </si>
  <si>
    <t xml:space="preserve">Resort Membership </t>
  </si>
  <si>
    <t>Legal Charges</t>
  </si>
  <si>
    <t>2,00,000/-</t>
  </si>
  <si>
    <t>1,50,000/-</t>
  </si>
  <si>
    <t>15,000/-</t>
  </si>
  <si>
    <t>Bungalow/Villa on Plot no.86 = Villa No.86</t>
  </si>
  <si>
    <t>Bungalow/Villa on Plot no.111 = Villa No.111</t>
  </si>
  <si>
    <t>19A</t>
  </si>
  <si>
    <t>19B</t>
  </si>
  <si>
    <t>20A</t>
  </si>
  <si>
    <t>20B</t>
  </si>
  <si>
    <t>Plot no</t>
  </si>
  <si>
    <t>21A</t>
  </si>
  <si>
    <t>21B</t>
  </si>
  <si>
    <t>23A</t>
  </si>
  <si>
    <t>23B</t>
  </si>
  <si>
    <t>24A</t>
  </si>
  <si>
    <t>26A</t>
  </si>
  <si>
    <t>26B</t>
  </si>
  <si>
    <t>27A</t>
  </si>
  <si>
    <t>27B</t>
  </si>
  <si>
    <t>30A</t>
  </si>
  <si>
    <t>30B</t>
  </si>
  <si>
    <t>31A</t>
  </si>
  <si>
    <t>31B</t>
  </si>
  <si>
    <t>32A</t>
  </si>
  <si>
    <t>32B</t>
  </si>
  <si>
    <t>33A</t>
  </si>
  <si>
    <t>33B</t>
  </si>
  <si>
    <t>38A</t>
  </si>
  <si>
    <t>38B</t>
  </si>
  <si>
    <t>39A</t>
  </si>
  <si>
    <t>39B</t>
  </si>
  <si>
    <t>121A</t>
  </si>
  <si>
    <t>121B</t>
  </si>
  <si>
    <t>122A</t>
  </si>
  <si>
    <t>122B</t>
  </si>
  <si>
    <t>123A</t>
  </si>
  <si>
    <t>123B</t>
  </si>
  <si>
    <t>124A</t>
  </si>
  <si>
    <t>124B</t>
  </si>
  <si>
    <t>125A</t>
  </si>
  <si>
    <t>126A</t>
  </si>
  <si>
    <t>126B</t>
  </si>
  <si>
    <t>Total land area of the plot in Sq. Mt</t>
  </si>
  <si>
    <t>land area 
Sq. Ft.</t>
  </si>
  <si>
    <t>land area 
Sq. Mt</t>
  </si>
  <si>
    <t>Brick work</t>
  </si>
  <si>
    <t>Ext. Plaster</t>
  </si>
  <si>
    <t>Painting</t>
  </si>
  <si>
    <t>G + 1</t>
  </si>
  <si>
    <t>Construction details :</t>
  </si>
  <si>
    <t>Stage of construction</t>
  </si>
  <si>
    <t>Bungalow/Villa on Plot no.31 (A &amp; B) = Villa No.31</t>
  </si>
  <si>
    <t>31A &amp; B</t>
  </si>
  <si>
    <t>As per market inqury(Index II) rate has changed from 5000/- to 5400/- (By rakesh Sir)</t>
  </si>
  <si>
    <t>Bungalow/Villa on Plot no.17 = Villa No.17</t>
  </si>
  <si>
    <t>Bungalow/Villa on Plot no.118 = Villa No.118</t>
  </si>
  <si>
    <t>Approved &amp; C.C Updated date</t>
  </si>
  <si>
    <t>1. Plot No.24B = Villa 24B</t>
  </si>
  <si>
    <t>2. Plot No.16 = Villa 16</t>
  </si>
  <si>
    <t>3. Villa on.89, 91, 1, 48, 96, 19A, 101, 49, 122A &amp; B</t>
  </si>
  <si>
    <t xml:space="preserve">4. Plot No.108 = Villa 108 </t>
  </si>
  <si>
    <t>5. Plot No.30 = Villa 30A &amp; 30B</t>
  </si>
  <si>
    <t xml:space="preserve">6. Plot No.36, 45 &amp; 125B = Villa 36, 45 &amp; 125B </t>
  </si>
  <si>
    <t>7. Plot No.86 &amp; 111 = Villa 86 &amp; 111</t>
  </si>
  <si>
    <t>8. Plot No.31 = Villa 31</t>
  </si>
  <si>
    <t>9. Plot No.17 &amp; 118 = Villa 17 &amp; 118</t>
  </si>
  <si>
    <t>Plot No./Villa No.</t>
  </si>
  <si>
    <t>G +1</t>
  </si>
  <si>
    <t>Bungalow/Villa on Plot no.58 = Villa No.58</t>
  </si>
  <si>
    <t>Bungalow/Villa on Plot no.72 = Villa No.72</t>
  </si>
  <si>
    <t>1BHK</t>
  </si>
  <si>
    <t>Bungalow/Villa on Plot no.128 = Villa No.128</t>
  </si>
  <si>
    <t>10. Plot No.44, 72, 128 = Villa 44, 72, 128</t>
  </si>
  <si>
    <t>Bungalow/Villa on Plot no.44 = Villa No.44</t>
  </si>
  <si>
    <t>Bungalow/Villa on Plot no.64= Villa No.64</t>
  </si>
  <si>
    <t>11. Plot No.64 = Villa 64</t>
  </si>
  <si>
    <t>Bungalow/Villa on Plot no.112 = Villa No.112</t>
  </si>
  <si>
    <t>Bungalow/Villa on Plot no.62= Villa No.62</t>
  </si>
  <si>
    <t xml:space="preserve">G + 1st Floor </t>
  </si>
  <si>
    <t>Bungalow/Villa on Plot no.63= Villa No.63</t>
  </si>
  <si>
    <t>Bungalow/Villa on Plot no.114 = Villa No.114</t>
  </si>
  <si>
    <t>12. Plot No.62, 63, 112 &amp; 114 = Villa 62, 63, 112 &amp; 114</t>
  </si>
  <si>
    <t>Bungalow/Villa on Plot no.27A = Villa No.27A</t>
  </si>
  <si>
    <t>Bungalow/Villa on Plot no.94 = Villa No.94</t>
  </si>
  <si>
    <t>13. Plot No.27A = Villa 27A</t>
  </si>
  <si>
    <t>14. Plot No.94 = Villa 94</t>
  </si>
  <si>
    <t>Bungalow/Villa on Plot no.25 = Villa No.25</t>
  </si>
  <si>
    <t>Bungalow/Villa on Plot no.52 = Villa No52</t>
  </si>
  <si>
    <t>Bungalow/Villa on Plot no.92 = Villa No.92</t>
  </si>
  <si>
    <t>15. Plot No.25, 52, 92 = Villa 25, 52, 92</t>
  </si>
  <si>
    <t>Excavation work Completed. Plinth work completed, RCC Slab, Brickwork, Internal Plaster, External Plaster Completed</t>
  </si>
  <si>
    <t>Excavation work Completed. Plinth work completed</t>
  </si>
  <si>
    <t>Excavation work Completed. Plinth work completed, RCC Slab, Brickwork upto 0.5 Floor Completed</t>
  </si>
  <si>
    <t>Excavation work Completed. Plinth work completed, RCC Slab Completed</t>
  </si>
  <si>
    <t>Excavation work Completed. Plinth work completed, RCC upto 1 Slab, Brickwork upto 0.25 Floor Completed</t>
  </si>
  <si>
    <t>Excavation work Completed. Plinth work completed, RCC upto 1 Slab Completed</t>
  </si>
  <si>
    <t>Excavation work Completed. Plinth work completed, RCC Slab, Brickwork upto 0.6 Floor Completed</t>
  </si>
  <si>
    <t>Excavation work Completed. Plinth work completed, RCC Slab, Brickwork, Internal Plaster, External Plaster upto 0.75 Floor Completed</t>
  </si>
  <si>
    <t>Excavation work Completed. Plinth work completed, RCC Slab, Brickwork, Internal Plaster upto 0.5 Floor, External Plaster upto 0.5 Floor Completed</t>
  </si>
  <si>
    <t>Excavation work Completed. Plinth work completed, RCC Slab, Brickwork Completed</t>
  </si>
  <si>
    <t>Excavation work Completed. Plinth work completed, RCC upto 1.5 Slab, Brickwork Completed</t>
  </si>
  <si>
    <t>All work completed. Please provide OC.</t>
  </si>
  <si>
    <t>Excavation work Completed. Plinth work completed, RCC Slab, Brickwork, External Plaster upto 0.2 Floor Completed</t>
  </si>
  <si>
    <t>Excavation work Completed. Plinth work completed, RCC Slab, Brickwork, Internal Plaster, External Plaster upto 0.5 Floor Completed</t>
  </si>
  <si>
    <t>Excavation work Completed. Plinth work completed, RCC Slab, Brickwork, Internal Plaster Completed</t>
  </si>
  <si>
    <t>Excavation work Completed. Plinth work completed, RCC Slab, Brickwork, External Plaster upto 0.6 Floor Completed</t>
  </si>
  <si>
    <t>Excavation work Completed. Plinth work completed, RCC Slab, Brickwork, External Plaster upto 0.7 Floor Completed</t>
  </si>
  <si>
    <t>Bungalow/Villa on Plot no.127 = Villa No.127</t>
  </si>
  <si>
    <t>Bungalow/Villa on Plot no.87 = Villa No.87</t>
  </si>
  <si>
    <t>Bungalow/Villa on Plot no.38B = Villa No.38B</t>
  </si>
  <si>
    <t xml:space="preserve">3BHK </t>
  </si>
  <si>
    <t>Bungalow/Villa on Plot no.23A = Villa No.23A</t>
  </si>
  <si>
    <t>Bungalow/Villa on Plot no.24A = Villa No.24A</t>
  </si>
  <si>
    <t>Bungalow/Villa on Plot no.61= Villa No.61</t>
  </si>
  <si>
    <t>G + 2nd Floor</t>
  </si>
  <si>
    <t>G + 2</t>
  </si>
  <si>
    <t xml:space="preserve">17. Plot No.24 &amp; 61 = Villa 24A, 61
</t>
  </si>
  <si>
    <t xml:space="preserve">18. Plot No.47 = Villa 47
</t>
  </si>
  <si>
    <t>Bungalow/Villa on Plot no.27B = Villa No.27B</t>
  </si>
  <si>
    <t>18. Plot No.27 = Villa 27B</t>
  </si>
  <si>
    <t>2BHK+
Terrace</t>
  </si>
  <si>
    <t>Bungalow/Villa on Plot no.47 = Villa No.47</t>
  </si>
  <si>
    <t>Bungalow/Villa on Plot no.121A = Villa No.121A</t>
  </si>
  <si>
    <t>19. Plot No.121A = Villa 121A</t>
  </si>
  <si>
    <r>
      <t xml:space="preserve">
.
25/01/2021.
28/10/2020.
25/01/2021.
24/01/2021.
25/01/2021.
25/05/2021.
</t>
    </r>
    <r>
      <rPr>
        <b/>
        <sz val="11"/>
        <rFont val="Times New Roman"/>
        <family val="1"/>
      </rPr>
      <t>25/05/2021.</t>
    </r>
    <r>
      <rPr>
        <sz val="11"/>
        <rFont val="Times New Roman"/>
        <family val="1"/>
      </rPr>
      <t xml:space="preserve">
25/05/2021.
25/05/2021.
25/05/2021.
25/01/2021.
25/01/2021.
25/05/2021.
25/01/2021.
25/01/2021.
25/05/2021.
28/10/2020.
27/09/2021.
27/09/2021.
27/09/2021.
25/05/2021.
27/09/2021.
25/01/2021.
25/01/2021.
25/05/2021.
25/05/2021.
27/09/2021.
25/05/2021.
27/09/2021.</t>
    </r>
  </si>
  <si>
    <r>
      <t xml:space="preserve">
G.No.148 = Plot No.75
G.No.97/8 = Plot No.81
G.No.22 = Plot No.47 &amp; 48
G.No.22 = Plot No.49, 27B
G.No.22 = Plot No.91
G.No.22 = Plot No.101
G.No.22 = Plot No.10
G.No.22 = Plot No.45
G.No.22 = Plot No.111
G.No.97/8 = Plot No.31
Plot No.17
Plot No.118
</t>
    </r>
    <r>
      <rPr>
        <b/>
        <sz val="11"/>
        <rFont val="Times New Roman"/>
        <family val="1"/>
      </rPr>
      <t>G.No.86 = Plot No.44, 62, 63, 64, 23A, 121A</t>
    </r>
    <r>
      <rPr>
        <sz val="11"/>
        <rFont val="Times New Roman"/>
        <family val="1"/>
      </rPr>
      <t xml:space="preserve">
G.No.22 = Plot No.72
G.No.128 = Plot No.128
G.No.22 = Plot No.27A
G.No.22 = Plot No.94
G.No86 = Plot No.25, 52
G.No.22 = Plot No.92
G.No.86 = Plot No.127
</t>
    </r>
  </si>
  <si>
    <t xml:space="preserve">G + 1 </t>
  </si>
  <si>
    <t>Construction Same (30/09/2022) - 16, 17, 19A, 27B, 31 (A&amp;B), 48, 49, 58, 64, 96, 111, 127, 128</t>
  </si>
  <si>
    <t>All Work Completed (30/09/2022) - 109, 120, 119, 84, 121A</t>
  </si>
  <si>
    <t>Bungalow/Villa on Plot no.32B = Villa No.32B</t>
  </si>
  <si>
    <t>20. Plot No.32A = Villa 32A</t>
  </si>
  <si>
    <t>Construction Same (15/02/2023) - 17, 19A, 23A 91</t>
  </si>
  <si>
    <t>All Work Completed (15/02/2023) - 109, 120, 119, 84, 121A,58,89, 93,111</t>
  </si>
  <si>
    <t>G+1</t>
  </si>
  <si>
    <t>Bungalow/Villa on Plot no.76 = Villa No.76</t>
  </si>
  <si>
    <t>21. Plot No.76 = Villa 76</t>
  </si>
  <si>
    <t>Location Link</t>
  </si>
  <si>
    <t>https://goo.gl/maps/oVmqb6v4ryeNTcUi9</t>
  </si>
  <si>
    <t>G + 1st Floor  + Terrace</t>
  </si>
  <si>
    <t>Bungalow/Villa on Plot no.10 = Villa No.10</t>
  </si>
  <si>
    <t>City of Music Phase IV = P52000050052</t>
  </si>
  <si>
    <t>18.5858931,73.2532133</t>
  </si>
  <si>
    <t>Bungalow/Villa on Plot no.126B = Villa No.126B</t>
  </si>
  <si>
    <t xml:space="preserve">16. Plot No.127 = Villa 127
      Plot No.87 = Villa 87
      Plot No.23A = Villa 23A, Plot No. 38B = Villa 38B
</t>
  </si>
  <si>
    <t>14/06/2022
18/06/2022
20/06/2022</t>
  </si>
  <si>
    <t xml:space="preserve">PHOTOGRAPHS OF PROPERTY : </t>
  </si>
  <si>
    <t>Bungalow/Villa on Plot no.102 = Villa No.102</t>
  </si>
  <si>
    <t>2BHK</t>
  </si>
  <si>
    <t>22. Plot No.10 = Villa 10</t>
  </si>
  <si>
    <t>23. Plot No.126B = Villa 126B</t>
  </si>
  <si>
    <t>24. Plot No.102 = Villa 102</t>
  </si>
  <si>
    <t xml:space="preserve">City of Music Phase II = P52000016821 - Plot No. 01, 58, 61, 62, 63, 64, 66, 81, 84, 86, 87, 89, 91, 92, 93, 94, 96, 101, 102
City of Music Phase III = P52000027911- Plot No. 01, 10, 16, 17, 19A, 23A, 24A, 24B, 25, 27A, 27B, 30A, 30B, 31, 32B, 36, 38B, 44, 45, 47, 48, 49, 52, 76, 108, 109,  110, 111,112, 114, 118, 119, 120, 121A, 122 (A &amp; B), 125B,  128
Not registered on RERA = Plot No.126B
</t>
  </si>
  <si>
    <t xml:space="preserve">G.No.17/8 = Plot No.16
G.No.142 = Plot No.01, 24 (A&amp;B), 30, 36, 38B, 58, 61, 86, 87, 89, 109, 112, 114, 122 (A&amp;B), 125B
G.No.22 = Plot No. 47, 48, 49, 27B, 91, 101, 10, 45, 111, 72, 27A, 94, 92, 32B, 126B
G.No.48 = Plot No. 75
G.No.97/8 = Plot No. 81, 31, 17, 118
G.No. 86 = Plot No.25, 52, 127, 44, 62, 63, 64, 23A, 121A, 76, 102
G.No.128 = Plot No.128
G.No.97/8 = Plot No.10
</t>
  </si>
  <si>
    <t>Bungalow/Villa on Plot no.66 = Villa No.66</t>
  </si>
  <si>
    <t>25. Plot No.66 = Villa 66</t>
  </si>
  <si>
    <t>Villa/Plot no.1, 10, 16, 17, 19A, 23A, 24A, 24B, 25, 27A, 27B, 30B, 31, 32 B, 36, 38B, 44, 45, 47, 48, 49, 52, 58, 61, 62, 63, 64, 75, 76, 81, 84, 86, 87, 89, 91, 92, 93, 94, 96, 101, 108, 109, 110, 111,112, 114, 118, 119, 120, 125B, 122 (A &amp; B), 127, 128 = G + 1st Floor
Villa/Plot no.23A, 30A &amp; 72 = Ground Floor
Villa/Plot no.102, 66</t>
  </si>
  <si>
    <t>60 Villas</t>
  </si>
  <si>
    <t xml:space="preserve">Office No. 1031, Wing J, Akshar Business Park, Plot No. 03 Sector 25, Near APMC Market, Vashi, 
Navi Mumbai, Maharashtra 400703 TEL: 022-46090378/79/80                                                                                                                          E mail : vsjcapf@gmail.com. Web site : www.vsjadon.com
</t>
  </si>
  <si>
    <t>Villa/Plot no. 01, 10, 16, 17, 19A, 23A, 24A, 24B, 25, 27A, 27B
30A, 30B, 31, 32B, 36, 38B, 44, 45, 47, 48, 49
52, 58, 61, 62, 63, 64, 66, 72, 75, 76 
81, 84, 86, 87, 89, 91, 92, 93, 94, 96
101, 102, 108, 109, 110, 111,112, 114, 118, 119, 120
121A, 122 (A &amp; B), 125B, 126B, 127, 128</t>
  </si>
  <si>
    <t>Progress</t>
  </si>
  <si>
    <t>Disbursement</t>
  </si>
  <si>
    <t>Remarks :</t>
  </si>
  <si>
    <t>All work Completed. Please provide OC.</t>
  </si>
  <si>
    <t>Plot No. 128</t>
  </si>
  <si>
    <t>Work is same as last visit (02/09/2023).</t>
  </si>
  <si>
    <t>Construction work is in process at the time of visit.</t>
  </si>
  <si>
    <t>Plot No. 31, 102</t>
  </si>
  <si>
    <t xml:space="preserve">Plot No.1, 10, 16, 24A, 24B, 27A, 27B, 30A, 30B, 44, 45, 47 to 49, 58, 61 to 64, 66, 75, 84, 89, 93, 96, 101, 108 to 112, 114, 118 to 120, 121A, 122A, 122B, 125B, 127 </t>
  </si>
  <si>
    <t>Plot No. 38B</t>
  </si>
  <si>
    <t>Work is same as last visit (18/12/2023).</t>
  </si>
  <si>
    <t xml:space="preserve">2. We considered Saleable area as per our calculation.
3. We have considered rate by verifying it from market inquire.
4. We adopted Carpet area from Plans which are verified by grampanchayat.
5. We received Approved Layout &amp; NA order (By District Collector of Raigad)
    Building/Villa Floor Plan &amp; CC (By Grampanchayat, Chive, Tal. Sudhagad, Dist. Raigad).
6. On Site, we meet Mr.Vinod (Project manager) - 9769099014.
</t>
  </si>
  <si>
    <t>Already given extra stage for 38A. Work is same as last visit (18/12/2023)</t>
  </si>
  <si>
    <t>21/10/2020
25/01/2021
25/05/2021
25/01/2021
28/10/2020
27/09/2021
27/09/2021
29/10/2020</t>
  </si>
  <si>
    <t xml:space="preserve">1, 10, 16, 17, 19A, 
23A, 24A, 24B, 25, 27A, 
27B, 30A, 30B,
32B, 36, 44, 45, 47 to 49, 
52, 58, 61 to 64, 66,72, 75, 76, 
81, 84, 86, 87, 89, 
91, 92, 93, 94, 96, 
101, 108 to 112, 114, 118 to 120, 121A, 122A, 122B, 125B, 126B, 127 </t>
  </si>
  <si>
    <t>70/1A, 70/1B, 73/1A, 73/1B, 73/4, 73/5A, 75/1A/1, 75/1A/2, 75/1B, 78/1A, 78/1B, 76/1, 76/2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</si>
</sst>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fonts count="17" x14ac:knownFonts="1">
    <font>
      <sz val="11"/>
      <color theme="1"/>
      <name val="Calibri"/>
      <family val="2"/>
      <scheme val="minor"/>
    </font>
    <font>
      <sz val="11"/>
      <color indexed="8"/>
      <name val="Calibri"/>
      <family val="2"/>
    </font>
    <font>
      <b/>
      <sz val="11"/>
      <name val="Times New Roman"/>
      <family val="1"/>
    </font>
    <font>
      <sz val="11"/>
      <name val="Times New Roman"/>
      <family val="1"/>
    </font>
    <font>
      <sz val="11"/>
      <name val="Calibri"/>
      <family val="2"/>
    </font>
    <font>
      <sz val="12"/>
      <name val="Times New Roman"/>
      <family val="1"/>
    </font>
    <font>
      <sz val="11"/>
      <color theme="1"/>
      <name val="Calibri"/>
      <family val="2"/>
      <scheme val="minor"/>
    </font>
    <font>
      <b/>
      <sz val="11"/>
      <color theme="1"/>
      <name val="Calibri"/>
      <family val="2"/>
      <scheme val="minor"/>
    </font>
    <font>
      <sz val="11"/>
      <name val="Calibri"/>
      <family val="2"/>
      <scheme val="minor"/>
    </font>
    <font>
      <b/>
      <sz val="11"/>
      <name val="Calibri"/>
      <family val="2"/>
      <scheme val="minor"/>
    </font>
    <font>
      <sz val="12"/>
      <color theme="1"/>
      <name val="Times New Roman"/>
      <family val="1"/>
    </font>
    <font>
      <sz val="11"/>
      <color theme="1"/>
      <name val="Times New Roman"/>
      <family val="1"/>
    </font>
    <font>
      <sz val="11"/>
      <color rgb="FF000000"/>
      <name val="Calibri"/>
      <family val="2"/>
    </font>
    <font>
      <sz val="11"/>
      <color rgb="FFFF0000"/>
      <name val="Times New Roman"/>
      <family val="1"/>
    </font>
    <font>
      <b/>
      <sz val="11"/>
      <color theme="1"/>
      <name val="Times New Roman"/>
      <family val="1"/>
    </font>
    <font>
      <sz val="11"/>
      <color rgb="FFFF0000"/>
      <name val="Calibri"/>
      <family val="2"/>
      <scheme val="minor"/>
    </font>
    <font>
      <u/>
      <sz val="11"/>
      <color theme="10"/>
      <name val="Calibri"/>
      <family val="2"/>
      <scheme val="minor"/>
    </font>
  </fonts>
  <fills count="9">
    <fill>
      <patternFill patternType="none"/>
    </fill>
    <fill>
      <patternFill patternType="gray125"/>
    </fill>
    <fill>
      <patternFill patternType="solid">
        <fgColor rgb="FFFFFF00"/>
        <bgColor indexed="64"/>
      </patternFill>
    </fill>
    <fill>
      <patternFill patternType="solid">
        <fgColor theme="0"/>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39997558519241921"/>
        <bgColor indexed="64"/>
      </patternFill>
    </fill>
    <fill>
      <patternFill patternType="solid">
        <fgColor theme="6" tint="-0.249977111117893"/>
        <bgColor indexed="64"/>
      </patternFill>
    </fill>
    <fill>
      <patternFill patternType="solid">
        <fgColor theme="8" tint="0.79998168889431442"/>
        <bgColor indexed="64"/>
      </patternFill>
    </fill>
  </fills>
  <borders count="28">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s>
  <cellStyleXfs count="6">
    <xf numFmtId="0" fontId="0" fillId="0" borderId="0"/>
    <xf numFmtId="0" fontId="1" fillId="0" borderId="0"/>
    <xf numFmtId="0" fontId="6" fillId="0" borderId="0"/>
    <xf numFmtId="0" fontId="6" fillId="0" borderId="0"/>
    <xf numFmtId="0" fontId="12" fillId="0" borderId="0"/>
    <xf numFmtId="0" fontId="16" fillId="0" borderId="0" applyNumberFormat="0" applyFill="0" applyBorder="0" applyAlignment="0" applyProtection="0"/>
  </cellStyleXfs>
  <cellXfs count="279">
    <xf numFmtId="0" fontId="0" fillId="0" borderId="0" xfId="0"/>
    <xf numFmtId="0" fontId="0" fillId="0" borderId="1" xfId="0" applyBorder="1"/>
    <xf numFmtId="0" fontId="7" fillId="0" borderId="1" xfId="0" applyFont="1" applyBorder="1"/>
    <xf numFmtId="0" fontId="0" fillId="0" borderId="2" xfId="0" applyBorder="1"/>
    <xf numFmtId="0" fontId="0" fillId="2" borderId="1" xfId="0" applyFill="1" applyBorder="1"/>
    <xf numFmtId="0" fontId="7" fillId="0" borderId="1" xfId="0" applyFont="1" applyBorder="1" applyAlignment="1">
      <alignment horizontal="center"/>
    </xf>
    <xf numFmtId="0" fontId="8" fillId="0" borderId="0" xfId="0" applyFont="1"/>
    <xf numFmtId="0" fontId="3" fillId="0" borderId="1" xfId="0" applyFont="1" applyBorder="1" applyAlignment="1">
      <alignment vertical="top" wrapText="1"/>
    </xf>
    <xf numFmtId="0" fontId="3" fillId="0" borderId="1" xfId="0" applyFont="1" applyBorder="1" applyAlignment="1">
      <alignment horizontal="center" vertical="top" wrapText="1"/>
    </xf>
    <xf numFmtId="2" fontId="8" fillId="0" borderId="0" xfId="0" applyNumberFormat="1" applyFont="1"/>
    <xf numFmtId="0" fontId="3" fillId="3" borderId="1" xfId="0" applyFont="1" applyFill="1" applyBorder="1" applyAlignment="1">
      <alignment horizontal="left" vertical="top"/>
    </xf>
    <xf numFmtId="0" fontId="3" fillId="3" borderId="1" xfId="0" applyFont="1" applyFill="1" applyBorder="1" applyAlignment="1">
      <alignment vertical="top"/>
    </xf>
    <xf numFmtId="0" fontId="4" fillId="0" borderId="0" xfId="1" applyFont="1"/>
    <xf numFmtId="1" fontId="2" fillId="0" borderId="1" xfId="0" applyNumberFormat="1" applyFont="1" applyBorder="1" applyAlignment="1">
      <alignment horizontal="center" vertical="top" wrapText="1"/>
    </xf>
    <xf numFmtId="0" fontId="2" fillId="0" borderId="0" xfId="0" applyFont="1" applyAlignment="1">
      <alignment vertical="top" wrapText="1"/>
    </xf>
    <xf numFmtId="0" fontId="9" fillId="0" borderId="0" xfId="0" applyFont="1"/>
    <xf numFmtId="0" fontId="2" fillId="0" borderId="0" xfId="0" applyFont="1"/>
    <xf numFmtId="0" fontId="4" fillId="2" borderId="0" xfId="1" applyFont="1" applyFill="1"/>
    <xf numFmtId="0" fontId="11" fillId="0" borderId="0" xfId="0" applyFont="1" applyAlignment="1">
      <alignment horizontal="center"/>
    </xf>
    <xf numFmtId="0" fontId="11" fillId="0" borderId="1" xfId="0" applyFont="1" applyBorder="1" applyAlignment="1">
      <alignment horizontal="center"/>
    </xf>
    <xf numFmtId="0" fontId="11" fillId="0" borderId="0" xfId="0" applyFont="1"/>
    <xf numFmtId="0" fontId="11" fillId="2" borderId="1" xfId="0" applyFont="1" applyFill="1" applyBorder="1" applyAlignment="1">
      <alignment horizontal="center"/>
    </xf>
    <xf numFmtId="0" fontId="0" fillId="2" borderId="0" xfId="0" applyFill="1"/>
    <xf numFmtId="0" fontId="11" fillId="4" borderId="1" xfId="0" applyFont="1" applyFill="1" applyBorder="1" applyAlignment="1">
      <alignment horizontal="center"/>
    </xf>
    <xf numFmtId="1" fontId="11" fillId="4" borderId="1" xfId="0" applyNumberFormat="1" applyFont="1" applyFill="1" applyBorder="1" applyAlignment="1">
      <alignment horizontal="center"/>
    </xf>
    <xf numFmtId="1" fontId="11" fillId="0" borderId="1" xfId="0" applyNumberFormat="1" applyFont="1" applyBorder="1" applyAlignment="1">
      <alignment horizontal="center"/>
    </xf>
    <xf numFmtId="0" fontId="11" fillId="0" borderId="1" xfId="0" applyFont="1" applyBorder="1" applyAlignment="1">
      <alignment horizontal="center" vertical="top" wrapText="1"/>
    </xf>
    <xf numFmtId="0" fontId="11" fillId="4" borderId="0" xfId="0" applyFont="1" applyFill="1"/>
    <xf numFmtId="0" fontId="11" fillId="0" borderId="0" xfId="0" applyFont="1" applyAlignment="1">
      <alignment horizontal="center" vertical="top" wrapText="1"/>
    </xf>
    <xf numFmtId="0" fontId="11" fillId="0" borderId="1" xfId="0" applyFont="1" applyBorder="1"/>
    <xf numFmtId="0" fontId="11" fillId="0" borderId="16" xfId="0" applyFont="1" applyBorder="1"/>
    <xf numFmtId="9" fontId="10" fillId="4" borderId="1" xfId="3" applyNumberFormat="1" applyFont="1" applyFill="1" applyBorder="1" applyAlignment="1" applyProtection="1">
      <alignment vertical="center" wrapText="1"/>
      <protection hidden="1"/>
    </xf>
    <xf numFmtId="0" fontId="5" fillId="4" borderId="1" xfId="3" applyFont="1" applyFill="1" applyBorder="1" applyAlignment="1" applyProtection="1">
      <alignment horizontal="center" vertical="top"/>
      <protection locked="0"/>
    </xf>
    <xf numFmtId="0" fontId="11" fillId="0" borderId="3" xfId="0" applyFont="1" applyBorder="1" applyAlignment="1">
      <alignment horizontal="center" vertical="top" wrapText="1"/>
    </xf>
    <xf numFmtId="0" fontId="11" fillId="0" borderId="3" xfId="0" applyFont="1" applyBorder="1" applyAlignment="1">
      <alignment horizontal="center"/>
    </xf>
    <xf numFmtId="0" fontId="11" fillId="0" borderId="3" xfId="0" applyFont="1" applyBorder="1"/>
    <xf numFmtId="0" fontId="11" fillId="0" borderId="16" xfId="0" applyFont="1" applyBorder="1" applyAlignment="1">
      <alignment horizontal="center"/>
    </xf>
    <xf numFmtId="0" fontId="11" fillId="0" borderId="17" xfId="0" applyFont="1" applyBorder="1" applyAlignment="1">
      <alignment horizontal="center"/>
    </xf>
    <xf numFmtId="0" fontId="11" fillId="0" borderId="17" xfId="0" applyFont="1" applyBorder="1"/>
    <xf numFmtId="0" fontId="10" fillId="4" borderId="1" xfId="3" applyFont="1" applyFill="1" applyBorder="1" applyProtection="1">
      <protection hidden="1"/>
    </xf>
    <xf numFmtId="1" fontId="3" fillId="0" borderId="1" xfId="0" applyNumberFormat="1" applyFont="1" applyBorder="1" applyAlignment="1">
      <alignment vertical="center" wrapText="1"/>
    </xf>
    <xf numFmtId="1" fontId="3" fillId="0" borderId="1" xfId="0" applyNumberFormat="1" applyFont="1" applyBorder="1" applyAlignment="1">
      <alignment horizontal="center" vertical="center" wrapText="1"/>
    </xf>
    <xf numFmtId="1" fontId="13" fillId="0" borderId="1" xfId="0" applyNumberFormat="1" applyFont="1" applyBorder="1" applyAlignment="1">
      <alignment horizontal="center" vertical="center" wrapText="1"/>
    </xf>
    <xf numFmtId="1" fontId="3" fillId="0" borderId="1" xfId="0" applyNumberFormat="1" applyFont="1" applyBorder="1" applyAlignment="1">
      <alignment horizontal="left" vertical="center" wrapText="1"/>
    </xf>
    <xf numFmtId="0" fontId="3" fillId="0" borderId="7" xfId="3" applyFont="1" applyBorder="1" applyAlignment="1" applyProtection="1">
      <alignment horizontal="center" vertical="center"/>
      <protection locked="0"/>
    </xf>
    <xf numFmtId="0" fontId="11" fillId="4" borderId="16" xfId="0" applyFont="1" applyFill="1" applyBorder="1" applyAlignment="1">
      <alignment horizontal="center"/>
    </xf>
    <xf numFmtId="0" fontId="13" fillId="0" borderId="7" xfId="3" applyFont="1" applyBorder="1" applyAlignment="1" applyProtection="1">
      <alignment horizontal="center" vertical="center"/>
      <protection locked="0"/>
    </xf>
    <xf numFmtId="0" fontId="8" fillId="2" borderId="0" xfId="0" applyFont="1" applyFill="1"/>
    <xf numFmtId="0" fontId="11" fillId="4" borderId="3" xfId="0" applyFont="1" applyFill="1" applyBorder="1" applyAlignment="1">
      <alignment horizontal="center"/>
    </xf>
    <xf numFmtId="1" fontId="8" fillId="0" borderId="0" xfId="0" applyNumberFormat="1" applyFont="1"/>
    <xf numFmtId="0" fontId="15" fillId="0" borderId="0" xfId="0" applyFont="1"/>
    <xf numFmtId="0" fontId="11" fillId="4" borderId="16" xfId="0" applyFont="1" applyFill="1" applyBorder="1"/>
    <xf numFmtId="0" fontId="2" fillId="0" borderId="7" xfId="3" applyFont="1" applyBorder="1" applyAlignment="1" applyProtection="1">
      <alignment horizontal="center" vertical="center"/>
      <protection locked="0"/>
    </xf>
    <xf numFmtId="0" fontId="3" fillId="0" borderId="18" xfId="3" applyFont="1" applyBorder="1" applyAlignment="1" applyProtection="1">
      <alignment horizontal="center" vertical="top"/>
      <protection locked="0"/>
    </xf>
    <xf numFmtId="0" fontId="0" fillId="0" borderId="20" xfId="0" applyBorder="1"/>
    <xf numFmtId="0" fontId="0" fillId="0" borderId="21" xfId="0" applyBorder="1"/>
    <xf numFmtId="0" fontId="3" fillId="0" borderId="22" xfId="3" applyFont="1" applyBorder="1" applyAlignment="1" applyProtection="1">
      <alignment horizontal="center" vertical="center"/>
      <protection locked="0"/>
    </xf>
    <xf numFmtId="0" fontId="0" fillId="0" borderId="24" xfId="0" applyBorder="1"/>
    <xf numFmtId="2" fontId="3" fillId="0" borderId="1" xfId="0" applyNumberFormat="1" applyFont="1" applyBorder="1" applyAlignment="1">
      <alignment horizontal="center" vertical="top" wrapText="1"/>
    </xf>
    <xf numFmtId="0" fontId="9" fillId="6" borderId="0" xfId="0" applyFont="1" applyFill="1"/>
    <xf numFmtId="1" fontId="8" fillId="0" borderId="1" xfId="0" applyNumberFormat="1" applyFont="1" applyBorder="1" applyAlignment="1">
      <alignment horizontal="center" vertical="center"/>
    </xf>
    <xf numFmtId="0" fontId="8" fillId="5" borderId="0" xfId="0" applyFont="1" applyFill="1"/>
    <xf numFmtId="0" fontId="3" fillId="4" borderId="1" xfId="0" applyFont="1" applyFill="1" applyBorder="1" applyAlignment="1">
      <alignment horizontal="center"/>
    </xf>
    <xf numFmtId="0" fontId="14" fillId="7" borderId="1" xfId="0" applyFont="1" applyFill="1" applyBorder="1" applyAlignment="1">
      <alignment horizontal="center"/>
    </xf>
    <xf numFmtId="0" fontId="14" fillId="7" borderId="16" xfId="0" applyFont="1" applyFill="1" applyBorder="1" applyAlignment="1">
      <alignment horizontal="center"/>
    </xf>
    <xf numFmtId="0" fontId="14" fillId="7" borderId="16" xfId="0" applyFont="1" applyFill="1" applyBorder="1"/>
    <xf numFmtId="0" fontId="14" fillId="7" borderId="0" xfId="0" applyFont="1" applyFill="1"/>
    <xf numFmtId="0" fontId="15" fillId="2" borderId="0" xfId="0" applyFont="1" applyFill="1"/>
    <xf numFmtId="1" fontId="8" fillId="0" borderId="1" xfId="0" applyNumberFormat="1" applyFont="1" applyBorder="1" applyAlignment="1">
      <alignment horizontal="center"/>
    </xf>
    <xf numFmtId="9" fontId="10" fillId="7" borderId="1" xfId="3" applyNumberFormat="1" applyFont="1" applyFill="1" applyBorder="1" applyAlignment="1" applyProtection="1">
      <alignment vertical="center" wrapText="1"/>
      <protection hidden="1"/>
    </xf>
    <xf numFmtId="2" fontId="9" fillId="0" borderId="0" xfId="0" applyNumberFormat="1" applyFont="1"/>
    <xf numFmtId="0" fontId="11" fillId="7" borderId="1" xfId="0" applyFont="1" applyFill="1" applyBorder="1" applyAlignment="1">
      <alignment horizontal="center"/>
    </xf>
    <xf numFmtId="0" fontId="10" fillId="7" borderId="1" xfId="3" applyFont="1" applyFill="1" applyBorder="1" applyProtection="1">
      <protection hidden="1"/>
    </xf>
    <xf numFmtId="0" fontId="11" fillId="7" borderId="0" xfId="0" applyFont="1" applyFill="1"/>
    <xf numFmtId="0" fontId="11" fillId="7" borderId="3" xfId="0" applyFont="1" applyFill="1" applyBorder="1" applyAlignment="1">
      <alignment horizontal="center"/>
    </xf>
    <xf numFmtId="0" fontId="11" fillId="7" borderId="3" xfId="0" applyFont="1" applyFill="1" applyBorder="1"/>
    <xf numFmtId="0" fontId="11" fillId="7" borderId="1" xfId="0" applyFont="1" applyFill="1" applyBorder="1"/>
    <xf numFmtId="0" fontId="3" fillId="0" borderId="1" xfId="0" applyFont="1" applyBorder="1" applyAlignment="1">
      <alignment horizontal="center"/>
    </xf>
    <xf numFmtId="1" fontId="2" fillId="0" borderId="1" xfId="0" applyNumberFormat="1" applyFont="1" applyBorder="1" applyAlignment="1">
      <alignment horizontal="center" vertical="center" wrapText="1"/>
    </xf>
    <xf numFmtId="1" fontId="2" fillId="0" borderId="1" xfId="0" applyNumberFormat="1" applyFont="1" applyBorder="1" applyAlignment="1">
      <alignment vertical="center" wrapText="1"/>
    </xf>
    <xf numFmtId="0" fontId="11" fillId="7" borderId="16" xfId="0" applyFont="1" applyFill="1" applyBorder="1" applyAlignment="1">
      <alignment horizontal="center"/>
    </xf>
    <xf numFmtId="0" fontId="11" fillId="7" borderId="16" xfId="0" applyFont="1" applyFill="1" applyBorder="1" applyAlignment="1">
      <alignment horizontal="center" vertical="top"/>
    </xf>
    <xf numFmtId="0" fontId="11" fillId="7" borderId="16" xfId="0" applyFont="1" applyFill="1" applyBorder="1" applyAlignment="1">
      <alignment horizontal="center" vertical="center"/>
    </xf>
    <xf numFmtId="0" fontId="11" fillId="7" borderId="1" xfId="0" applyFont="1" applyFill="1" applyBorder="1" applyAlignment="1">
      <alignment horizontal="center" vertical="top"/>
    </xf>
    <xf numFmtId="0" fontId="11" fillId="7" borderId="1" xfId="0" applyFont="1" applyFill="1" applyBorder="1" applyAlignment="1">
      <alignment horizontal="center" vertical="center"/>
    </xf>
    <xf numFmtId="1" fontId="10" fillId="7" borderId="1" xfId="3" applyNumberFormat="1" applyFont="1" applyFill="1" applyBorder="1" applyAlignment="1" applyProtection="1">
      <alignment vertical="center" wrapText="1"/>
      <protection hidden="1"/>
    </xf>
    <xf numFmtId="0" fontId="10" fillId="7" borderId="1" xfId="3" applyFont="1" applyFill="1" applyBorder="1" applyAlignment="1" applyProtection="1">
      <alignment horizontal="center" vertical="top"/>
      <protection locked="0"/>
    </xf>
    <xf numFmtId="0" fontId="10" fillId="7" borderId="1" xfId="3" applyFont="1" applyFill="1" applyBorder="1" applyAlignment="1" applyProtection="1">
      <alignment horizontal="center" wrapText="1"/>
      <protection locked="0"/>
    </xf>
    <xf numFmtId="1" fontId="10" fillId="7" borderId="1" xfId="3" applyNumberFormat="1" applyFont="1" applyFill="1" applyBorder="1" applyAlignment="1" applyProtection="1">
      <alignment horizontal="center" wrapText="1"/>
      <protection locked="0"/>
    </xf>
    <xf numFmtId="0" fontId="10" fillId="4" borderId="1" xfId="3" applyFont="1" applyFill="1" applyBorder="1" applyAlignment="1" applyProtection="1">
      <alignment horizontal="center" wrapText="1"/>
      <protection locked="0"/>
    </xf>
    <xf numFmtId="0" fontId="10" fillId="4" borderId="1" xfId="3" applyFont="1" applyFill="1" applyBorder="1" applyAlignment="1" applyProtection="1">
      <alignment horizontal="center" vertical="top"/>
      <protection locked="0"/>
    </xf>
    <xf numFmtId="1" fontId="10" fillId="4" borderId="1" xfId="3" applyNumberFormat="1" applyFont="1" applyFill="1" applyBorder="1" applyAlignment="1" applyProtection="1">
      <alignment horizontal="center" wrapText="1"/>
      <protection locked="0"/>
    </xf>
    <xf numFmtId="0" fontId="10" fillId="4" borderId="1" xfId="3" applyFont="1" applyFill="1" applyBorder="1" applyAlignment="1" applyProtection="1">
      <alignment vertical="center" wrapText="1"/>
      <protection hidden="1"/>
    </xf>
    <xf numFmtId="0" fontId="8" fillId="0" borderId="0" xfId="0" applyFont="1" applyAlignment="1">
      <alignment vertical="center"/>
    </xf>
    <xf numFmtId="1" fontId="10" fillId="4" borderId="1" xfId="3" applyNumberFormat="1" applyFont="1" applyFill="1" applyBorder="1" applyAlignment="1" applyProtection="1">
      <alignment vertical="center" wrapText="1"/>
      <protection hidden="1"/>
    </xf>
    <xf numFmtId="0" fontId="11" fillId="2" borderId="16" xfId="0" applyFont="1" applyFill="1" applyBorder="1" applyAlignment="1">
      <alignment horizontal="center"/>
    </xf>
    <xf numFmtId="0" fontId="11" fillId="2" borderId="16" xfId="0" applyFont="1" applyFill="1" applyBorder="1"/>
    <xf numFmtId="9" fontId="10" fillId="2" borderId="1" xfId="3" applyNumberFormat="1" applyFont="1" applyFill="1" applyBorder="1" applyAlignment="1" applyProtection="1">
      <alignment vertical="center" wrapText="1"/>
      <protection hidden="1"/>
    </xf>
    <xf numFmtId="0" fontId="10" fillId="2" borderId="1" xfId="3" applyFont="1" applyFill="1" applyBorder="1" applyProtection="1">
      <protection hidden="1"/>
    </xf>
    <xf numFmtId="0" fontId="11" fillId="2" borderId="0" xfId="0" applyFont="1" applyFill="1"/>
    <xf numFmtId="0" fontId="11" fillId="2" borderId="1" xfId="0" applyFont="1" applyFill="1" applyBorder="1"/>
    <xf numFmtId="0" fontId="10" fillId="2" borderId="1" xfId="3" applyFont="1" applyFill="1" applyBorder="1" applyAlignment="1" applyProtection="1">
      <alignment horizontal="center" vertical="top"/>
      <protection locked="0"/>
    </xf>
    <xf numFmtId="0" fontId="10" fillId="2" borderId="1" xfId="3" applyFont="1" applyFill="1" applyBorder="1" applyAlignment="1" applyProtection="1">
      <alignment horizontal="center" wrapText="1"/>
      <protection locked="0"/>
    </xf>
    <xf numFmtId="1" fontId="10" fillId="2" borderId="1" xfId="3" applyNumberFormat="1" applyFont="1" applyFill="1" applyBorder="1" applyAlignment="1" applyProtection="1">
      <alignment horizontal="center" wrapText="1"/>
      <protection locked="0"/>
    </xf>
    <xf numFmtId="0" fontId="10" fillId="2" borderId="1" xfId="3" applyFont="1" applyFill="1" applyBorder="1" applyAlignment="1" applyProtection="1">
      <alignment vertical="center" wrapText="1"/>
      <protection hidden="1"/>
    </xf>
    <xf numFmtId="0" fontId="11" fillId="2" borderId="17" xfId="0" applyFont="1" applyFill="1" applyBorder="1" applyAlignment="1">
      <alignment horizontal="center"/>
    </xf>
    <xf numFmtId="0" fontId="11" fillId="2" borderId="17" xfId="0" applyFont="1" applyFill="1" applyBorder="1"/>
    <xf numFmtId="0" fontId="3" fillId="3" borderId="1" xfId="0" applyFont="1" applyFill="1" applyBorder="1" applyAlignment="1">
      <alignment horizontal="center" vertical="top"/>
    </xf>
    <xf numFmtId="0" fontId="3" fillId="0" borderId="1" xfId="3" applyFont="1" applyBorder="1" applyAlignment="1" applyProtection="1">
      <alignment horizontal="center" vertical="top"/>
      <protection locked="0"/>
    </xf>
    <xf numFmtId="0" fontId="3" fillId="0" borderId="1" xfId="3" applyFont="1" applyBorder="1" applyAlignment="1" applyProtection="1">
      <alignment horizontal="center" vertical="center"/>
      <protection locked="0"/>
    </xf>
    <xf numFmtId="0" fontId="2" fillId="8" borderId="25" xfId="3" applyFont="1" applyFill="1" applyBorder="1" applyAlignment="1" applyProtection="1">
      <alignment horizontal="center" vertical="center" wrapText="1"/>
      <protection locked="0"/>
    </xf>
    <xf numFmtId="0" fontId="2" fillId="8" borderId="26" xfId="3" applyFont="1" applyFill="1" applyBorder="1" applyAlignment="1" applyProtection="1">
      <alignment horizontal="center" vertical="center" wrapText="1"/>
      <protection locked="0"/>
    </xf>
    <xf numFmtId="0" fontId="2" fillId="8" borderId="27" xfId="3" applyFont="1" applyFill="1" applyBorder="1" applyAlignment="1" applyProtection="1">
      <alignment horizontal="center" vertical="center" wrapText="1"/>
      <protection locked="0"/>
    </xf>
    <xf numFmtId="9" fontId="2" fillId="8" borderId="1" xfId="3" applyNumberFormat="1" applyFont="1" applyFill="1" applyBorder="1" applyAlignment="1" applyProtection="1">
      <alignment horizontal="center" vertical="center" wrapText="1"/>
      <protection locked="0"/>
    </xf>
    <xf numFmtId="0" fontId="3" fillId="0" borderId="1" xfId="0" applyFont="1" applyBorder="1" applyAlignment="1">
      <alignment horizontal="left" vertical="top" wrapText="1"/>
    </xf>
    <xf numFmtId="0" fontId="3" fillId="0" borderId="4" xfId="0" applyFont="1" applyBorder="1" applyAlignment="1">
      <alignment horizontal="left" vertical="top" wrapText="1"/>
    </xf>
    <xf numFmtId="0" fontId="3" fillId="0" borderId="6" xfId="0" applyFont="1" applyBorder="1" applyAlignment="1">
      <alignment horizontal="left" vertical="top" wrapText="1"/>
    </xf>
    <xf numFmtId="0" fontId="3" fillId="0" borderId="5" xfId="0" applyFont="1" applyBorder="1" applyAlignment="1">
      <alignment horizontal="left" vertical="top" wrapText="1"/>
    </xf>
    <xf numFmtId="0" fontId="3" fillId="0" borderId="4" xfId="0" applyFont="1" applyBorder="1" applyAlignment="1">
      <alignment horizontal="left" vertical="top"/>
    </xf>
    <xf numFmtId="0" fontId="3" fillId="0" borderId="6" xfId="0" applyFont="1" applyBorder="1" applyAlignment="1">
      <alignment horizontal="left" vertical="top"/>
    </xf>
    <xf numFmtId="0" fontId="3" fillId="0" borderId="5" xfId="0" applyFont="1" applyBorder="1" applyAlignment="1">
      <alignment horizontal="left" vertical="top"/>
    </xf>
    <xf numFmtId="14" fontId="3" fillId="3" borderId="1" xfId="0" applyNumberFormat="1" applyFont="1" applyFill="1" applyBorder="1" applyAlignment="1">
      <alignment horizontal="left" vertical="top" wrapText="1"/>
    </xf>
    <xf numFmtId="0" fontId="3" fillId="3" borderId="1" xfId="0" applyFont="1" applyFill="1" applyBorder="1" applyAlignment="1">
      <alignment horizontal="left" vertical="top" wrapText="1"/>
    </xf>
    <xf numFmtId="0" fontId="2" fillId="0" borderId="4" xfId="0" applyFont="1" applyBorder="1" applyAlignment="1">
      <alignment horizontal="center" vertical="top"/>
    </xf>
    <xf numFmtId="0" fontId="2" fillId="0" borderId="6" xfId="0" applyFont="1" applyBorder="1" applyAlignment="1">
      <alignment horizontal="center" vertical="top"/>
    </xf>
    <xf numFmtId="2" fontId="3" fillId="0" borderId="1" xfId="0" applyNumberFormat="1" applyFont="1" applyBorder="1" applyAlignment="1">
      <alignment horizontal="center" vertical="top" wrapText="1"/>
    </xf>
    <xf numFmtId="0" fontId="3" fillId="3" borderId="4" xfId="0" applyFont="1" applyFill="1" applyBorder="1" applyAlignment="1">
      <alignment horizontal="left" vertical="top" wrapText="1"/>
    </xf>
    <xf numFmtId="0" fontId="3" fillId="3" borderId="6" xfId="0" applyFont="1" applyFill="1" applyBorder="1" applyAlignment="1">
      <alignment horizontal="left" vertical="top" wrapText="1"/>
    </xf>
    <xf numFmtId="0" fontId="3" fillId="3" borderId="5" xfId="0" applyFont="1" applyFill="1" applyBorder="1" applyAlignment="1">
      <alignment horizontal="left" vertical="top" wrapText="1"/>
    </xf>
    <xf numFmtId="0" fontId="3" fillId="0" borderId="4" xfId="0" applyFont="1" applyBorder="1" applyAlignment="1">
      <alignment horizontal="center" vertical="top" wrapText="1"/>
    </xf>
    <xf numFmtId="0" fontId="3" fillId="0" borderId="5" xfId="0" applyFont="1" applyBorder="1" applyAlignment="1">
      <alignment horizontal="center" vertical="top" wrapText="1"/>
    </xf>
    <xf numFmtId="1" fontId="11" fillId="0" borderId="1" xfId="0" applyNumberFormat="1" applyFont="1" applyBorder="1" applyAlignment="1">
      <alignment horizontal="center"/>
    </xf>
    <xf numFmtId="0" fontId="3" fillId="0" borderId="6" xfId="0" applyFont="1" applyBorder="1" applyAlignment="1">
      <alignment horizontal="center" vertical="top" wrapText="1"/>
    </xf>
    <xf numFmtId="14" fontId="2" fillId="0" borderId="4" xfId="2" applyNumberFormat="1" applyFont="1" applyBorder="1" applyAlignment="1">
      <alignment horizontal="center" vertical="top" wrapText="1"/>
    </xf>
    <xf numFmtId="14" fontId="2" fillId="0" borderId="6" xfId="2" applyNumberFormat="1" applyFont="1" applyBorder="1" applyAlignment="1">
      <alignment horizontal="center" vertical="top"/>
    </xf>
    <xf numFmtId="14" fontId="2" fillId="0" borderId="5" xfId="2" applyNumberFormat="1" applyFont="1" applyBorder="1" applyAlignment="1">
      <alignment horizontal="center" vertical="top"/>
    </xf>
    <xf numFmtId="0" fontId="2" fillId="0" borderId="4" xfId="2" applyFont="1" applyBorder="1" applyAlignment="1">
      <alignment horizontal="left" vertical="top"/>
    </xf>
    <xf numFmtId="0" fontId="2" fillId="0" borderId="6" xfId="2" applyFont="1" applyBorder="1" applyAlignment="1">
      <alignment horizontal="left" vertical="top"/>
    </xf>
    <xf numFmtId="0" fontId="2" fillId="0" borderId="5" xfId="2" applyFont="1" applyBorder="1" applyAlignment="1">
      <alignment horizontal="left" vertical="top"/>
    </xf>
    <xf numFmtId="14" fontId="2" fillId="0" borderId="4" xfId="2" applyNumberFormat="1" applyFont="1" applyBorder="1" applyAlignment="1">
      <alignment horizontal="center" vertical="top"/>
    </xf>
    <xf numFmtId="1" fontId="2" fillId="0" borderId="1" xfId="0" applyNumberFormat="1" applyFont="1" applyBorder="1" applyAlignment="1">
      <alignment horizontal="center" vertical="center" wrapText="1"/>
    </xf>
    <xf numFmtId="1" fontId="3" fillId="0" borderId="1" xfId="0" applyNumberFormat="1" applyFont="1" applyBorder="1" applyAlignment="1">
      <alignment horizontal="center" vertical="center" wrapText="1"/>
    </xf>
    <xf numFmtId="0" fontId="2" fillId="0" borderId="6" xfId="2" applyFont="1" applyBorder="1" applyAlignment="1">
      <alignment horizontal="center" vertical="top"/>
    </xf>
    <xf numFmtId="0" fontId="2" fillId="0" borderId="5" xfId="2" applyFont="1" applyBorder="1" applyAlignment="1">
      <alignment horizontal="center" vertical="top"/>
    </xf>
    <xf numFmtId="0" fontId="2" fillId="0" borderId="1" xfId="1" applyFont="1" applyBorder="1" applyAlignment="1">
      <alignment horizontal="left" vertical="top" wrapText="1"/>
    </xf>
    <xf numFmtId="0" fontId="2" fillId="0" borderId="1" xfId="1" applyFont="1" applyBorder="1" applyAlignment="1">
      <alignment vertical="top" wrapText="1"/>
    </xf>
    <xf numFmtId="0" fontId="2" fillId="0" borderId="4" xfId="2" applyFont="1" applyBorder="1" applyAlignment="1">
      <alignment horizontal="center" vertical="top"/>
    </xf>
    <xf numFmtId="0" fontId="2" fillId="0" borderId="4" xfId="2" applyFont="1" applyBorder="1" applyAlignment="1">
      <alignment horizontal="left" vertical="top" wrapText="1"/>
    </xf>
    <xf numFmtId="0" fontId="2" fillId="0" borderId="9" xfId="0" applyFont="1" applyBorder="1" applyAlignment="1">
      <alignment horizontal="left" vertical="top" wrapText="1"/>
    </xf>
    <xf numFmtId="0" fontId="2" fillId="0" borderId="4" xfId="0" applyFont="1" applyBorder="1" applyAlignment="1">
      <alignment horizontal="left" vertical="top"/>
    </xf>
    <xf numFmtId="0" fontId="2" fillId="0" borderId="6" xfId="0" applyFont="1" applyBorder="1" applyAlignment="1">
      <alignment horizontal="left" vertical="top"/>
    </xf>
    <xf numFmtId="0" fontId="2" fillId="0" borderId="5" xfId="0" applyFont="1" applyBorder="1" applyAlignment="1">
      <alignment horizontal="left" vertical="top"/>
    </xf>
    <xf numFmtId="9" fontId="3" fillId="0" borderId="4" xfId="3" applyNumberFormat="1" applyFont="1" applyBorder="1" applyAlignment="1" applyProtection="1">
      <alignment horizontal="center" vertical="center"/>
      <protection locked="0"/>
    </xf>
    <xf numFmtId="9" fontId="3" fillId="0" borderId="13" xfId="3" applyNumberFormat="1" applyFont="1" applyBorder="1" applyAlignment="1" applyProtection="1">
      <alignment horizontal="center" vertical="center"/>
      <protection locked="0"/>
    </xf>
    <xf numFmtId="0" fontId="3" fillId="0" borderId="4" xfId="3" applyFont="1" applyBorder="1" applyAlignment="1" applyProtection="1">
      <alignment horizontal="left" vertical="top" wrapText="1"/>
      <protection locked="0"/>
    </xf>
    <xf numFmtId="0" fontId="3" fillId="0" borderId="6" xfId="3" applyFont="1" applyBorder="1" applyAlignment="1" applyProtection="1">
      <alignment horizontal="left" vertical="top" wrapText="1"/>
      <protection locked="0"/>
    </xf>
    <xf numFmtId="0" fontId="3" fillId="0" borderId="5" xfId="3" applyFont="1" applyBorder="1" applyAlignment="1" applyProtection="1">
      <alignment horizontal="left" vertical="top" wrapText="1"/>
      <protection locked="0"/>
    </xf>
    <xf numFmtId="9" fontId="3" fillId="0" borderId="5" xfId="3" applyNumberFormat="1" applyFont="1" applyBorder="1" applyAlignment="1" applyProtection="1">
      <alignment horizontal="center" vertical="center"/>
      <protection locked="0"/>
    </xf>
    <xf numFmtId="0" fontId="2" fillId="0" borderId="8" xfId="0" applyFont="1" applyBorder="1" applyAlignment="1">
      <alignment vertical="top" wrapText="1"/>
    </xf>
    <xf numFmtId="0" fontId="2" fillId="0" borderId="9" xfId="0" applyFont="1" applyBorder="1" applyAlignment="1">
      <alignment vertical="top" wrapText="1"/>
    </xf>
    <xf numFmtId="0" fontId="2" fillId="0" borderId="10" xfId="0" applyFont="1" applyBorder="1" applyAlignment="1">
      <alignment vertical="top" wrapText="1"/>
    </xf>
    <xf numFmtId="0" fontId="2" fillId="0" borderId="11" xfId="0" applyFont="1" applyBorder="1" applyAlignment="1">
      <alignment vertical="top" wrapText="1"/>
    </xf>
    <xf numFmtId="0" fontId="2" fillId="0" borderId="0" xfId="0" applyFont="1" applyAlignment="1">
      <alignment vertical="top" wrapText="1"/>
    </xf>
    <xf numFmtId="0" fontId="2" fillId="0" borderId="12" xfId="0" applyFont="1" applyBorder="1" applyAlignment="1">
      <alignment vertical="top" wrapText="1"/>
    </xf>
    <xf numFmtId="1" fontId="2" fillId="3" borderId="4" xfId="0" applyNumberFormat="1" applyFont="1" applyFill="1" applyBorder="1" applyAlignment="1">
      <alignment horizontal="left"/>
    </xf>
    <xf numFmtId="1" fontId="2" fillId="3" borderId="6" xfId="0" applyNumberFormat="1" applyFont="1" applyFill="1" applyBorder="1" applyAlignment="1">
      <alignment horizontal="left"/>
    </xf>
    <xf numFmtId="1" fontId="2" fillId="3" borderId="5" xfId="0" applyNumberFormat="1" applyFont="1" applyFill="1" applyBorder="1" applyAlignment="1">
      <alignment horizontal="left"/>
    </xf>
    <xf numFmtId="1" fontId="3" fillId="0" borderId="4" xfId="0" applyNumberFormat="1" applyFont="1" applyBorder="1" applyAlignment="1">
      <alignment horizontal="center" vertical="center" wrapText="1"/>
    </xf>
    <xf numFmtId="1" fontId="3" fillId="0" borderId="5" xfId="0" applyNumberFormat="1" applyFont="1" applyBorder="1" applyAlignment="1">
      <alignment horizontal="center" vertical="center" wrapText="1"/>
    </xf>
    <xf numFmtId="1" fontId="2" fillId="0" borderId="4" xfId="0" applyNumberFormat="1" applyFont="1" applyBorder="1" applyAlignment="1">
      <alignment horizontal="center" vertical="center" wrapText="1"/>
    </xf>
    <xf numFmtId="1" fontId="2" fillId="0" borderId="5" xfId="0" applyNumberFormat="1" applyFont="1" applyBorder="1" applyAlignment="1">
      <alignment horizontal="center" vertical="center" wrapText="1"/>
    </xf>
    <xf numFmtId="0" fontId="2" fillId="0" borderId="4" xfId="0" applyFont="1" applyBorder="1" applyAlignment="1">
      <alignment horizontal="left" vertical="top" wrapText="1"/>
    </xf>
    <xf numFmtId="0" fontId="2" fillId="0" borderId="6" xfId="0" applyFont="1" applyBorder="1" applyAlignment="1">
      <alignment horizontal="left" vertical="top" wrapText="1"/>
    </xf>
    <xf numFmtId="0" fontId="2" fillId="0" borderId="5" xfId="0" applyFont="1" applyBorder="1" applyAlignment="1">
      <alignment horizontal="left" vertical="top" wrapText="1"/>
    </xf>
    <xf numFmtId="0" fontId="3" fillId="0" borderId="1" xfId="3" applyFont="1" applyBorder="1" applyAlignment="1" applyProtection="1">
      <alignment horizontal="left" vertical="center" wrapText="1"/>
      <protection locked="0"/>
    </xf>
    <xf numFmtId="9" fontId="3" fillId="0" borderId="1" xfId="3" applyNumberFormat="1" applyFont="1" applyBorder="1" applyAlignment="1" applyProtection="1">
      <alignment horizontal="center" vertical="center"/>
      <protection locked="0"/>
    </xf>
    <xf numFmtId="0" fontId="13" fillId="0" borderId="4" xfId="3" applyFont="1" applyBorder="1" applyAlignment="1" applyProtection="1">
      <alignment horizontal="left" vertical="top" wrapText="1"/>
      <protection locked="0"/>
    </xf>
    <xf numFmtId="0" fontId="13" fillId="0" borderId="6" xfId="3" applyFont="1" applyBorder="1" applyAlignment="1" applyProtection="1">
      <alignment horizontal="left" vertical="top" wrapText="1"/>
      <protection locked="0"/>
    </xf>
    <xf numFmtId="0" fontId="13" fillId="0" borderId="5" xfId="3" applyFont="1" applyBorder="1" applyAlignment="1" applyProtection="1">
      <alignment horizontal="left" vertical="top" wrapText="1"/>
      <protection locked="0"/>
    </xf>
    <xf numFmtId="9" fontId="13" fillId="0" borderId="4" xfId="3" applyNumberFormat="1" applyFont="1" applyBorder="1" applyAlignment="1" applyProtection="1">
      <alignment horizontal="center" vertical="center"/>
      <protection locked="0"/>
    </xf>
    <xf numFmtId="9" fontId="13" fillId="0" borderId="5" xfId="3" applyNumberFormat="1" applyFont="1" applyBorder="1" applyAlignment="1" applyProtection="1">
      <alignment horizontal="center" vertical="center"/>
      <protection locked="0"/>
    </xf>
    <xf numFmtId="9" fontId="13" fillId="0" borderId="13" xfId="3" applyNumberFormat="1" applyFont="1" applyBorder="1" applyAlignment="1" applyProtection="1">
      <alignment horizontal="center" vertical="center"/>
      <protection locked="0"/>
    </xf>
    <xf numFmtId="0" fontId="2" fillId="8" borderId="1" xfId="3" applyFont="1" applyFill="1" applyBorder="1" applyAlignment="1" applyProtection="1">
      <alignment horizontal="center" vertical="center" wrapText="1"/>
      <protection locked="0"/>
    </xf>
    <xf numFmtId="0" fontId="3" fillId="0" borderId="1" xfId="0" applyFont="1" applyBorder="1" applyAlignment="1">
      <alignment horizontal="center" vertical="top" wrapText="1"/>
    </xf>
    <xf numFmtId="0" fontId="3" fillId="0" borderId="8" xfId="0" applyFont="1" applyBorder="1" applyAlignment="1">
      <alignment horizontal="center" vertical="center" wrapText="1"/>
    </xf>
    <xf numFmtId="0" fontId="3" fillId="0" borderId="10" xfId="0" applyFont="1" applyBorder="1" applyAlignment="1">
      <alignment horizontal="center" vertical="center" wrapText="1"/>
    </xf>
    <xf numFmtId="0" fontId="3" fillId="0" borderId="14" xfId="0" applyFont="1" applyBorder="1" applyAlignment="1">
      <alignment horizontal="center" vertical="center" wrapText="1"/>
    </xf>
    <xf numFmtId="0" fontId="3" fillId="0" borderId="15" xfId="0" applyFont="1" applyBorder="1" applyAlignment="1">
      <alignment horizontal="center" vertical="center" wrapText="1"/>
    </xf>
    <xf numFmtId="0" fontId="3" fillId="0" borderId="3" xfId="0" applyFont="1" applyBorder="1" applyAlignment="1">
      <alignment horizontal="center" vertical="center"/>
    </xf>
    <xf numFmtId="0" fontId="3" fillId="0" borderId="16" xfId="0" applyFont="1" applyBorder="1" applyAlignment="1">
      <alignment horizontal="center" vertical="center"/>
    </xf>
    <xf numFmtId="0" fontId="3" fillId="0" borderId="9" xfId="0" applyFont="1" applyBorder="1" applyAlignment="1">
      <alignment horizontal="center" vertical="center" wrapText="1"/>
    </xf>
    <xf numFmtId="0" fontId="3" fillId="0" borderId="2" xfId="0" applyFont="1" applyBorder="1" applyAlignment="1">
      <alignment horizontal="center" vertical="center" wrapText="1"/>
    </xf>
    <xf numFmtId="2" fontId="3" fillId="0" borderId="4" xfId="0" applyNumberFormat="1" applyFont="1" applyBorder="1" applyAlignment="1">
      <alignment horizontal="center" vertical="top" wrapText="1"/>
    </xf>
    <xf numFmtId="2" fontId="3" fillId="0" borderId="5" xfId="0" applyNumberFormat="1" applyFont="1" applyBorder="1" applyAlignment="1">
      <alignment horizontal="center" vertical="top" wrapText="1"/>
    </xf>
    <xf numFmtId="0" fontId="3" fillId="0" borderId="3" xfId="0" applyFont="1" applyBorder="1" applyAlignment="1">
      <alignment horizontal="center" vertical="center" wrapText="1"/>
    </xf>
    <xf numFmtId="0" fontId="3" fillId="0" borderId="16" xfId="0" applyFont="1" applyBorder="1" applyAlignment="1">
      <alignment horizontal="center" vertical="center" wrapText="1"/>
    </xf>
    <xf numFmtId="1" fontId="3" fillId="0" borderId="1" xfId="0" applyNumberFormat="1" applyFont="1" applyBorder="1" applyAlignment="1">
      <alignment horizontal="center"/>
    </xf>
    <xf numFmtId="0" fontId="2" fillId="0" borderId="1" xfId="0" applyFont="1" applyBorder="1" applyAlignment="1">
      <alignment horizontal="left" vertical="top"/>
    </xf>
    <xf numFmtId="0" fontId="3" fillId="0" borderId="1" xfId="0" applyFont="1" applyBorder="1" applyAlignment="1">
      <alignment horizontal="left" vertical="top"/>
    </xf>
    <xf numFmtId="0" fontId="3" fillId="0" borderId="1" xfId="0" applyFont="1" applyBorder="1" applyAlignment="1">
      <alignment horizontal="center" vertical="top"/>
    </xf>
    <xf numFmtId="0" fontId="2" fillId="0" borderId="5" xfId="0" applyFont="1" applyBorder="1" applyAlignment="1">
      <alignment horizontal="center" vertical="top"/>
    </xf>
    <xf numFmtId="14" fontId="3" fillId="0" borderId="4" xfId="0" applyNumberFormat="1" applyFont="1" applyBorder="1" applyAlignment="1">
      <alignment horizontal="left" vertical="top"/>
    </xf>
    <xf numFmtId="14" fontId="3" fillId="0" borderId="6" xfId="0" applyNumberFormat="1" applyFont="1" applyBorder="1" applyAlignment="1">
      <alignment horizontal="left" vertical="top"/>
    </xf>
    <xf numFmtId="14" fontId="3" fillId="0" borderId="5" xfId="0" applyNumberFormat="1" applyFont="1" applyBorder="1" applyAlignment="1">
      <alignment horizontal="left" vertical="top"/>
    </xf>
    <xf numFmtId="0" fontId="3" fillId="0" borderId="8" xfId="0" applyFont="1" applyBorder="1" applyAlignment="1">
      <alignment horizontal="left" vertical="top" wrapText="1"/>
    </xf>
    <xf numFmtId="0" fontId="3" fillId="0" borderId="9" xfId="0" applyFont="1" applyBorder="1" applyAlignment="1">
      <alignment horizontal="left" vertical="top" wrapText="1"/>
    </xf>
    <xf numFmtId="0" fontId="3" fillId="0" borderId="10" xfId="0" applyFont="1" applyBorder="1" applyAlignment="1">
      <alignment horizontal="left" vertical="top" wrapText="1"/>
    </xf>
    <xf numFmtId="0" fontId="2" fillId="0" borderId="4" xfId="0" applyFont="1" applyBorder="1" applyAlignment="1">
      <alignment horizontal="center" vertical="top" wrapText="1"/>
    </xf>
    <xf numFmtId="0" fontId="2" fillId="0" borderId="6" xfId="0" applyFont="1" applyBorder="1" applyAlignment="1">
      <alignment horizontal="center" vertical="top" wrapText="1"/>
    </xf>
    <xf numFmtId="0" fontId="2" fillId="0" borderId="5" xfId="0" applyFont="1" applyBorder="1" applyAlignment="1">
      <alignment horizontal="center" vertical="top" wrapText="1"/>
    </xf>
    <xf numFmtId="0" fontId="3" fillId="0" borderId="1" xfId="0" applyFont="1" applyBorder="1" applyAlignment="1">
      <alignment vertical="top" wrapText="1"/>
    </xf>
    <xf numFmtId="0" fontId="3" fillId="0" borderId="1" xfId="0" applyFont="1" applyBorder="1" applyAlignment="1">
      <alignment vertical="top"/>
    </xf>
    <xf numFmtId="0" fontId="3" fillId="0" borderId="8" xfId="0" applyFont="1" applyBorder="1" applyAlignment="1">
      <alignment horizontal="left" vertical="top"/>
    </xf>
    <xf numFmtId="0" fontId="3" fillId="0" borderId="9" xfId="0" applyFont="1" applyBorder="1" applyAlignment="1">
      <alignment horizontal="left" vertical="top"/>
    </xf>
    <xf numFmtId="0" fontId="3" fillId="0" borderId="10" xfId="0" applyFont="1" applyBorder="1" applyAlignment="1">
      <alignment horizontal="left" vertical="top"/>
    </xf>
    <xf numFmtId="0" fontId="3" fillId="0" borderId="14" xfId="0" applyFont="1" applyBorder="1" applyAlignment="1">
      <alignment horizontal="left" vertical="top"/>
    </xf>
    <xf numFmtId="0" fontId="3" fillId="0" borderId="2" xfId="0" applyFont="1" applyBorder="1" applyAlignment="1">
      <alignment horizontal="left" vertical="top"/>
    </xf>
    <xf numFmtId="0" fontId="3" fillId="0" borderId="15" xfId="0" applyFont="1" applyBorder="1" applyAlignment="1">
      <alignment horizontal="left" vertical="top"/>
    </xf>
    <xf numFmtId="0" fontId="3" fillId="0" borderId="14" xfId="0" applyFont="1" applyBorder="1" applyAlignment="1">
      <alignment horizontal="left" vertical="top" wrapText="1"/>
    </xf>
    <xf numFmtId="0" fontId="3" fillId="0" borderId="2" xfId="0" applyFont="1" applyBorder="1" applyAlignment="1">
      <alignment horizontal="left" vertical="top" wrapText="1"/>
    </xf>
    <xf numFmtId="0" fontId="3" fillId="0" borderId="15" xfId="0" applyFont="1" applyBorder="1" applyAlignment="1">
      <alignment horizontal="left" vertical="top" wrapText="1"/>
    </xf>
    <xf numFmtId="0" fontId="3" fillId="0" borderId="4" xfId="2" applyFont="1" applyBorder="1" applyAlignment="1">
      <alignment horizontal="left" vertical="top"/>
    </xf>
    <xf numFmtId="0" fontId="3" fillId="0" borderId="6" xfId="2" applyFont="1" applyBorder="1" applyAlignment="1">
      <alignment horizontal="left" vertical="top"/>
    </xf>
    <xf numFmtId="0" fontId="3" fillId="0" borderId="5" xfId="2" applyFont="1" applyBorder="1" applyAlignment="1">
      <alignment horizontal="left" vertical="top"/>
    </xf>
    <xf numFmtId="0" fontId="3" fillId="0" borderId="4" xfId="0" applyFont="1" applyBorder="1" applyAlignment="1">
      <alignment horizontal="center" vertical="top"/>
    </xf>
    <xf numFmtId="0" fontId="3" fillId="0" borderId="5" xfId="0" applyFont="1" applyBorder="1" applyAlignment="1">
      <alignment horizontal="center" vertical="top"/>
    </xf>
    <xf numFmtId="0" fontId="2" fillId="0" borderId="4" xfId="0" applyFont="1" applyBorder="1" applyAlignment="1">
      <alignment vertical="top"/>
    </xf>
    <xf numFmtId="0" fontId="2" fillId="0" borderId="6" xfId="0" applyFont="1" applyBorder="1" applyAlignment="1">
      <alignment vertical="top"/>
    </xf>
    <xf numFmtId="0" fontId="2" fillId="0" borderId="5" xfId="0" applyFont="1" applyBorder="1" applyAlignment="1">
      <alignment vertical="top"/>
    </xf>
    <xf numFmtId="14" fontId="3" fillId="0" borderId="1" xfId="0" applyNumberFormat="1" applyFont="1" applyBorder="1" applyAlignment="1">
      <alignment horizontal="center" vertical="top"/>
    </xf>
    <xf numFmtId="14" fontId="3" fillId="3" borderId="1" xfId="0" applyNumberFormat="1" applyFont="1" applyFill="1" applyBorder="1" applyAlignment="1">
      <alignment horizontal="left" vertical="top"/>
    </xf>
    <xf numFmtId="0" fontId="2" fillId="0" borderId="3" xfId="3" applyFont="1" applyBorder="1" applyAlignment="1" applyProtection="1">
      <alignment horizontal="left" vertical="top" wrapText="1"/>
      <protection locked="0"/>
    </xf>
    <xf numFmtId="0" fontId="3" fillId="0" borderId="1" xfId="3" applyFont="1" applyBorder="1" applyAlignment="1" applyProtection="1">
      <alignment horizontal="center" vertical="top"/>
      <protection locked="0"/>
    </xf>
    <xf numFmtId="0" fontId="2" fillId="0" borderId="8" xfId="2" applyFont="1" applyBorder="1" applyAlignment="1">
      <alignment horizontal="center" vertical="top" wrapText="1"/>
    </xf>
    <xf numFmtId="0" fontId="2" fillId="0" borderId="9" xfId="2" applyFont="1" applyBorder="1" applyAlignment="1">
      <alignment horizontal="center" vertical="top" wrapText="1"/>
    </xf>
    <xf numFmtId="0" fontId="2" fillId="0" borderId="10" xfId="2" applyFont="1" applyBorder="1" applyAlignment="1">
      <alignment horizontal="center" vertical="top" wrapText="1"/>
    </xf>
    <xf numFmtId="0" fontId="2" fillId="0" borderId="11" xfId="2" applyFont="1" applyBorder="1" applyAlignment="1">
      <alignment horizontal="center" vertical="top" wrapText="1"/>
    </xf>
    <xf numFmtId="0" fontId="2" fillId="0" borderId="0" xfId="2" applyFont="1" applyAlignment="1">
      <alignment horizontal="center" vertical="top" wrapText="1"/>
    </xf>
    <xf numFmtId="0" fontId="2" fillId="0" borderId="12" xfId="2" applyFont="1" applyBorder="1" applyAlignment="1">
      <alignment horizontal="center" vertical="top" wrapText="1"/>
    </xf>
    <xf numFmtId="0" fontId="2" fillId="0" borderId="14" xfId="2" applyFont="1" applyBorder="1" applyAlignment="1">
      <alignment horizontal="center" vertical="top" wrapText="1"/>
    </xf>
    <xf numFmtId="0" fontId="2" fillId="0" borderId="2" xfId="2" applyFont="1" applyBorder="1" applyAlignment="1">
      <alignment horizontal="center" vertical="top" wrapText="1"/>
    </xf>
    <xf numFmtId="0" fontId="2" fillId="0" borderId="15" xfId="2" applyFont="1" applyBorder="1" applyAlignment="1">
      <alignment horizontal="center" vertical="top" wrapText="1"/>
    </xf>
    <xf numFmtId="0" fontId="3" fillId="0" borderId="4" xfId="2" applyFont="1" applyBorder="1" applyAlignment="1">
      <alignment vertical="top"/>
    </xf>
    <xf numFmtId="0" fontId="3" fillId="0" borderId="6" xfId="2" applyFont="1" applyBorder="1" applyAlignment="1">
      <alignment vertical="top"/>
    </xf>
    <xf numFmtId="0" fontId="3" fillId="0" borderId="5" xfId="2" applyFont="1" applyBorder="1" applyAlignment="1">
      <alignment vertical="top"/>
    </xf>
    <xf numFmtId="1" fontId="2" fillId="0" borderId="1" xfId="0" applyNumberFormat="1" applyFont="1" applyBorder="1" applyAlignment="1">
      <alignment horizontal="center" vertical="top" wrapText="1"/>
    </xf>
    <xf numFmtId="0" fontId="3" fillId="0" borderId="4" xfId="2" applyFont="1" applyBorder="1" applyAlignment="1">
      <alignment horizontal="left" vertical="top" wrapText="1"/>
    </xf>
    <xf numFmtId="0" fontId="3" fillId="0" borderId="6" xfId="2" applyFont="1" applyBorder="1" applyAlignment="1">
      <alignment horizontal="left" vertical="top" wrapText="1"/>
    </xf>
    <xf numFmtId="0" fontId="3" fillId="0" borderId="5" xfId="2" applyFont="1" applyBorder="1" applyAlignment="1">
      <alignment horizontal="left" vertical="top" wrapText="1"/>
    </xf>
    <xf numFmtId="14" fontId="3" fillId="3" borderId="4" xfId="0" applyNumberFormat="1" applyFont="1" applyFill="1" applyBorder="1" applyAlignment="1">
      <alignment horizontal="left" vertical="top"/>
    </xf>
    <xf numFmtId="14" fontId="3" fillId="3" borderId="6" xfId="0" applyNumberFormat="1" applyFont="1" applyFill="1" applyBorder="1" applyAlignment="1">
      <alignment horizontal="left" vertical="top"/>
    </xf>
    <xf numFmtId="14" fontId="3" fillId="3" borderId="5" xfId="0" applyNumberFormat="1" applyFont="1" applyFill="1" applyBorder="1" applyAlignment="1">
      <alignment horizontal="left" vertical="top"/>
    </xf>
    <xf numFmtId="0" fontId="2" fillId="0" borderId="1" xfId="0" applyFont="1" applyBorder="1" applyAlignment="1">
      <alignment horizontal="center" vertical="top"/>
    </xf>
    <xf numFmtId="1" fontId="3" fillId="3" borderId="4" xfId="0" applyNumberFormat="1" applyFont="1" applyFill="1" applyBorder="1" applyAlignment="1">
      <alignment horizontal="left"/>
    </xf>
    <xf numFmtId="1" fontId="3" fillId="3" borderId="6" xfId="0" applyNumberFormat="1" applyFont="1" applyFill="1" applyBorder="1" applyAlignment="1">
      <alignment horizontal="left"/>
    </xf>
    <xf numFmtId="1" fontId="3" fillId="3" borderId="5" xfId="0" applyNumberFormat="1" applyFont="1" applyFill="1" applyBorder="1" applyAlignment="1">
      <alignment horizontal="left"/>
    </xf>
    <xf numFmtId="0" fontId="8" fillId="0" borderId="5" xfId="0" applyFont="1" applyBorder="1" applyAlignment="1">
      <alignment horizontal="left"/>
    </xf>
    <xf numFmtId="0" fontId="2" fillId="8" borderId="19" xfId="3" applyFont="1" applyFill="1" applyBorder="1" applyAlignment="1" applyProtection="1">
      <alignment horizontal="center" vertical="center" wrapText="1"/>
      <protection locked="0"/>
    </xf>
    <xf numFmtId="0" fontId="2" fillId="8" borderId="20" xfId="3" applyFont="1" applyFill="1" applyBorder="1" applyAlignment="1" applyProtection="1">
      <alignment horizontal="center" vertical="center" wrapText="1"/>
      <protection locked="0"/>
    </xf>
    <xf numFmtId="0" fontId="16" fillId="0" borderId="4" xfId="5" applyBorder="1" applyAlignment="1">
      <alignment horizontal="left" vertical="top"/>
    </xf>
    <xf numFmtId="0" fontId="11" fillId="0" borderId="4" xfId="0" applyFont="1" applyBorder="1" applyAlignment="1">
      <alignment horizontal="center" vertical="top" wrapText="1"/>
    </xf>
    <xf numFmtId="0" fontId="11" fillId="0" borderId="5" xfId="0" applyFont="1" applyBorder="1" applyAlignment="1">
      <alignment horizontal="center" vertical="top" wrapText="1"/>
    </xf>
    <xf numFmtId="1" fontId="11" fillId="2" borderId="1" xfId="0" applyNumberFormat="1" applyFont="1" applyFill="1" applyBorder="1" applyAlignment="1">
      <alignment horizontal="center"/>
    </xf>
    <xf numFmtId="0" fontId="0" fillId="2" borderId="1" xfId="0" applyFill="1" applyBorder="1" applyAlignment="1">
      <alignment horizontal="center" wrapText="1"/>
    </xf>
    <xf numFmtId="0" fontId="7" fillId="0" borderId="1" xfId="0" applyFont="1" applyBorder="1" applyAlignment="1">
      <alignment horizontal="center"/>
    </xf>
    <xf numFmtId="0" fontId="3" fillId="0" borderId="1" xfId="3" applyFont="1" applyBorder="1" applyAlignment="1" applyProtection="1">
      <alignment horizontal="left" vertical="top" wrapText="1"/>
      <protection locked="0"/>
    </xf>
    <xf numFmtId="0" fontId="3" fillId="0" borderId="23" xfId="3" applyFont="1" applyBorder="1" applyAlignment="1" applyProtection="1">
      <alignment horizontal="left" vertical="top" wrapText="1"/>
      <protection locked="0"/>
    </xf>
    <xf numFmtId="9" fontId="3" fillId="0" borderId="23" xfId="3" applyNumberFormat="1" applyFont="1" applyBorder="1" applyAlignment="1" applyProtection="1">
      <alignment horizontal="center" vertical="center"/>
      <protection locked="0"/>
    </xf>
    <xf numFmtId="0" fontId="2" fillId="0" borderId="1" xfId="3" applyFont="1" applyBorder="1" applyAlignment="1" applyProtection="1">
      <alignment horizontal="left" vertical="top" wrapText="1"/>
      <protection locked="0"/>
    </xf>
    <xf numFmtId="9" fontId="2" fillId="0" borderId="1" xfId="3" applyNumberFormat="1" applyFont="1" applyBorder="1" applyAlignment="1" applyProtection="1">
      <alignment horizontal="center" vertical="center"/>
      <protection locked="0"/>
    </xf>
    <xf numFmtId="0" fontId="3" fillId="0" borderId="19" xfId="3" applyFont="1" applyBorder="1" applyAlignment="1" applyProtection="1">
      <alignment horizontal="center" vertical="top"/>
      <protection locked="0"/>
    </xf>
    <xf numFmtId="0" fontId="3" fillId="3" borderId="8" xfId="0" applyFont="1" applyFill="1" applyBorder="1" applyAlignment="1">
      <alignment horizontal="left" vertical="top" wrapText="1"/>
    </xf>
    <xf numFmtId="0" fontId="3" fillId="3" borderId="9" xfId="0" applyFont="1" applyFill="1" applyBorder="1" applyAlignment="1">
      <alignment horizontal="left" vertical="top" wrapText="1"/>
    </xf>
    <xf numFmtId="0" fontId="3" fillId="3" borderId="10" xfId="0" applyFont="1" applyFill="1" applyBorder="1" applyAlignment="1">
      <alignment horizontal="left" vertical="top" wrapText="1"/>
    </xf>
    <xf numFmtId="0" fontId="3" fillId="3" borderId="14" xfId="0" applyFont="1" applyFill="1" applyBorder="1" applyAlignment="1">
      <alignment horizontal="left" vertical="top" wrapText="1"/>
    </xf>
    <xf numFmtId="0" fontId="3" fillId="3" borderId="2" xfId="0" applyFont="1" applyFill="1" applyBorder="1" applyAlignment="1">
      <alignment horizontal="left" vertical="top" wrapText="1"/>
    </xf>
    <xf numFmtId="0" fontId="3" fillId="3" borderId="15" xfId="0" applyFont="1" applyFill="1" applyBorder="1" applyAlignment="1">
      <alignment horizontal="left" vertical="top" wrapText="1"/>
    </xf>
    <xf numFmtId="0" fontId="3" fillId="3" borderId="3" xfId="0" applyFont="1" applyFill="1" applyBorder="1" applyAlignment="1">
      <alignment horizontal="center" vertical="top"/>
    </xf>
    <xf numFmtId="0" fontId="3" fillId="3" borderId="16" xfId="0" applyFont="1" applyFill="1" applyBorder="1" applyAlignment="1">
      <alignment horizontal="center" vertical="top"/>
    </xf>
  </cellXfs>
  <cellStyles count="6">
    <cellStyle name="Excel Built-in Normal" xfId="1"/>
    <cellStyle name="Hyperlink" xfId="5" builtinId="8"/>
    <cellStyle name="Normal" xfId="0" builtinId="0"/>
    <cellStyle name="Normal 2" xfId="2"/>
    <cellStyle name="Normal 3" xfId="3"/>
    <cellStyle name="Normal 4" xfId="4"/>
  </cellStyles>
  <dxfs count="1">
    <dxf>
      <fill>
        <patternFill patternType="solid">
          <fgColor rgb="FFD8E4BC"/>
          <bgColor rgb="FF000000"/>
        </patternFill>
      </fill>
    </dxf>
  </dxfs>
  <tableStyles count="0" defaultTableStyle="TableStyleMedium9" defaultPivotStyle="PivotStyleLight16"/>
  <colors>
    <mruColors>
      <color rgb="FFFF505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jpeg"/><Relationship Id="rId117" Type="http://schemas.openxmlformats.org/officeDocument/2006/relationships/image" Target="../media/image117.png"/><Relationship Id="rId21" Type="http://schemas.openxmlformats.org/officeDocument/2006/relationships/image" Target="../media/image21.jpeg"/><Relationship Id="rId42" Type="http://schemas.openxmlformats.org/officeDocument/2006/relationships/image" Target="../media/image42.jpeg"/><Relationship Id="rId47" Type="http://schemas.openxmlformats.org/officeDocument/2006/relationships/image" Target="../media/image47.jpeg"/><Relationship Id="rId63" Type="http://schemas.openxmlformats.org/officeDocument/2006/relationships/image" Target="../media/image63.png"/><Relationship Id="rId68" Type="http://schemas.openxmlformats.org/officeDocument/2006/relationships/image" Target="../media/image68.png"/><Relationship Id="rId84" Type="http://schemas.openxmlformats.org/officeDocument/2006/relationships/image" Target="../media/image84.png"/><Relationship Id="rId89" Type="http://schemas.openxmlformats.org/officeDocument/2006/relationships/image" Target="../media/image89.png"/><Relationship Id="rId112" Type="http://schemas.openxmlformats.org/officeDocument/2006/relationships/image" Target="../media/image112.png"/><Relationship Id="rId16" Type="http://schemas.openxmlformats.org/officeDocument/2006/relationships/image" Target="../media/image16.jpeg"/><Relationship Id="rId107" Type="http://schemas.openxmlformats.org/officeDocument/2006/relationships/image" Target="../media/image107.png"/><Relationship Id="rId11" Type="http://schemas.openxmlformats.org/officeDocument/2006/relationships/image" Target="../media/image11.jpeg"/><Relationship Id="rId32" Type="http://schemas.openxmlformats.org/officeDocument/2006/relationships/image" Target="../media/image32.jpeg"/><Relationship Id="rId37" Type="http://schemas.openxmlformats.org/officeDocument/2006/relationships/image" Target="../media/image37.jpeg"/><Relationship Id="rId53" Type="http://schemas.openxmlformats.org/officeDocument/2006/relationships/image" Target="../media/image53.jpg"/><Relationship Id="rId58" Type="http://schemas.openxmlformats.org/officeDocument/2006/relationships/image" Target="../media/image58.jpeg"/><Relationship Id="rId74" Type="http://schemas.openxmlformats.org/officeDocument/2006/relationships/image" Target="../media/image74.png"/><Relationship Id="rId79" Type="http://schemas.openxmlformats.org/officeDocument/2006/relationships/image" Target="../media/image79.png"/><Relationship Id="rId102" Type="http://schemas.openxmlformats.org/officeDocument/2006/relationships/image" Target="../media/image102.png"/><Relationship Id="rId5" Type="http://schemas.openxmlformats.org/officeDocument/2006/relationships/image" Target="../media/image5.jpeg"/><Relationship Id="rId90" Type="http://schemas.openxmlformats.org/officeDocument/2006/relationships/image" Target="../media/image90.png"/><Relationship Id="rId95" Type="http://schemas.openxmlformats.org/officeDocument/2006/relationships/image" Target="../media/image95.png"/><Relationship Id="rId22" Type="http://schemas.openxmlformats.org/officeDocument/2006/relationships/image" Target="../media/image22.jpeg"/><Relationship Id="rId27" Type="http://schemas.openxmlformats.org/officeDocument/2006/relationships/image" Target="../media/image27.jpeg"/><Relationship Id="rId43" Type="http://schemas.openxmlformats.org/officeDocument/2006/relationships/image" Target="../media/image43.jpeg"/><Relationship Id="rId48" Type="http://schemas.openxmlformats.org/officeDocument/2006/relationships/image" Target="../media/image48.jpeg"/><Relationship Id="rId64" Type="http://schemas.openxmlformats.org/officeDocument/2006/relationships/image" Target="../media/image64.png"/><Relationship Id="rId69" Type="http://schemas.openxmlformats.org/officeDocument/2006/relationships/image" Target="../media/image69.png"/><Relationship Id="rId113" Type="http://schemas.openxmlformats.org/officeDocument/2006/relationships/image" Target="../media/image113.png"/><Relationship Id="rId118" Type="http://schemas.openxmlformats.org/officeDocument/2006/relationships/image" Target="../media/image118.png"/><Relationship Id="rId80" Type="http://schemas.openxmlformats.org/officeDocument/2006/relationships/image" Target="../media/image80.png"/><Relationship Id="rId85" Type="http://schemas.openxmlformats.org/officeDocument/2006/relationships/image" Target="../media/image85.png"/><Relationship Id="rId12" Type="http://schemas.openxmlformats.org/officeDocument/2006/relationships/image" Target="../media/image12.jpeg"/><Relationship Id="rId17" Type="http://schemas.openxmlformats.org/officeDocument/2006/relationships/image" Target="../media/image17.jpeg"/><Relationship Id="rId33" Type="http://schemas.openxmlformats.org/officeDocument/2006/relationships/image" Target="../media/image33.jpeg"/><Relationship Id="rId38" Type="http://schemas.openxmlformats.org/officeDocument/2006/relationships/image" Target="../media/image38.jpeg"/><Relationship Id="rId59" Type="http://schemas.openxmlformats.org/officeDocument/2006/relationships/image" Target="../media/image59.jpeg"/><Relationship Id="rId103" Type="http://schemas.openxmlformats.org/officeDocument/2006/relationships/image" Target="../media/image103.png"/><Relationship Id="rId108" Type="http://schemas.openxmlformats.org/officeDocument/2006/relationships/image" Target="../media/image108.png"/><Relationship Id="rId54" Type="http://schemas.openxmlformats.org/officeDocument/2006/relationships/image" Target="../media/image54.jpeg"/><Relationship Id="rId70" Type="http://schemas.openxmlformats.org/officeDocument/2006/relationships/image" Target="../media/image70.png"/><Relationship Id="rId75" Type="http://schemas.openxmlformats.org/officeDocument/2006/relationships/image" Target="../media/image75.png"/><Relationship Id="rId91" Type="http://schemas.openxmlformats.org/officeDocument/2006/relationships/image" Target="../media/image91.png"/><Relationship Id="rId96" Type="http://schemas.openxmlformats.org/officeDocument/2006/relationships/image" Target="../media/image96.png"/><Relationship Id="rId1" Type="http://schemas.openxmlformats.org/officeDocument/2006/relationships/image" Target="../media/image1.jpeg"/><Relationship Id="rId6" Type="http://schemas.openxmlformats.org/officeDocument/2006/relationships/image" Target="../media/image6.jpeg"/><Relationship Id="rId23" Type="http://schemas.openxmlformats.org/officeDocument/2006/relationships/image" Target="../media/image23.jpeg"/><Relationship Id="rId28" Type="http://schemas.openxmlformats.org/officeDocument/2006/relationships/image" Target="../media/image28.jpeg"/><Relationship Id="rId49" Type="http://schemas.openxmlformats.org/officeDocument/2006/relationships/image" Target="../media/image49.jpeg"/><Relationship Id="rId114" Type="http://schemas.openxmlformats.org/officeDocument/2006/relationships/image" Target="../media/image114.png"/><Relationship Id="rId119" Type="http://schemas.openxmlformats.org/officeDocument/2006/relationships/image" Target="../media/image119.png"/><Relationship Id="rId10" Type="http://schemas.openxmlformats.org/officeDocument/2006/relationships/image" Target="../media/image10.jpeg"/><Relationship Id="rId31" Type="http://schemas.openxmlformats.org/officeDocument/2006/relationships/image" Target="../media/image31.jpeg"/><Relationship Id="rId44" Type="http://schemas.openxmlformats.org/officeDocument/2006/relationships/image" Target="../media/image44.jpeg"/><Relationship Id="rId52" Type="http://schemas.openxmlformats.org/officeDocument/2006/relationships/image" Target="../media/image52.jpeg"/><Relationship Id="rId60" Type="http://schemas.openxmlformats.org/officeDocument/2006/relationships/image" Target="../media/image60.jpeg"/><Relationship Id="rId65" Type="http://schemas.openxmlformats.org/officeDocument/2006/relationships/image" Target="../media/image65.png"/><Relationship Id="rId73" Type="http://schemas.openxmlformats.org/officeDocument/2006/relationships/image" Target="../media/image73.png"/><Relationship Id="rId78" Type="http://schemas.openxmlformats.org/officeDocument/2006/relationships/image" Target="../media/image78.png"/><Relationship Id="rId81" Type="http://schemas.openxmlformats.org/officeDocument/2006/relationships/image" Target="../media/image81.png"/><Relationship Id="rId86" Type="http://schemas.openxmlformats.org/officeDocument/2006/relationships/image" Target="../media/image86.png"/><Relationship Id="rId94" Type="http://schemas.openxmlformats.org/officeDocument/2006/relationships/image" Target="../media/image94.png"/><Relationship Id="rId99" Type="http://schemas.openxmlformats.org/officeDocument/2006/relationships/image" Target="../media/image99.png"/><Relationship Id="rId101" Type="http://schemas.openxmlformats.org/officeDocument/2006/relationships/image" Target="../media/image101.png"/><Relationship Id="rId4" Type="http://schemas.openxmlformats.org/officeDocument/2006/relationships/image" Target="../media/image4.jpeg"/><Relationship Id="rId9" Type="http://schemas.openxmlformats.org/officeDocument/2006/relationships/image" Target="../media/image9.jpeg"/><Relationship Id="rId13" Type="http://schemas.openxmlformats.org/officeDocument/2006/relationships/image" Target="../media/image13.jpeg"/><Relationship Id="rId18" Type="http://schemas.openxmlformats.org/officeDocument/2006/relationships/image" Target="../media/image18.jpeg"/><Relationship Id="rId39" Type="http://schemas.openxmlformats.org/officeDocument/2006/relationships/image" Target="../media/image39.jpeg"/><Relationship Id="rId109" Type="http://schemas.openxmlformats.org/officeDocument/2006/relationships/image" Target="../media/image109.png"/><Relationship Id="rId34" Type="http://schemas.openxmlformats.org/officeDocument/2006/relationships/image" Target="../media/image34.jpeg"/><Relationship Id="rId50" Type="http://schemas.openxmlformats.org/officeDocument/2006/relationships/image" Target="../media/image50.jpeg"/><Relationship Id="rId55" Type="http://schemas.openxmlformats.org/officeDocument/2006/relationships/image" Target="../media/image55.jpeg"/><Relationship Id="rId76" Type="http://schemas.openxmlformats.org/officeDocument/2006/relationships/image" Target="../media/image76.png"/><Relationship Id="rId97" Type="http://schemas.openxmlformats.org/officeDocument/2006/relationships/image" Target="../media/image97.png"/><Relationship Id="rId104" Type="http://schemas.openxmlformats.org/officeDocument/2006/relationships/image" Target="../media/image104.png"/><Relationship Id="rId7" Type="http://schemas.openxmlformats.org/officeDocument/2006/relationships/image" Target="../media/image7.jpeg"/><Relationship Id="rId71" Type="http://schemas.openxmlformats.org/officeDocument/2006/relationships/image" Target="../media/image71.png"/><Relationship Id="rId92" Type="http://schemas.openxmlformats.org/officeDocument/2006/relationships/image" Target="../media/image92.png"/><Relationship Id="rId2" Type="http://schemas.openxmlformats.org/officeDocument/2006/relationships/image" Target="../media/image2.png"/><Relationship Id="rId29" Type="http://schemas.openxmlformats.org/officeDocument/2006/relationships/image" Target="../media/image29.jpeg"/><Relationship Id="rId24" Type="http://schemas.openxmlformats.org/officeDocument/2006/relationships/image" Target="../media/image24.jpeg"/><Relationship Id="rId40" Type="http://schemas.openxmlformats.org/officeDocument/2006/relationships/image" Target="../media/image40.jpeg"/><Relationship Id="rId45" Type="http://schemas.openxmlformats.org/officeDocument/2006/relationships/image" Target="../media/image45.jpe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15" Type="http://schemas.openxmlformats.org/officeDocument/2006/relationships/image" Target="../media/image115.png"/><Relationship Id="rId61" Type="http://schemas.openxmlformats.org/officeDocument/2006/relationships/image" Target="../media/image61.png"/><Relationship Id="rId82" Type="http://schemas.openxmlformats.org/officeDocument/2006/relationships/image" Target="../media/image82.png"/><Relationship Id="rId19" Type="http://schemas.openxmlformats.org/officeDocument/2006/relationships/image" Target="../media/image19.jpeg"/><Relationship Id="rId14" Type="http://schemas.openxmlformats.org/officeDocument/2006/relationships/image" Target="../media/image14.jpeg"/><Relationship Id="rId30" Type="http://schemas.openxmlformats.org/officeDocument/2006/relationships/image" Target="../media/image30.jpeg"/><Relationship Id="rId35" Type="http://schemas.openxmlformats.org/officeDocument/2006/relationships/image" Target="../media/image35.jpeg"/><Relationship Id="rId56" Type="http://schemas.openxmlformats.org/officeDocument/2006/relationships/image" Target="../media/image56.jpeg"/><Relationship Id="rId77" Type="http://schemas.openxmlformats.org/officeDocument/2006/relationships/image" Target="../media/image77.png"/><Relationship Id="rId100" Type="http://schemas.openxmlformats.org/officeDocument/2006/relationships/image" Target="../media/image100.png"/><Relationship Id="rId105" Type="http://schemas.openxmlformats.org/officeDocument/2006/relationships/image" Target="../media/image105.png"/><Relationship Id="rId8" Type="http://schemas.openxmlformats.org/officeDocument/2006/relationships/image" Target="../media/image8.jpeg"/><Relationship Id="rId51" Type="http://schemas.openxmlformats.org/officeDocument/2006/relationships/image" Target="../media/image51.jpeg"/><Relationship Id="rId72" Type="http://schemas.openxmlformats.org/officeDocument/2006/relationships/image" Target="../media/image72.png"/><Relationship Id="rId93" Type="http://schemas.openxmlformats.org/officeDocument/2006/relationships/image" Target="../media/image93.png"/><Relationship Id="rId98" Type="http://schemas.openxmlformats.org/officeDocument/2006/relationships/image" Target="../media/image98.png"/><Relationship Id="rId3" Type="http://schemas.openxmlformats.org/officeDocument/2006/relationships/image" Target="../media/image3.jpeg"/><Relationship Id="rId25" Type="http://schemas.openxmlformats.org/officeDocument/2006/relationships/image" Target="../media/image25.jpeg"/><Relationship Id="rId46" Type="http://schemas.openxmlformats.org/officeDocument/2006/relationships/image" Target="../media/image46.jpeg"/><Relationship Id="rId67" Type="http://schemas.openxmlformats.org/officeDocument/2006/relationships/image" Target="../media/image67.png"/><Relationship Id="rId116" Type="http://schemas.openxmlformats.org/officeDocument/2006/relationships/image" Target="../media/image116.png"/><Relationship Id="rId20" Type="http://schemas.openxmlformats.org/officeDocument/2006/relationships/image" Target="../media/image20.jpeg"/><Relationship Id="rId41" Type="http://schemas.openxmlformats.org/officeDocument/2006/relationships/image" Target="../media/image41.jpeg"/><Relationship Id="rId62" Type="http://schemas.openxmlformats.org/officeDocument/2006/relationships/image" Target="../media/image62.png"/><Relationship Id="rId83" Type="http://schemas.openxmlformats.org/officeDocument/2006/relationships/image" Target="../media/image83.png"/><Relationship Id="rId88" Type="http://schemas.openxmlformats.org/officeDocument/2006/relationships/image" Target="../media/image88.png"/><Relationship Id="rId111" Type="http://schemas.openxmlformats.org/officeDocument/2006/relationships/image" Target="../media/image111.png"/><Relationship Id="rId15" Type="http://schemas.openxmlformats.org/officeDocument/2006/relationships/image" Target="../media/image15.jpeg"/><Relationship Id="rId36" Type="http://schemas.openxmlformats.org/officeDocument/2006/relationships/image" Target="../media/image36.jpeg"/><Relationship Id="rId57" Type="http://schemas.openxmlformats.org/officeDocument/2006/relationships/image" Target="../media/image57.jpeg"/><Relationship Id="rId106" Type="http://schemas.openxmlformats.org/officeDocument/2006/relationships/image" Target="../media/image106.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121.png"/><Relationship Id="rId1" Type="http://schemas.openxmlformats.org/officeDocument/2006/relationships/image" Target="../media/image120.png"/></Relationships>
</file>

<file path=xl/drawings/drawing1.xml><?xml version="1.0" encoding="utf-8"?>
<xdr:wsDr xmlns:xdr="http://schemas.openxmlformats.org/drawingml/2006/spreadsheetDrawing" xmlns:a="http://schemas.openxmlformats.org/drawingml/2006/main">
  <xdr:twoCellAnchor editAs="oneCell">
    <xdr:from>
      <xdr:col>0</xdr:col>
      <xdr:colOff>752475</xdr:colOff>
      <xdr:row>687</xdr:row>
      <xdr:rowOff>5379</xdr:rowOff>
    </xdr:from>
    <xdr:to>
      <xdr:col>9</xdr:col>
      <xdr:colOff>121497</xdr:colOff>
      <xdr:row>705</xdr:row>
      <xdr:rowOff>176379</xdr:rowOff>
    </xdr:to>
    <xdr:pic>
      <xdr:nvPicPr>
        <xdr:cNvPr id="14081" name="Picture 45">
          <a:extLst>
            <a:ext uri="{FF2B5EF4-FFF2-40B4-BE49-F238E27FC236}">
              <a16:creationId xmlns:a16="http://schemas.microsoft.com/office/drawing/2014/main" id="{00000000-0008-0000-0000-00000137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752475" y="149509779"/>
          <a:ext cx="5522172" cy="3600000"/>
        </a:xfrm>
        <a:prstGeom prst="rect">
          <a:avLst/>
        </a:prstGeom>
        <a:noFill/>
        <a:ln w="9525">
          <a:solidFill>
            <a:schemeClr val="tx1"/>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752475</xdr:colOff>
      <xdr:row>667</xdr:row>
      <xdr:rowOff>114300</xdr:rowOff>
    </xdr:from>
    <xdr:to>
      <xdr:col>9</xdr:col>
      <xdr:colOff>106887</xdr:colOff>
      <xdr:row>686</xdr:row>
      <xdr:rowOff>94800</xdr:rowOff>
    </xdr:to>
    <xdr:pic>
      <xdr:nvPicPr>
        <xdr:cNvPr id="14082" name="Picture 46">
          <a:extLst>
            <a:ext uri="{FF2B5EF4-FFF2-40B4-BE49-F238E27FC236}">
              <a16:creationId xmlns:a16="http://schemas.microsoft.com/office/drawing/2014/main" id="{00000000-0008-0000-0000-00000237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752475" y="145808700"/>
          <a:ext cx="5507562" cy="3600000"/>
        </a:xfrm>
        <a:prstGeom prst="rect">
          <a:avLst/>
        </a:prstGeom>
        <a:noFill/>
        <a:ln w="9525">
          <a:solidFill>
            <a:schemeClr val="tx1"/>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477577</xdr:colOff>
      <xdr:row>527</xdr:row>
      <xdr:rowOff>130549</xdr:rowOff>
    </xdr:from>
    <xdr:to>
      <xdr:col>23</xdr:col>
      <xdr:colOff>604889</xdr:colOff>
      <xdr:row>669</xdr:row>
      <xdr:rowOff>19157</xdr:rowOff>
    </xdr:to>
    <xdr:grpSp>
      <xdr:nvGrpSpPr>
        <xdr:cNvPr id="2" name="Group 1">
          <a:extLst>
            <a:ext uri="{FF2B5EF4-FFF2-40B4-BE49-F238E27FC236}">
              <a16:creationId xmlns:a16="http://schemas.microsoft.com/office/drawing/2014/main" id="{00000000-0008-0000-0000-000002000000}"/>
            </a:ext>
          </a:extLst>
        </xdr:cNvPr>
        <xdr:cNvGrpSpPr/>
      </xdr:nvGrpSpPr>
      <xdr:grpSpPr>
        <a:xfrm>
          <a:off x="9278677" y="102238549"/>
          <a:ext cx="7182162" cy="26152208"/>
          <a:chOff x="146443" y="114166650"/>
          <a:chExt cx="6832912" cy="33102283"/>
        </a:xfrm>
      </xdr:grpSpPr>
      <xdr:pic>
        <xdr:nvPicPr>
          <xdr:cNvPr id="61" name="Picture 60">
            <a:extLst>
              <a:ext uri="{FF2B5EF4-FFF2-40B4-BE49-F238E27FC236}">
                <a16:creationId xmlns:a16="http://schemas.microsoft.com/office/drawing/2014/main" id="{00000000-0008-0000-0000-00003D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21327" y="114166650"/>
            <a:ext cx="1563826" cy="2088000"/>
          </a:xfrm>
          <a:prstGeom prst="rect">
            <a:avLst/>
          </a:prstGeom>
          <a:ln>
            <a:solidFill>
              <a:schemeClr val="tx1"/>
            </a:solidFill>
          </a:ln>
        </xdr:spPr>
      </xdr:pic>
      <xdr:pic>
        <xdr:nvPicPr>
          <xdr:cNvPr id="62" name="Picture 61">
            <a:extLst>
              <a:ext uri="{FF2B5EF4-FFF2-40B4-BE49-F238E27FC236}">
                <a16:creationId xmlns:a16="http://schemas.microsoft.com/office/drawing/2014/main" id="{00000000-0008-0000-0000-00003E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21327" y="116402850"/>
            <a:ext cx="1563826" cy="2088000"/>
          </a:xfrm>
          <a:prstGeom prst="rect">
            <a:avLst/>
          </a:prstGeom>
          <a:ln>
            <a:solidFill>
              <a:schemeClr val="tx1"/>
            </a:solidFill>
          </a:ln>
        </xdr:spPr>
      </xdr:pic>
      <xdr:pic>
        <xdr:nvPicPr>
          <xdr:cNvPr id="63" name="Picture 62">
            <a:extLst>
              <a:ext uri="{FF2B5EF4-FFF2-40B4-BE49-F238E27FC236}">
                <a16:creationId xmlns:a16="http://schemas.microsoft.com/office/drawing/2014/main" id="{00000000-0008-0000-0000-00003F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903146" y="114166650"/>
            <a:ext cx="1563826" cy="2088000"/>
          </a:xfrm>
          <a:prstGeom prst="rect">
            <a:avLst/>
          </a:prstGeom>
          <a:ln>
            <a:solidFill>
              <a:schemeClr val="tx1"/>
            </a:solidFill>
          </a:ln>
        </xdr:spPr>
      </xdr:pic>
      <xdr:pic>
        <xdr:nvPicPr>
          <xdr:cNvPr id="64" name="Picture 63">
            <a:extLst>
              <a:ext uri="{FF2B5EF4-FFF2-40B4-BE49-F238E27FC236}">
                <a16:creationId xmlns:a16="http://schemas.microsoft.com/office/drawing/2014/main" id="{00000000-0008-0000-0000-000040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584965" y="114166650"/>
            <a:ext cx="1563826" cy="2088000"/>
          </a:xfrm>
          <a:prstGeom prst="rect">
            <a:avLst/>
          </a:prstGeom>
          <a:ln>
            <a:solidFill>
              <a:schemeClr val="tx1"/>
            </a:solidFill>
          </a:ln>
        </xdr:spPr>
      </xdr:pic>
      <xdr:pic>
        <xdr:nvPicPr>
          <xdr:cNvPr id="65" name="Picture 64">
            <a:extLst>
              <a:ext uri="{FF2B5EF4-FFF2-40B4-BE49-F238E27FC236}">
                <a16:creationId xmlns:a16="http://schemas.microsoft.com/office/drawing/2014/main" id="{00000000-0008-0000-0000-000041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266784" y="116402850"/>
            <a:ext cx="1563826" cy="2088000"/>
          </a:xfrm>
          <a:prstGeom prst="rect">
            <a:avLst/>
          </a:prstGeom>
          <a:ln>
            <a:solidFill>
              <a:schemeClr val="tx1"/>
            </a:solidFill>
          </a:ln>
        </xdr:spPr>
      </xdr:pic>
      <xdr:pic>
        <xdr:nvPicPr>
          <xdr:cNvPr id="66" name="Picture 65">
            <a:extLst>
              <a:ext uri="{FF2B5EF4-FFF2-40B4-BE49-F238E27FC236}">
                <a16:creationId xmlns:a16="http://schemas.microsoft.com/office/drawing/2014/main" id="{00000000-0008-0000-0000-000042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5315159" y="114166650"/>
            <a:ext cx="1563826" cy="2088000"/>
          </a:xfrm>
          <a:prstGeom prst="rect">
            <a:avLst/>
          </a:prstGeom>
          <a:ln>
            <a:solidFill>
              <a:schemeClr val="tx1"/>
            </a:solidFill>
          </a:ln>
        </xdr:spPr>
      </xdr:pic>
      <xdr:pic>
        <xdr:nvPicPr>
          <xdr:cNvPr id="67" name="Picture 66">
            <a:extLst>
              <a:ext uri="{FF2B5EF4-FFF2-40B4-BE49-F238E27FC236}">
                <a16:creationId xmlns:a16="http://schemas.microsoft.com/office/drawing/2014/main" id="{00000000-0008-0000-0000-000043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903146" y="116402850"/>
            <a:ext cx="1563826" cy="2088000"/>
          </a:xfrm>
          <a:prstGeom prst="rect">
            <a:avLst/>
          </a:prstGeom>
          <a:ln>
            <a:solidFill>
              <a:schemeClr val="tx1"/>
            </a:solidFill>
          </a:ln>
        </xdr:spPr>
      </xdr:pic>
      <xdr:pic>
        <xdr:nvPicPr>
          <xdr:cNvPr id="68" name="Picture 67">
            <a:extLst>
              <a:ext uri="{FF2B5EF4-FFF2-40B4-BE49-F238E27FC236}">
                <a16:creationId xmlns:a16="http://schemas.microsoft.com/office/drawing/2014/main" id="{00000000-0008-0000-0000-000044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584965" y="116402850"/>
            <a:ext cx="1563826" cy="2088000"/>
          </a:xfrm>
          <a:prstGeom prst="rect">
            <a:avLst/>
          </a:prstGeom>
          <a:ln>
            <a:solidFill>
              <a:schemeClr val="tx1"/>
            </a:solidFill>
          </a:ln>
        </xdr:spPr>
      </xdr:pic>
      <xdr:pic>
        <xdr:nvPicPr>
          <xdr:cNvPr id="69" name="Picture 68">
            <a:extLst>
              <a:ext uri="{FF2B5EF4-FFF2-40B4-BE49-F238E27FC236}">
                <a16:creationId xmlns:a16="http://schemas.microsoft.com/office/drawing/2014/main" id="{00000000-0008-0000-0000-000045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1905174" y="118676634"/>
            <a:ext cx="1563826" cy="2088000"/>
          </a:xfrm>
          <a:prstGeom prst="rect">
            <a:avLst/>
          </a:prstGeom>
          <a:ln>
            <a:solidFill>
              <a:schemeClr val="tx1"/>
            </a:solidFill>
          </a:ln>
        </xdr:spPr>
      </xdr:pic>
      <xdr:pic>
        <xdr:nvPicPr>
          <xdr:cNvPr id="70" name="Picture 69">
            <a:extLst>
              <a:ext uri="{FF2B5EF4-FFF2-40B4-BE49-F238E27FC236}">
                <a16:creationId xmlns:a16="http://schemas.microsoft.com/office/drawing/2014/main" id="{00000000-0008-0000-0000-000046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209550" y="121607643"/>
            <a:ext cx="1566000" cy="2088000"/>
          </a:xfrm>
          <a:prstGeom prst="rect">
            <a:avLst/>
          </a:prstGeom>
          <a:ln>
            <a:solidFill>
              <a:schemeClr val="tx1"/>
            </a:solidFill>
          </a:ln>
        </xdr:spPr>
      </xdr:pic>
      <xdr:pic>
        <xdr:nvPicPr>
          <xdr:cNvPr id="71" name="Picture 70">
            <a:extLst>
              <a:ext uri="{FF2B5EF4-FFF2-40B4-BE49-F238E27FC236}">
                <a16:creationId xmlns:a16="http://schemas.microsoft.com/office/drawing/2014/main" id="{00000000-0008-0000-0000-000047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5255007" y="121598131"/>
            <a:ext cx="1566000" cy="2088000"/>
          </a:xfrm>
          <a:prstGeom prst="rect">
            <a:avLst/>
          </a:prstGeom>
          <a:ln>
            <a:solidFill>
              <a:schemeClr val="tx1"/>
            </a:solidFill>
          </a:ln>
        </xdr:spPr>
      </xdr:pic>
      <xdr:pic>
        <xdr:nvPicPr>
          <xdr:cNvPr id="72" name="Picture 71">
            <a:extLst>
              <a:ext uri="{FF2B5EF4-FFF2-40B4-BE49-F238E27FC236}">
                <a16:creationId xmlns:a16="http://schemas.microsoft.com/office/drawing/2014/main" id="{00000000-0008-0000-0000-000048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3575438" y="121598131"/>
            <a:ext cx="1566000" cy="2088000"/>
          </a:xfrm>
          <a:prstGeom prst="rect">
            <a:avLst/>
          </a:prstGeom>
          <a:ln>
            <a:solidFill>
              <a:schemeClr val="tx1"/>
            </a:solidFill>
          </a:ln>
        </xdr:spPr>
      </xdr:pic>
      <xdr:pic>
        <xdr:nvPicPr>
          <xdr:cNvPr id="73" name="Picture 72">
            <a:extLst>
              <a:ext uri="{FF2B5EF4-FFF2-40B4-BE49-F238E27FC236}">
                <a16:creationId xmlns:a16="http://schemas.microsoft.com/office/drawing/2014/main" id="{00000000-0008-0000-0000-000049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219075" y="118676634"/>
            <a:ext cx="1566000" cy="2088000"/>
          </a:xfrm>
          <a:prstGeom prst="rect">
            <a:avLst/>
          </a:prstGeom>
          <a:ln>
            <a:solidFill>
              <a:schemeClr val="tx1"/>
            </a:solidFill>
          </a:ln>
        </xdr:spPr>
      </xdr:pic>
      <xdr:pic>
        <xdr:nvPicPr>
          <xdr:cNvPr id="74" name="Picture 73">
            <a:extLst>
              <a:ext uri="{FF2B5EF4-FFF2-40B4-BE49-F238E27FC236}">
                <a16:creationId xmlns:a16="http://schemas.microsoft.com/office/drawing/2014/main" id="{00000000-0008-0000-0000-00004A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3584963" y="118671878"/>
            <a:ext cx="1566000" cy="2088000"/>
          </a:xfrm>
          <a:prstGeom prst="rect">
            <a:avLst/>
          </a:prstGeom>
          <a:ln>
            <a:solidFill>
              <a:schemeClr val="tx1"/>
            </a:solidFill>
          </a:ln>
        </xdr:spPr>
      </xdr:pic>
      <xdr:pic>
        <xdr:nvPicPr>
          <xdr:cNvPr id="75" name="Picture 74">
            <a:extLst>
              <a:ext uri="{FF2B5EF4-FFF2-40B4-BE49-F238E27FC236}">
                <a16:creationId xmlns:a16="http://schemas.microsoft.com/office/drawing/2014/main" id="{00000000-0008-0000-0000-00004B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1894596" y="121598131"/>
            <a:ext cx="1566000" cy="2088000"/>
          </a:xfrm>
          <a:prstGeom prst="rect">
            <a:avLst/>
          </a:prstGeom>
          <a:ln>
            <a:solidFill>
              <a:schemeClr val="tx1"/>
            </a:solidFill>
          </a:ln>
        </xdr:spPr>
      </xdr:pic>
      <xdr:pic>
        <xdr:nvPicPr>
          <xdr:cNvPr id="76" name="Picture 75">
            <a:extLst>
              <a:ext uri="{FF2B5EF4-FFF2-40B4-BE49-F238E27FC236}">
                <a16:creationId xmlns:a16="http://schemas.microsoft.com/office/drawing/2014/main" id="{00000000-0008-0000-0000-00004C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5305484" y="118671878"/>
            <a:ext cx="1566000" cy="2088000"/>
          </a:xfrm>
          <a:prstGeom prst="rect">
            <a:avLst/>
          </a:prstGeom>
          <a:ln>
            <a:solidFill>
              <a:schemeClr val="tx1"/>
            </a:solidFill>
          </a:ln>
        </xdr:spPr>
      </xdr:pic>
      <xdr:pic>
        <xdr:nvPicPr>
          <xdr:cNvPr id="79" name="Picture 78">
            <a:extLst>
              <a:ext uri="{FF2B5EF4-FFF2-40B4-BE49-F238E27FC236}">
                <a16:creationId xmlns:a16="http://schemas.microsoft.com/office/drawing/2014/main" id="{00000000-0008-0000-0000-00004F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176740" y="123729750"/>
            <a:ext cx="1566000" cy="2088000"/>
          </a:xfrm>
          <a:prstGeom prst="rect">
            <a:avLst/>
          </a:prstGeom>
          <a:ln>
            <a:solidFill>
              <a:schemeClr val="tx1"/>
            </a:solidFill>
          </a:ln>
        </xdr:spPr>
      </xdr:pic>
      <xdr:pic>
        <xdr:nvPicPr>
          <xdr:cNvPr id="80" name="Picture 79">
            <a:extLst>
              <a:ext uri="{FF2B5EF4-FFF2-40B4-BE49-F238E27FC236}">
                <a16:creationId xmlns:a16="http://schemas.microsoft.com/office/drawing/2014/main" id="{00000000-0008-0000-0000-000050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1922628" y="123729750"/>
            <a:ext cx="1566000" cy="2088000"/>
          </a:xfrm>
          <a:prstGeom prst="rect">
            <a:avLst/>
          </a:prstGeom>
          <a:ln>
            <a:solidFill>
              <a:schemeClr val="tx1"/>
            </a:solidFill>
          </a:ln>
        </xdr:spPr>
      </xdr:pic>
      <xdr:pic>
        <xdr:nvPicPr>
          <xdr:cNvPr id="81" name="Picture 80">
            <a:extLst>
              <a:ext uri="{FF2B5EF4-FFF2-40B4-BE49-F238E27FC236}">
                <a16:creationId xmlns:a16="http://schemas.microsoft.com/office/drawing/2014/main" id="{00000000-0008-0000-0000-000051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3668516" y="123729750"/>
            <a:ext cx="1566000" cy="2088000"/>
          </a:xfrm>
          <a:prstGeom prst="rect">
            <a:avLst/>
          </a:prstGeom>
          <a:ln>
            <a:solidFill>
              <a:schemeClr val="tx1"/>
            </a:solidFill>
          </a:ln>
        </xdr:spPr>
      </xdr:pic>
      <xdr:pic>
        <xdr:nvPicPr>
          <xdr:cNvPr id="82" name="Picture 81">
            <a:extLst>
              <a:ext uri="{FF2B5EF4-FFF2-40B4-BE49-F238E27FC236}">
                <a16:creationId xmlns:a16="http://schemas.microsoft.com/office/drawing/2014/main" id="{00000000-0008-0000-0000-000052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146443" y="125860685"/>
            <a:ext cx="1512000" cy="2016000"/>
          </a:xfrm>
          <a:prstGeom prst="rect">
            <a:avLst/>
          </a:prstGeom>
          <a:ln>
            <a:solidFill>
              <a:schemeClr val="tx1"/>
            </a:solidFill>
          </a:ln>
        </xdr:spPr>
      </xdr:pic>
      <xdr:pic>
        <xdr:nvPicPr>
          <xdr:cNvPr id="83" name="Picture 82">
            <a:extLst>
              <a:ext uri="{FF2B5EF4-FFF2-40B4-BE49-F238E27FC236}">
                <a16:creationId xmlns:a16="http://schemas.microsoft.com/office/drawing/2014/main" id="{00000000-0008-0000-0000-000053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3668516" y="125860685"/>
            <a:ext cx="1512000" cy="2016000"/>
          </a:xfrm>
          <a:prstGeom prst="rect">
            <a:avLst/>
          </a:prstGeom>
          <a:ln>
            <a:solidFill>
              <a:schemeClr val="tx1"/>
            </a:solidFill>
          </a:ln>
        </xdr:spPr>
      </xdr:pic>
      <xdr:pic>
        <xdr:nvPicPr>
          <xdr:cNvPr id="84" name="Picture 83">
            <a:extLst>
              <a:ext uri="{FF2B5EF4-FFF2-40B4-BE49-F238E27FC236}">
                <a16:creationId xmlns:a16="http://schemas.microsoft.com/office/drawing/2014/main" id="{00000000-0008-0000-0000-000054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5335954" y="123735833"/>
            <a:ext cx="1566000" cy="2088000"/>
          </a:xfrm>
          <a:prstGeom prst="rect">
            <a:avLst/>
          </a:prstGeom>
          <a:ln>
            <a:solidFill>
              <a:schemeClr val="tx1"/>
            </a:solidFill>
          </a:ln>
        </xdr:spPr>
      </xdr:pic>
      <xdr:pic>
        <xdr:nvPicPr>
          <xdr:cNvPr id="85" name="Picture 84">
            <a:extLst>
              <a:ext uri="{FF2B5EF4-FFF2-40B4-BE49-F238E27FC236}">
                <a16:creationId xmlns:a16="http://schemas.microsoft.com/office/drawing/2014/main" id="{00000000-0008-0000-0000-00005500000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1922628" y="125860685"/>
            <a:ext cx="1512000" cy="2016000"/>
          </a:xfrm>
          <a:prstGeom prst="rect">
            <a:avLst/>
          </a:prstGeom>
          <a:ln>
            <a:solidFill>
              <a:schemeClr val="tx1"/>
            </a:solidFill>
          </a:ln>
        </xdr:spPr>
      </xdr:pic>
      <xdr:pic>
        <xdr:nvPicPr>
          <xdr:cNvPr id="86" name="Picture 85">
            <a:extLst>
              <a:ext uri="{FF2B5EF4-FFF2-40B4-BE49-F238E27FC236}">
                <a16:creationId xmlns:a16="http://schemas.microsoft.com/office/drawing/2014/main" id="{00000000-0008-0000-0000-00005600000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3574430" y="127934470"/>
            <a:ext cx="1512000" cy="2016000"/>
          </a:xfrm>
          <a:prstGeom prst="rect">
            <a:avLst/>
          </a:prstGeom>
          <a:ln>
            <a:solidFill>
              <a:schemeClr val="tx1"/>
            </a:solidFill>
          </a:ln>
        </xdr:spPr>
      </xdr:pic>
      <xdr:pic>
        <xdr:nvPicPr>
          <xdr:cNvPr id="87" name="Picture 86">
            <a:extLst>
              <a:ext uri="{FF2B5EF4-FFF2-40B4-BE49-F238E27FC236}">
                <a16:creationId xmlns:a16="http://schemas.microsoft.com/office/drawing/2014/main" id="{00000000-0008-0000-0000-000057000000}"/>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247650" y="127934470"/>
            <a:ext cx="1512000" cy="2016000"/>
          </a:xfrm>
          <a:prstGeom prst="rect">
            <a:avLst/>
          </a:prstGeom>
          <a:ln>
            <a:solidFill>
              <a:schemeClr val="tx1"/>
            </a:solidFill>
          </a:ln>
        </xdr:spPr>
      </xdr:pic>
      <xdr:pic>
        <xdr:nvPicPr>
          <xdr:cNvPr id="88" name="Picture 87">
            <a:extLst>
              <a:ext uri="{FF2B5EF4-FFF2-40B4-BE49-F238E27FC236}">
                <a16:creationId xmlns:a16="http://schemas.microsoft.com/office/drawing/2014/main" id="{00000000-0008-0000-0000-00005800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5412154" y="125860685"/>
            <a:ext cx="1512000" cy="2016000"/>
          </a:xfrm>
          <a:prstGeom prst="rect">
            <a:avLst/>
          </a:prstGeom>
          <a:ln>
            <a:solidFill>
              <a:schemeClr val="tx1"/>
            </a:solidFill>
          </a:ln>
        </xdr:spPr>
      </xdr:pic>
      <xdr:pic>
        <xdr:nvPicPr>
          <xdr:cNvPr id="89" name="Picture 88">
            <a:extLst>
              <a:ext uri="{FF2B5EF4-FFF2-40B4-BE49-F238E27FC236}">
                <a16:creationId xmlns:a16="http://schemas.microsoft.com/office/drawing/2014/main" id="{00000000-0008-0000-0000-000059000000}"/>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1911040" y="127934470"/>
            <a:ext cx="1512000" cy="2016000"/>
          </a:xfrm>
          <a:prstGeom prst="rect">
            <a:avLst/>
          </a:prstGeom>
          <a:ln>
            <a:solidFill>
              <a:schemeClr val="tx1"/>
            </a:solidFill>
          </a:ln>
        </xdr:spPr>
      </xdr:pic>
      <xdr:pic>
        <xdr:nvPicPr>
          <xdr:cNvPr id="90" name="Picture 89">
            <a:extLst>
              <a:ext uri="{FF2B5EF4-FFF2-40B4-BE49-F238E27FC236}">
                <a16:creationId xmlns:a16="http://schemas.microsoft.com/office/drawing/2014/main" id="{00000000-0008-0000-0000-00005A00000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1891990" y="130187085"/>
            <a:ext cx="1566000" cy="2088000"/>
          </a:xfrm>
          <a:prstGeom prst="rect">
            <a:avLst/>
          </a:prstGeom>
          <a:ln>
            <a:solidFill>
              <a:schemeClr val="tx1"/>
            </a:solidFill>
          </a:ln>
        </xdr:spPr>
      </xdr:pic>
      <xdr:pic>
        <xdr:nvPicPr>
          <xdr:cNvPr id="91" name="Picture 90">
            <a:extLst>
              <a:ext uri="{FF2B5EF4-FFF2-40B4-BE49-F238E27FC236}">
                <a16:creationId xmlns:a16="http://schemas.microsoft.com/office/drawing/2014/main" id="{00000000-0008-0000-0000-00005B00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3555380" y="130187085"/>
            <a:ext cx="1566000" cy="2088000"/>
          </a:xfrm>
          <a:prstGeom prst="rect">
            <a:avLst/>
          </a:prstGeom>
          <a:ln>
            <a:solidFill>
              <a:schemeClr val="tx1"/>
            </a:solidFill>
          </a:ln>
        </xdr:spPr>
      </xdr:pic>
      <xdr:pic>
        <xdr:nvPicPr>
          <xdr:cNvPr id="92" name="Picture 91">
            <a:extLst>
              <a:ext uri="{FF2B5EF4-FFF2-40B4-BE49-F238E27FC236}">
                <a16:creationId xmlns:a16="http://schemas.microsoft.com/office/drawing/2014/main" id="{00000000-0008-0000-0000-00005C000000}"/>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5237820" y="127918862"/>
            <a:ext cx="1512000" cy="2016000"/>
          </a:xfrm>
          <a:prstGeom prst="rect">
            <a:avLst/>
          </a:prstGeom>
          <a:ln>
            <a:solidFill>
              <a:schemeClr val="tx1"/>
            </a:solidFill>
          </a:ln>
        </xdr:spPr>
      </xdr:pic>
      <xdr:pic>
        <xdr:nvPicPr>
          <xdr:cNvPr id="93" name="Picture 92">
            <a:extLst>
              <a:ext uri="{FF2B5EF4-FFF2-40B4-BE49-F238E27FC236}">
                <a16:creationId xmlns:a16="http://schemas.microsoft.com/office/drawing/2014/main" id="{00000000-0008-0000-0000-00005D00000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228600" y="130187085"/>
            <a:ext cx="1566000" cy="2088000"/>
          </a:xfrm>
          <a:prstGeom prst="rect">
            <a:avLst/>
          </a:prstGeom>
          <a:ln>
            <a:solidFill>
              <a:schemeClr val="tx1"/>
            </a:solidFill>
          </a:ln>
        </xdr:spPr>
      </xdr:pic>
      <xdr:pic>
        <xdr:nvPicPr>
          <xdr:cNvPr id="94" name="Picture 93">
            <a:extLst>
              <a:ext uri="{FF2B5EF4-FFF2-40B4-BE49-F238E27FC236}">
                <a16:creationId xmlns:a16="http://schemas.microsoft.com/office/drawing/2014/main" id="{00000000-0008-0000-0000-00005E00000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5218770" y="130187085"/>
            <a:ext cx="1566000" cy="2088000"/>
          </a:xfrm>
          <a:prstGeom prst="rect">
            <a:avLst/>
          </a:prstGeom>
          <a:ln>
            <a:solidFill>
              <a:schemeClr val="tx1"/>
            </a:solidFill>
          </a:ln>
        </xdr:spPr>
      </xdr:pic>
      <xdr:pic>
        <xdr:nvPicPr>
          <xdr:cNvPr id="102" name="Picture 101">
            <a:extLst>
              <a:ext uri="{FF2B5EF4-FFF2-40B4-BE49-F238E27FC236}">
                <a16:creationId xmlns:a16="http://schemas.microsoft.com/office/drawing/2014/main" id="{00000000-0008-0000-0000-000066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1897518" y="132318220"/>
            <a:ext cx="1539000" cy="2052000"/>
          </a:xfrm>
          <a:prstGeom prst="rect">
            <a:avLst/>
          </a:prstGeom>
          <a:ln>
            <a:solidFill>
              <a:schemeClr val="tx1"/>
            </a:solidFill>
          </a:ln>
        </xdr:spPr>
      </xdr:pic>
      <xdr:pic>
        <xdr:nvPicPr>
          <xdr:cNvPr id="103" name="Picture 102">
            <a:extLst>
              <a:ext uri="{FF2B5EF4-FFF2-40B4-BE49-F238E27FC236}">
                <a16:creationId xmlns:a16="http://schemas.microsoft.com/office/drawing/2014/main" id="{00000000-0008-0000-0000-000067000000}"/>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179322" y="134401822"/>
            <a:ext cx="1539000" cy="2052000"/>
          </a:xfrm>
          <a:prstGeom prst="rect">
            <a:avLst/>
          </a:prstGeom>
          <a:ln>
            <a:solidFill>
              <a:schemeClr val="tx1"/>
            </a:solidFill>
          </a:ln>
        </xdr:spPr>
      </xdr:pic>
      <xdr:pic>
        <xdr:nvPicPr>
          <xdr:cNvPr id="104" name="Picture 103">
            <a:extLst>
              <a:ext uri="{FF2B5EF4-FFF2-40B4-BE49-F238E27FC236}">
                <a16:creationId xmlns:a16="http://schemas.microsoft.com/office/drawing/2014/main" id="{00000000-0008-0000-0000-00006800000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226787" y="132318220"/>
            <a:ext cx="1539000" cy="2052000"/>
          </a:xfrm>
          <a:prstGeom prst="rect">
            <a:avLst/>
          </a:prstGeom>
          <a:ln>
            <a:solidFill>
              <a:schemeClr val="tx1"/>
            </a:solidFill>
          </a:ln>
        </xdr:spPr>
      </xdr:pic>
      <xdr:pic>
        <xdr:nvPicPr>
          <xdr:cNvPr id="106" name="Picture 105">
            <a:extLst>
              <a:ext uri="{FF2B5EF4-FFF2-40B4-BE49-F238E27FC236}">
                <a16:creationId xmlns:a16="http://schemas.microsoft.com/office/drawing/2014/main" id="{00000000-0008-0000-0000-00006A000000}"/>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5223556" y="132334897"/>
            <a:ext cx="1539000" cy="2052000"/>
          </a:xfrm>
          <a:prstGeom prst="rect">
            <a:avLst/>
          </a:prstGeom>
          <a:ln>
            <a:solidFill>
              <a:schemeClr val="tx1"/>
            </a:solidFill>
          </a:ln>
        </xdr:spPr>
      </xdr:pic>
      <xdr:pic>
        <xdr:nvPicPr>
          <xdr:cNvPr id="107" name="Picture 106">
            <a:extLst>
              <a:ext uri="{FF2B5EF4-FFF2-40B4-BE49-F238E27FC236}">
                <a16:creationId xmlns:a16="http://schemas.microsoft.com/office/drawing/2014/main" id="{00000000-0008-0000-0000-00006B000000}"/>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3571875" y="134421065"/>
            <a:ext cx="1539000" cy="2052000"/>
          </a:xfrm>
          <a:prstGeom prst="rect">
            <a:avLst/>
          </a:prstGeom>
          <a:ln>
            <a:solidFill>
              <a:schemeClr val="tx1"/>
            </a:solidFill>
          </a:ln>
        </xdr:spPr>
      </xdr:pic>
      <xdr:pic>
        <xdr:nvPicPr>
          <xdr:cNvPr id="108" name="Picture 107">
            <a:extLst>
              <a:ext uri="{FF2B5EF4-FFF2-40B4-BE49-F238E27FC236}">
                <a16:creationId xmlns:a16="http://schemas.microsoft.com/office/drawing/2014/main" id="{00000000-0008-0000-0000-00006C000000}"/>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3552825" y="132334897"/>
            <a:ext cx="1539000" cy="2052000"/>
          </a:xfrm>
          <a:prstGeom prst="rect">
            <a:avLst/>
          </a:prstGeom>
          <a:ln>
            <a:solidFill>
              <a:schemeClr val="tx1"/>
            </a:solidFill>
          </a:ln>
        </xdr:spPr>
      </xdr:pic>
      <xdr:pic>
        <xdr:nvPicPr>
          <xdr:cNvPr id="110" name="Picture 109">
            <a:extLst>
              <a:ext uri="{FF2B5EF4-FFF2-40B4-BE49-F238E27FC236}">
                <a16:creationId xmlns:a16="http://schemas.microsoft.com/office/drawing/2014/main" id="{00000000-0008-0000-0000-00006E000000}"/>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a:off x="1878788" y="134401822"/>
            <a:ext cx="1539000" cy="2052000"/>
          </a:xfrm>
          <a:prstGeom prst="rect">
            <a:avLst/>
          </a:prstGeom>
          <a:ln>
            <a:solidFill>
              <a:schemeClr val="tx1"/>
            </a:solidFill>
          </a:ln>
        </xdr:spPr>
      </xdr:pic>
      <xdr:pic>
        <xdr:nvPicPr>
          <xdr:cNvPr id="111" name="Picture 110">
            <a:extLst>
              <a:ext uri="{FF2B5EF4-FFF2-40B4-BE49-F238E27FC236}">
                <a16:creationId xmlns:a16="http://schemas.microsoft.com/office/drawing/2014/main" id="{00000000-0008-0000-0000-00006F000000}"/>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210843" y="136494752"/>
            <a:ext cx="1512000" cy="2016000"/>
          </a:xfrm>
          <a:prstGeom prst="rect">
            <a:avLst/>
          </a:prstGeom>
          <a:ln>
            <a:solidFill>
              <a:schemeClr val="tx1"/>
            </a:solidFill>
          </a:ln>
        </xdr:spPr>
      </xdr:pic>
      <xdr:pic>
        <xdr:nvPicPr>
          <xdr:cNvPr id="112" name="Picture 111">
            <a:extLst>
              <a:ext uri="{FF2B5EF4-FFF2-40B4-BE49-F238E27FC236}">
                <a16:creationId xmlns:a16="http://schemas.microsoft.com/office/drawing/2014/main" id="{00000000-0008-0000-0000-000070000000}"/>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5242606" y="134421065"/>
            <a:ext cx="1539000" cy="2052000"/>
          </a:xfrm>
          <a:prstGeom prst="rect">
            <a:avLst/>
          </a:prstGeom>
          <a:ln>
            <a:solidFill>
              <a:schemeClr val="tx1"/>
            </a:solidFill>
          </a:ln>
        </xdr:spPr>
      </xdr:pic>
      <xdr:pic>
        <xdr:nvPicPr>
          <xdr:cNvPr id="113" name="Picture 112">
            <a:extLst>
              <a:ext uri="{FF2B5EF4-FFF2-40B4-BE49-F238E27FC236}">
                <a16:creationId xmlns:a16="http://schemas.microsoft.com/office/drawing/2014/main" id="{00000000-0008-0000-0000-000071000000}"/>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1884680" y="136507040"/>
            <a:ext cx="1512000" cy="2016000"/>
          </a:xfrm>
          <a:prstGeom prst="rect">
            <a:avLst/>
          </a:prstGeom>
          <a:ln>
            <a:solidFill>
              <a:schemeClr val="tx1"/>
            </a:solidFill>
          </a:ln>
        </xdr:spPr>
      </xdr:pic>
      <xdr:pic>
        <xdr:nvPicPr>
          <xdr:cNvPr id="201" name="Picture 200">
            <a:extLst>
              <a:ext uri="{FF2B5EF4-FFF2-40B4-BE49-F238E27FC236}">
                <a16:creationId xmlns:a16="http://schemas.microsoft.com/office/drawing/2014/main" id="{00000000-0008-0000-0000-0000C9000000}"/>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200025" y="141007275"/>
            <a:ext cx="1620000" cy="2160000"/>
          </a:xfrm>
          <a:prstGeom prst="rect">
            <a:avLst/>
          </a:prstGeom>
          <a:ln>
            <a:solidFill>
              <a:schemeClr val="tx1"/>
            </a:solidFill>
          </a:ln>
        </xdr:spPr>
      </xdr:pic>
      <xdr:pic>
        <xdr:nvPicPr>
          <xdr:cNvPr id="202" name="Picture 201">
            <a:extLst>
              <a:ext uri="{FF2B5EF4-FFF2-40B4-BE49-F238E27FC236}">
                <a16:creationId xmlns:a16="http://schemas.microsoft.com/office/drawing/2014/main" id="{00000000-0008-0000-0000-0000CA000000}"/>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5359355" y="138760200"/>
            <a:ext cx="1620000" cy="2160000"/>
          </a:xfrm>
          <a:prstGeom prst="rect">
            <a:avLst/>
          </a:prstGeom>
          <a:ln>
            <a:solidFill>
              <a:schemeClr val="tx1"/>
            </a:solidFill>
          </a:ln>
        </xdr:spPr>
      </xdr:pic>
      <xdr:pic>
        <xdr:nvPicPr>
          <xdr:cNvPr id="203" name="Picture 202">
            <a:extLst>
              <a:ext uri="{FF2B5EF4-FFF2-40B4-BE49-F238E27FC236}">
                <a16:creationId xmlns:a16="http://schemas.microsoft.com/office/drawing/2014/main" id="{00000000-0008-0000-0000-0000CB000000}"/>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1912796" y="138760200"/>
            <a:ext cx="1620000" cy="2160000"/>
          </a:xfrm>
          <a:prstGeom prst="rect">
            <a:avLst/>
          </a:prstGeom>
          <a:ln>
            <a:solidFill>
              <a:schemeClr val="tx1"/>
            </a:solidFill>
          </a:ln>
        </xdr:spPr>
      </xdr:pic>
      <xdr:pic>
        <xdr:nvPicPr>
          <xdr:cNvPr id="204" name="Picture 203">
            <a:extLst>
              <a:ext uri="{FF2B5EF4-FFF2-40B4-BE49-F238E27FC236}">
                <a16:creationId xmlns:a16="http://schemas.microsoft.com/office/drawing/2014/main" id="{00000000-0008-0000-0000-0000CC000000}"/>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1882730" y="141007275"/>
            <a:ext cx="1620000" cy="2160000"/>
          </a:xfrm>
          <a:prstGeom prst="rect">
            <a:avLst/>
          </a:prstGeom>
          <a:ln>
            <a:solidFill>
              <a:schemeClr val="tx1"/>
            </a:solidFill>
          </a:ln>
        </xdr:spPr>
      </xdr:pic>
      <xdr:pic>
        <xdr:nvPicPr>
          <xdr:cNvPr id="205" name="Picture 204">
            <a:extLst>
              <a:ext uri="{FF2B5EF4-FFF2-40B4-BE49-F238E27FC236}">
                <a16:creationId xmlns:a16="http://schemas.microsoft.com/office/drawing/2014/main" id="{00000000-0008-0000-0000-0000CD000000}"/>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3646355" y="138750675"/>
            <a:ext cx="1620000" cy="2160000"/>
          </a:xfrm>
          <a:prstGeom prst="rect">
            <a:avLst/>
          </a:prstGeom>
          <a:ln>
            <a:solidFill>
              <a:schemeClr val="tx1"/>
            </a:solidFill>
          </a:ln>
        </xdr:spPr>
      </xdr:pic>
      <xdr:pic>
        <xdr:nvPicPr>
          <xdr:cNvPr id="206" name="Picture 205">
            <a:extLst>
              <a:ext uri="{FF2B5EF4-FFF2-40B4-BE49-F238E27FC236}">
                <a16:creationId xmlns:a16="http://schemas.microsoft.com/office/drawing/2014/main" id="{00000000-0008-0000-0000-0000CE000000}"/>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3586652" y="140997750"/>
            <a:ext cx="1620000" cy="2160000"/>
          </a:xfrm>
          <a:prstGeom prst="rect">
            <a:avLst/>
          </a:prstGeom>
          <a:ln>
            <a:solidFill>
              <a:schemeClr val="tx1"/>
            </a:solidFill>
          </a:ln>
        </xdr:spPr>
      </xdr:pic>
      <xdr:pic>
        <xdr:nvPicPr>
          <xdr:cNvPr id="207" name="Picture 206">
            <a:extLst>
              <a:ext uri="{FF2B5EF4-FFF2-40B4-BE49-F238E27FC236}">
                <a16:creationId xmlns:a16="http://schemas.microsoft.com/office/drawing/2014/main" id="{00000000-0008-0000-0000-0000CF000000}"/>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5294930" y="140988225"/>
            <a:ext cx="1617750" cy="2160000"/>
          </a:xfrm>
          <a:prstGeom prst="rect">
            <a:avLst/>
          </a:prstGeom>
          <a:ln>
            <a:solidFill>
              <a:schemeClr val="tx1"/>
            </a:solidFill>
          </a:ln>
        </xdr:spPr>
      </xdr:pic>
      <xdr:pic>
        <xdr:nvPicPr>
          <xdr:cNvPr id="208" name="Picture 207">
            <a:extLst>
              <a:ext uri="{FF2B5EF4-FFF2-40B4-BE49-F238E27FC236}">
                <a16:creationId xmlns:a16="http://schemas.microsoft.com/office/drawing/2014/main" id="{00000000-0008-0000-0000-0000D0000000}"/>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209551" y="143230136"/>
            <a:ext cx="1482938" cy="1980000"/>
          </a:xfrm>
          <a:prstGeom prst="rect">
            <a:avLst/>
          </a:prstGeom>
          <a:ln>
            <a:solidFill>
              <a:schemeClr val="tx1"/>
            </a:solidFill>
          </a:ln>
        </xdr:spPr>
      </xdr:pic>
      <xdr:pic>
        <xdr:nvPicPr>
          <xdr:cNvPr id="209" name="Picture 208">
            <a:extLst>
              <a:ext uri="{FF2B5EF4-FFF2-40B4-BE49-F238E27FC236}">
                <a16:creationId xmlns:a16="http://schemas.microsoft.com/office/drawing/2014/main" id="{00000000-0008-0000-0000-0000D1000000}"/>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3635333" y="136525618"/>
            <a:ext cx="2636335" cy="1980000"/>
          </a:xfrm>
          <a:prstGeom prst="rect">
            <a:avLst/>
          </a:prstGeom>
          <a:ln>
            <a:solidFill>
              <a:schemeClr val="tx1"/>
            </a:solidFill>
          </a:ln>
        </xdr:spPr>
      </xdr:pic>
      <xdr:pic>
        <xdr:nvPicPr>
          <xdr:cNvPr id="210" name="Picture 209">
            <a:extLst>
              <a:ext uri="{FF2B5EF4-FFF2-40B4-BE49-F238E27FC236}">
                <a16:creationId xmlns:a16="http://schemas.microsoft.com/office/drawing/2014/main" id="{00000000-0008-0000-0000-0000D2000000}"/>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4541663" y="145268151"/>
            <a:ext cx="1482938" cy="1980000"/>
          </a:xfrm>
          <a:prstGeom prst="rect">
            <a:avLst/>
          </a:prstGeom>
          <a:ln>
            <a:solidFill>
              <a:schemeClr val="tx1"/>
            </a:solidFill>
          </a:ln>
        </xdr:spPr>
      </xdr:pic>
      <xdr:pic>
        <xdr:nvPicPr>
          <xdr:cNvPr id="211" name="Picture 210">
            <a:extLst>
              <a:ext uri="{FF2B5EF4-FFF2-40B4-BE49-F238E27FC236}">
                <a16:creationId xmlns:a16="http://schemas.microsoft.com/office/drawing/2014/main" id="{00000000-0008-0000-0000-0000D3000000}"/>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a:xfrm>
            <a:off x="1887698" y="143221286"/>
            <a:ext cx="1482938" cy="1980000"/>
          </a:xfrm>
          <a:prstGeom prst="rect">
            <a:avLst/>
          </a:prstGeom>
          <a:ln>
            <a:solidFill>
              <a:schemeClr val="tx1"/>
            </a:solidFill>
          </a:ln>
        </xdr:spPr>
      </xdr:pic>
      <xdr:pic>
        <xdr:nvPicPr>
          <xdr:cNvPr id="212" name="Picture 211">
            <a:extLst>
              <a:ext uri="{FF2B5EF4-FFF2-40B4-BE49-F238E27FC236}">
                <a16:creationId xmlns:a16="http://schemas.microsoft.com/office/drawing/2014/main" id="{00000000-0008-0000-0000-0000D4000000}"/>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tretch>
            <a:fillRect/>
          </a:stretch>
        </xdr:blipFill>
        <xdr:spPr>
          <a:xfrm>
            <a:off x="1181102" y="145288933"/>
            <a:ext cx="1482938" cy="1980000"/>
          </a:xfrm>
          <a:prstGeom prst="rect">
            <a:avLst/>
          </a:prstGeom>
          <a:ln>
            <a:solidFill>
              <a:schemeClr val="tx1"/>
            </a:solidFill>
          </a:ln>
        </xdr:spPr>
      </xdr:pic>
      <xdr:pic>
        <xdr:nvPicPr>
          <xdr:cNvPr id="213" name="Picture 212">
            <a:extLst>
              <a:ext uri="{FF2B5EF4-FFF2-40B4-BE49-F238E27FC236}">
                <a16:creationId xmlns:a16="http://schemas.microsoft.com/office/drawing/2014/main" id="{00000000-0008-0000-0000-0000D5000000}"/>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2852971" y="145279408"/>
            <a:ext cx="1482938" cy="1980000"/>
          </a:xfrm>
          <a:prstGeom prst="rect">
            <a:avLst/>
          </a:prstGeom>
          <a:ln>
            <a:solidFill>
              <a:schemeClr val="tx1"/>
            </a:solidFill>
          </a:ln>
        </xdr:spPr>
      </xdr:pic>
      <xdr:pic>
        <xdr:nvPicPr>
          <xdr:cNvPr id="214" name="Picture 213">
            <a:extLst>
              <a:ext uri="{FF2B5EF4-FFF2-40B4-BE49-F238E27FC236}">
                <a16:creationId xmlns:a16="http://schemas.microsoft.com/office/drawing/2014/main" id="{00000000-0008-0000-0000-0000D6000000}"/>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a:off x="3557631" y="143219554"/>
            <a:ext cx="1482938" cy="1980000"/>
          </a:xfrm>
          <a:prstGeom prst="rect">
            <a:avLst/>
          </a:prstGeom>
          <a:ln>
            <a:solidFill>
              <a:schemeClr val="tx1"/>
            </a:solidFill>
          </a:ln>
        </xdr:spPr>
      </xdr:pic>
      <xdr:pic>
        <xdr:nvPicPr>
          <xdr:cNvPr id="215" name="Picture 214">
            <a:extLst>
              <a:ext uri="{FF2B5EF4-FFF2-40B4-BE49-F238E27FC236}">
                <a16:creationId xmlns:a16="http://schemas.microsoft.com/office/drawing/2014/main" id="{00000000-0008-0000-0000-0000D7000000}"/>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5246614" y="143241568"/>
            <a:ext cx="1482938" cy="1980000"/>
          </a:xfrm>
          <a:prstGeom prst="rect">
            <a:avLst/>
          </a:prstGeom>
          <a:ln>
            <a:solidFill>
              <a:schemeClr val="tx1"/>
            </a:solidFill>
          </a:ln>
        </xdr:spPr>
      </xdr:pic>
      <xdr:pic>
        <xdr:nvPicPr>
          <xdr:cNvPr id="216" name="Picture 215">
            <a:extLst>
              <a:ext uri="{FF2B5EF4-FFF2-40B4-BE49-F238E27FC236}">
                <a16:creationId xmlns:a16="http://schemas.microsoft.com/office/drawing/2014/main" id="{00000000-0008-0000-0000-0000D8000000}"/>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194829" y="138760200"/>
            <a:ext cx="1620000" cy="2160000"/>
          </a:xfrm>
          <a:prstGeom prst="rect">
            <a:avLst/>
          </a:prstGeom>
          <a:ln>
            <a:solidFill>
              <a:schemeClr val="tx1"/>
            </a:solidFill>
          </a:ln>
        </xdr:spPr>
      </xdr:pic>
    </xdr:grpSp>
    <xdr:clientData/>
  </xdr:twoCellAnchor>
  <xdr:twoCellAnchor>
    <xdr:from>
      <xdr:col>0</xdr:col>
      <xdr:colOff>450850</xdr:colOff>
      <xdr:row>569</xdr:row>
      <xdr:rowOff>95250</xdr:rowOff>
    </xdr:from>
    <xdr:to>
      <xdr:col>9</xdr:col>
      <xdr:colOff>569565</xdr:colOff>
      <xdr:row>615</xdr:row>
      <xdr:rowOff>133318</xdr:rowOff>
    </xdr:to>
    <xdr:grpSp>
      <xdr:nvGrpSpPr>
        <xdr:cNvPr id="10" name="Group 9">
          <a:extLst>
            <a:ext uri="{FF2B5EF4-FFF2-40B4-BE49-F238E27FC236}">
              <a16:creationId xmlns:a16="http://schemas.microsoft.com/office/drawing/2014/main" id="{00000000-0008-0000-0000-00000A000000}"/>
            </a:ext>
          </a:extLst>
        </xdr:cNvPr>
        <xdr:cNvGrpSpPr/>
      </xdr:nvGrpSpPr>
      <xdr:grpSpPr>
        <a:xfrm>
          <a:off x="450850" y="109988350"/>
          <a:ext cx="6557615" cy="8534368"/>
          <a:chOff x="450850" y="114471450"/>
          <a:chExt cx="6557615" cy="8534368"/>
        </a:xfrm>
      </xdr:grpSpPr>
      <xdr:pic>
        <xdr:nvPicPr>
          <xdr:cNvPr id="177" name="Picture 176">
            <a:extLst>
              <a:ext uri="{FF2B5EF4-FFF2-40B4-BE49-F238E27FC236}">
                <a16:creationId xmlns:a16="http://schemas.microsoft.com/office/drawing/2014/main" id="{00000000-0008-0000-0000-0000B1000000}"/>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a:ext>
            </a:extLst>
          </a:blip>
          <a:stretch>
            <a:fillRect/>
          </a:stretch>
        </xdr:blipFill>
        <xdr:spPr>
          <a:xfrm>
            <a:off x="901046" y="114471450"/>
            <a:ext cx="1213313" cy="1620000"/>
          </a:xfrm>
          <a:prstGeom prst="rect">
            <a:avLst/>
          </a:prstGeom>
          <a:ln>
            <a:solidFill>
              <a:schemeClr val="tx1"/>
            </a:solidFill>
          </a:ln>
        </xdr:spPr>
      </xdr:pic>
      <xdr:pic>
        <xdr:nvPicPr>
          <xdr:cNvPr id="178" name="Picture 177">
            <a:extLst>
              <a:ext uri="{FF2B5EF4-FFF2-40B4-BE49-F238E27FC236}">
                <a16:creationId xmlns:a16="http://schemas.microsoft.com/office/drawing/2014/main" id="{00000000-0008-0000-0000-0000B2000000}"/>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a:ext>
            </a:extLst>
          </a:blip>
          <a:stretch>
            <a:fillRect/>
          </a:stretch>
        </xdr:blipFill>
        <xdr:spPr>
          <a:xfrm>
            <a:off x="2225771" y="114471450"/>
            <a:ext cx="2157000" cy="1620000"/>
          </a:xfrm>
          <a:prstGeom prst="rect">
            <a:avLst/>
          </a:prstGeom>
          <a:ln>
            <a:solidFill>
              <a:schemeClr val="tx1"/>
            </a:solidFill>
          </a:ln>
        </xdr:spPr>
      </xdr:pic>
      <xdr:pic>
        <xdr:nvPicPr>
          <xdr:cNvPr id="179" name="Picture 178">
            <a:extLst>
              <a:ext uri="{FF2B5EF4-FFF2-40B4-BE49-F238E27FC236}">
                <a16:creationId xmlns:a16="http://schemas.microsoft.com/office/drawing/2014/main" id="{00000000-0008-0000-0000-0000B3000000}"/>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a:ext>
            </a:extLst>
          </a:blip>
          <a:stretch>
            <a:fillRect/>
          </a:stretch>
        </xdr:blipFill>
        <xdr:spPr>
          <a:xfrm>
            <a:off x="4494183" y="114471450"/>
            <a:ext cx="2157000" cy="1620000"/>
          </a:xfrm>
          <a:prstGeom prst="rect">
            <a:avLst/>
          </a:prstGeom>
          <a:ln>
            <a:solidFill>
              <a:schemeClr val="tx1"/>
            </a:solidFill>
          </a:ln>
        </xdr:spPr>
      </xdr:pic>
      <xdr:pic>
        <xdr:nvPicPr>
          <xdr:cNvPr id="180" name="Picture 179">
            <a:extLst>
              <a:ext uri="{FF2B5EF4-FFF2-40B4-BE49-F238E27FC236}">
                <a16:creationId xmlns:a16="http://schemas.microsoft.com/office/drawing/2014/main" id="{00000000-0008-0000-0000-0000B4000000}"/>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a:ext>
            </a:extLst>
          </a:blip>
          <a:stretch>
            <a:fillRect/>
          </a:stretch>
        </xdr:blipFill>
        <xdr:spPr>
          <a:xfrm>
            <a:off x="452537" y="116200042"/>
            <a:ext cx="1213313" cy="1620000"/>
          </a:xfrm>
          <a:prstGeom prst="rect">
            <a:avLst/>
          </a:prstGeom>
          <a:ln>
            <a:solidFill>
              <a:schemeClr val="tx1"/>
            </a:solidFill>
          </a:ln>
        </xdr:spPr>
      </xdr:pic>
      <xdr:pic>
        <xdr:nvPicPr>
          <xdr:cNvPr id="181" name="Picture 180">
            <a:extLst>
              <a:ext uri="{FF2B5EF4-FFF2-40B4-BE49-F238E27FC236}">
                <a16:creationId xmlns:a16="http://schemas.microsoft.com/office/drawing/2014/main" id="{00000000-0008-0000-0000-0000B5000000}"/>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a:ext>
            </a:extLst>
          </a:blip>
          <a:stretch>
            <a:fillRect/>
          </a:stretch>
        </xdr:blipFill>
        <xdr:spPr>
          <a:xfrm>
            <a:off x="1786503" y="116200042"/>
            <a:ext cx="1215000" cy="1620000"/>
          </a:xfrm>
          <a:prstGeom prst="rect">
            <a:avLst/>
          </a:prstGeom>
          <a:ln>
            <a:solidFill>
              <a:schemeClr val="tx1"/>
            </a:solidFill>
          </a:ln>
        </xdr:spPr>
      </xdr:pic>
      <xdr:pic>
        <xdr:nvPicPr>
          <xdr:cNvPr id="182" name="Picture 181">
            <a:extLst>
              <a:ext uri="{FF2B5EF4-FFF2-40B4-BE49-F238E27FC236}">
                <a16:creationId xmlns:a16="http://schemas.microsoft.com/office/drawing/2014/main" id="{00000000-0008-0000-0000-0000B6000000}"/>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a:ext>
            </a:extLst>
          </a:blip>
          <a:stretch>
            <a:fillRect/>
          </a:stretch>
        </xdr:blipFill>
        <xdr:spPr>
          <a:xfrm>
            <a:off x="4457811" y="116200042"/>
            <a:ext cx="1215000" cy="1620000"/>
          </a:xfrm>
          <a:prstGeom prst="rect">
            <a:avLst/>
          </a:prstGeom>
          <a:ln>
            <a:solidFill>
              <a:schemeClr val="tx1"/>
            </a:solidFill>
          </a:ln>
        </xdr:spPr>
      </xdr:pic>
      <xdr:pic>
        <xdr:nvPicPr>
          <xdr:cNvPr id="183" name="Picture 182">
            <a:extLst>
              <a:ext uri="{FF2B5EF4-FFF2-40B4-BE49-F238E27FC236}">
                <a16:creationId xmlns:a16="http://schemas.microsoft.com/office/drawing/2014/main" id="{00000000-0008-0000-0000-0000B7000000}"/>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a:ext>
            </a:extLst>
          </a:blip>
          <a:stretch>
            <a:fillRect/>
          </a:stretch>
        </xdr:blipFill>
        <xdr:spPr>
          <a:xfrm>
            <a:off x="3122157" y="116200042"/>
            <a:ext cx="1215000" cy="1620000"/>
          </a:xfrm>
          <a:prstGeom prst="rect">
            <a:avLst/>
          </a:prstGeom>
          <a:ln>
            <a:solidFill>
              <a:schemeClr val="tx1"/>
            </a:solidFill>
          </a:ln>
        </xdr:spPr>
      </xdr:pic>
      <xdr:pic>
        <xdr:nvPicPr>
          <xdr:cNvPr id="184" name="Picture 183">
            <a:extLst>
              <a:ext uri="{FF2B5EF4-FFF2-40B4-BE49-F238E27FC236}">
                <a16:creationId xmlns:a16="http://schemas.microsoft.com/office/drawing/2014/main" id="{00000000-0008-0000-0000-0000B8000000}"/>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a:ext>
            </a:extLst>
          </a:blip>
          <a:stretch>
            <a:fillRect/>
          </a:stretch>
        </xdr:blipFill>
        <xdr:spPr>
          <a:xfrm>
            <a:off x="5793465" y="116200042"/>
            <a:ext cx="1215000" cy="1620000"/>
          </a:xfrm>
          <a:prstGeom prst="rect">
            <a:avLst/>
          </a:prstGeom>
          <a:ln>
            <a:solidFill>
              <a:schemeClr val="tx1"/>
            </a:solidFill>
          </a:ln>
        </xdr:spPr>
      </xdr:pic>
      <xdr:pic>
        <xdr:nvPicPr>
          <xdr:cNvPr id="185" name="Picture 184">
            <a:extLst>
              <a:ext uri="{FF2B5EF4-FFF2-40B4-BE49-F238E27FC236}">
                <a16:creationId xmlns:a16="http://schemas.microsoft.com/office/drawing/2014/main" id="{00000000-0008-0000-0000-0000B9000000}"/>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a:ext>
            </a:extLst>
          </a:blip>
          <a:stretch>
            <a:fillRect/>
          </a:stretch>
        </xdr:blipFill>
        <xdr:spPr>
          <a:xfrm>
            <a:off x="450850" y="117928634"/>
            <a:ext cx="1215000" cy="1620000"/>
          </a:xfrm>
          <a:prstGeom prst="rect">
            <a:avLst/>
          </a:prstGeom>
          <a:ln>
            <a:solidFill>
              <a:schemeClr val="tx1"/>
            </a:solidFill>
          </a:ln>
        </xdr:spPr>
      </xdr:pic>
      <xdr:pic>
        <xdr:nvPicPr>
          <xdr:cNvPr id="186" name="Picture 185">
            <a:extLst>
              <a:ext uri="{FF2B5EF4-FFF2-40B4-BE49-F238E27FC236}">
                <a16:creationId xmlns:a16="http://schemas.microsoft.com/office/drawing/2014/main" id="{00000000-0008-0000-0000-0000BA000000}"/>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a:ext>
            </a:extLst>
          </a:blip>
          <a:stretch>
            <a:fillRect/>
          </a:stretch>
        </xdr:blipFill>
        <xdr:spPr>
          <a:xfrm>
            <a:off x="1786503" y="117928634"/>
            <a:ext cx="1215000" cy="1620000"/>
          </a:xfrm>
          <a:prstGeom prst="rect">
            <a:avLst/>
          </a:prstGeom>
          <a:ln>
            <a:solidFill>
              <a:schemeClr val="tx1"/>
            </a:solidFill>
          </a:ln>
        </xdr:spPr>
      </xdr:pic>
      <xdr:pic>
        <xdr:nvPicPr>
          <xdr:cNvPr id="187" name="Picture 186">
            <a:extLst>
              <a:ext uri="{FF2B5EF4-FFF2-40B4-BE49-F238E27FC236}">
                <a16:creationId xmlns:a16="http://schemas.microsoft.com/office/drawing/2014/main" id="{00000000-0008-0000-0000-0000BB000000}"/>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a:ext>
            </a:extLst>
          </a:blip>
          <a:stretch>
            <a:fillRect/>
          </a:stretch>
        </xdr:blipFill>
        <xdr:spPr>
          <a:xfrm>
            <a:off x="3122157" y="117928634"/>
            <a:ext cx="1215000" cy="1620000"/>
          </a:xfrm>
          <a:prstGeom prst="rect">
            <a:avLst/>
          </a:prstGeom>
          <a:ln>
            <a:solidFill>
              <a:schemeClr val="tx1"/>
            </a:solidFill>
          </a:ln>
        </xdr:spPr>
      </xdr:pic>
      <xdr:pic>
        <xdr:nvPicPr>
          <xdr:cNvPr id="188" name="Picture 187">
            <a:extLst>
              <a:ext uri="{FF2B5EF4-FFF2-40B4-BE49-F238E27FC236}">
                <a16:creationId xmlns:a16="http://schemas.microsoft.com/office/drawing/2014/main" id="{00000000-0008-0000-0000-0000BC000000}"/>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a:ext>
            </a:extLst>
          </a:blip>
          <a:stretch>
            <a:fillRect/>
          </a:stretch>
        </xdr:blipFill>
        <xdr:spPr>
          <a:xfrm>
            <a:off x="4457811" y="117928634"/>
            <a:ext cx="1215000" cy="1620000"/>
          </a:xfrm>
          <a:prstGeom prst="rect">
            <a:avLst/>
          </a:prstGeom>
          <a:ln>
            <a:solidFill>
              <a:schemeClr val="tx1"/>
            </a:solidFill>
          </a:ln>
        </xdr:spPr>
      </xdr:pic>
      <xdr:pic>
        <xdr:nvPicPr>
          <xdr:cNvPr id="189" name="Picture 188">
            <a:extLst>
              <a:ext uri="{FF2B5EF4-FFF2-40B4-BE49-F238E27FC236}">
                <a16:creationId xmlns:a16="http://schemas.microsoft.com/office/drawing/2014/main" id="{00000000-0008-0000-0000-0000BD000000}"/>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a:ext>
            </a:extLst>
          </a:blip>
          <a:stretch>
            <a:fillRect/>
          </a:stretch>
        </xdr:blipFill>
        <xdr:spPr>
          <a:xfrm>
            <a:off x="5793465" y="117928634"/>
            <a:ext cx="1215000" cy="1620000"/>
          </a:xfrm>
          <a:prstGeom prst="rect">
            <a:avLst/>
          </a:prstGeom>
          <a:ln>
            <a:solidFill>
              <a:schemeClr val="tx1"/>
            </a:solidFill>
          </a:ln>
        </xdr:spPr>
      </xdr:pic>
      <xdr:pic>
        <xdr:nvPicPr>
          <xdr:cNvPr id="190" name="Picture 189">
            <a:extLst>
              <a:ext uri="{FF2B5EF4-FFF2-40B4-BE49-F238E27FC236}">
                <a16:creationId xmlns:a16="http://schemas.microsoft.com/office/drawing/2014/main" id="{00000000-0008-0000-0000-0000BE000000}"/>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a:ext>
            </a:extLst>
          </a:blip>
          <a:stretch>
            <a:fillRect/>
          </a:stretch>
        </xdr:blipFill>
        <xdr:spPr>
          <a:xfrm>
            <a:off x="455739" y="119657226"/>
            <a:ext cx="1215000" cy="1620000"/>
          </a:xfrm>
          <a:prstGeom prst="rect">
            <a:avLst/>
          </a:prstGeom>
          <a:ln>
            <a:solidFill>
              <a:schemeClr val="tx1"/>
            </a:solidFill>
          </a:ln>
        </xdr:spPr>
      </xdr:pic>
      <xdr:pic>
        <xdr:nvPicPr>
          <xdr:cNvPr id="191" name="Picture 190">
            <a:extLst>
              <a:ext uri="{FF2B5EF4-FFF2-40B4-BE49-F238E27FC236}">
                <a16:creationId xmlns:a16="http://schemas.microsoft.com/office/drawing/2014/main" id="{00000000-0008-0000-0000-0000BF000000}"/>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a:ext>
            </a:extLst>
          </a:blip>
          <a:stretch>
            <a:fillRect/>
          </a:stretch>
        </xdr:blipFill>
        <xdr:spPr>
          <a:xfrm>
            <a:off x="1786503" y="119657226"/>
            <a:ext cx="1215000" cy="1620000"/>
          </a:xfrm>
          <a:prstGeom prst="rect">
            <a:avLst/>
          </a:prstGeom>
          <a:ln>
            <a:solidFill>
              <a:schemeClr val="tx1"/>
            </a:solidFill>
          </a:ln>
        </xdr:spPr>
      </xdr:pic>
      <xdr:pic>
        <xdr:nvPicPr>
          <xdr:cNvPr id="192" name="Picture 191">
            <a:extLst>
              <a:ext uri="{FF2B5EF4-FFF2-40B4-BE49-F238E27FC236}">
                <a16:creationId xmlns:a16="http://schemas.microsoft.com/office/drawing/2014/main" id="{00000000-0008-0000-0000-0000C0000000}"/>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a:ext>
            </a:extLst>
          </a:blip>
          <a:stretch>
            <a:fillRect/>
          </a:stretch>
        </xdr:blipFill>
        <xdr:spPr>
          <a:xfrm>
            <a:off x="3117267" y="119657226"/>
            <a:ext cx="1215000" cy="1620000"/>
          </a:xfrm>
          <a:prstGeom prst="rect">
            <a:avLst/>
          </a:prstGeom>
          <a:ln>
            <a:solidFill>
              <a:schemeClr val="tx1"/>
            </a:solidFill>
          </a:ln>
        </xdr:spPr>
      </xdr:pic>
      <xdr:pic>
        <xdr:nvPicPr>
          <xdr:cNvPr id="193" name="Picture 192">
            <a:extLst>
              <a:ext uri="{FF2B5EF4-FFF2-40B4-BE49-F238E27FC236}">
                <a16:creationId xmlns:a16="http://schemas.microsoft.com/office/drawing/2014/main" id="{00000000-0008-0000-0000-0000C1000000}"/>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a:ext>
            </a:extLst>
          </a:blip>
          <a:stretch>
            <a:fillRect/>
          </a:stretch>
        </xdr:blipFill>
        <xdr:spPr>
          <a:xfrm>
            <a:off x="4457811" y="119657226"/>
            <a:ext cx="1215000" cy="1620000"/>
          </a:xfrm>
          <a:prstGeom prst="rect">
            <a:avLst/>
          </a:prstGeom>
          <a:ln>
            <a:solidFill>
              <a:schemeClr val="tx1"/>
            </a:solidFill>
          </a:ln>
        </xdr:spPr>
      </xdr:pic>
      <xdr:pic>
        <xdr:nvPicPr>
          <xdr:cNvPr id="194" name="Picture 193">
            <a:extLst>
              <a:ext uri="{FF2B5EF4-FFF2-40B4-BE49-F238E27FC236}">
                <a16:creationId xmlns:a16="http://schemas.microsoft.com/office/drawing/2014/main" id="{00000000-0008-0000-0000-0000C2000000}"/>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a:ext>
            </a:extLst>
          </a:blip>
          <a:stretch>
            <a:fillRect/>
          </a:stretch>
        </xdr:blipFill>
        <xdr:spPr>
          <a:xfrm>
            <a:off x="5793465" y="119657226"/>
            <a:ext cx="1215000" cy="1620000"/>
          </a:xfrm>
          <a:prstGeom prst="rect">
            <a:avLst/>
          </a:prstGeom>
          <a:ln>
            <a:solidFill>
              <a:schemeClr val="tx1"/>
            </a:solidFill>
          </a:ln>
        </xdr:spPr>
      </xdr:pic>
      <xdr:pic>
        <xdr:nvPicPr>
          <xdr:cNvPr id="195" name="Picture 194">
            <a:extLst>
              <a:ext uri="{FF2B5EF4-FFF2-40B4-BE49-F238E27FC236}">
                <a16:creationId xmlns:a16="http://schemas.microsoft.com/office/drawing/2014/main" id="{00000000-0008-0000-0000-0000C3000000}"/>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a:ext>
            </a:extLst>
          </a:blip>
          <a:stretch>
            <a:fillRect/>
          </a:stretch>
        </xdr:blipFill>
        <xdr:spPr>
          <a:xfrm>
            <a:off x="1781211" y="121385818"/>
            <a:ext cx="1215000" cy="1620000"/>
          </a:xfrm>
          <a:prstGeom prst="rect">
            <a:avLst/>
          </a:prstGeom>
          <a:ln>
            <a:solidFill>
              <a:schemeClr val="tx1"/>
            </a:solidFill>
          </a:ln>
        </xdr:spPr>
      </xdr:pic>
      <xdr:pic>
        <xdr:nvPicPr>
          <xdr:cNvPr id="196" name="Picture 195">
            <a:extLst>
              <a:ext uri="{FF2B5EF4-FFF2-40B4-BE49-F238E27FC236}">
                <a16:creationId xmlns:a16="http://schemas.microsoft.com/office/drawing/2014/main" id="{00000000-0008-0000-0000-0000C4000000}"/>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a:ext>
            </a:extLst>
          </a:blip>
          <a:stretch>
            <a:fillRect/>
          </a:stretch>
        </xdr:blipFill>
        <xdr:spPr>
          <a:xfrm>
            <a:off x="5793465" y="121385818"/>
            <a:ext cx="1215000" cy="1620000"/>
          </a:xfrm>
          <a:prstGeom prst="rect">
            <a:avLst/>
          </a:prstGeom>
          <a:ln>
            <a:solidFill>
              <a:schemeClr val="tx1"/>
            </a:solidFill>
          </a:ln>
        </xdr:spPr>
      </xdr:pic>
      <xdr:pic>
        <xdr:nvPicPr>
          <xdr:cNvPr id="197" name="Picture 196">
            <a:extLst>
              <a:ext uri="{FF2B5EF4-FFF2-40B4-BE49-F238E27FC236}">
                <a16:creationId xmlns:a16="http://schemas.microsoft.com/office/drawing/2014/main" id="{00000000-0008-0000-0000-0000C5000000}"/>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a:ext>
            </a:extLst>
          </a:blip>
          <a:stretch>
            <a:fillRect/>
          </a:stretch>
        </xdr:blipFill>
        <xdr:spPr>
          <a:xfrm>
            <a:off x="3111572" y="121385818"/>
            <a:ext cx="1215000" cy="1620000"/>
          </a:xfrm>
          <a:prstGeom prst="rect">
            <a:avLst/>
          </a:prstGeom>
          <a:ln>
            <a:solidFill>
              <a:schemeClr val="tx1"/>
            </a:solidFill>
          </a:ln>
        </xdr:spPr>
      </xdr:pic>
      <xdr:pic>
        <xdr:nvPicPr>
          <xdr:cNvPr id="198" name="Picture 197">
            <a:extLst>
              <a:ext uri="{FF2B5EF4-FFF2-40B4-BE49-F238E27FC236}">
                <a16:creationId xmlns:a16="http://schemas.microsoft.com/office/drawing/2014/main" id="{00000000-0008-0000-0000-0000C6000000}"/>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a:ext>
            </a:extLst>
          </a:blip>
          <a:stretch>
            <a:fillRect/>
          </a:stretch>
        </xdr:blipFill>
        <xdr:spPr>
          <a:xfrm>
            <a:off x="450850" y="121385818"/>
            <a:ext cx="1215000" cy="1620000"/>
          </a:xfrm>
          <a:prstGeom prst="rect">
            <a:avLst/>
          </a:prstGeom>
          <a:ln>
            <a:solidFill>
              <a:schemeClr val="tx1"/>
            </a:solidFill>
          </a:ln>
        </xdr:spPr>
      </xdr:pic>
      <xdr:pic>
        <xdr:nvPicPr>
          <xdr:cNvPr id="199" name="Picture 198">
            <a:extLst>
              <a:ext uri="{FF2B5EF4-FFF2-40B4-BE49-F238E27FC236}">
                <a16:creationId xmlns:a16="http://schemas.microsoft.com/office/drawing/2014/main" id="{00000000-0008-0000-0000-0000C7000000}"/>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a:ext>
            </a:extLst>
          </a:blip>
          <a:stretch>
            <a:fillRect/>
          </a:stretch>
        </xdr:blipFill>
        <xdr:spPr>
          <a:xfrm>
            <a:off x="4457811" y="121385818"/>
            <a:ext cx="1215000" cy="1620000"/>
          </a:xfrm>
          <a:prstGeom prst="rect">
            <a:avLst/>
          </a:prstGeom>
          <a:ln>
            <a:solidFill>
              <a:schemeClr val="tx1"/>
            </a:solidFill>
          </a:ln>
        </xdr:spPr>
      </xdr:pic>
    </xdr:grpSp>
    <xdr:clientData/>
  </xdr:twoCellAnchor>
  <xdr:twoCellAnchor>
    <xdr:from>
      <xdr:col>0</xdr:col>
      <xdr:colOff>495300</xdr:colOff>
      <xdr:row>618</xdr:row>
      <xdr:rowOff>95250</xdr:rowOff>
    </xdr:from>
    <xdr:to>
      <xdr:col>9</xdr:col>
      <xdr:colOff>499704</xdr:colOff>
      <xdr:row>664</xdr:row>
      <xdr:rowOff>61090</xdr:rowOff>
    </xdr:to>
    <xdr:grpSp>
      <xdr:nvGrpSpPr>
        <xdr:cNvPr id="11" name="Group 10">
          <a:extLst>
            <a:ext uri="{FF2B5EF4-FFF2-40B4-BE49-F238E27FC236}">
              <a16:creationId xmlns:a16="http://schemas.microsoft.com/office/drawing/2014/main" id="{00000000-0008-0000-0000-00000B000000}"/>
            </a:ext>
          </a:extLst>
        </xdr:cNvPr>
        <xdr:cNvGrpSpPr/>
      </xdr:nvGrpSpPr>
      <xdr:grpSpPr>
        <a:xfrm>
          <a:off x="495300" y="119037100"/>
          <a:ext cx="6443304" cy="8474840"/>
          <a:chOff x="495300" y="123520200"/>
          <a:chExt cx="6443304" cy="8474840"/>
        </a:xfrm>
      </xdr:grpSpPr>
      <xdr:pic>
        <xdr:nvPicPr>
          <xdr:cNvPr id="200" name="Picture 199">
            <a:extLst>
              <a:ext uri="{FF2B5EF4-FFF2-40B4-BE49-F238E27FC236}">
                <a16:creationId xmlns:a16="http://schemas.microsoft.com/office/drawing/2014/main" id="{00000000-0008-0000-0000-0000C8000000}"/>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a:ext>
            </a:extLst>
          </a:blip>
          <a:stretch>
            <a:fillRect/>
          </a:stretch>
        </xdr:blipFill>
        <xdr:spPr>
          <a:xfrm>
            <a:off x="1802376" y="123520200"/>
            <a:ext cx="1215000" cy="1620000"/>
          </a:xfrm>
          <a:prstGeom prst="rect">
            <a:avLst/>
          </a:prstGeom>
          <a:ln>
            <a:solidFill>
              <a:schemeClr val="tx1"/>
            </a:solidFill>
          </a:ln>
        </xdr:spPr>
      </xdr:pic>
      <xdr:pic>
        <xdr:nvPicPr>
          <xdr:cNvPr id="217" name="Picture 216">
            <a:extLst>
              <a:ext uri="{FF2B5EF4-FFF2-40B4-BE49-F238E27FC236}">
                <a16:creationId xmlns:a16="http://schemas.microsoft.com/office/drawing/2014/main" id="{00000000-0008-0000-0000-0000D9000000}"/>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a:ext>
            </a:extLst>
          </a:blip>
          <a:stretch>
            <a:fillRect/>
          </a:stretch>
        </xdr:blipFill>
        <xdr:spPr>
          <a:xfrm>
            <a:off x="495300" y="123520200"/>
            <a:ext cx="1215000" cy="1620000"/>
          </a:xfrm>
          <a:prstGeom prst="rect">
            <a:avLst/>
          </a:prstGeom>
          <a:ln>
            <a:solidFill>
              <a:schemeClr val="tx1"/>
            </a:solidFill>
          </a:ln>
        </xdr:spPr>
      </xdr:pic>
      <xdr:pic>
        <xdr:nvPicPr>
          <xdr:cNvPr id="218" name="Picture 217">
            <a:extLst>
              <a:ext uri="{FF2B5EF4-FFF2-40B4-BE49-F238E27FC236}">
                <a16:creationId xmlns:a16="http://schemas.microsoft.com/office/drawing/2014/main" id="{00000000-0008-0000-0000-0000DA000000}"/>
              </a:ext>
            </a:extLst>
          </xdr:cNvPr>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a:ext>
            </a:extLst>
          </a:blip>
          <a:stretch>
            <a:fillRect/>
          </a:stretch>
        </xdr:blipFill>
        <xdr:spPr>
          <a:xfrm>
            <a:off x="3109452" y="123520200"/>
            <a:ext cx="1215000" cy="1620000"/>
          </a:xfrm>
          <a:prstGeom prst="rect">
            <a:avLst/>
          </a:prstGeom>
          <a:ln>
            <a:solidFill>
              <a:schemeClr val="tx1"/>
            </a:solidFill>
          </a:ln>
        </xdr:spPr>
      </xdr:pic>
      <xdr:pic>
        <xdr:nvPicPr>
          <xdr:cNvPr id="219" name="Picture 218">
            <a:extLst>
              <a:ext uri="{FF2B5EF4-FFF2-40B4-BE49-F238E27FC236}">
                <a16:creationId xmlns:a16="http://schemas.microsoft.com/office/drawing/2014/main" id="{00000000-0008-0000-0000-0000DB000000}"/>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a:ext>
            </a:extLst>
          </a:blip>
          <a:stretch>
            <a:fillRect/>
          </a:stretch>
        </xdr:blipFill>
        <xdr:spPr>
          <a:xfrm>
            <a:off x="4416528" y="123520200"/>
            <a:ext cx="1215000" cy="1620000"/>
          </a:xfrm>
          <a:prstGeom prst="rect">
            <a:avLst/>
          </a:prstGeom>
          <a:ln>
            <a:solidFill>
              <a:schemeClr val="tx1"/>
            </a:solidFill>
          </a:ln>
        </xdr:spPr>
      </xdr:pic>
      <xdr:pic>
        <xdr:nvPicPr>
          <xdr:cNvPr id="220" name="Picture 219">
            <a:extLst>
              <a:ext uri="{FF2B5EF4-FFF2-40B4-BE49-F238E27FC236}">
                <a16:creationId xmlns:a16="http://schemas.microsoft.com/office/drawing/2014/main" id="{00000000-0008-0000-0000-0000DC000000}"/>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a:ext>
            </a:extLst>
          </a:blip>
          <a:stretch>
            <a:fillRect/>
          </a:stretch>
        </xdr:blipFill>
        <xdr:spPr>
          <a:xfrm>
            <a:off x="5723604" y="123520200"/>
            <a:ext cx="1213313" cy="1620000"/>
          </a:xfrm>
          <a:prstGeom prst="rect">
            <a:avLst/>
          </a:prstGeom>
          <a:ln>
            <a:solidFill>
              <a:schemeClr val="tx1"/>
            </a:solidFill>
          </a:ln>
        </xdr:spPr>
      </xdr:pic>
      <xdr:pic>
        <xdr:nvPicPr>
          <xdr:cNvPr id="221" name="Picture 220">
            <a:extLst>
              <a:ext uri="{FF2B5EF4-FFF2-40B4-BE49-F238E27FC236}">
                <a16:creationId xmlns:a16="http://schemas.microsoft.com/office/drawing/2014/main" id="{00000000-0008-0000-0000-0000DD000000}"/>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a:ext>
            </a:extLst>
          </a:blip>
          <a:stretch>
            <a:fillRect/>
          </a:stretch>
        </xdr:blipFill>
        <xdr:spPr>
          <a:xfrm>
            <a:off x="496987" y="125233910"/>
            <a:ext cx="1213313" cy="1620000"/>
          </a:xfrm>
          <a:prstGeom prst="rect">
            <a:avLst/>
          </a:prstGeom>
          <a:ln>
            <a:solidFill>
              <a:schemeClr val="tx1"/>
            </a:solidFill>
          </a:ln>
        </xdr:spPr>
      </xdr:pic>
      <xdr:pic>
        <xdr:nvPicPr>
          <xdr:cNvPr id="222" name="Picture 221">
            <a:extLst>
              <a:ext uri="{FF2B5EF4-FFF2-40B4-BE49-F238E27FC236}">
                <a16:creationId xmlns:a16="http://schemas.microsoft.com/office/drawing/2014/main" id="{00000000-0008-0000-0000-0000DE000000}"/>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a:ext>
            </a:extLst>
          </a:blip>
          <a:stretch>
            <a:fillRect/>
          </a:stretch>
        </xdr:blipFill>
        <xdr:spPr>
          <a:xfrm>
            <a:off x="1804063" y="125233910"/>
            <a:ext cx="1213313" cy="1620000"/>
          </a:xfrm>
          <a:prstGeom prst="rect">
            <a:avLst/>
          </a:prstGeom>
          <a:ln>
            <a:solidFill>
              <a:schemeClr val="tx1"/>
            </a:solidFill>
          </a:ln>
        </xdr:spPr>
      </xdr:pic>
      <xdr:pic>
        <xdr:nvPicPr>
          <xdr:cNvPr id="223" name="Picture 222">
            <a:extLst>
              <a:ext uri="{FF2B5EF4-FFF2-40B4-BE49-F238E27FC236}">
                <a16:creationId xmlns:a16="http://schemas.microsoft.com/office/drawing/2014/main" id="{00000000-0008-0000-0000-0000DF000000}"/>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a:ext>
            </a:extLst>
          </a:blip>
          <a:stretch>
            <a:fillRect/>
          </a:stretch>
        </xdr:blipFill>
        <xdr:spPr>
          <a:xfrm>
            <a:off x="3111139" y="125233910"/>
            <a:ext cx="1213313" cy="1620000"/>
          </a:xfrm>
          <a:prstGeom prst="rect">
            <a:avLst/>
          </a:prstGeom>
          <a:ln>
            <a:solidFill>
              <a:schemeClr val="tx1"/>
            </a:solidFill>
          </a:ln>
        </xdr:spPr>
      </xdr:pic>
      <xdr:pic>
        <xdr:nvPicPr>
          <xdr:cNvPr id="224" name="Picture 223">
            <a:extLst>
              <a:ext uri="{FF2B5EF4-FFF2-40B4-BE49-F238E27FC236}">
                <a16:creationId xmlns:a16="http://schemas.microsoft.com/office/drawing/2014/main" id="{00000000-0008-0000-0000-0000E0000000}"/>
              </a:ext>
            </a:extLst>
          </xdr:cNvPr>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a:ext>
            </a:extLst>
          </a:blip>
          <a:stretch>
            <a:fillRect/>
          </a:stretch>
        </xdr:blipFill>
        <xdr:spPr>
          <a:xfrm>
            <a:off x="4418215" y="125233910"/>
            <a:ext cx="1213313" cy="1620000"/>
          </a:xfrm>
          <a:prstGeom prst="rect">
            <a:avLst/>
          </a:prstGeom>
          <a:ln>
            <a:solidFill>
              <a:schemeClr val="tx1"/>
            </a:solidFill>
          </a:ln>
        </xdr:spPr>
      </xdr:pic>
      <xdr:pic>
        <xdr:nvPicPr>
          <xdr:cNvPr id="225" name="Picture 224">
            <a:extLst>
              <a:ext uri="{FF2B5EF4-FFF2-40B4-BE49-F238E27FC236}">
                <a16:creationId xmlns:a16="http://schemas.microsoft.com/office/drawing/2014/main" id="{00000000-0008-0000-0000-0000E1000000}"/>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a:ext>
            </a:extLst>
          </a:blip>
          <a:stretch>
            <a:fillRect/>
          </a:stretch>
        </xdr:blipFill>
        <xdr:spPr>
          <a:xfrm>
            <a:off x="5723604" y="125233910"/>
            <a:ext cx="1213313" cy="1620000"/>
          </a:xfrm>
          <a:prstGeom prst="rect">
            <a:avLst/>
          </a:prstGeom>
          <a:ln>
            <a:solidFill>
              <a:schemeClr val="tx1"/>
            </a:solidFill>
          </a:ln>
        </xdr:spPr>
      </xdr:pic>
      <xdr:pic>
        <xdr:nvPicPr>
          <xdr:cNvPr id="226" name="Picture 225">
            <a:extLst>
              <a:ext uri="{FF2B5EF4-FFF2-40B4-BE49-F238E27FC236}">
                <a16:creationId xmlns:a16="http://schemas.microsoft.com/office/drawing/2014/main" id="{00000000-0008-0000-0000-0000E2000000}"/>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a:ext>
            </a:extLst>
          </a:blip>
          <a:stretch>
            <a:fillRect/>
          </a:stretch>
        </xdr:blipFill>
        <xdr:spPr>
          <a:xfrm>
            <a:off x="496987" y="126947620"/>
            <a:ext cx="1213313" cy="1620000"/>
          </a:xfrm>
          <a:prstGeom prst="rect">
            <a:avLst/>
          </a:prstGeom>
          <a:ln>
            <a:solidFill>
              <a:schemeClr val="tx1"/>
            </a:solidFill>
          </a:ln>
        </xdr:spPr>
      </xdr:pic>
      <xdr:pic>
        <xdr:nvPicPr>
          <xdr:cNvPr id="227" name="Picture 226">
            <a:extLst>
              <a:ext uri="{FF2B5EF4-FFF2-40B4-BE49-F238E27FC236}">
                <a16:creationId xmlns:a16="http://schemas.microsoft.com/office/drawing/2014/main" id="{00000000-0008-0000-0000-0000E3000000}"/>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a:ext>
            </a:extLst>
          </a:blip>
          <a:stretch>
            <a:fillRect/>
          </a:stretch>
        </xdr:blipFill>
        <xdr:spPr>
          <a:xfrm>
            <a:off x="1804063" y="126947620"/>
            <a:ext cx="1213313" cy="1620000"/>
          </a:xfrm>
          <a:prstGeom prst="rect">
            <a:avLst/>
          </a:prstGeom>
          <a:ln>
            <a:solidFill>
              <a:schemeClr val="tx1"/>
            </a:solidFill>
          </a:ln>
        </xdr:spPr>
      </xdr:pic>
      <xdr:pic>
        <xdr:nvPicPr>
          <xdr:cNvPr id="228" name="Picture 227">
            <a:extLst>
              <a:ext uri="{FF2B5EF4-FFF2-40B4-BE49-F238E27FC236}">
                <a16:creationId xmlns:a16="http://schemas.microsoft.com/office/drawing/2014/main" id="{00000000-0008-0000-0000-0000E4000000}"/>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a:ext>
            </a:extLst>
          </a:blip>
          <a:stretch>
            <a:fillRect/>
          </a:stretch>
        </xdr:blipFill>
        <xdr:spPr>
          <a:xfrm>
            <a:off x="3109452" y="126947620"/>
            <a:ext cx="1215000" cy="1620000"/>
          </a:xfrm>
          <a:prstGeom prst="rect">
            <a:avLst/>
          </a:prstGeom>
          <a:ln>
            <a:solidFill>
              <a:schemeClr val="tx1"/>
            </a:solidFill>
          </a:ln>
        </xdr:spPr>
      </xdr:pic>
      <xdr:pic>
        <xdr:nvPicPr>
          <xdr:cNvPr id="229" name="Picture 228">
            <a:extLst>
              <a:ext uri="{FF2B5EF4-FFF2-40B4-BE49-F238E27FC236}">
                <a16:creationId xmlns:a16="http://schemas.microsoft.com/office/drawing/2014/main" id="{00000000-0008-0000-0000-0000E5000000}"/>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a:ext>
            </a:extLst>
          </a:blip>
          <a:stretch>
            <a:fillRect/>
          </a:stretch>
        </xdr:blipFill>
        <xdr:spPr>
          <a:xfrm>
            <a:off x="4416528" y="126947620"/>
            <a:ext cx="1215000" cy="1620000"/>
          </a:xfrm>
          <a:prstGeom prst="rect">
            <a:avLst/>
          </a:prstGeom>
          <a:ln>
            <a:solidFill>
              <a:schemeClr val="tx1"/>
            </a:solidFill>
          </a:ln>
        </xdr:spPr>
      </xdr:pic>
      <xdr:pic>
        <xdr:nvPicPr>
          <xdr:cNvPr id="230" name="Picture 229">
            <a:extLst>
              <a:ext uri="{FF2B5EF4-FFF2-40B4-BE49-F238E27FC236}">
                <a16:creationId xmlns:a16="http://schemas.microsoft.com/office/drawing/2014/main" id="{00000000-0008-0000-0000-0000E6000000}"/>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a:ext>
            </a:extLst>
          </a:blip>
          <a:stretch>
            <a:fillRect/>
          </a:stretch>
        </xdr:blipFill>
        <xdr:spPr>
          <a:xfrm>
            <a:off x="5723604" y="126947620"/>
            <a:ext cx="1215000" cy="1620000"/>
          </a:xfrm>
          <a:prstGeom prst="rect">
            <a:avLst/>
          </a:prstGeom>
          <a:ln>
            <a:solidFill>
              <a:schemeClr val="tx1"/>
            </a:solidFill>
          </a:ln>
        </xdr:spPr>
      </xdr:pic>
      <xdr:pic>
        <xdr:nvPicPr>
          <xdr:cNvPr id="231" name="Picture 230">
            <a:extLst>
              <a:ext uri="{FF2B5EF4-FFF2-40B4-BE49-F238E27FC236}">
                <a16:creationId xmlns:a16="http://schemas.microsoft.com/office/drawing/2014/main" id="{00000000-0008-0000-0000-0000E7000000}"/>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a:ext>
            </a:extLst>
          </a:blip>
          <a:stretch>
            <a:fillRect/>
          </a:stretch>
        </xdr:blipFill>
        <xdr:spPr>
          <a:xfrm>
            <a:off x="495300" y="128661330"/>
            <a:ext cx="1215000" cy="1620000"/>
          </a:xfrm>
          <a:prstGeom prst="rect">
            <a:avLst/>
          </a:prstGeom>
          <a:ln>
            <a:solidFill>
              <a:schemeClr val="tx1"/>
            </a:solidFill>
          </a:ln>
        </xdr:spPr>
      </xdr:pic>
      <xdr:pic>
        <xdr:nvPicPr>
          <xdr:cNvPr id="232" name="Picture 231">
            <a:extLst>
              <a:ext uri="{FF2B5EF4-FFF2-40B4-BE49-F238E27FC236}">
                <a16:creationId xmlns:a16="http://schemas.microsoft.com/office/drawing/2014/main" id="{00000000-0008-0000-0000-0000E8000000}"/>
              </a:ext>
            </a:extLst>
          </xdr:cNvPr>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a:ext>
            </a:extLst>
          </a:blip>
          <a:stretch>
            <a:fillRect/>
          </a:stretch>
        </xdr:blipFill>
        <xdr:spPr>
          <a:xfrm>
            <a:off x="3109452" y="128661330"/>
            <a:ext cx="1215000" cy="1620000"/>
          </a:xfrm>
          <a:prstGeom prst="rect">
            <a:avLst/>
          </a:prstGeom>
          <a:ln>
            <a:solidFill>
              <a:schemeClr val="tx1"/>
            </a:solidFill>
          </a:ln>
        </xdr:spPr>
      </xdr:pic>
      <xdr:pic>
        <xdr:nvPicPr>
          <xdr:cNvPr id="233" name="Picture 232">
            <a:extLst>
              <a:ext uri="{FF2B5EF4-FFF2-40B4-BE49-F238E27FC236}">
                <a16:creationId xmlns:a16="http://schemas.microsoft.com/office/drawing/2014/main" id="{00000000-0008-0000-0000-0000E9000000}"/>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a:ext>
            </a:extLst>
          </a:blip>
          <a:stretch>
            <a:fillRect/>
          </a:stretch>
        </xdr:blipFill>
        <xdr:spPr>
          <a:xfrm>
            <a:off x="1802376" y="128661330"/>
            <a:ext cx="1215000" cy="1620000"/>
          </a:xfrm>
          <a:prstGeom prst="rect">
            <a:avLst/>
          </a:prstGeom>
          <a:ln>
            <a:solidFill>
              <a:schemeClr val="tx1"/>
            </a:solidFill>
          </a:ln>
        </xdr:spPr>
      </xdr:pic>
      <xdr:pic>
        <xdr:nvPicPr>
          <xdr:cNvPr id="234" name="Picture 233">
            <a:extLst>
              <a:ext uri="{FF2B5EF4-FFF2-40B4-BE49-F238E27FC236}">
                <a16:creationId xmlns:a16="http://schemas.microsoft.com/office/drawing/2014/main" id="{00000000-0008-0000-0000-0000EA000000}"/>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a:ext>
            </a:extLst>
          </a:blip>
          <a:stretch>
            <a:fillRect/>
          </a:stretch>
        </xdr:blipFill>
        <xdr:spPr>
          <a:xfrm>
            <a:off x="4416528" y="128661330"/>
            <a:ext cx="1215000" cy="1620000"/>
          </a:xfrm>
          <a:prstGeom prst="rect">
            <a:avLst/>
          </a:prstGeom>
          <a:ln>
            <a:solidFill>
              <a:schemeClr val="tx1"/>
            </a:solidFill>
          </a:ln>
        </xdr:spPr>
      </xdr:pic>
      <xdr:pic>
        <xdr:nvPicPr>
          <xdr:cNvPr id="235" name="Picture 234">
            <a:extLst>
              <a:ext uri="{FF2B5EF4-FFF2-40B4-BE49-F238E27FC236}">
                <a16:creationId xmlns:a16="http://schemas.microsoft.com/office/drawing/2014/main" id="{00000000-0008-0000-0000-0000EB000000}"/>
              </a:ext>
            </a:extLst>
          </xdr:cNvPr>
          <xdr:cNvPicPr>
            <a:picLocks noChangeAspect="1"/>
          </xdr:cNvPicPr>
        </xdr:nvPicPr>
        <xdr:blipFill>
          <a:blip xmlns:r="http://schemas.openxmlformats.org/officeDocument/2006/relationships" r:embed="rId103" cstate="print">
            <a:extLst>
              <a:ext uri="{28A0092B-C50C-407E-A947-70E740481C1C}">
                <a14:useLocalDpi xmlns:a14="http://schemas.microsoft.com/office/drawing/2010/main"/>
              </a:ext>
            </a:extLst>
          </a:blip>
          <a:stretch>
            <a:fillRect/>
          </a:stretch>
        </xdr:blipFill>
        <xdr:spPr>
          <a:xfrm>
            <a:off x="5723604" y="128661330"/>
            <a:ext cx="1215000" cy="1620000"/>
          </a:xfrm>
          <a:prstGeom prst="rect">
            <a:avLst/>
          </a:prstGeom>
          <a:ln>
            <a:solidFill>
              <a:schemeClr val="tx1"/>
            </a:solidFill>
          </a:ln>
        </xdr:spPr>
      </xdr:pic>
      <xdr:pic>
        <xdr:nvPicPr>
          <xdr:cNvPr id="236" name="Picture 235">
            <a:extLst>
              <a:ext uri="{FF2B5EF4-FFF2-40B4-BE49-F238E27FC236}">
                <a16:creationId xmlns:a16="http://schemas.microsoft.com/office/drawing/2014/main" id="{00000000-0008-0000-0000-0000EC000000}"/>
              </a:ext>
            </a:extLst>
          </xdr:cNvPr>
          <xdr:cNvPicPr>
            <a:picLocks noChangeAspect="1"/>
          </xdr:cNvPicPr>
        </xdr:nvPicPr>
        <xdr:blipFill>
          <a:blip xmlns:r="http://schemas.openxmlformats.org/officeDocument/2006/relationships" r:embed="rId104" cstate="print">
            <a:extLst>
              <a:ext uri="{28A0092B-C50C-407E-A947-70E740481C1C}">
                <a14:useLocalDpi xmlns:a14="http://schemas.microsoft.com/office/drawing/2010/main"/>
              </a:ext>
            </a:extLst>
          </a:blip>
          <a:stretch>
            <a:fillRect/>
          </a:stretch>
        </xdr:blipFill>
        <xdr:spPr>
          <a:xfrm>
            <a:off x="495300" y="130375040"/>
            <a:ext cx="1215000" cy="1620000"/>
          </a:xfrm>
          <a:prstGeom prst="rect">
            <a:avLst/>
          </a:prstGeom>
          <a:ln>
            <a:solidFill>
              <a:schemeClr val="tx1"/>
            </a:solidFill>
          </a:ln>
        </xdr:spPr>
      </xdr:pic>
      <xdr:pic>
        <xdr:nvPicPr>
          <xdr:cNvPr id="237" name="Picture 236">
            <a:extLst>
              <a:ext uri="{FF2B5EF4-FFF2-40B4-BE49-F238E27FC236}">
                <a16:creationId xmlns:a16="http://schemas.microsoft.com/office/drawing/2014/main" id="{00000000-0008-0000-0000-0000ED000000}"/>
              </a:ext>
            </a:extLst>
          </xdr:cNvPr>
          <xdr:cNvPicPr>
            <a:picLocks noChangeAspect="1"/>
          </xdr:cNvPicPr>
        </xdr:nvPicPr>
        <xdr:blipFill>
          <a:blip xmlns:r="http://schemas.openxmlformats.org/officeDocument/2006/relationships" r:embed="rId105" cstate="print">
            <a:extLst>
              <a:ext uri="{28A0092B-C50C-407E-A947-70E740481C1C}">
                <a14:useLocalDpi xmlns:a14="http://schemas.microsoft.com/office/drawing/2010/main"/>
              </a:ext>
            </a:extLst>
          </a:blip>
          <a:stretch>
            <a:fillRect/>
          </a:stretch>
        </xdr:blipFill>
        <xdr:spPr>
          <a:xfrm>
            <a:off x="1802376" y="130375040"/>
            <a:ext cx="1215000" cy="1620000"/>
          </a:xfrm>
          <a:prstGeom prst="rect">
            <a:avLst/>
          </a:prstGeom>
          <a:ln>
            <a:solidFill>
              <a:schemeClr val="tx1"/>
            </a:solidFill>
          </a:ln>
        </xdr:spPr>
      </xdr:pic>
      <xdr:pic>
        <xdr:nvPicPr>
          <xdr:cNvPr id="238" name="Picture 237">
            <a:extLst>
              <a:ext uri="{FF2B5EF4-FFF2-40B4-BE49-F238E27FC236}">
                <a16:creationId xmlns:a16="http://schemas.microsoft.com/office/drawing/2014/main" id="{00000000-0008-0000-0000-0000EE000000}"/>
              </a:ext>
            </a:extLst>
          </xdr:cNvPr>
          <xdr:cNvPicPr>
            <a:picLocks noChangeAspect="1"/>
          </xdr:cNvPicPr>
        </xdr:nvPicPr>
        <xdr:blipFill>
          <a:blip xmlns:r="http://schemas.openxmlformats.org/officeDocument/2006/relationships" r:embed="rId106" cstate="print">
            <a:extLst>
              <a:ext uri="{28A0092B-C50C-407E-A947-70E740481C1C}">
                <a14:useLocalDpi xmlns:a14="http://schemas.microsoft.com/office/drawing/2010/main"/>
              </a:ext>
            </a:extLst>
          </a:blip>
          <a:stretch>
            <a:fillRect/>
          </a:stretch>
        </xdr:blipFill>
        <xdr:spPr>
          <a:xfrm>
            <a:off x="4416528" y="130375040"/>
            <a:ext cx="1215000" cy="1620000"/>
          </a:xfrm>
          <a:prstGeom prst="rect">
            <a:avLst/>
          </a:prstGeom>
          <a:ln>
            <a:solidFill>
              <a:schemeClr val="tx1"/>
            </a:solidFill>
          </a:ln>
        </xdr:spPr>
      </xdr:pic>
      <xdr:pic>
        <xdr:nvPicPr>
          <xdr:cNvPr id="239" name="Picture 238">
            <a:extLst>
              <a:ext uri="{FF2B5EF4-FFF2-40B4-BE49-F238E27FC236}">
                <a16:creationId xmlns:a16="http://schemas.microsoft.com/office/drawing/2014/main" id="{00000000-0008-0000-0000-0000EF000000}"/>
              </a:ext>
            </a:extLst>
          </xdr:cNvPr>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a:ext>
            </a:extLst>
          </a:blip>
          <a:stretch>
            <a:fillRect/>
          </a:stretch>
        </xdr:blipFill>
        <xdr:spPr>
          <a:xfrm>
            <a:off x="3109452" y="130375040"/>
            <a:ext cx="1215000" cy="1620000"/>
          </a:xfrm>
          <a:prstGeom prst="rect">
            <a:avLst/>
          </a:prstGeom>
          <a:ln>
            <a:solidFill>
              <a:schemeClr val="tx1"/>
            </a:solidFill>
          </a:ln>
        </xdr:spPr>
      </xdr:pic>
      <xdr:pic>
        <xdr:nvPicPr>
          <xdr:cNvPr id="240" name="Picture 239">
            <a:extLst>
              <a:ext uri="{FF2B5EF4-FFF2-40B4-BE49-F238E27FC236}">
                <a16:creationId xmlns:a16="http://schemas.microsoft.com/office/drawing/2014/main" id="{00000000-0008-0000-0000-0000F0000000}"/>
              </a:ext>
            </a:extLst>
          </xdr:cNvPr>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a:ext>
            </a:extLst>
          </a:blip>
          <a:stretch>
            <a:fillRect/>
          </a:stretch>
        </xdr:blipFill>
        <xdr:spPr>
          <a:xfrm>
            <a:off x="5723604" y="130375040"/>
            <a:ext cx="1213313" cy="1620000"/>
          </a:xfrm>
          <a:prstGeom prst="rect">
            <a:avLst/>
          </a:prstGeom>
          <a:ln>
            <a:solidFill>
              <a:schemeClr val="tx1"/>
            </a:solidFill>
          </a:ln>
        </xdr:spPr>
      </xdr:pic>
    </xdr:grpSp>
    <xdr:clientData/>
  </xdr:twoCellAnchor>
  <xdr:twoCellAnchor>
    <xdr:from>
      <xdr:col>0</xdr:col>
      <xdr:colOff>527050</xdr:colOff>
      <xdr:row>524</xdr:row>
      <xdr:rowOff>82550</xdr:rowOff>
    </xdr:from>
    <xdr:to>
      <xdr:col>9</xdr:col>
      <xdr:colOff>489404</xdr:colOff>
      <xdr:row>566</xdr:row>
      <xdr:rowOff>171450</xdr:rowOff>
    </xdr:to>
    <xdr:grpSp>
      <xdr:nvGrpSpPr>
        <xdr:cNvPr id="3" name="Group 2"/>
        <xdr:cNvGrpSpPr/>
      </xdr:nvGrpSpPr>
      <xdr:grpSpPr>
        <a:xfrm>
          <a:off x="527050" y="101650800"/>
          <a:ext cx="6401254" cy="7861300"/>
          <a:chOff x="527050" y="101688900"/>
          <a:chExt cx="6401254" cy="7861300"/>
        </a:xfrm>
      </xdr:grpSpPr>
      <xdr:pic>
        <xdr:nvPicPr>
          <xdr:cNvPr id="128" name="Picture 127"/>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a:ext>
            </a:extLst>
          </a:blip>
          <a:stretch>
            <a:fillRect/>
          </a:stretch>
        </xdr:blipFill>
        <xdr:spPr>
          <a:xfrm>
            <a:off x="4286336" y="108040773"/>
            <a:ext cx="1348125" cy="1509427"/>
          </a:xfrm>
          <a:prstGeom prst="rect">
            <a:avLst/>
          </a:prstGeom>
          <a:ln>
            <a:solidFill>
              <a:schemeClr val="tx1"/>
            </a:solidFill>
          </a:ln>
        </xdr:spPr>
      </xdr:pic>
      <xdr:pic>
        <xdr:nvPicPr>
          <xdr:cNvPr id="129" name="Picture 128"/>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a:ext>
            </a:extLst>
          </a:blip>
          <a:stretch>
            <a:fillRect/>
          </a:stretch>
        </xdr:blipFill>
        <xdr:spPr>
          <a:xfrm>
            <a:off x="1061675" y="101688900"/>
            <a:ext cx="1617750" cy="2160000"/>
          </a:xfrm>
          <a:prstGeom prst="rect">
            <a:avLst/>
          </a:prstGeom>
          <a:ln>
            <a:solidFill>
              <a:schemeClr val="tx1"/>
            </a:solidFill>
          </a:ln>
        </xdr:spPr>
      </xdr:pic>
      <xdr:pic>
        <xdr:nvPicPr>
          <xdr:cNvPr id="130" name="Picture 129"/>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a:ext>
            </a:extLst>
          </a:blip>
          <a:stretch>
            <a:fillRect/>
          </a:stretch>
        </xdr:blipFill>
        <xdr:spPr>
          <a:xfrm>
            <a:off x="2846760" y="101688900"/>
            <a:ext cx="1617750" cy="2160000"/>
          </a:xfrm>
          <a:prstGeom prst="rect">
            <a:avLst/>
          </a:prstGeom>
          <a:ln>
            <a:solidFill>
              <a:schemeClr val="tx1"/>
            </a:solidFill>
          </a:ln>
        </xdr:spPr>
      </xdr:pic>
      <xdr:pic>
        <xdr:nvPicPr>
          <xdr:cNvPr id="131" name="Picture 130"/>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a:ext>
            </a:extLst>
          </a:blip>
          <a:stretch>
            <a:fillRect/>
          </a:stretch>
        </xdr:blipFill>
        <xdr:spPr>
          <a:xfrm>
            <a:off x="527050" y="103983991"/>
            <a:ext cx="2880000" cy="2160000"/>
          </a:xfrm>
          <a:prstGeom prst="rect">
            <a:avLst/>
          </a:prstGeom>
          <a:ln>
            <a:solidFill>
              <a:schemeClr val="tx1"/>
            </a:solidFill>
          </a:ln>
        </xdr:spPr>
      </xdr:pic>
      <xdr:pic>
        <xdr:nvPicPr>
          <xdr:cNvPr id="132" name="Picture 131"/>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a:ext>
            </a:extLst>
          </a:blip>
          <a:stretch>
            <a:fillRect/>
          </a:stretch>
        </xdr:blipFill>
        <xdr:spPr>
          <a:xfrm>
            <a:off x="4631845" y="101688900"/>
            <a:ext cx="1620000" cy="2160000"/>
          </a:xfrm>
          <a:prstGeom prst="rect">
            <a:avLst/>
          </a:prstGeom>
          <a:ln>
            <a:solidFill>
              <a:schemeClr val="tx1"/>
            </a:solidFill>
          </a:ln>
        </xdr:spPr>
      </xdr:pic>
      <xdr:pic>
        <xdr:nvPicPr>
          <xdr:cNvPr id="133" name="Picture 132"/>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a:ext>
            </a:extLst>
          </a:blip>
          <a:stretch>
            <a:fillRect/>
          </a:stretch>
        </xdr:blipFill>
        <xdr:spPr>
          <a:xfrm>
            <a:off x="3549927" y="103983991"/>
            <a:ext cx="1617750" cy="2160000"/>
          </a:xfrm>
          <a:prstGeom prst="rect">
            <a:avLst/>
          </a:prstGeom>
          <a:ln>
            <a:solidFill>
              <a:schemeClr val="tx1"/>
            </a:solidFill>
          </a:ln>
        </xdr:spPr>
      </xdr:pic>
      <xdr:pic>
        <xdr:nvPicPr>
          <xdr:cNvPr id="134" name="Picture 133"/>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a:ext>
            </a:extLst>
          </a:blip>
          <a:stretch>
            <a:fillRect/>
          </a:stretch>
        </xdr:blipFill>
        <xdr:spPr>
          <a:xfrm>
            <a:off x="5310554" y="103983991"/>
            <a:ext cx="1617750" cy="2160000"/>
          </a:xfrm>
          <a:prstGeom prst="rect">
            <a:avLst/>
          </a:prstGeom>
          <a:ln>
            <a:solidFill>
              <a:schemeClr val="tx1"/>
            </a:solidFill>
          </a:ln>
        </xdr:spPr>
      </xdr:pic>
      <xdr:pic>
        <xdr:nvPicPr>
          <xdr:cNvPr id="135" name="Picture 134"/>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a:ext>
            </a:extLst>
          </a:blip>
          <a:stretch>
            <a:fillRect/>
          </a:stretch>
        </xdr:blipFill>
        <xdr:spPr>
          <a:xfrm>
            <a:off x="2902417" y="106279082"/>
            <a:ext cx="1620000" cy="1651868"/>
          </a:xfrm>
          <a:prstGeom prst="rect">
            <a:avLst/>
          </a:prstGeom>
          <a:ln>
            <a:solidFill>
              <a:schemeClr val="tx1"/>
            </a:solidFill>
          </a:ln>
        </xdr:spPr>
      </xdr:pic>
      <xdr:pic>
        <xdr:nvPicPr>
          <xdr:cNvPr id="136" name="Picture 135"/>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a:ext>
            </a:extLst>
          </a:blip>
          <a:stretch>
            <a:fillRect/>
          </a:stretch>
        </xdr:blipFill>
        <xdr:spPr>
          <a:xfrm>
            <a:off x="1172989" y="106279082"/>
            <a:ext cx="1620000" cy="1651868"/>
          </a:xfrm>
          <a:prstGeom prst="rect">
            <a:avLst/>
          </a:prstGeom>
          <a:ln>
            <a:solidFill>
              <a:schemeClr val="tx1"/>
            </a:solidFill>
          </a:ln>
        </xdr:spPr>
      </xdr:pic>
      <xdr:pic>
        <xdr:nvPicPr>
          <xdr:cNvPr id="137" name="Picture 136"/>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a:ext>
            </a:extLst>
          </a:blip>
          <a:stretch>
            <a:fillRect/>
          </a:stretch>
        </xdr:blipFill>
        <xdr:spPr>
          <a:xfrm>
            <a:off x="1774586" y="108040773"/>
            <a:ext cx="2396667" cy="1509427"/>
          </a:xfrm>
          <a:prstGeom prst="rect">
            <a:avLst/>
          </a:prstGeom>
          <a:ln>
            <a:solidFill>
              <a:schemeClr val="tx1"/>
            </a:solidFill>
          </a:ln>
        </xdr:spPr>
      </xdr:pic>
      <xdr:pic>
        <xdr:nvPicPr>
          <xdr:cNvPr id="138" name="Picture 137"/>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a:ext>
            </a:extLst>
          </a:blip>
          <a:stretch>
            <a:fillRect/>
          </a:stretch>
        </xdr:blipFill>
        <xdr:spPr>
          <a:xfrm>
            <a:off x="4631845" y="106279082"/>
            <a:ext cx="1617750" cy="1651868"/>
          </a:xfrm>
          <a:prstGeom prst="rect">
            <a:avLst/>
          </a:prstGeom>
          <a:ln>
            <a:solidFill>
              <a:schemeClr val="tx1"/>
            </a:solidFill>
          </a:ln>
        </xdr:spPr>
      </xdr:pic>
    </xdr:grp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goo.gl/maps/oVmqb6v4ryeNTcUi9" TargetMode="Externa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filterMode="1">
    <pageSetUpPr fitToPage="1"/>
  </sheetPr>
  <dimension ref="A1:T667"/>
  <sheetViews>
    <sheetView tabSelected="1" view="pageBreakPreview" zoomScaleNormal="100" zoomScaleSheetLayoutView="100" workbookViewId="0">
      <selection activeCell="F9" sqref="F9:J9"/>
    </sheetView>
  </sheetViews>
  <sheetFormatPr defaultColWidth="9.1796875" defaultRowHeight="14.5" x14ac:dyDescent="0.35"/>
  <cols>
    <col min="1" max="1" width="12" style="6" customWidth="1"/>
    <col min="2" max="2" width="9.81640625" style="6" customWidth="1"/>
    <col min="3" max="3" width="13.81640625" style="6" customWidth="1"/>
    <col min="4" max="4" width="7" style="6" customWidth="1"/>
    <col min="5" max="5" width="8.26953125" style="6" customWidth="1"/>
    <col min="6" max="7" width="10.453125" style="6" customWidth="1"/>
    <col min="8" max="8" width="9.54296875" style="6" customWidth="1"/>
    <col min="9" max="9" width="10.81640625" style="6" customWidth="1"/>
    <col min="10" max="10" width="15.453125" style="6" customWidth="1"/>
    <col min="11" max="16384" width="9.1796875" style="6"/>
  </cols>
  <sheetData>
    <row r="1" spans="1:15" ht="43.9" customHeight="1" x14ac:dyDescent="0.35">
      <c r="A1" s="207" t="s">
        <v>347</v>
      </c>
      <c r="B1" s="208"/>
      <c r="C1" s="208"/>
      <c r="D1" s="208"/>
      <c r="E1" s="208"/>
      <c r="F1" s="208"/>
      <c r="G1" s="208"/>
      <c r="H1" s="208"/>
      <c r="I1" s="208"/>
      <c r="J1" s="209"/>
    </row>
    <row r="2" spans="1:15" x14ac:dyDescent="0.35">
      <c r="A2" s="123" t="s">
        <v>31</v>
      </c>
      <c r="B2" s="124"/>
      <c r="C2" s="124"/>
      <c r="D2" s="124"/>
      <c r="E2" s="124"/>
      <c r="F2" s="124"/>
      <c r="G2" s="124"/>
      <c r="H2" s="124"/>
      <c r="I2" s="124"/>
      <c r="J2" s="200"/>
    </row>
    <row r="3" spans="1:15" x14ac:dyDescent="0.35">
      <c r="A3" s="118" t="s">
        <v>0</v>
      </c>
      <c r="B3" s="119"/>
      <c r="C3" s="119"/>
      <c r="D3" s="119"/>
      <c r="E3" s="120"/>
      <c r="F3" s="201" t="str">
        <f ca="1">TEXT(TODAY(),"DD/MM/YYYY")</f>
        <v>20/08/2025</v>
      </c>
      <c r="G3" s="202"/>
      <c r="H3" s="202"/>
      <c r="I3" s="202"/>
      <c r="J3" s="203"/>
    </row>
    <row r="4" spans="1:15" x14ac:dyDescent="0.35">
      <c r="A4" s="118" t="s">
        <v>1</v>
      </c>
      <c r="B4" s="119"/>
      <c r="C4" s="119"/>
      <c r="D4" s="119"/>
      <c r="E4" s="120"/>
      <c r="F4" s="118" t="s">
        <v>99</v>
      </c>
      <c r="G4" s="119"/>
      <c r="H4" s="119"/>
      <c r="I4" s="119"/>
      <c r="J4" s="120"/>
    </row>
    <row r="5" spans="1:15" x14ac:dyDescent="0.35">
      <c r="A5" s="118" t="s">
        <v>2</v>
      </c>
      <c r="B5" s="119"/>
      <c r="C5" s="119"/>
      <c r="D5" s="119"/>
      <c r="E5" s="120"/>
      <c r="F5" s="201">
        <v>45888</v>
      </c>
      <c r="G5" s="202"/>
      <c r="H5" s="202"/>
      <c r="I5" s="202"/>
      <c r="J5" s="203"/>
    </row>
    <row r="6" spans="1:15" x14ac:dyDescent="0.35">
      <c r="A6" s="118" t="s">
        <v>3</v>
      </c>
      <c r="B6" s="119"/>
      <c r="C6" s="119"/>
      <c r="D6" s="119"/>
      <c r="E6" s="120"/>
      <c r="F6" s="115" t="s">
        <v>125</v>
      </c>
      <c r="G6" s="116"/>
      <c r="H6" s="116"/>
      <c r="I6" s="116"/>
      <c r="J6" s="117"/>
    </row>
    <row r="7" spans="1:15" x14ac:dyDescent="0.35">
      <c r="A7" s="118" t="s">
        <v>4</v>
      </c>
      <c r="B7" s="119"/>
      <c r="C7" s="119"/>
      <c r="D7" s="119"/>
      <c r="E7" s="120"/>
      <c r="F7" s="115" t="str">
        <f>F6</f>
        <v>M/s. Nirvana Leisure Realty</v>
      </c>
      <c r="G7" s="116"/>
      <c r="H7" s="116"/>
      <c r="I7" s="116"/>
      <c r="J7" s="117"/>
    </row>
    <row r="8" spans="1:15" x14ac:dyDescent="0.35">
      <c r="A8" s="118" t="s">
        <v>5</v>
      </c>
      <c r="B8" s="119"/>
      <c r="C8" s="119"/>
      <c r="D8" s="119"/>
      <c r="E8" s="120"/>
      <c r="F8" s="149" t="s">
        <v>175</v>
      </c>
      <c r="G8" s="150"/>
      <c r="H8" s="150"/>
      <c r="I8" s="150"/>
      <c r="J8" s="151"/>
    </row>
    <row r="9" spans="1:15" x14ac:dyDescent="0.35">
      <c r="A9" s="118" t="s">
        <v>82</v>
      </c>
      <c r="B9" s="119"/>
      <c r="C9" s="119"/>
      <c r="D9" s="119"/>
      <c r="E9" s="120"/>
      <c r="F9" s="118" t="s">
        <v>126</v>
      </c>
      <c r="G9" s="119"/>
      <c r="H9" s="119"/>
      <c r="I9" s="119"/>
      <c r="J9" s="120"/>
    </row>
    <row r="10" spans="1:15" ht="94.5" customHeight="1" x14ac:dyDescent="0.35">
      <c r="A10" s="118" t="s">
        <v>83</v>
      </c>
      <c r="B10" s="119"/>
      <c r="C10" s="119"/>
      <c r="D10" s="119"/>
      <c r="E10" s="120"/>
      <c r="F10" s="204" t="s">
        <v>348</v>
      </c>
      <c r="G10" s="205"/>
      <c r="H10" s="205"/>
      <c r="I10" s="205"/>
      <c r="J10" s="206"/>
    </row>
    <row r="11" spans="1:15" ht="49.5" customHeight="1" x14ac:dyDescent="0.35">
      <c r="A11" s="118" t="s">
        <v>6</v>
      </c>
      <c r="B11" s="119"/>
      <c r="C11" s="119"/>
      <c r="D11" s="119"/>
      <c r="E11" s="120"/>
      <c r="F11" s="115" t="s">
        <v>139</v>
      </c>
      <c r="G11" s="116"/>
      <c r="H11" s="116"/>
      <c r="I11" s="116"/>
      <c r="J11" s="117"/>
    </row>
    <row r="12" spans="1:15" ht="140.25" customHeight="1" x14ac:dyDescent="0.35">
      <c r="A12" s="118" t="s">
        <v>93</v>
      </c>
      <c r="B12" s="119"/>
      <c r="C12" s="119"/>
      <c r="D12" s="119"/>
      <c r="E12" s="120"/>
      <c r="F12" s="115" t="s">
        <v>341</v>
      </c>
      <c r="G12" s="116"/>
      <c r="H12" s="116"/>
      <c r="I12" s="116"/>
      <c r="J12" s="117"/>
      <c r="O12" s="6" t="s">
        <v>330</v>
      </c>
    </row>
    <row r="13" spans="1:15" ht="47.25" customHeight="1" x14ac:dyDescent="0.35">
      <c r="A13" s="198" t="s">
        <v>45</v>
      </c>
      <c r="B13" s="198"/>
      <c r="C13" s="115" t="s">
        <v>143</v>
      </c>
      <c r="D13" s="116"/>
      <c r="E13" s="116"/>
      <c r="F13" s="116"/>
      <c r="G13" s="116"/>
      <c r="H13" s="116"/>
      <c r="I13" s="116"/>
      <c r="J13" s="117"/>
    </row>
    <row r="14" spans="1:15" ht="45" customHeight="1" x14ac:dyDescent="0.35">
      <c r="A14" s="118" t="s">
        <v>92</v>
      </c>
      <c r="B14" s="120"/>
      <c r="C14" s="115" t="s">
        <v>364</v>
      </c>
      <c r="D14" s="116"/>
      <c r="E14" s="117"/>
      <c r="F14" s="114" t="s">
        <v>46</v>
      </c>
      <c r="G14" s="114"/>
      <c r="H14" s="115" t="s">
        <v>131</v>
      </c>
      <c r="I14" s="116"/>
      <c r="J14" s="117"/>
    </row>
    <row r="15" spans="1:15" x14ac:dyDescent="0.35">
      <c r="A15" s="118" t="s">
        <v>7</v>
      </c>
      <c r="B15" s="120"/>
      <c r="C15" s="115" t="s">
        <v>135</v>
      </c>
      <c r="D15" s="116"/>
      <c r="E15" s="117"/>
      <c r="F15" s="115" t="s">
        <v>47</v>
      </c>
      <c r="G15" s="116"/>
      <c r="H15" s="118" t="s">
        <v>134</v>
      </c>
      <c r="I15" s="119"/>
      <c r="J15" s="120"/>
    </row>
    <row r="16" spans="1:15" x14ac:dyDescent="0.35">
      <c r="A16" s="118" t="s">
        <v>133</v>
      </c>
      <c r="B16" s="120"/>
      <c r="C16" s="115" t="s">
        <v>132</v>
      </c>
      <c r="D16" s="116"/>
      <c r="E16" s="117"/>
      <c r="F16" s="115" t="s">
        <v>48</v>
      </c>
      <c r="G16" s="116"/>
      <c r="H16" s="118">
        <v>410205</v>
      </c>
      <c r="I16" s="119"/>
      <c r="J16" s="120"/>
    </row>
    <row r="17" spans="1:10" ht="32.25" customHeight="1" x14ac:dyDescent="0.35">
      <c r="A17" s="198" t="s">
        <v>49</v>
      </c>
      <c r="B17" s="198"/>
      <c r="C17" s="115" t="s">
        <v>136</v>
      </c>
      <c r="D17" s="116"/>
      <c r="E17" s="117"/>
      <c r="F17" s="114" t="s">
        <v>38</v>
      </c>
      <c r="G17" s="114"/>
      <c r="H17" s="116" t="s">
        <v>147</v>
      </c>
      <c r="I17" s="116"/>
      <c r="J17" s="117"/>
    </row>
    <row r="18" spans="1:10" ht="15" customHeight="1" x14ac:dyDescent="0.35">
      <c r="A18" s="204" t="s">
        <v>101</v>
      </c>
      <c r="B18" s="205"/>
      <c r="C18" s="205"/>
      <c r="D18" s="205"/>
      <c r="E18" s="206"/>
      <c r="F18" s="212" t="s">
        <v>102</v>
      </c>
      <c r="G18" s="213"/>
      <c r="H18" s="213"/>
      <c r="I18" s="213"/>
      <c r="J18" s="214"/>
    </row>
    <row r="19" spans="1:10" x14ac:dyDescent="0.35">
      <c r="A19" s="218"/>
      <c r="B19" s="219"/>
      <c r="C19" s="219"/>
      <c r="D19" s="219"/>
      <c r="E19" s="220"/>
      <c r="F19" s="215"/>
      <c r="G19" s="216"/>
      <c r="H19" s="216"/>
      <c r="I19" s="216"/>
      <c r="J19" s="217"/>
    </row>
    <row r="20" spans="1:10" ht="15" customHeight="1" x14ac:dyDescent="0.35">
      <c r="A20" s="114" t="s">
        <v>84</v>
      </c>
      <c r="B20" s="114"/>
      <c r="C20" s="114"/>
      <c r="D20" s="114"/>
      <c r="E20" s="114"/>
      <c r="F20" s="114" t="s">
        <v>33</v>
      </c>
      <c r="G20" s="114"/>
      <c r="H20" s="114"/>
      <c r="I20" s="114"/>
      <c r="J20" s="114"/>
    </row>
    <row r="21" spans="1:10" x14ac:dyDescent="0.35">
      <c r="A21" s="114"/>
      <c r="B21" s="114"/>
      <c r="C21" s="114"/>
      <c r="D21" s="114"/>
      <c r="E21" s="114"/>
      <c r="F21" s="114"/>
      <c r="G21" s="114"/>
      <c r="H21" s="114"/>
      <c r="I21" s="114"/>
      <c r="J21" s="114"/>
    </row>
    <row r="22" spans="1:10" x14ac:dyDescent="0.35">
      <c r="A22" s="198" t="s">
        <v>8</v>
      </c>
      <c r="B22" s="198"/>
      <c r="C22" s="198"/>
      <c r="D22" s="198"/>
      <c r="E22" s="198"/>
      <c r="F22" s="210" t="s">
        <v>90</v>
      </c>
      <c r="G22" s="210"/>
      <c r="H22" s="210"/>
      <c r="I22" s="210"/>
      <c r="J22" s="210"/>
    </row>
    <row r="23" spans="1:10" x14ac:dyDescent="0.35">
      <c r="A23" s="198" t="s">
        <v>9</v>
      </c>
      <c r="B23" s="198"/>
      <c r="C23" s="198"/>
      <c r="D23" s="198"/>
      <c r="E23" s="198"/>
      <c r="F23" s="211" t="s">
        <v>39</v>
      </c>
      <c r="G23" s="211"/>
      <c r="H23" s="211"/>
      <c r="I23" s="211"/>
      <c r="J23" s="211"/>
    </row>
    <row r="24" spans="1:10" x14ac:dyDescent="0.35">
      <c r="A24" s="198" t="s">
        <v>10</v>
      </c>
      <c r="B24" s="198"/>
      <c r="C24" s="198"/>
      <c r="D24" s="198"/>
      <c r="E24" s="198"/>
      <c r="F24" s="210" t="s">
        <v>91</v>
      </c>
      <c r="G24" s="210"/>
      <c r="H24" s="210"/>
      <c r="I24" s="210"/>
      <c r="J24" s="210"/>
    </row>
    <row r="25" spans="1:10" x14ac:dyDescent="0.35">
      <c r="A25" s="198" t="s">
        <v>22</v>
      </c>
      <c r="B25" s="198"/>
      <c r="C25" s="198"/>
      <c r="D25" s="198"/>
      <c r="E25" s="198"/>
      <c r="F25" s="211" t="s">
        <v>50</v>
      </c>
      <c r="G25" s="211"/>
      <c r="H25" s="211"/>
      <c r="I25" s="211"/>
      <c r="J25" s="211"/>
    </row>
    <row r="26" spans="1:10" x14ac:dyDescent="0.35">
      <c r="A26" s="199" t="s">
        <v>11</v>
      </c>
      <c r="B26" s="199"/>
      <c r="C26" s="199" t="s">
        <v>12</v>
      </c>
      <c r="D26" s="199"/>
      <c r="E26" s="199" t="s">
        <v>13</v>
      </c>
      <c r="F26" s="199"/>
      <c r="G26" s="199" t="s">
        <v>37</v>
      </c>
      <c r="H26" s="199"/>
      <c r="I26" s="199" t="s">
        <v>14</v>
      </c>
      <c r="J26" s="199"/>
    </row>
    <row r="27" spans="1:10" x14ac:dyDescent="0.35">
      <c r="A27" s="199" t="s">
        <v>15</v>
      </c>
      <c r="B27" s="199"/>
      <c r="C27" s="199" t="s">
        <v>36</v>
      </c>
      <c r="D27" s="199"/>
      <c r="E27" s="199" t="s">
        <v>36</v>
      </c>
      <c r="F27" s="199"/>
      <c r="G27" s="199" t="s">
        <v>36</v>
      </c>
      <c r="H27" s="199"/>
      <c r="I27" s="199" t="s">
        <v>36</v>
      </c>
      <c r="J27" s="199"/>
    </row>
    <row r="28" spans="1:10" x14ac:dyDescent="0.35">
      <c r="A28" s="199" t="s">
        <v>16</v>
      </c>
      <c r="B28" s="199"/>
      <c r="C28" s="183" t="s">
        <v>137</v>
      </c>
      <c r="D28" s="199"/>
      <c r="E28" s="199" t="s">
        <v>138</v>
      </c>
      <c r="F28" s="199"/>
      <c r="G28" s="199" t="s">
        <v>94</v>
      </c>
      <c r="H28" s="199"/>
      <c r="I28" s="199" t="s">
        <v>94</v>
      </c>
      <c r="J28" s="199"/>
    </row>
    <row r="29" spans="1:10" x14ac:dyDescent="0.35">
      <c r="A29" s="198" t="s">
        <v>43</v>
      </c>
      <c r="B29" s="198"/>
      <c r="C29" s="198"/>
      <c r="D29" s="198"/>
      <c r="E29" s="198"/>
      <c r="F29" s="198"/>
      <c r="G29" s="198"/>
      <c r="H29" s="198"/>
      <c r="I29" s="198"/>
      <c r="J29" s="198"/>
    </row>
    <row r="30" spans="1:10" x14ac:dyDescent="0.35">
      <c r="A30" s="118" t="s">
        <v>87</v>
      </c>
      <c r="B30" s="119"/>
      <c r="C30" s="119"/>
      <c r="D30" s="119"/>
      <c r="E30" s="119"/>
      <c r="F30" s="119"/>
      <c r="G30" s="119"/>
      <c r="H30" s="119"/>
      <c r="I30" s="119"/>
      <c r="J30" s="120"/>
    </row>
    <row r="31" spans="1:10" x14ac:dyDescent="0.35">
      <c r="A31" s="118" t="s">
        <v>28</v>
      </c>
      <c r="B31" s="120"/>
      <c r="C31" s="118" t="s">
        <v>331</v>
      </c>
      <c r="D31" s="119"/>
      <c r="E31" s="119"/>
      <c r="F31" s="119"/>
      <c r="G31" s="119"/>
      <c r="H31" s="119"/>
      <c r="I31" s="119"/>
      <c r="J31" s="120"/>
    </row>
    <row r="32" spans="1:10" x14ac:dyDescent="0.35">
      <c r="A32" s="118" t="s">
        <v>326</v>
      </c>
      <c r="B32" s="120"/>
      <c r="C32" s="259" t="s">
        <v>327</v>
      </c>
      <c r="D32" s="119"/>
      <c r="E32" s="119"/>
      <c r="F32" s="119"/>
      <c r="G32" s="119"/>
      <c r="H32" s="119"/>
      <c r="I32" s="119"/>
      <c r="J32" s="120"/>
    </row>
    <row r="33" spans="1:12" x14ac:dyDescent="0.35">
      <c r="A33" s="149" t="s">
        <v>17</v>
      </c>
      <c r="B33" s="150"/>
      <c r="C33" s="150"/>
      <c r="D33" s="150"/>
      <c r="E33" s="150"/>
      <c r="F33" s="150"/>
      <c r="G33" s="150"/>
      <c r="H33" s="150"/>
      <c r="I33" s="150"/>
      <c r="J33" s="151"/>
    </row>
    <row r="34" spans="1:12" ht="15" customHeight="1" x14ac:dyDescent="0.35">
      <c r="A34" s="204" t="s">
        <v>104</v>
      </c>
      <c r="B34" s="205"/>
      <c r="C34" s="205"/>
      <c r="D34" s="205"/>
      <c r="E34" s="205"/>
      <c r="F34" s="205"/>
      <c r="G34" s="205"/>
      <c r="H34" s="205"/>
      <c r="I34" s="205"/>
      <c r="J34" s="206"/>
    </row>
    <row r="35" spans="1:12" x14ac:dyDescent="0.35">
      <c r="A35" s="218"/>
      <c r="B35" s="219"/>
      <c r="C35" s="219"/>
      <c r="D35" s="219"/>
      <c r="E35" s="219"/>
      <c r="F35" s="219"/>
      <c r="G35" s="219"/>
      <c r="H35" s="219"/>
      <c r="I35" s="219"/>
      <c r="J35" s="220"/>
    </row>
    <row r="36" spans="1:12" ht="15" customHeight="1" x14ac:dyDescent="0.35">
      <c r="A36" s="198" t="s">
        <v>34</v>
      </c>
      <c r="B36" s="198"/>
      <c r="C36" s="198"/>
      <c r="D36" s="183" t="s">
        <v>40</v>
      </c>
      <c r="E36" s="183"/>
      <c r="F36" s="183"/>
      <c r="G36" s="183"/>
      <c r="H36" s="183"/>
      <c r="I36" s="183"/>
      <c r="J36" s="183"/>
    </row>
    <row r="37" spans="1:12" x14ac:dyDescent="0.35">
      <c r="A37" s="198" t="s">
        <v>41</v>
      </c>
      <c r="B37" s="198"/>
      <c r="C37" s="198"/>
      <c r="D37" s="198"/>
      <c r="E37" s="198"/>
      <c r="F37" s="198"/>
      <c r="G37" s="198"/>
      <c r="H37" s="198"/>
      <c r="I37" s="198"/>
      <c r="J37" s="198"/>
    </row>
    <row r="38" spans="1:12" x14ac:dyDescent="0.35">
      <c r="A38" s="149" t="s">
        <v>17</v>
      </c>
      <c r="B38" s="150"/>
      <c r="C38" s="150"/>
      <c r="D38" s="150"/>
      <c r="E38" s="150"/>
      <c r="F38" s="150"/>
      <c r="G38" s="150"/>
      <c r="H38" s="150"/>
      <c r="I38" s="150"/>
      <c r="J38" s="151"/>
    </row>
    <row r="39" spans="1:12" x14ac:dyDescent="0.35">
      <c r="A39" s="149" t="s">
        <v>129</v>
      </c>
      <c r="B39" s="150"/>
      <c r="C39" s="150"/>
      <c r="D39" s="150"/>
      <c r="E39" s="150"/>
      <c r="F39" s="150"/>
      <c r="G39" s="150"/>
      <c r="H39" s="150"/>
      <c r="I39" s="150"/>
      <c r="J39" s="151"/>
    </row>
    <row r="40" spans="1:12" ht="14.25" customHeight="1" x14ac:dyDescent="0.35">
      <c r="A40" s="149" t="s">
        <v>130</v>
      </c>
      <c r="B40" s="150"/>
      <c r="C40" s="150"/>
      <c r="D40" s="150"/>
      <c r="E40" s="150"/>
      <c r="F40" s="150"/>
      <c r="G40" s="150"/>
      <c r="H40" s="150"/>
      <c r="I40" s="150"/>
      <c r="J40" s="151"/>
    </row>
    <row r="41" spans="1:12" x14ac:dyDescent="0.35">
      <c r="A41" s="149" t="s">
        <v>140</v>
      </c>
      <c r="B41" s="150"/>
      <c r="C41" s="150"/>
      <c r="D41" s="150"/>
      <c r="E41" s="150"/>
      <c r="F41" s="150"/>
      <c r="G41" s="150"/>
      <c r="H41" s="150"/>
      <c r="I41" s="150"/>
      <c r="J41" s="151"/>
    </row>
    <row r="42" spans="1:12" ht="47.25" customHeight="1" x14ac:dyDescent="0.35">
      <c r="A42" s="7" t="s">
        <v>100</v>
      </c>
      <c r="B42" s="183" t="s">
        <v>232</v>
      </c>
      <c r="C42" s="183"/>
      <c r="D42" s="129" t="s">
        <v>105</v>
      </c>
      <c r="E42" s="130"/>
      <c r="F42" s="8" t="s">
        <v>113</v>
      </c>
      <c r="G42" s="8" t="s">
        <v>114</v>
      </c>
      <c r="H42" s="183" t="s">
        <v>122</v>
      </c>
      <c r="I42" s="183"/>
      <c r="J42" s="183"/>
    </row>
    <row r="43" spans="1:12" ht="16.5" customHeight="1" x14ac:dyDescent="0.35">
      <c r="A43" s="19">
        <v>1</v>
      </c>
      <c r="B43" s="131">
        <v>191.93608324043109</v>
      </c>
      <c r="C43" s="131"/>
      <c r="D43" s="129">
        <v>0.4</v>
      </c>
      <c r="E43" s="130"/>
      <c r="F43" s="8">
        <v>0</v>
      </c>
      <c r="G43" s="8">
        <f t="shared" ref="G43:G104" si="0">D43+F43</f>
        <v>0.4</v>
      </c>
      <c r="H43" s="129">
        <v>76.989999999999995</v>
      </c>
      <c r="I43" s="132"/>
      <c r="J43" s="130"/>
      <c r="K43" s="9">
        <f>L43/10.764</f>
        <v>191.93608324043109</v>
      </c>
      <c r="L43" s="6">
        <v>2066</v>
      </c>
    </row>
    <row r="44" spans="1:12" ht="16.5" customHeight="1" x14ac:dyDescent="0.35">
      <c r="A44" s="19">
        <v>2</v>
      </c>
      <c r="B44" s="131">
        <v>191.93608324043109</v>
      </c>
      <c r="C44" s="131"/>
      <c r="D44" s="129"/>
      <c r="E44" s="130"/>
      <c r="F44" s="8"/>
      <c r="G44" s="8"/>
      <c r="H44" s="129"/>
      <c r="I44" s="132"/>
      <c r="J44" s="130"/>
      <c r="K44" s="9"/>
      <c r="L44" s="6">
        <v>2066</v>
      </c>
    </row>
    <row r="45" spans="1:12" ht="16.5" customHeight="1" x14ac:dyDescent="0.35">
      <c r="A45" s="19">
        <v>3</v>
      </c>
      <c r="B45" s="131">
        <v>191.93608324043109</v>
      </c>
      <c r="C45" s="131"/>
      <c r="D45" s="129"/>
      <c r="E45" s="130"/>
      <c r="F45" s="8"/>
      <c r="G45" s="8"/>
      <c r="H45" s="129"/>
      <c r="I45" s="132"/>
      <c r="J45" s="130"/>
      <c r="K45" s="9"/>
      <c r="L45" s="6">
        <v>2066</v>
      </c>
    </row>
    <row r="46" spans="1:12" ht="16.5" customHeight="1" x14ac:dyDescent="0.35">
      <c r="A46" s="19">
        <v>4</v>
      </c>
      <c r="B46" s="131">
        <v>191.93608324043109</v>
      </c>
      <c r="C46" s="131"/>
      <c r="D46" s="129"/>
      <c r="E46" s="130"/>
      <c r="F46" s="8"/>
      <c r="G46" s="8"/>
      <c r="H46" s="129"/>
      <c r="I46" s="132"/>
      <c r="J46" s="130"/>
      <c r="K46" s="9"/>
      <c r="L46" s="6">
        <v>2066</v>
      </c>
    </row>
    <row r="47" spans="1:12" ht="16.5" customHeight="1" x14ac:dyDescent="0.35">
      <c r="A47" s="19">
        <v>5</v>
      </c>
      <c r="B47" s="131">
        <v>191.93608324043109</v>
      </c>
      <c r="C47" s="131"/>
      <c r="D47" s="129"/>
      <c r="E47" s="130"/>
      <c r="F47" s="8"/>
      <c r="G47" s="8"/>
      <c r="H47" s="129"/>
      <c r="I47" s="132"/>
      <c r="J47" s="130"/>
      <c r="K47" s="9"/>
      <c r="L47" s="6">
        <v>2066</v>
      </c>
    </row>
    <row r="48" spans="1:12" ht="16.5" customHeight="1" x14ac:dyDescent="0.35">
      <c r="A48" s="19">
        <v>6</v>
      </c>
      <c r="B48" s="131">
        <v>191.93608324043109</v>
      </c>
      <c r="C48" s="131"/>
      <c r="D48" s="129"/>
      <c r="E48" s="130"/>
      <c r="F48" s="8"/>
      <c r="G48" s="8"/>
      <c r="H48" s="129"/>
      <c r="I48" s="132"/>
      <c r="J48" s="130"/>
      <c r="K48" s="9"/>
      <c r="L48" s="6">
        <v>2066</v>
      </c>
    </row>
    <row r="49" spans="1:12" ht="16.5" customHeight="1" x14ac:dyDescent="0.35">
      <c r="A49" s="19">
        <v>7</v>
      </c>
      <c r="B49" s="131">
        <v>191.93608324043109</v>
      </c>
      <c r="C49" s="131"/>
      <c r="D49" s="129"/>
      <c r="E49" s="130"/>
      <c r="F49" s="8"/>
      <c r="G49" s="8"/>
      <c r="H49" s="129"/>
      <c r="I49" s="132"/>
      <c r="J49" s="130"/>
      <c r="K49" s="9"/>
      <c r="L49" s="6">
        <v>2066</v>
      </c>
    </row>
    <row r="50" spans="1:12" ht="16.5" customHeight="1" x14ac:dyDescent="0.35">
      <c r="A50" s="19">
        <v>8</v>
      </c>
      <c r="B50" s="131">
        <v>224.91638795986623</v>
      </c>
      <c r="C50" s="131"/>
      <c r="D50" s="129"/>
      <c r="E50" s="130"/>
      <c r="F50" s="8"/>
      <c r="G50" s="8"/>
      <c r="H50" s="129"/>
      <c r="I50" s="132"/>
      <c r="J50" s="130"/>
      <c r="K50" s="9"/>
      <c r="L50" s="6">
        <v>2066</v>
      </c>
    </row>
    <row r="51" spans="1:12" ht="16.5" customHeight="1" x14ac:dyDescent="0.35">
      <c r="A51" s="19">
        <v>9</v>
      </c>
      <c r="B51" s="131">
        <v>183.94648829431441</v>
      </c>
      <c r="C51" s="131"/>
      <c r="D51" s="129"/>
      <c r="E51" s="130"/>
      <c r="F51" s="8"/>
      <c r="G51" s="8"/>
      <c r="H51" s="129"/>
      <c r="I51" s="132"/>
      <c r="J51" s="130"/>
      <c r="K51" s="9"/>
      <c r="L51" s="6">
        <v>2066</v>
      </c>
    </row>
    <row r="52" spans="1:12" ht="16.5" customHeight="1" x14ac:dyDescent="0.35">
      <c r="A52" s="77">
        <v>10</v>
      </c>
      <c r="B52" s="196">
        <v>183.94648829431441</v>
      </c>
      <c r="C52" s="196"/>
      <c r="D52" s="129">
        <v>0.36</v>
      </c>
      <c r="E52" s="130"/>
      <c r="F52" s="8">
        <v>0</v>
      </c>
      <c r="G52" s="8">
        <f t="shared" si="0"/>
        <v>0.36</v>
      </c>
      <c r="H52" s="129">
        <v>78.56</v>
      </c>
      <c r="I52" s="132"/>
      <c r="J52" s="130"/>
      <c r="K52" s="9"/>
      <c r="L52" s="6">
        <v>2066</v>
      </c>
    </row>
    <row r="53" spans="1:12" ht="16.5" customHeight="1" x14ac:dyDescent="0.35">
      <c r="A53" s="19">
        <v>11</v>
      </c>
      <c r="B53" s="131">
        <v>184.96841322928282</v>
      </c>
      <c r="C53" s="131"/>
      <c r="D53" s="129"/>
      <c r="E53" s="130"/>
      <c r="F53" s="8"/>
      <c r="G53" s="8"/>
      <c r="H53" s="129"/>
      <c r="I53" s="132"/>
      <c r="J53" s="130"/>
      <c r="K53" s="9"/>
      <c r="L53" s="6">
        <v>2066</v>
      </c>
    </row>
    <row r="54" spans="1:12" ht="16.5" customHeight="1" x14ac:dyDescent="0.35">
      <c r="A54" s="19">
        <v>12</v>
      </c>
      <c r="B54" s="131">
        <v>192.9580081753995</v>
      </c>
      <c r="C54" s="131"/>
      <c r="D54" s="129"/>
      <c r="E54" s="130"/>
      <c r="F54" s="8"/>
      <c r="G54" s="8"/>
      <c r="H54" s="129"/>
      <c r="I54" s="132"/>
      <c r="J54" s="130"/>
      <c r="K54" s="9"/>
      <c r="L54" s="6">
        <v>2066</v>
      </c>
    </row>
    <row r="55" spans="1:12" ht="16.5" customHeight="1" x14ac:dyDescent="0.35">
      <c r="A55" s="19">
        <v>13</v>
      </c>
      <c r="B55" s="131">
        <v>192.9580081753995</v>
      </c>
      <c r="C55" s="131"/>
      <c r="D55" s="129"/>
      <c r="E55" s="130"/>
      <c r="F55" s="8"/>
      <c r="G55" s="8"/>
      <c r="H55" s="129"/>
      <c r="I55" s="132"/>
      <c r="J55" s="130"/>
      <c r="K55" s="9"/>
      <c r="L55" s="6">
        <v>2066</v>
      </c>
    </row>
    <row r="56" spans="1:12" ht="16.5" customHeight="1" x14ac:dyDescent="0.35">
      <c r="A56" s="19">
        <v>14</v>
      </c>
      <c r="B56" s="131">
        <v>193.88703084355259</v>
      </c>
      <c r="C56" s="131"/>
      <c r="D56" s="129"/>
      <c r="E56" s="130"/>
      <c r="F56" s="8"/>
      <c r="G56" s="8"/>
      <c r="H56" s="129"/>
      <c r="I56" s="132"/>
      <c r="J56" s="130"/>
      <c r="K56" s="9"/>
      <c r="L56" s="6">
        <v>2066</v>
      </c>
    </row>
    <row r="57" spans="1:12" ht="16.5" customHeight="1" x14ac:dyDescent="0.35">
      <c r="A57" s="19">
        <v>15</v>
      </c>
      <c r="B57" s="131">
        <v>193.88703084355259</v>
      </c>
      <c r="C57" s="131"/>
      <c r="D57" s="129"/>
      <c r="E57" s="130"/>
      <c r="F57" s="8"/>
      <c r="G57" s="8"/>
      <c r="H57" s="129"/>
      <c r="I57" s="132"/>
      <c r="J57" s="130"/>
      <c r="K57" s="9"/>
      <c r="L57" s="6">
        <v>2066</v>
      </c>
    </row>
    <row r="58" spans="1:12" ht="16.5" customHeight="1" x14ac:dyDescent="0.35">
      <c r="A58" s="19">
        <v>16</v>
      </c>
      <c r="B58" s="131">
        <v>193.88703084355259</v>
      </c>
      <c r="C58" s="131"/>
      <c r="D58" s="129">
        <v>0.52700000000000002</v>
      </c>
      <c r="E58" s="130"/>
      <c r="F58" s="8">
        <v>0</v>
      </c>
      <c r="G58" s="8">
        <f t="shared" si="0"/>
        <v>0.52700000000000002</v>
      </c>
      <c r="H58" s="129">
        <v>101.19</v>
      </c>
      <c r="I58" s="132"/>
      <c r="J58" s="130"/>
      <c r="K58" s="9"/>
    </row>
    <row r="59" spans="1:12" ht="16.5" customHeight="1" x14ac:dyDescent="0.35">
      <c r="A59" s="19">
        <v>17</v>
      </c>
      <c r="B59" s="131">
        <v>194.908955778521</v>
      </c>
      <c r="C59" s="131"/>
      <c r="D59" s="129">
        <v>0.6</v>
      </c>
      <c r="E59" s="130"/>
      <c r="F59" s="8">
        <v>0</v>
      </c>
      <c r="G59" s="8">
        <v>0.6</v>
      </c>
      <c r="H59" s="129">
        <v>120</v>
      </c>
      <c r="I59" s="132"/>
      <c r="J59" s="130"/>
      <c r="K59" s="9"/>
    </row>
    <row r="60" spans="1:12" ht="16.5" customHeight="1" x14ac:dyDescent="0.35">
      <c r="A60" s="19">
        <v>18</v>
      </c>
      <c r="B60" s="131">
        <v>338.907469342252</v>
      </c>
      <c r="C60" s="131"/>
      <c r="D60" s="129"/>
      <c r="E60" s="130"/>
      <c r="F60" s="8"/>
      <c r="G60" s="8"/>
      <c r="H60" s="129"/>
      <c r="I60" s="132"/>
      <c r="J60" s="130"/>
      <c r="K60" s="9"/>
    </row>
    <row r="61" spans="1:12" ht="16.5" customHeight="1" x14ac:dyDescent="0.35">
      <c r="A61" s="19" t="s">
        <v>195</v>
      </c>
      <c r="B61" s="131">
        <v>100.47380156075809</v>
      </c>
      <c r="C61" s="131"/>
      <c r="D61" s="184">
        <v>0.35</v>
      </c>
      <c r="E61" s="185"/>
      <c r="F61" s="194">
        <v>0</v>
      </c>
      <c r="G61" s="194">
        <f t="shared" si="0"/>
        <v>0.35</v>
      </c>
      <c r="H61" s="184">
        <v>89.23</v>
      </c>
      <c r="I61" s="190"/>
      <c r="J61" s="185"/>
      <c r="K61" s="9"/>
    </row>
    <row r="62" spans="1:12" ht="16.5" customHeight="1" x14ac:dyDescent="0.35">
      <c r="A62" s="19" t="s">
        <v>196</v>
      </c>
      <c r="B62" s="131">
        <v>100.47380156075809</v>
      </c>
      <c r="C62" s="131"/>
      <c r="D62" s="186"/>
      <c r="E62" s="187"/>
      <c r="F62" s="195"/>
      <c r="G62" s="195"/>
      <c r="H62" s="186"/>
      <c r="I62" s="191"/>
      <c r="J62" s="187"/>
      <c r="K62" s="9"/>
    </row>
    <row r="63" spans="1:12" ht="16.5" customHeight="1" x14ac:dyDescent="0.35">
      <c r="A63" s="19" t="s">
        <v>197</v>
      </c>
      <c r="B63" s="131">
        <v>100.47380156075809</v>
      </c>
      <c r="C63" s="131"/>
      <c r="D63" s="129"/>
      <c r="E63" s="130"/>
      <c r="F63" s="8"/>
      <c r="G63" s="8"/>
      <c r="H63" s="129"/>
      <c r="I63" s="132"/>
      <c r="J63" s="130"/>
      <c r="K63" s="9"/>
    </row>
    <row r="64" spans="1:12" ht="16.5" customHeight="1" x14ac:dyDescent="0.35">
      <c r="A64" s="19" t="s">
        <v>198</v>
      </c>
      <c r="B64" s="131">
        <v>100.47380156075809</v>
      </c>
      <c r="C64" s="131"/>
      <c r="D64" s="129"/>
      <c r="E64" s="130"/>
      <c r="F64" s="8"/>
      <c r="G64" s="8"/>
      <c r="H64" s="129"/>
      <c r="I64" s="132"/>
      <c r="J64" s="130"/>
      <c r="K64" s="9"/>
    </row>
    <row r="65" spans="1:11" ht="16.5" customHeight="1" x14ac:dyDescent="0.35">
      <c r="A65" s="19" t="s">
        <v>200</v>
      </c>
      <c r="B65" s="131">
        <v>113.48011891490152</v>
      </c>
      <c r="C65" s="131"/>
      <c r="D65" s="129"/>
      <c r="E65" s="130"/>
      <c r="F65" s="8"/>
      <c r="G65" s="8"/>
      <c r="H65" s="129"/>
      <c r="I65" s="132"/>
      <c r="J65" s="130"/>
      <c r="K65" s="9"/>
    </row>
    <row r="66" spans="1:11" ht="16.5" customHeight="1" x14ac:dyDescent="0.35">
      <c r="A66" s="19" t="s">
        <v>201</v>
      </c>
      <c r="B66" s="131">
        <v>113.48011891490152</v>
      </c>
      <c r="C66" s="131"/>
      <c r="D66" s="129"/>
      <c r="E66" s="130"/>
      <c r="F66" s="8"/>
      <c r="G66" s="8"/>
      <c r="H66" s="129"/>
      <c r="I66" s="132"/>
      <c r="J66" s="130"/>
      <c r="K66" s="9"/>
    </row>
    <row r="67" spans="1:11" ht="16.5" customHeight="1" x14ac:dyDescent="0.35">
      <c r="A67" s="19">
        <v>22</v>
      </c>
      <c r="B67" s="131">
        <v>222.77963582311409</v>
      </c>
      <c r="C67" s="131"/>
      <c r="D67" s="129"/>
      <c r="E67" s="130"/>
      <c r="F67" s="8"/>
      <c r="G67" s="8"/>
      <c r="H67" s="129"/>
      <c r="I67" s="132"/>
      <c r="J67" s="130"/>
      <c r="K67" s="9"/>
    </row>
    <row r="68" spans="1:11" ht="16.5" customHeight="1" x14ac:dyDescent="0.35">
      <c r="A68" s="19" t="s">
        <v>202</v>
      </c>
      <c r="B68" s="131">
        <v>106.46599777034561</v>
      </c>
      <c r="C68" s="131"/>
      <c r="D68" s="129">
        <v>0.17</v>
      </c>
      <c r="E68" s="130"/>
      <c r="F68" s="8">
        <v>0</v>
      </c>
      <c r="G68" s="8">
        <v>0.17</v>
      </c>
      <c r="H68" s="129">
        <v>36.76</v>
      </c>
      <c r="I68" s="132"/>
      <c r="J68" s="130"/>
      <c r="K68" s="9"/>
    </row>
    <row r="69" spans="1:11" ht="16.5" customHeight="1" x14ac:dyDescent="0.35">
      <c r="A69" s="19" t="s">
        <v>203</v>
      </c>
      <c r="B69" s="131">
        <v>106.46599777034561</v>
      </c>
      <c r="C69" s="131"/>
      <c r="D69" s="129"/>
      <c r="E69" s="130"/>
      <c r="F69" s="8"/>
      <c r="G69" s="8"/>
      <c r="H69" s="129"/>
      <c r="I69" s="132"/>
      <c r="J69" s="130"/>
      <c r="K69" s="9"/>
    </row>
    <row r="70" spans="1:11" ht="16.5" customHeight="1" x14ac:dyDescent="0.35">
      <c r="A70" s="19" t="s">
        <v>204</v>
      </c>
      <c r="B70" s="131">
        <v>101.44927536231884</v>
      </c>
      <c r="C70" s="131"/>
      <c r="D70" s="192">
        <v>0.3</v>
      </c>
      <c r="E70" s="193"/>
      <c r="F70" s="8">
        <v>0</v>
      </c>
      <c r="G70" s="58">
        <v>0.3</v>
      </c>
      <c r="H70" s="129">
        <v>61.66</v>
      </c>
      <c r="I70" s="132"/>
      <c r="J70" s="130"/>
      <c r="K70" s="9"/>
    </row>
    <row r="71" spans="1:11" ht="16.5" customHeight="1" x14ac:dyDescent="0.35">
      <c r="A71" s="19" t="s">
        <v>149</v>
      </c>
      <c r="B71" s="131">
        <v>101.44927536231884</v>
      </c>
      <c r="C71" s="131"/>
      <c r="D71" s="129">
        <v>0.28999999999999998</v>
      </c>
      <c r="E71" s="130"/>
      <c r="F71" s="8">
        <v>0</v>
      </c>
      <c r="G71" s="8">
        <f t="shared" si="0"/>
        <v>0.28999999999999998</v>
      </c>
      <c r="H71" s="129">
        <v>59.3</v>
      </c>
      <c r="I71" s="132"/>
      <c r="J71" s="130"/>
      <c r="K71" s="9"/>
    </row>
    <row r="72" spans="1:11" ht="16.5" customHeight="1" x14ac:dyDescent="0.35">
      <c r="A72" s="19">
        <v>25</v>
      </c>
      <c r="B72" s="131">
        <v>193.79412857673728</v>
      </c>
      <c r="C72" s="131"/>
      <c r="D72" s="129">
        <v>0.47</v>
      </c>
      <c r="E72" s="130"/>
      <c r="F72" s="8">
        <v>0</v>
      </c>
      <c r="G72" s="8">
        <v>0.47</v>
      </c>
      <c r="H72" s="129">
        <v>91.26</v>
      </c>
      <c r="I72" s="132"/>
      <c r="J72" s="130"/>
      <c r="K72" s="9"/>
    </row>
    <row r="73" spans="1:11" ht="16.5" customHeight="1" x14ac:dyDescent="0.35">
      <c r="A73" s="19" t="s">
        <v>205</v>
      </c>
      <c r="B73" s="131">
        <v>96.943515421776297</v>
      </c>
      <c r="C73" s="131"/>
      <c r="D73" s="129"/>
      <c r="E73" s="130"/>
      <c r="F73" s="8"/>
      <c r="G73" s="8"/>
      <c r="H73" s="129"/>
      <c r="I73" s="132"/>
      <c r="J73" s="130"/>
      <c r="K73" s="9"/>
    </row>
    <row r="74" spans="1:11" ht="16.5" customHeight="1" x14ac:dyDescent="0.35">
      <c r="A74" s="19" t="s">
        <v>206</v>
      </c>
      <c r="B74" s="131">
        <v>96.943515421776297</v>
      </c>
      <c r="C74" s="131"/>
      <c r="D74" s="129"/>
      <c r="E74" s="130"/>
      <c r="F74" s="8"/>
      <c r="G74" s="8"/>
      <c r="H74" s="129"/>
      <c r="I74" s="132"/>
      <c r="J74" s="130"/>
      <c r="K74" s="9"/>
    </row>
    <row r="75" spans="1:11" ht="16.5" customHeight="1" x14ac:dyDescent="0.35">
      <c r="A75" s="19" t="s">
        <v>207</v>
      </c>
      <c r="B75" s="131">
        <v>96.479004087699749</v>
      </c>
      <c r="C75" s="131"/>
      <c r="D75" s="129">
        <v>0.2</v>
      </c>
      <c r="E75" s="130"/>
      <c r="F75" s="8">
        <v>0</v>
      </c>
      <c r="G75" s="8">
        <v>0.2</v>
      </c>
      <c r="H75" s="129">
        <v>193</v>
      </c>
      <c r="I75" s="132"/>
      <c r="J75" s="130"/>
      <c r="K75" s="9"/>
    </row>
    <row r="76" spans="1:11" ht="16.5" customHeight="1" x14ac:dyDescent="0.35">
      <c r="A76" s="19" t="s">
        <v>208</v>
      </c>
      <c r="B76" s="131">
        <v>96.479004087699749</v>
      </c>
      <c r="C76" s="131"/>
      <c r="D76" s="129">
        <v>0.35</v>
      </c>
      <c r="E76" s="130"/>
      <c r="F76" s="8">
        <v>0</v>
      </c>
      <c r="G76" s="8">
        <v>0.35</v>
      </c>
      <c r="H76" s="129">
        <v>193</v>
      </c>
      <c r="I76" s="132"/>
      <c r="J76" s="130"/>
      <c r="K76" s="9"/>
    </row>
    <row r="77" spans="1:11" ht="16.5" customHeight="1" x14ac:dyDescent="0.35">
      <c r="A77" s="19">
        <v>28</v>
      </c>
      <c r="B77" s="131">
        <v>192.9580081753995</v>
      </c>
      <c r="C77" s="131"/>
      <c r="D77" s="129"/>
      <c r="E77" s="130"/>
      <c r="F77" s="8"/>
      <c r="G77" s="8"/>
      <c r="H77" s="129"/>
      <c r="I77" s="132"/>
      <c r="J77" s="130"/>
      <c r="K77" s="9"/>
    </row>
    <row r="78" spans="1:11" ht="16.5" customHeight="1" x14ac:dyDescent="0.35">
      <c r="A78" s="19">
        <v>29</v>
      </c>
      <c r="B78" s="131">
        <v>192.9580081753995</v>
      </c>
      <c r="C78" s="131"/>
      <c r="D78" s="129"/>
      <c r="E78" s="130"/>
      <c r="F78" s="8"/>
      <c r="G78" s="8"/>
      <c r="H78" s="129"/>
      <c r="I78" s="132"/>
      <c r="J78" s="130"/>
      <c r="K78" s="9"/>
    </row>
    <row r="79" spans="1:11" ht="16.5" customHeight="1" x14ac:dyDescent="0.35">
      <c r="A79" s="19" t="s">
        <v>209</v>
      </c>
      <c r="B79" s="131">
        <v>96.479004087699749</v>
      </c>
      <c r="C79" s="131"/>
      <c r="D79" s="184">
        <v>0.47</v>
      </c>
      <c r="E79" s="185"/>
      <c r="F79" s="194">
        <v>0</v>
      </c>
      <c r="G79" s="194">
        <f>D79+F79</f>
        <v>0.47</v>
      </c>
      <c r="H79" s="184">
        <v>91.84</v>
      </c>
      <c r="I79" s="190"/>
      <c r="J79" s="185"/>
      <c r="K79" s="9"/>
    </row>
    <row r="80" spans="1:11" ht="16.5" customHeight="1" x14ac:dyDescent="0.35">
      <c r="A80" s="19" t="s">
        <v>210</v>
      </c>
      <c r="B80" s="131">
        <v>96.479004087699749</v>
      </c>
      <c r="C80" s="131"/>
      <c r="D80" s="186"/>
      <c r="E80" s="187"/>
      <c r="F80" s="195"/>
      <c r="G80" s="195"/>
      <c r="H80" s="186"/>
      <c r="I80" s="191"/>
      <c r="J80" s="187"/>
      <c r="K80" s="9"/>
    </row>
    <row r="81" spans="1:11" ht="16.5" customHeight="1" x14ac:dyDescent="0.35">
      <c r="A81" s="19" t="s">
        <v>211</v>
      </c>
      <c r="B81" s="131">
        <v>96.479004087699707</v>
      </c>
      <c r="C81" s="131"/>
      <c r="D81" s="184">
        <v>0.64</v>
      </c>
      <c r="E81" s="185"/>
      <c r="F81" s="188">
        <v>0</v>
      </c>
      <c r="G81" s="188">
        <v>0.64</v>
      </c>
      <c r="H81" s="184">
        <v>120</v>
      </c>
      <c r="I81" s="190"/>
      <c r="J81" s="185"/>
      <c r="K81" s="9"/>
    </row>
    <row r="82" spans="1:11" x14ac:dyDescent="0.35">
      <c r="A82" s="19" t="s">
        <v>212</v>
      </c>
      <c r="B82" s="131">
        <v>96.479004087699749</v>
      </c>
      <c r="C82" s="131"/>
      <c r="D82" s="186"/>
      <c r="E82" s="187"/>
      <c r="F82" s="189"/>
      <c r="G82" s="189"/>
      <c r="H82" s="186"/>
      <c r="I82" s="191"/>
      <c r="J82" s="187"/>
      <c r="K82" s="9"/>
    </row>
    <row r="83" spans="1:11" ht="16.5" customHeight="1" x14ac:dyDescent="0.35">
      <c r="A83" s="19" t="s">
        <v>213</v>
      </c>
      <c r="B83" s="131">
        <v>96.479004087699749</v>
      </c>
      <c r="C83" s="131"/>
      <c r="D83" s="129"/>
      <c r="E83" s="130"/>
      <c r="F83" s="8"/>
      <c r="G83" s="8"/>
      <c r="H83" s="129"/>
      <c r="I83" s="132"/>
      <c r="J83" s="130"/>
      <c r="K83" s="9"/>
    </row>
    <row r="84" spans="1:11" ht="16.5" customHeight="1" x14ac:dyDescent="0.35">
      <c r="A84" s="19" t="s">
        <v>214</v>
      </c>
      <c r="B84" s="131">
        <v>96.479004087699749</v>
      </c>
      <c r="C84" s="131"/>
      <c r="D84" s="129">
        <v>0.34</v>
      </c>
      <c r="E84" s="130"/>
      <c r="F84" s="8">
        <v>0</v>
      </c>
      <c r="G84" s="8">
        <v>0.34</v>
      </c>
      <c r="H84" s="129">
        <v>67.3</v>
      </c>
      <c r="I84" s="132"/>
      <c r="J84" s="130"/>
      <c r="K84" s="9"/>
    </row>
    <row r="85" spans="1:11" ht="16.5" customHeight="1" x14ac:dyDescent="0.35">
      <c r="A85" s="19" t="s">
        <v>215</v>
      </c>
      <c r="B85" s="131">
        <v>96.479004087699749</v>
      </c>
      <c r="C85" s="131"/>
      <c r="D85" s="129"/>
      <c r="E85" s="130"/>
      <c r="F85" s="8"/>
      <c r="G85" s="8"/>
      <c r="H85" s="129"/>
      <c r="I85" s="132"/>
      <c r="J85" s="130"/>
      <c r="K85" s="9"/>
    </row>
    <row r="86" spans="1:11" ht="16.5" customHeight="1" x14ac:dyDescent="0.35">
      <c r="A86" s="19" t="s">
        <v>216</v>
      </c>
      <c r="B86" s="131">
        <v>96.479004087699749</v>
      </c>
      <c r="C86" s="131"/>
      <c r="D86" s="129"/>
      <c r="E86" s="130"/>
      <c r="F86" s="8"/>
      <c r="G86" s="8"/>
      <c r="H86" s="129"/>
      <c r="I86" s="132"/>
      <c r="J86" s="130"/>
      <c r="K86" s="9"/>
    </row>
    <row r="87" spans="1:11" ht="16.5" customHeight="1" x14ac:dyDescent="0.35">
      <c r="A87" s="19">
        <v>34</v>
      </c>
      <c r="B87" s="131">
        <v>175.9568933481977</v>
      </c>
      <c r="C87" s="131"/>
      <c r="D87" s="129"/>
      <c r="E87" s="130"/>
      <c r="F87" s="8"/>
      <c r="G87" s="8"/>
      <c r="H87" s="129"/>
      <c r="I87" s="132"/>
      <c r="J87" s="130"/>
      <c r="K87" s="9"/>
    </row>
    <row r="88" spans="1:11" ht="16.5" customHeight="1" x14ac:dyDescent="0.35">
      <c r="A88" s="19">
        <v>35</v>
      </c>
      <c r="B88" s="131">
        <v>258.91861761426981</v>
      </c>
      <c r="C88" s="131"/>
      <c r="D88" s="129"/>
      <c r="E88" s="130"/>
      <c r="F88" s="8"/>
      <c r="G88" s="8"/>
      <c r="H88" s="129"/>
      <c r="I88" s="132"/>
      <c r="J88" s="130"/>
      <c r="K88" s="9"/>
    </row>
    <row r="89" spans="1:11" ht="16.5" customHeight="1" x14ac:dyDescent="0.35">
      <c r="A89" s="19">
        <v>36</v>
      </c>
      <c r="B89" s="131">
        <v>351.91378669639539</v>
      </c>
      <c r="C89" s="131"/>
      <c r="D89" s="129">
        <v>0.41</v>
      </c>
      <c r="E89" s="130"/>
      <c r="F89" s="8">
        <v>0</v>
      </c>
      <c r="G89" s="8">
        <f t="shared" ref="G89" si="1">D89+F89</f>
        <v>0.41</v>
      </c>
      <c r="H89" s="129">
        <v>144.6</v>
      </c>
      <c r="I89" s="132"/>
      <c r="J89" s="130"/>
      <c r="K89" s="9"/>
    </row>
    <row r="90" spans="1:11" ht="16.5" customHeight="1" x14ac:dyDescent="0.35">
      <c r="A90" s="19">
        <v>37</v>
      </c>
      <c r="B90" s="131">
        <v>173.91304347826087</v>
      </c>
      <c r="C90" s="131"/>
      <c r="D90" s="129"/>
      <c r="E90" s="130"/>
      <c r="F90" s="8"/>
      <c r="G90" s="8"/>
      <c r="H90" s="129"/>
      <c r="I90" s="132"/>
      <c r="J90" s="130"/>
      <c r="K90" s="9"/>
    </row>
    <row r="91" spans="1:11" ht="16.5" customHeight="1" x14ac:dyDescent="0.35">
      <c r="A91" s="19" t="s">
        <v>217</v>
      </c>
      <c r="B91" s="131">
        <v>154.40356744704573</v>
      </c>
      <c r="C91" s="131"/>
      <c r="D91" s="129"/>
      <c r="E91" s="130"/>
      <c r="F91" s="8"/>
      <c r="G91" s="8"/>
      <c r="H91" s="129"/>
      <c r="I91" s="132"/>
      <c r="J91" s="130"/>
      <c r="K91" s="9"/>
    </row>
    <row r="92" spans="1:11" ht="16.5" customHeight="1" x14ac:dyDescent="0.35">
      <c r="A92" s="19" t="s">
        <v>218</v>
      </c>
      <c r="B92" s="131">
        <v>154.40356744704573</v>
      </c>
      <c r="C92" s="131"/>
      <c r="D92" s="129">
        <v>0.26</v>
      </c>
      <c r="E92" s="130"/>
      <c r="F92" s="8">
        <v>0</v>
      </c>
      <c r="G92" s="8">
        <f t="shared" ref="G92" si="2">D92+F92</f>
        <v>0.26</v>
      </c>
      <c r="H92" s="129">
        <v>81.13</v>
      </c>
      <c r="I92" s="132"/>
      <c r="J92" s="130"/>
      <c r="K92" s="9"/>
    </row>
    <row r="93" spans="1:11" ht="16.5" customHeight="1" x14ac:dyDescent="0.35">
      <c r="A93" s="19" t="s">
        <v>219</v>
      </c>
      <c r="B93" s="131">
        <v>110.9253065774805</v>
      </c>
      <c r="C93" s="131"/>
      <c r="D93" s="129"/>
      <c r="E93" s="130"/>
      <c r="F93" s="8"/>
      <c r="G93" s="8"/>
      <c r="H93" s="129"/>
      <c r="I93" s="132"/>
      <c r="J93" s="130"/>
      <c r="K93" s="9"/>
    </row>
    <row r="94" spans="1:11" ht="16.5" customHeight="1" x14ac:dyDescent="0.35">
      <c r="A94" s="19" t="s">
        <v>220</v>
      </c>
      <c r="B94" s="131">
        <v>110.9253065774805</v>
      </c>
      <c r="C94" s="131"/>
      <c r="D94" s="129"/>
      <c r="E94" s="130"/>
      <c r="F94" s="8"/>
      <c r="G94" s="8"/>
      <c r="H94" s="129"/>
      <c r="I94" s="132"/>
      <c r="J94" s="130"/>
      <c r="K94" s="9"/>
    </row>
    <row r="95" spans="1:11" ht="16.5" customHeight="1" x14ac:dyDescent="0.35">
      <c r="A95" s="19">
        <v>40</v>
      </c>
      <c r="B95" s="131">
        <v>503.80899293942775</v>
      </c>
      <c r="C95" s="131"/>
      <c r="D95" s="129"/>
      <c r="E95" s="130"/>
      <c r="F95" s="8"/>
      <c r="G95" s="8"/>
      <c r="H95" s="129"/>
      <c r="I95" s="132"/>
      <c r="J95" s="130"/>
      <c r="K95" s="9"/>
    </row>
    <row r="96" spans="1:11" ht="16.5" customHeight="1" x14ac:dyDescent="0.35">
      <c r="A96" s="19">
        <v>41</v>
      </c>
      <c r="B96" s="131">
        <v>154.96098104793757</v>
      </c>
      <c r="C96" s="131"/>
      <c r="D96" s="129"/>
      <c r="E96" s="130"/>
      <c r="F96" s="8"/>
      <c r="G96" s="8"/>
      <c r="H96" s="129"/>
      <c r="I96" s="132"/>
      <c r="J96" s="130"/>
      <c r="K96" s="9"/>
    </row>
    <row r="97" spans="1:11" ht="16.5" customHeight="1" x14ac:dyDescent="0.35">
      <c r="A97" s="19">
        <v>42</v>
      </c>
      <c r="B97" s="131">
        <v>99.962839093273885</v>
      </c>
      <c r="C97" s="131"/>
      <c r="D97" s="129"/>
      <c r="E97" s="130"/>
      <c r="F97" s="8"/>
      <c r="G97" s="8"/>
      <c r="H97" s="129"/>
      <c r="I97" s="132"/>
      <c r="J97" s="130"/>
      <c r="K97" s="9"/>
    </row>
    <row r="98" spans="1:11" ht="16.5" customHeight="1" x14ac:dyDescent="0.35">
      <c r="A98" s="19">
        <v>43</v>
      </c>
      <c r="B98" s="131">
        <v>99.962839093273885</v>
      </c>
      <c r="C98" s="131"/>
      <c r="D98" s="129"/>
      <c r="E98" s="130"/>
      <c r="F98" s="8"/>
      <c r="G98" s="8"/>
      <c r="H98" s="129"/>
      <c r="I98" s="132"/>
      <c r="J98" s="130"/>
      <c r="K98" s="9"/>
    </row>
    <row r="99" spans="1:11" ht="16.5" customHeight="1" x14ac:dyDescent="0.35">
      <c r="A99" s="19">
        <v>44</v>
      </c>
      <c r="B99" s="131">
        <v>99.962839093273885</v>
      </c>
      <c r="C99" s="131"/>
      <c r="D99" s="129">
        <v>0.78</v>
      </c>
      <c r="E99" s="130"/>
      <c r="F99" s="8">
        <v>0</v>
      </c>
      <c r="G99" s="8">
        <v>0.78</v>
      </c>
      <c r="H99" s="129">
        <v>100</v>
      </c>
      <c r="I99" s="132"/>
      <c r="J99" s="130"/>
      <c r="K99" s="9"/>
    </row>
    <row r="100" spans="1:11" ht="16.5" customHeight="1" x14ac:dyDescent="0.35">
      <c r="A100" s="19">
        <v>45</v>
      </c>
      <c r="B100" s="131">
        <v>99.962839093273885</v>
      </c>
      <c r="C100" s="131"/>
      <c r="D100" s="129">
        <v>0.87</v>
      </c>
      <c r="E100" s="130"/>
      <c r="F100" s="8">
        <v>0</v>
      </c>
      <c r="G100" s="8">
        <f t="shared" ref="G100" si="3">D100+F100</f>
        <v>0.87</v>
      </c>
      <c r="H100" s="129">
        <v>87</v>
      </c>
      <c r="I100" s="132"/>
      <c r="J100" s="130"/>
      <c r="K100" s="9"/>
    </row>
    <row r="101" spans="1:11" ht="16.5" customHeight="1" x14ac:dyDescent="0.35">
      <c r="A101" s="19">
        <v>46</v>
      </c>
      <c r="B101" s="131">
        <v>99.962839093273885</v>
      </c>
      <c r="C101" s="131"/>
      <c r="D101" s="129"/>
      <c r="E101" s="130"/>
      <c r="F101" s="8"/>
      <c r="G101" s="8"/>
      <c r="H101" s="129"/>
      <c r="I101" s="132"/>
      <c r="J101" s="130"/>
      <c r="K101" s="9"/>
    </row>
    <row r="102" spans="1:11" ht="16.5" customHeight="1" x14ac:dyDescent="0.35">
      <c r="A102" s="19">
        <v>47</v>
      </c>
      <c r="B102" s="131">
        <v>195.93088071348942</v>
      </c>
      <c r="C102" s="131"/>
      <c r="D102" s="129">
        <v>0.26</v>
      </c>
      <c r="E102" s="130"/>
      <c r="F102" s="8">
        <v>0</v>
      </c>
      <c r="G102" s="8">
        <v>0.26</v>
      </c>
      <c r="H102" s="129">
        <v>104.28</v>
      </c>
      <c r="I102" s="132"/>
      <c r="J102" s="130"/>
      <c r="K102" s="9"/>
    </row>
    <row r="103" spans="1:11" ht="16.5" customHeight="1" x14ac:dyDescent="0.35">
      <c r="A103" s="19">
        <v>48</v>
      </c>
      <c r="B103" s="131">
        <v>150.96618357487924</v>
      </c>
      <c r="C103" s="131"/>
      <c r="D103" s="129">
        <v>0.43</v>
      </c>
      <c r="E103" s="130"/>
      <c r="F103" s="8">
        <v>0</v>
      </c>
      <c r="G103" s="8">
        <f t="shared" si="0"/>
        <v>0.43</v>
      </c>
      <c r="H103" s="129">
        <v>65.59</v>
      </c>
      <c r="I103" s="132"/>
      <c r="J103" s="130"/>
      <c r="K103" s="9"/>
    </row>
    <row r="104" spans="1:11" ht="16.5" customHeight="1" x14ac:dyDescent="0.35">
      <c r="A104" s="19">
        <v>49</v>
      </c>
      <c r="B104" s="131">
        <v>99.962839093273885</v>
      </c>
      <c r="C104" s="131"/>
      <c r="D104" s="129">
        <v>0.66</v>
      </c>
      <c r="E104" s="130"/>
      <c r="F104" s="8">
        <v>0</v>
      </c>
      <c r="G104" s="8">
        <f t="shared" si="0"/>
        <v>0.66</v>
      </c>
      <c r="H104" s="129">
        <v>65.72</v>
      </c>
      <c r="I104" s="132"/>
      <c r="J104" s="130"/>
      <c r="K104" s="9"/>
    </row>
    <row r="105" spans="1:11" ht="16.5" customHeight="1" x14ac:dyDescent="0.35">
      <c r="A105" s="19">
        <v>50</v>
      </c>
      <c r="B105" s="131">
        <v>99.962839093273885</v>
      </c>
      <c r="C105" s="131"/>
      <c r="D105" s="129"/>
      <c r="E105" s="130"/>
      <c r="F105" s="8"/>
      <c r="G105" s="8"/>
      <c r="H105" s="129"/>
      <c r="I105" s="132"/>
      <c r="J105" s="130"/>
      <c r="K105" s="9"/>
    </row>
    <row r="106" spans="1:11" ht="16.5" customHeight="1" x14ac:dyDescent="0.35">
      <c r="A106" s="19">
        <v>51</v>
      </c>
      <c r="B106" s="131">
        <v>99.962839093273885</v>
      </c>
      <c r="C106" s="131"/>
      <c r="D106" s="129"/>
      <c r="E106" s="130"/>
      <c r="F106" s="8"/>
      <c r="G106" s="8"/>
      <c r="H106" s="129"/>
      <c r="I106" s="132"/>
      <c r="J106" s="130"/>
      <c r="K106" s="9"/>
    </row>
    <row r="107" spans="1:11" ht="16.5" customHeight="1" x14ac:dyDescent="0.35">
      <c r="A107" s="19">
        <v>52</v>
      </c>
      <c r="B107" s="131">
        <v>99.962839093273885</v>
      </c>
      <c r="C107" s="131"/>
      <c r="D107" s="129">
        <v>0.61</v>
      </c>
      <c r="E107" s="130"/>
      <c r="F107" s="8">
        <v>0</v>
      </c>
      <c r="G107" s="8">
        <v>0.61</v>
      </c>
      <c r="H107" s="129">
        <v>61.24</v>
      </c>
      <c r="I107" s="132"/>
      <c r="J107" s="130"/>
      <c r="K107" s="9"/>
    </row>
    <row r="108" spans="1:11" ht="16.5" customHeight="1" x14ac:dyDescent="0.35">
      <c r="A108" s="19">
        <v>53</v>
      </c>
      <c r="B108" s="131">
        <v>99.962839093273885</v>
      </c>
      <c r="C108" s="131"/>
      <c r="D108" s="129"/>
      <c r="E108" s="130"/>
      <c r="F108" s="8"/>
      <c r="G108" s="8"/>
      <c r="H108" s="129"/>
      <c r="I108" s="132"/>
      <c r="J108" s="130"/>
      <c r="K108" s="9"/>
    </row>
    <row r="109" spans="1:11" ht="16.5" customHeight="1" x14ac:dyDescent="0.35">
      <c r="A109" s="19">
        <v>54</v>
      </c>
      <c r="B109" s="131">
        <v>99.962839093273885</v>
      </c>
      <c r="C109" s="131"/>
      <c r="D109" s="129"/>
      <c r="E109" s="130"/>
      <c r="F109" s="8"/>
      <c r="G109" s="8"/>
      <c r="H109" s="129"/>
      <c r="I109" s="132"/>
      <c r="J109" s="130"/>
      <c r="K109" s="9"/>
    </row>
    <row r="110" spans="1:11" ht="16.5" customHeight="1" x14ac:dyDescent="0.35">
      <c r="A110" s="19">
        <v>55</v>
      </c>
      <c r="B110" s="131">
        <v>99.962839093273885</v>
      </c>
      <c r="C110" s="131"/>
      <c r="D110" s="129"/>
      <c r="E110" s="130"/>
      <c r="F110" s="8"/>
      <c r="G110" s="8"/>
      <c r="H110" s="129"/>
      <c r="I110" s="132"/>
      <c r="J110" s="130"/>
      <c r="K110" s="9"/>
    </row>
    <row r="111" spans="1:11" ht="16.5" customHeight="1" x14ac:dyDescent="0.35">
      <c r="A111" s="19">
        <v>56</v>
      </c>
      <c r="B111" s="131">
        <v>99.962839093273885</v>
      </c>
      <c r="C111" s="131"/>
      <c r="D111" s="129"/>
      <c r="E111" s="130"/>
      <c r="F111" s="8"/>
      <c r="G111" s="8"/>
      <c r="H111" s="129"/>
      <c r="I111" s="132"/>
      <c r="J111" s="130"/>
      <c r="K111" s="9"/>
    </row>
    <row r="112" spans="1:11" ht="16.5" customHeight="1" x14ac:dyDescent="0.35">
      <c r="A112" s="19">
        <v>57</v>
      </c>
      <c r="B112" s="131">
        <v>149.94425863991083</v>
      </c>
      <c r="C112" s="131"/>
      <c r="D112" s="129"/>
      <c r="E112" s="130"/>
      <c r="F112" s="8"/>
      <c r="G112" s="8"/>
      <c r="H112" s="129"/>
      <c r="I112" s="132"/>
      <c r="J112" s="130"/>
      <c r="K112" s="9"/>
    </row>
    <row r="113" spans="1:11" ht="16.5" customHeight="1" x14ac:dyDescent="0.35">
      <c r="A113" s="19">
        <v>58</v>
      </c>
      <c r="B113" s="131">
        <v>175.9568933481977</v>
      </c>
      <c r="C113" s="131"/>
      <c r="D113" s="129">
        <v>0.49</v>
      </c>
      <c r="E113" s="130"/>
      <c r="F113" s="8">
        <v>0</v>
      </c>
      <c r="G113" s="8">
        <v>0.49</v>
      </c>
      <c r="H113" s="129">
        <v>86.35</v>
      </c>
      <c r="I113" s="132"/>
      <c r="J113" s="130"/>
      <c r="K113" s="9"/>
    </row>
    <row r="114" spans="1:11" ht="16.5" customHeight="1" x14ac:dyDescent="0.35">
      <c r="A114" s="19">
        <v>59</v>
      </c>
      <c r="B114" s="131">
        <v>99.962839093273885</v>
      </c>
      <c r="C114" s="131"/>
      <c r="D114" s="129"/>
      <c r="E114" s="130"/>
      <c r="F114" s="8"/>
      <c r="G114" s="8"/>
      <c r="H114" s="129"/>
      <c r="I114" s="132"/>
      <c r="J114" s="130"/>
      <c r="K114" s="9"/>
    </row>
    <row r="115" spans="1:11" ht="16.5" customHeight="1" x14ac:dyDescent="0.35">
      <c r="A115" s="19">
        <v>60</v>
      </c>
      <c r="B115" s="131">
        <v>99.962839093273885</v>
      </c>
      <c r="C115" s="131"/>
      <c r="D115" s="129"/>
      <c r="E115" s="130"/>
      <c r="F115" s="8"/>
      <c r="G115" s="8"/>
      <c r="H115" s="129"/>
      <c r="I115" s="132"/>
      <c r="J115" s="130"/>
      <c r="K115" s="9"/>
    </row>
    <row r="116" spans="1:11" ht="16.5" customHeight="1" x14ac:dyDescent="0.35">
      <c r="A116" s="19">
        <v>61</v>
      </c>
      <c r="B116" s="131">
        <v>99.962839093273885</v>
      </c>
      <c r="C116" s="131"/>
      <c r="D116" s="129">
        <v>0.74</v>
      </c>
      <c r="E116" s="130"/>
      <c r="F116" s="8">
        <v>0</v>
      </c>
      <c r="G116" s="8">
        <v>0.74</v>
      </c>
      <c r="H116" s="129">
        <v>74.25</v>
      </c>
      <c r="I116" s="132"/>
      <c r="J116" s="130"/>
      <c r="K116" s="9"/>
    </row>
    <row r="117" spans="1:11" ht="16.5" customHeight="1" x14ac:dyDescent="0.35">
      <c r="A117" s="19">
        <v>62</v>
      </c>
      <c r="B117" s="131">
        <v>99.962839093273885</v>
      </c>
      <c r="C117" s="131"/>
      <c r="D117" s="129">
        <v>0.96</v>
      </c>
      <c r="E117" s="130"/>
      <c r="F117" s="8">
        <v>0</v>
      </c>
      <c r="G117" s="8">
        <v>0.96</v>
      </c>
      <c r="H117" s="129">
        <v>96.39</v>
      </c>
      <c r="I117" s="132"/>
      <c r="J117" s="130"/>
      <c r="K117" s="9"/>
    </row>
    <row r="118" spans="1:11" ht="16.5" customHeight="1" x14ac:dyDescent="0.35">
      <c r="A118" s="19">
        <v>63</v>
      </c>
      <c r="B118" s="131">
        <v>99.962839093273885</v>
      </c>
      <c r="C118" s="131"/>
      <c r="D118" s="129">
        <v>0.79</v>
      </c>
      <c r="E118" s="130"/>
      <c r="F118" s="8">
        <v>0</v>
      </c>
      <c r="G118" s="8">
        <v>0.79</v>
      </c>
      <c r="H118" s="129">
        <v>79.67</v>
      </c>
      <c r="I118" s="132"/>
      <c r="J118" s="130"/>
      <c r="K118" s="9"/>
    </row>
    <row r="119" spans="1:11" ht="16.5" customHeight="1" x14ac:dyDescent="0.35">
      <c r="A119" s="19">
        <v>64</v>
      </c>
      <c r="B119" s="131">
        <v>99.962839093273885</v>
      </c>
      <c r="C119" s="131"/>
      <c r="D119" s="129">
        <v>0.62</v>
      </c>
      <c r="E119" s="130"/>
      <c r="F119" s="8">
        <v>0</v>
      </c>
      <c r="G119" s="8">
        <v>0.62</v>
      </c>
      <c r="H119" s="129">
        <v>62.32</v>
      </c>
      <c r="I119" s="132"/>
      <c r="J119" s="130"/>
      <c r="K119" s="9"/>
    </row>
    <row r="120" spans="1:11" ht="16.5" customHeight="1" x14ac:dyDescent="0.35">
      <c r="A120" s="19">
        <v>65</v>
      </c>
      <c r="B120" s="131">
        <v>99.962839093273885</v>
      </c>
      <c r="C120" s="131"/>
      <c r="D120" s="129"/>
      <c r="E120" s="130"/>
      <c r="F120" s="8"/>
      <c r="G120" s="8"/>
      <c r="H120" s="129"/>
      <c r="I120" s="132"/>
      <c r="J120" s="130"/>
      <c r="K120" s="9"/>
    </row>
    <row r="121" spans="1:11" ht="16.5" customHeight="1" x14ac:dyDescent="0.35">
      <c r="A121" s="19">
        <v>66</v>
      </c>
      <c r="B121" s="131">
        <v>99.962839093273885</v>
      </c>
      <c r="C121" s="131"/>
      <c r="D121" s="129">
        <v>0.71</v>
      </c>
      <c r="E121" s="130"/>
      <c r="F121" s="8">
        <v>0</v>
      </c>
      <c r="G121" s="8">
        <v>0.71</v>
      </c>
      <c r="H121" s="129">
        <f>71</f>
        <v>71</v>
      </c>
      <c r="I121" s="132"/>
      <c r="J121" s="130"/>
      <c r="K121" s="9"/>
    </row>
    <row r="122" spans="1:11" ht="16.5" customHeight="1" x14ac:dyDescent="0.35">
      <c r="A122" s="19">
        <v>67</v>
      </c>
      <c r="B122" s="131">
        <v>99.962839093273885</v>
      </c>
      <c r="C122" s="131"/>
      <c r="D122" s="129"/>
      <c r="E122" s="130"/>
      <c r="F122" s="8"/>
      <c r="G122" s="8"/>
      <c r="H122" s="129"/>
      <c r="I122" s="132"/>
      <c r="J122" s="130"/>
      <c r="K122" s="9"/>
    </row>
    <row r="123" spans="1:11" ht="16.5" customHeight="1" x14ac:dyDescent="0.35">
      <c r="A123" s="19">
        <v>68</v>
      </c>
      <c r="B123" s="131">
        <v>99.962839093273885</v>
      </c>
      <c r="C123" s="131"/>
      <c r="D123" s="129"/>
      <c r="E123" s="130"/>
      <c r="F123" s="8"/>
      <c r="G123" s="8"/>
      <c r="H123" s="129"/>
      <c r="I123" s="132"/>
      <c r="J123" s="130"/>
      <c r="K123" s="9"/>
    </row>
    <row r="124" spans="1:11" ht="16.5" customHeight="1" x14ac:dyDescent="0.35">
      <c r="A124" s="19">
        <v>69</v>
      </c>
      <c r="B124" s="131">
        <v>184.96841322928282</v>
      </c>
      <c r="C124" s="131"/>
      <c r="D124" s="129"/>
      <c r="E124" s="130"/>
      <c r="F124" s="8"/>
      <c r="G124" s="8"/>
      <c r="H124" s="129"/>
      <c r="I124" s="132"/>
      <c r="J124" s="130"/>
      <c r="K124" s="9"/>
    </row>
    <row r="125" spans="1:11" ht="16.5" customHeight="1" x14ac:dyDescent="0.35">
      <c r="A125" s="19">
        <v>70</v>
      </c>
      <c r="B125" s="131">
        <v>184.96841322928282</v>
      </c>
      <c r="C125" s="131"/>
      <c r="D125" s="129"/>
      <c r="E125" s="130"/>
      <c r="F125" s="8"/>
      <c r="G125" s="8"/>
      <c r="H125" s="129"/>
      <c r="I125" s="132"/>
      <c r="J125" s="130"/>
      <c r="K125" s="9"/>
    </row>
    <row r="126" spans="1:11" ht="16.5" customHeight="1" x14ac:dyDescent="0.35">
      <c r="A126" s="19">
        <v>71</v>
      </c>
      <c r="B126" s="131">
        <v>99.962839093273885</v>
      </c>
      <c r="C126" s="131"/>
      <c r="D126" s="129"/>
      <c r="E126" s="130"/>
      <c r="F126" s="8"/>
      <c r="G126" s="8"/>
      <c r="H126" s="129"/>
      <c r="I126" s="132"/>
      <c r="J126" s="130"/>
      <c r="K126" s="9"/>
    </row>
    <row r="127" spans="1:11" ht="16.5" customHeight="1" x14ac:dyDescent="0.35">
      <c r="A127" s="19">
        <v>72</v>
      </c>
      <c r="B127" s="131">
        <v>99.962839093273885</v>
      </c>
      <c r="C127" s="131"/>
      <c r="D127" s="129">
        <v>0.48</v>
      </c>
      <c r="E127" s="130"/>
      <c r="F127" s="8">
        <v>0</v>
      </c>
      <c r="G127" s="8">
        <v>0.48</v>
      </c>
      <c r="H127" s="129">
        <v>48.58</v>
      </c>
      <c r="I127" s="132"/>
      <c r="J127" s="130"/>
      <c r="K127" s="9"/>
    </row>
    <row r="128" spans="1:11" ht="16.5" customHeight="1" x14ac:dyDescent="0.35">
      <c r="A128" s="19">
        <v>73</v>
      </c>
      <c r="B128" s="131">
        <v>99.962839093273885</v>
      </c>
      <c r="C128" s="131"/>
      <c r="D128" s="129"/>
      <c r="E128" s="130"/>
      <c r="F128" s="8"/>
      <c r="G128" s="8"/>
      <c r="H128" s="129"/>
      <c r="I128" s="132"/>
      <c r="J128" s="130"/>
      <c r="K128" s="9"/>
    </row>
    <row r="129" spans="1:11" ht="16.5" customHeight="1" x14ac:dyDescent="0.35">
      <c r="A129" s="19">
        <v>74</v>
      </c>
      <c r="B129" s="131">
        <v>99.962839093273885</v>
      </c>
      <c r="C129" s="131"/>
      <c r="D129" s="129"/>
      <c r="E129" s="130"/>
      <c r="F129" s="8"/>
      <c r="G129" s="8"/>
      <c r="H129" s="129"/>
      <c r="I129" s="132"/>
      <c r="J129" s="130"/>
      <c r="K129" s="9"/>
    </row>
    <row r="130" spans="1:11" ht="16.5" customHeight="1" x14ac:dyDescent="0.35">
      <c r="A130" s="19">
        <v>75</v>
      </c>
      <c r="B130" s="131">
        <v>99.962839093273885</v>
      </c>
      <c r="C130" s="131"/>
      <c r="D130" s="129">
        <v>0.69</v>
      </c>
      <c r="E130" s="130"/>
      <c r="F130" s="8">
        <v>0</v>
      </c>
      <c r="G130" s="8">
        <f t="shared" ref="G130:G131" si="4">D130+F130</f>
        <v>0.69</v>
      </c>
      <c r="H130" s="129">
        <v>69.430000000000007</v>
      </c>
      <c r="I130" s="132"/>
      <c r="J130" s="130"/>
      <c r="K130" s="9"/>
    </row>
    <row r="131" spans="1:11" ht="16.5" customHeight="1" x14ac:dyDescent="0.35">
      <c r="A131" s="19">
        <v>76</v>
      </c>
      <c r="B131" s="131">
        <v>99.962839093273885</v>
      </c>
      <c r="C131" s="131"/>
      <c r="D131" s="129">
        <v>0.77</v>
      </c>
      <c r="E131" s="130"/>
      <c r="F131" s="8">
        <v>0</v>
      </c>
      <c r="G131" s="8">
        <f t="shared" si="4"/>
        <v>0.77</v>
      </c>
      <c r="H131" s="129">
        <f>77.1</f>
        <v>77.099999999999994</v>
      </c>
      <c r="I131" s="132"/>
      <c r="J131" s="130"/>
      <c r="K131" s="9"/>
    </row>
    <row r="132" spans="1:11" ht="16.5" customHeight="1" x14ac:dyDescent="0.35">
      <c r="A132" s="19">
        <v>77</v>
      </c>
      <c r="B132" s="131">
        <v>99.962839093273885</v>
      </c>
      <c r="C132" s="131"/>
      <c r="D132" s="129"/>
      <c r="E132" s="130"/>
      <c r="F132" s="8"/>
      <c r="G132" s="8"/>
      <c r="H132" s="129"/>
      <c r="I132" s="132"/>
      <c r="J132" s="130"/>
      <c r="K132" s="9"/>
    </row>
    <row r="133" spans="1:11" ht="16.5" customHeight="1" x14ac:dyDescent="0.35">
      <c r="A133" s="19">
        <v>78</v>
      </c>
      <c r="B133" s="131">
        <v>99.962839093273885</v>
      </c>
      <c r="C133" s="131"/>
      <c r="D133" s="129"/>
      <c r="E133" s="130"/>
      <c r="F133" s="8"/>
      <c r="G133" s="8"/>
      <c r="H133" s="129"/>
      <c r="I133" s="132"/>
      <c r="J133" s="130"/>
      <c r="K133" s="9"/>
    </row>
    <row r="134" spans="1:11" ht="16.5" customHeight="1" x14ac:dyDescent="0.35">
      <c r="A134" s="19">
        <v>79</v>
      </c>
      <c r="B134" s="131">
        <v>99.962839093273885</v>
      </c>
      <c r="C134" s="131"/>
      <c r="D134" s="129"/>
      <c r="E134" s="130"/>
      <c r="F134" s="8"/>
      <c r="G134" s="8"/>
      <c r="H134" s="129"/>
      <c r="I134" s="132"/>
      <c r="J134" s="130"/>
      <c r="K134" s="9"/>
    </row>
    <row r="135" spans="1:11" ht="16.5" customHeight="1" x14ac:dyDescent="0.35">
      <c r="A135" s="19">
        <v>80</v>
      </c>
      <c r="B135" s="131">
        <v>99.962839093273885</v>
      </c>
      <c r="C135" s="131"/>
      <c r="D135" s="129"/>
      <c r="E135" s="130"/>
      <c r="F135" s="8"/>
      <c r="G135" s="8"/>
      <c r="H135" s="129"/>
      <c r="I135" s="132"/>
      <c r="J135" s="130"/>
      <c r="K135" s="9"/>
    </row>
    <row r="136" spans="1:11" ht="16.5" customHeight="1" x14ac:dyDescent="0.35">
      <c r="A136" s="19">
        <v>81</v>
      </c>
      <c r="B136" s="131">
        <v>99.962839093273885</v>
      </c>
      <c r="C136" s="131"/>
      <c r="D136" s="129">
        <v>0.79</v>
      </c>
      <c r="E136" s="130"/>
      <c r="F136" s="8">
        <v>0</v>
      </c>
      <c r="G136" s="8">
        <f t="shared" ref="G136" si="5">D136+F136</f>
        <v>0.79</v>
      </c>
      <c r="H136" s="183">
        <v>79.22</v>
      </c>
      <c r="I136" s="183"/>
      <c r="J136" s="183"/>
      <c r="K136" s="9"/>
    </row>
    <row r="137" spans="1:11" ht="16.5" customHeight="1" x14ac:dyDescent="0.35">
      <c r="A137" s="19">
        <v>82</v>
      </c>
      <c r="B137" s="131">
        <v>149.94425863991083</v>
      </c>
      <c r="C137" s="131"/>
      <c r="D137" s="129"/>
      <c r="E137" s="130"/>
      <c r="F137" s="8"/>
      <c r="G137" s="8"/>
      <c r="H137" s="129"/>
      <c r="I137" s="132"/>
      <c r="J137" s="130"/>
      <c r="K137" s="9"/>
    </row>
    <row r="138" spans="1:11" ht="16.5" customHeight="1" x14ac:dyDescent="0.35">
      <c r="A138" s="19">
        <v>83</v>
      </c>
      <c r="B138" s="131">
        <v>149.94425863991083</v>
      </c>
      <c r="C138" s="131"/>
      <c r="D138" s="129"/>
      <c r="E138" s="130"/>
      <c r="F138" s="8"/>
      <c r="G138" s="8"/>
      <c r="H138" s="129"/>
      <c r="I138" s="132"/>
      <c r="J138" s="130"/>
      <c r="K138" s="9"/>
    </row>
    <row r="139" spans="1:11" ht="16.5" customHeight="1" x14ac:dyDescent="0.35">
      <c r="A139" s="19">
        <v>84</v>
      </c>
      <c r="B139" s="131">
        <v>99.962839093273885</v>
      </c>
      <c r="C139" s="131"/>
      <c r="D139" s="129"/>
      <c r="E139" s="130"/>
      <c r="F139" s="8"/>
      <c r="G139" s="8"/>
      <c r="H139" s="129"/>
      <c r="I139" s="132"/>
      <c r="J139" s="130"/>
      <c r="K139" s="9"/>
    </row>
    <row r="140" spans="1:11" ht="16.5" customHeight="1" x14ac:dyDescent="0.35">
      <c r="A140" s="19">
        <v>85</v>
      </c>
      <c r="B140" s="131">
        <v>99.962839093273885</v>
      </c>
      <c r="C140" s="131"/>
      <c r="D140" s="129"/>
      <c r="E140" s="130"/>
      <c r="F140" s="8"/>
      <c r="G140" s="8"/>
      <c r="H140" s="129"/>
      <c r="I140" s="132"/>
      <c r="J140" s="130"/>
      <c r="K140" s="9"/>
    </row>
    <row r="141" spans="1:11" ht="16.5" customHeight="1" x14ac:dyDescent="0.35">
      <c r="A141" s="19">
        <v>86</v>
      </c>
      <c r="B141" s="131">
        <v>99.962839093273885</v>
      </c>
      <c r="C141" s="131"/>
      <c r="D141" s="129">
        <v>0.68</v>
      </c>
      <c r="E141" s="130"/>
      <c r="F141" s="8">
        <v>0</v>
      </c>
      <c r="G141" s="8">
        <f t="shared" ref="G141:G192" si="6">D141+F141</f>
        <v>0.68</v>
      </c>
      <c r="H141" s="183">
        <v>100</v>
      </c>
      <c r="I141" s="183"/>
      <c r="J141" s="183"/>
      <c r="K141" s="9"/>
    </row>
    <row r="142" spans="1:11" ht="16.5" customHeight="1" x14ac:dyDescent="0.35">
      <c r="A142" s="19">
        <v>87</v>
      </c>
      <c r="B142" s="131">
        <v>99.962839093273885</v>
      </c>
      <c r="C142" s="131"/>
      <c r="D142" s="129">
        <v>0.39</v>
      </c>
      <c r="E142" s="130"/>
      <c r="F142" s="8">
        <v>0</v>
      </c>
      <c r="G142" s="8">
        <f t="shared" si="6"/>
        <v>0.39</v>
      </c>
      <c r="H142" s="129">
        <v>62.51</v>
      </c>
      <c r="I142" s="132"/>
      <c r="J142" s="130"/>
      <c r="K142" s="9"/>
    </row>
    <row r="143" spans="1:11" ht="16.5" customHeight="1" x14ac:dyDescent="0.35">
      <c r="A143" s="19">
        <v>88</v>
      </c>
      <c r="B143" s="131">
        <v>99.962839093273885</v>
      </c>
      <c r="C143" s="131"/>
      <c r="D143" s="129"/>
      <c r="E143" s="130"/>
      <c r="F143" s="8"/>
      <c r="G143" s="8"/>
      <c r="H143" s="129"/>
      <c r="I143" s="132"/>
      <c r="J143" s="130"/>
      <c r="K143" s="9"/>
    </row>
    <row r="144" spans="1:11" ht="16.5" customHeight="1" x14ac:dyDescent="0.35">
      <c r="A144" s="19">
        <v>89</v>
      </c>
      <c r="B144" s="131">
        <v>99.962839093273885</v>
      </c>
      <c r="C144" s="131"/>
      <c r="D144" s="129">
        <v>0.69</v>
      </c>
      <c r="E144" s="130"/>
      <c r="F144" s="8">
        <v>0</v>
      </c>
      <c r="G144" s="8">
        <f t="shared" ref="G144:G189" si="7">D144+F144</f>
        <v>0.69</v>
      </c>
      <c r="H144" s="129">
        <v>69.25</v>
      </c>
      <c r="I144" s="132"/>
      <c r="J144" s="130"/>
      <c r="K144" s="9"/>
    </row>
    <row r="145" spans="1:11" ht="16.5" customHeight="1" x14ac:dyDescent="0.35">
      <c r="A145" s="19">
        <v>90</v>
      </c>
      <c r="B145" s="131">
        <v>99.962839093273885</v>
      </c>
      <c r="C145" s="131"/>
      <c r="D145" s="129"/>
      <c r="E145" s="130"/>
      <c r="F145" s="8"/>
      <c r="G145" s="8"/>
      <c r="H145" s="129"/>
      <c r="I145" s="132"/>
      <c r="J145" s="130"/>
      <c r="K145" s="9"/>
    </row>
    <row r="146" spans="1:11" ht="16.5" customHeight="1" x14ac:dyDescent="0.35">
      <c r="A146" s="19">
        <v>91</v>
      </c>
      <c r="B146" s="131">
        <v>99.962839093273885</v>
      </c>
      <c r="C146" s="131"/>
      <c r="D146" s="129">
        <v>0.57999999999999996</v>
      </c>
      <c r="E146" s="130"/>
      <c r="F146" s="8">
        <v>0</v>
      </c>
      <c r="G146" s="8">
        <f t="shared" si="7"/>
        <v>0.57999999999999996</v>
      </c>
      <c r="H146" s="129">
        <v>58.66</v>
      </c>
      <c r="I146" s="132"/>
      <c r="J146" s="130"/>
      <c r="K146" s="9"/>
    </row>
    <row r="147" spans="1:11" ht="16.5" customHeight="1" x14ac:dyDescent="0.35">
      <c r="A147" s="19">
        <v>92</v>
      </c>
      <c r="B147" s="131">
        <v>99.962839093273885</v>
      </c>
      <c r="C147" s="131"/>
      <c r="D147" s="129">
        <v>0.4</v>
      </c>
      <c r="E147" s="130"/>
      <c r="F147" s="8">
        <v>0</v>
      </c>
      <c r="G147" s="8">
        <v>0.4</v>
      </c>
      <c r="H147" s="129">
        <v>62.56</v>
      </c>
      <c r="I147" s="132"/>
      <c r="J147" s="130"/>
      <c r="K147" s="9"/>
    </row>
    <row r="148" spans="1:11" ht="16.5" customHeight="1" x14ac:dyDescent="0.35">
      <c r="A148" s="19">
        <v>93</v>
      </c>
      <c r="B148" s="131">
        <v>99.962839093273885</v>
      </c>
      <c r="C148" s="131"/>
      <c r="D148" s="129"/>
      <c r="E148" s="130"/>
      <c r="F148" s="8"/>
      <c r="G148" s="8"/>
      <c r="H148" s="129"/>
      <c r="I148" s="132"/>
      <c r="J148" s="130"/>
      <c r="K148" s="9"/>
    </row>
    <row r="149" spans="1:11" ht="16.5" customHeight="1" x14ac:dyDescent="0.35">
      <c r="A149" s="19">
        <v>94</v>
      </c>
      <c r="B149" s="131">
        <v>99.962839093273885</v>
      </c>
      <c r="C149" s="131"/>
      <c r="D149" s="129">
        <v>0.63</v>
      </c>
      <c r="E149" s="130"/>
      <c r="F149" s="8">
        <v>0</v>
      </c>
      <c r="G149" s="8">
        <v>0.63</v>
      </c>
      <c r="H149" s="183">
        <v>63.45</v>
      </c>
      <c r="I149" s="183"/>
      <c r="J149" s="183"/>
      <c r="K149" s="9"/>
    </row>
    <row r="150" spans="1:11" ht="16.5" customHeight="1" x14ac:dyDescent="0.35">
      <c r="A150" s="19">
        <v>95</v>
      </c>
      <c r="B150" s="131">
        <v>149.94425863991083</v>
      </c>
      <c r="C150" s="131"/>
      <c r="D150" s="129"/>
      <c r="E150" s="130"/>
      <c r="F150" s="8"/>
      <c r="G150" s="8"/>
      <c r="H150" s="183"/>
      <c r="I150" s="183"/>
      <c r="J150" s="183"/>
      <c r="K150" s="9"/>
    </row>
    <row r="151" spans="1:11" ht="16.5" customHeight="1" x14ac:dyDescent="0.35">
      <c r="A151" s="19">
        <v>96</v>
      </c>
      <c r="B151" s="192">
        <v>175</v>
      </c>
      <c r="C151" s="193"/>
      <c r="D151" s="129">
        <v>0.53</v>
      </c>
      <c r="E151" s="130"/>
      <c r="F151" s="8">
        <v>0</v>
      </c>
      <c r="G151" s="8">
        <f t="shared" si="7"/>
        <v>0.53</v>
      </c>
      <c r="H151" s="129">
        <v>92.81</v>
      </c>
      <c r="I151" s="132"/>
      <c r="J151" s="130"/>
      <c r="K151" s="9"/>
    </row>
    <row r="152" spans="1:11" ht="16.5" customHeight="1" x14ac:dyDescent="0.35">
      <c r="A152" s="19">
        <v>97</v>
      </c>
      <c r="B152" s="131">
        <v>149.94425863991083</v>
      </c>
      <c r="C152" s="131"/>
      <c r="D152" s="129"/>
      <c r="E152" s="130"/>
      <c r="F152" s="8"/>
      <c r="G152" s="8"/>
      <c r="H152" s="183"/>
      <c r="I152" s="183"/>
      <c r="J152" s="183"/>
      <c r="K152" s="9"/>
    </row>
    <row r="153" spans="1:11" ht="16.5" customHeight="1" x14ac:dyDescent="0.35">
      <c r="A153" s="19">
        <v>98</v>
      </c>
      <c r="B153" s="131">
        <v>149.94425863991083</v>
      </c>
      <c r="C153" s="131"/>
      <c r="D153" s="129"/>
      <c r="E153" s="130"/>
      <c r="F153" s="8"/>
      <c r="G153" s="8"/>
      <c r="H153" s="183"/>
      <c r="I153" s="183"/>
      <c r="J153" s="183"/>
      <c r="K153" s="9"/>
    </row>
    <row r="154" spans="1:11" ht="16.5" customHeight="1" x14ac:dyDescent="0.35">
      <c r="A154" s="19">
        <v>99</v>
      </c>
      <c r="B154" s="131">
        <v>149.94425863991083</v>
      </c>
      <c r="C154" s="131"/>
      <c r="D154" s="129"/>
      <c r="E154" s="130"/>
      <c r="F154" s="8"/>
      <c r="G154" s="8"/>
      <c r="H154" s="183"/>
      <c r="I154" s="183"/>
      <c r="J154" s="183"/>
      <c r="K154" s="9"/>
    </row>
    <row r="155" spans="1:11" ht="16.5" customHeight="1" x14ac:dyDescent="0.35">
      <c r="A155" s="19">
        <v>100</v>
      </c>
      <c r="B155" s="131">
        <v>149.94425863991083</v>
      </c>
      <c r="C155" s="131"/>
      <c r="D155" s="129"/>
      <c r="E155" s="130"/>
      <c r="F155" s="8"/>
      <c r="G155" s="8"/>
      <c r="H155" s="183"/>
      <c r="I155" s="183"/>
      <c r="J155" s="183"/>
      <c r="K155" s="9"/>
    </row>
    <row r="156" spans="1:11" ht="16.5" customHeight="1" x14ac:dyDescent="0.35">
      <c r="A156" s="19">
        <v>101</v>
      </c>
      <c r="B156" s="131">
        <v>149.94425863991083</v>
      </c>
      <c r="C156" s="131"/>
      <c r="D156" s="129">
        <v>0.49</v>
      </c>
      <c r="E156" s="130"/>
      <c r="F156" s="8">
        <v>0</v>
      </c>
      <c r="G156" s="8">
        <f t="shared" si="7"/>
        <v>0.49</v>
      </c>
      <c r="H156" s="129">
        <v>74.92</v>
      </c>
      <c r="I156" s="132"/>
      <c r="J156" s="130"/>
      <c r="K156" s="9"/>
    </row>
    <row r="157" spans="1:11" ht="16.5" customHeight="1" x14ac:dyDescent="0.35">
      <c r="A157" s="19">
        <v>102</v>
      </c>
      <c r="B157" s="131">
        <v>149.94425863991083</v>
      </c>
      <c r="C157" s="131"/>
      <c r="D157" s="129">
        <v>0.56000000000000005</v>
      </c>
      <c r="E157" s="130"/>
      <c r="F157" s="8">
        <v>0</v>
      </c>
      <c r="G157" s="8">
        <f>D157</f>
        <v>0.56000000000000005</v>
      </c>
      <c r="H157" s="183">
        <v>80.52</v>
      </c>
      <c r="I157" s="183"/>
      <c r="J157" s="183"/>
      <c r="K157" s="9"/>
    </row>
    <row r="158" spans="1:11" ht="16.5" customHeight="1" x14ac:dyDescent="0.35">
      <c r="A158" s="19">
        <v>103</v>
      </c>
      <c r="B158" s="131">
        <v>149.94425863991083</v>
      </c>
      <c r="C158" s="131"/>
      <c r="D158" s="129"/>
      <c r="E158" s="130"/>
      <c r="F158" s="8"/>
      <c r="G158" s="8"/>
      <c r="H158" s="183"/>
      <c r="I158" s="183"/>
      <c r="J158" s="183"/>
      <c r="K158" s="9"/>
    </row>
    <row r="159" spans="1:11" ht="16.5" customHeight="1" x14ac:dyDescent="0.35">
      <c r="A159" s="19">
        <v>104</v>
      </c>
      <c r="B159" s="131">
        <v>149.94425863991083</v>
      </c>
      <c r="C159" s="131"/>
      <c r="D159" s="129"/>
      <c r="E159" s="130"/>
      <c r="F159" s="8"/>
      <c r="G159" s="8"/>
      <c r="H159" s="183"/>
      <c r="I159" s="183"/>
      <c r="J159" s="183"/>
      <c r="K159" s="9"/>
    </row>
    <row r="160" spans="1:11" ht="16.5" customHeight="1" x14ac:dyDescent="0.35">
      <c r="A160" s="19">
        <v>105</v>
      </c>
      <c r="B160" s="131">
        <v>149.94425863991083</v>
      </c>
      <c r="C160" s="131"/>
      <c r="D160" s="129"/>
      <c r="E160" s="130"/>
      <c r="F160" s="8"/>
      <c r="G160" s="8"/>
      <c r="H160" s="183"/>
      <c r="I160" s="183"/>
      <c r="J160" s="183"/>
      <c r="K160" s="9"/>
    </row>
    <row r="161" spans="1:11" ht="16.5" customHeight="1" x14ac:dyDescent="0.35">
      <c r="A161" s="19">
        <v>106</v>
      </c>
      <c r="B161" s="131">
        <v>149.94425863991083</v>
      </c>
      <c r="C161" s="131"/>
      <c r="D161" s="129"/>
      <c r="E161" s="130"/>
      <c r="F161" s="8"/>
      <c r="G161" s="8"/>
      <c r="H161" s="183"/>
      <c r="I161" s="183"/>
      <c r="J161" s="183"/>
      <c r="K161" s="9"/>
    </row>
    <row r="162" spans="1:11" ht="16.5" customHeight="1" x14ac:dyDescent="0.35">
      <c r="A162" s="19">
        <v>107</v>
      </c>
      <c r="B162" s="131">
        <v>149.94425863991083</v>
      </c>
      <c r="C162" s="131"/>
      <c r="D162" s="129"/>
      <c r="E162" s="130"/>
      <c r="F162" s="8"/>
      <c r="G162" s="8"/>
      <c r="H162" s="183"/>
      <c r="I162" s="183"/>
      <c r="J162" s="183"/>
      <c r="K162" s="9"/>
    </row>
    <row r="163" spans="1:11" x14ac:dyDescent="0.35">
      <c r="A163" s="19">
        <v>108</v>
      </c>
      <c r="B163" s="131">
        <v>149.94425863991083</v>
      </c>
      <c r="C163" s="131"/>
      <c r="D163" s="129">
        <v>0.59</v>
      </c>
      <c r="E163" s="130"/>
      <c r="F163" s="8">
        <v>0</v>
      </c>
      <c r="G163" s="8">
        <f>D163+F163</f>
        <v>0.59</v>
      </c>
      <c r="H163" s="183">
        <v>88.54</v>
      </c>
      <c r="I163" s="183"/>
      <c r="J163" s="183"/>
      <c r="K163" s="9"/>
    </row>
    <row r="164" spans="1:11" x14ac:dyDescent="0.35">
      <c r="A164" s="19">
        <v>109</v>
      </c>
      <c r="B164" s="131">
        <v>149.94425863991083</v>
      </c>
      <c r="C164" s="131"/>
      <c r="D164" s="129">
        <v>0.66</v>
      </c>
      <c r="E164" s="130"/>
      <c r="F164" s="8">
        <v>0</v>
      </c>
      <c r="G164" s="8">
        <f t="shared" si="7"/>
        <v>0.66</v>
      </c>
      <c r="H164" s="183">
        <v>100.12</v>
      </c>
      <c r="I164" s="183"/>
      <c r="J164" s="183"/>
      <c r="K164" s="9"/>
    </row>
    <row r="165" spans="1:11" ht="16.5" customHeight="1" x14ac:dyDescent="0.35">
      <c r="A165" s="19">
        <v>110</v>
      </c>
      <c r="B165" s="131">
        <v>149.94425863991083</v>
      </c>
      <c r="C165" s="131"/>
      <c r="D165" s="129"/>
      <c r="E165" s="130"/>
      <c r="F165" s="8"/>
      <c r="G165" s="8"/>
      <c r="H165" s="183"/>
      <c r="I165" s="183"/>
      <c r="J165" s="183"/>
      <c r="K165" s="9"/>
    </row>
    <row r="166" spans="1:11" x14ac:dyDescent="0.35">
      <c r="A166" s="19">
        <v>111</v>
      </c>
      <c r="B166" s="131">
        <v>149.94425863991083</v>
      </c>
      <c r="C166" s="131"/>
      <c r="D166" s="129">
        <v>0.75</v>
      </c>
      <c r="E166" s="130"/>
      <c r="F166" s="8">
        <v>0</v>
      </c>
      <c r="G166" s="8">
        <f t="shared" ref="G166" si="8">D166+F166</f>
        <v>0.75</v>
      </c>
      <c r="H166" s="183">
        <v>150</v>
      </c>
      <c r="I166" s="183"/>
      <c r="J166" s="183"/>
      <c r="K166" s="9"/>
    </row>
    <row r="167" spans="1:11" ht="16.5" customHeight="1" x14ac:dyDescent="0.35">
      <c r="A167" s="19">
        <v>112</v>
      </c>
      <c r="B167" s="131">
        <v>149.94425863991083</v>
      </c>
      <c r="C167" s="131"/>
      <c r="D167" s="129">
        <v>0.91</v>
      </c>
      <c r="E167" s="130"/>
      <c r="F167" s="8">
        <v>0</v>
      </c>
      <c r="G167" s="8">
        <v>0.91</v>
      </c>
      <c r="H167" s="183">
        <v>91.45</v>
      </c>
      <c r="I167" s="183"/>
      <c r="J167" s="183"/>
      <c r="K167" s="9"/>
    </row>
    <row r="168" spans="1:11" ht="16.5" customHeight="1" x14ac:dyDescent="0.35">
      <c r="A168" s="19">
        <v>113</v>
      </c>
      <c r="B168" s="131">
        <v>149.94425863991083</v>
      </c>
      <c r="C168" s="131"/>
      <c r="D168" s="129"/>
      <c r="E168" s="130"/>
      <c r="F168" s="8"/>
      <c r="G168" s="8"/>
      <c r="H168" s="183"/>
      <c r="I168" s="183"/>
      <c r="J168" s="183"/>
      <c r="K168" s="9"/>
    </row>
    <row r="169" spans="1:11" ht="16.5" customHeight="1" x14ac:dyDescent="0.35">
      <c r="A169" s="19">
        <v>114</v>
      </c>
      <c r="B169" s="131">
        <v>149.94425863991083</v>
      </c>
      <c r="C169" s="131"/>
      <c r="D169" s="129">
        <v>0.47</v>
      </c>
      <c r="E169" s="130"/>
      <c r="F169" s="8">
        <v>0</v>
      </c>
      <c r="G169" s="8">
        <v>0.47</v>
      </c>
      <c r="H169" s="183">
        <v>71.53</v>
      </c>
      <c r="I169" s="183"/>
      <c r="J169" s="183"/>
      <c r="K169" s="9"/>
    </row>
    <row r="170" spans="1:11" ht="16.5" customHeight="1" x14ac:dyDescent="0.35">
      <c r="A170" s="19">
        <v>115</v>
      </c>
      <c r="B170" s="131">
        <v>149.94425863991083</v>
      </c>
      <c r="C170" s="131"/>
      <c r="D170" s="129"/>
      <c r="E170" s="130"/>
      <c r="F170" s="8"/>
      <c r="G170" s="8"/>
      <c r="H170" s="183"/>
      <c r="I170" s="183"/>
      <c r="J170" s="183"/>
      <c r="K170" s="9"/>
    </row>
    <row r="171" spans="1:11" ht="16.5" customHeight="1" x14ac:dyDescent="0.35">
      <c r="A171" s="19">
        <v>116</v>
      </c>
      <c r="B171" s="131">
        <v>149.94425863991083</v>
      </c>
      <c r="C171" s="131"/>
      <c r="D171" s="129"/>
      <c r="E171" s="130"/>
      <c r="F171" s="8"/>
      <c r="G171" s="8"/>
      <c r="H171" s="183"/>
      <c r="I171" s="183"/>
      <c r="J171" s="183"/>
      <c r="K171" s="9"/>
    </row>
    <row r="172" spans="1:11" ht="16.5" customHeight="1" x14ac:dyDescent="0.35">
      <c r="A172" s="19">
        <v>117</v>
      </c>
      <c r="B172" s="131">
        <v>149.94425863991083</v>
      </c>
      <c r="C172" s="131"/>
      <c r="D172" s="129"/>
      <c r="E172" s="130"/>
      <c r="F172" s="8"/>
      <c r="G172" s="8"/>
      <c r="H172" s="183"/>
      <c r="I172" s="183"/>
      <c r="J172" s="183"/>
      <c r="K172" s="9"/>
    </row>
    <row r="173" spans="1:11" ht="16.5" customHeight="1" x14ac:dyDescent="0.35">
      <c r="A173" s="19">
        <v>118</v>
      </c>
      <c r="B173" s="131">
        <v>149.94425863991083</v>
      </c>
      <c r="C173" s="131"/>
      <c r="D173" s="129">
        <v>0.28999999999999998</v>
      </c>
      <c r="E173" s="130"/>
      <c r="F173" s="8">
        <v>0</v>
      </c>
      <c r="G173" s="8">
        <v>0.28999999999999998</v>
      </c>
      <c r="H173" s="183">
        <v>92.31</v>
      </c>
      <c r="I173" s="183"/>
      <c r="J173" s="183"/>
      <c r="K173" s="9"/>
    </row>
    <row r="174" spans="1:11" ht="16.5" customHeight="1" x14ac:dyDescent="0.35">
      <c r="A174" s="19">
        <v>119</v>
      </c>
      <c r="B174" s="131">
        <v>149.94425863991083</v>
      </c>
      <c r="C174" s="131"/>
      <c r="D174" s="129"/>
      <c r="E174" s="130"/>
      <c r="F174" s="8"/>
      <c r="G174" s="8"/>
      <c r="H174" s="183"/>
      <c r="I174" s="183"/>
      <c r="J174" s="183"/>
      <c r="K174" s="9"/>
    </row>
    <row r="175" spans="1:11" ht="16.5" customHeight="1" x14ac:dyDescent="0.35">
      <c r="A175" s="19">
        <v>120</v>
      </c>
      <c r="B175" s="131">
        <v>171.96209587513937</v>
      </c>
      <c r="C175" s="131"/>
      <c r="D175" s="129"/>
      <c r="E175" s="130"/>
      <c r="F175" s="8"/>
      <c r="G175" s="8"/>
      <c r="H175" s="183"/>
      <c r="I175" s="183"/>
      <c r="J175" s="183"/>
      <c r="K175" s="9"/>
    </row>
    <row r="176" spans="1:11" s="15" customFormat="1" ht="16.5" customHeight="1" x14ac:dyDescent="0.35">
      <c r="A176" s="19" t="s">
        <v>221</v>
      </c>
      <c r="B176" s="131">
        <v>127.46191007060573</v>
      </c>
      <c r="C176" s="131"/>
      <c r="D176" s="129">
        <v>0.3</v>
      </c>
      <c r="E176" s="130"/>
      <c r="F176" s="8">
        <v>0</v>
      </c>
      <c r="G176" s="8">
        <v>0.3</v>
      </c>
      <c r="H176" s="183">
        <v>78.680000000000007</v>
      </c>
      <c r="I176" s="183"/>
      <c r="J176" s="183"/>
      <c r="K176" s="70"/>
    </row>
    <row r="177" spans="1:11" ht="16.5" customHeight="1" x14ac:dyDescent="0.35">
      <c r="A177" s="19" t="s">
        <v>222</v>
      </c>
      <c r="B177" s="131">
        <v>127.46191007060573</v>
      </c>
      <c r="C177" s="131"/>
      <c r="D177" s="129"/>
      <c r="E177" s="130"/>
      <c r="F177" s="8"/>
      <c r="G177" s="8"/>
      <c r="H177" s="183"/>
      <c r="I177" s="183"/>
      <c r="J177" s="183"/>
      <c r="K177" s="9"/>
    </row>
    <row r="178" spans="1:11" x14ac:dyDescent="0.35">
      <c r="A178" s="19" t="s">
        <v>223</v>
      </c>
      <c r="B178" s="131">
        <v>127.46191007060573</v>
      </c>
      <c r="C178" s="131"/>
      <c r="D178" s="129">
        <v>0.68</v>
      </c>
      <c r="E178" s="130"/>
      <c r="F178" s="8">
        <v>0</v>
      </c>
      <c r="G178" s="8">
        <f t="shared" ref="G178" si="9">D178+F178</f>
        <v>0.68</v>
      </c>
      <c r="H178" s="183">
        <v>143.36000000000001</v>
      </c>
      <c r="I178" s="183"/>
      <c r="J178" s="183"/>
      <c r="K178" s="9"/>
    </row>
    <row r="179" spans="1:11" x14ac:dyDescent="0.35">
      <c r="A179" s="19" t="s">
        <v>224</v>
      </c>
      <c r="B179" s="131">
        <v>127.46191007060573</v>
      </c>
      <c r="C179" s="131"/>
      <c r="D179" s="129">
        <v>0.68</v>
      </c>
      <c r="E179" s="130"/>
      <c r="F179" s="8">
        <v>0</v>
      </c>
      <c r="G179" s="8">
        <f t="shared" ref="G179" si="10">D179+F179</f>
        <v>0.68</v>
      </c>
      <c r="H179" s="183">
        <v>143.36000000000001</v>
      </c>
      <c r="I179" s="183"/>
      <c r="J179" s="183"/>
      <c r="K179" s="9"/>
    </row>
    <row r="180" spans="1:11" ht="16.5" customHeight="1" x14ac:dyDescent="0.35">
      <c r="A180" s="19" t="s">
        <v>225</v>
      </c>
      <c r="B180" s="131">
        <v>127.46191007060573</v>
      </c>
      <c r="C180" s="131"/>
      <c r="D180" s="129"/>
      <c r="E180" s="130"/>
      <c r="F180" s="8"/>
      <c r="G180" s="8"/>
      <c r="H180" s="183"/>
      <c r="I180" s="183"/>
      <c r="J180" s="183"/>
      <c r="K180" s="9"/>
    </row>
    <row r="181" spans="1:11" ht="16.5" customHeight="1" x14ac:dyDescent="0.35">
      <c r="A181" s="19" t="s">
        <v>226</v>
      </c>
      <c r="B181" s="131">
        <v>127.46191007060573</v>
      </c>
      <c r="C181" s="131"/>
      <c r="D181" s="129"/>
      <c r="E181" s="130"/>
      <c r="F181" s="8"/>
      <c r="G181" s="8"/>
      <c r="H181" s="183"/>
      <c r="I181" s="183"/>
      <c r="J181" s="183"/>
      <c r="K181" s="9"/>
    </row>
    <row r="182" spans="1:11" ht="16.5" customHeight="1" x14ac:dyDescent="0.35">
      <c r="A182" s="19" t="s">
        <v>227</v>
      </c>
      <c r="B182" s="131">
        <v>127.46191007060573</v>
      </c>
      <c r="C182" s="131"/>
      <c r="D182" s="129"/>
      <c r="E182" s="130"/>
      <c r="F182" s="8"/>
      <c r="G182" s="8"/>
      <c r="H182" s="183"/>
      <c r="I182" s="183"/>
      <c r="J182" s="183"/>
      <c r="K182" s="9"/>
    </row>
    <row r="183" spans="1:11" ht="16.5" customHeight="1" x14ac:dyDescent="0.35">
      <c r="A183" s="19" t="s">
        <v>228</v>
      </c>
      <c r="B183" s="131">
        <v>127.461910070606</v>
      </c>
      <c r="C183" s="131"/>
      <c r="D183" s="129"/>
      <c r="E183" s="130"/>
      <c r="F183" s="8"/>
      <c r="G183" s="8"/>
      <c r="H183" s="183"/>
      <c r="I183" s="183"/>
      <c r="J183" s="183"/>
      <c r="K183" s="9"/>
    </row>
    <row r="184" spans="1:11" ht="16.5" customHeight="1" x14ac:dyDescent="0.35">
      <c r="A184" s="19" t="s">
        <v>229</v>
      </c>
      <c r="B184" s="131">
        <v>127.46191007060573</v>
      </c>
      <c r="C184" s="131"/>
      <c r="D184" s="184">
        <v>0.28000000000000003</v>
      </c>
      <c r="E184" s="185"/>
      <c r="F184" s="194">
        <v>0</v>
      </c>
      <c r="G184" s="194">
        <f>D184+F184</f>
        <v>0.28000000000000003</v>
      </c>
      <c r="H184" s="184">
        <v>72.37</v>
      </c>
      <c r="I184" s="190"/>
      <c r="J184" s="185"/>
      <c r="K184" s="9"/>
    </row>
    <row r="185" spans="1:11" ht="16.5" customHeight="1" x14ac:dyDescent="0.35">
      <c r="A185" s="19" t="s">
        <v>181</v>
      </c>
      <c r="B185" s="131">
        <v>127.46191007060573</v>
      </c>
      <c r="C185" s="131"/>
      <c r="D185" s="186"/>
      <c r="E185" s="187"/>
      <c r="F185" s="195"/>
      <c r="G185" s="195"/>
      <c r="H185" s="186"/>
      <c r="I185" s="191"/>
      <c r="J185" s="187"/>
      <c r="K185" s="9"/>
    </row>
    <row r="186" spans="1:11" ht="16.5" customHeight="1" x14ac:dyDescent="0.35">
      <c r="A186" s="19" t="s">
        <v>230</v>
      </c>
      <c r="B186" s="131">
        <v>127.46191007060573</v>
      </c>
      <c r="C186" s="131"/>
      <c r="D186" s="129"/>
      <c r="E186" s="130"/>
      <c r="F186" s="8"/>
      <c r="G186" s="8"/>
      <c r="H186" s="183"/>
      <c r="I186" s="183"/>
      <c r="J186" s="183"/>
      <c r="K186" s="9"/>
    </row>
    <row r="187" spans="1:11" ht="16.5" customHeight="1" x14ac:dyDescent="0.35">
      <c r="A187" s="19" t="s">
        <v>231</v>
      </c>
      <c r="B187" s="131">
        <v>127.46191007060573</v>
      </c>
      <c r="C187" s="131"/>
      <c r="D187" s="129">
        <v>0.33</v>
      </c>
      <c r="E187" s="130"/>
      <c r="F187" s="8">
        <v>0</v>
      </c>
      <c r="G187" s="8">
        <f>D187+F187</f>
        <v>0.33</v>
      </c>
      <c r="H187" s="183">
        <f>84.15</f>
        <v>84.15</v>
      </c>
      <c r="I187" s="183"/>
      <c r="J187" s="183"/>
      <c r="K187" s="9"/>
    </row>
    <row r="188" spans="1:11" ht="16.5" customHeight="1" x14ac:dyDescent="0.35">
      <c r="A188" s="19">
        <v>127</v>
      </c>
      <c r="B188" s="131">
        <v>254.92382014121145</v>
      </c>
      <c r="C188" s="131"/>
      <c r="D188" s="129">
        <v>0.6</v>
      </c>
      <c r="E188" s="130"/>
      <c r="F188" s="8">
        <v>0</v>
      </c>
      <c r="G188" s="8">
        <v>0.6</v>
      </c>
      <c r="H188" s="183">
        <v>154</v>
      </c>
      <c r="I188" s="183"/>
      <c r="J188" s="183"/>
      <c r="K188" s="9"/>
    </row>
    <row r="189" spans="1:11" x14ac:dyDescent="0.35">
      <c r="A189" s="19">
        <v>128</v>
      </c>
      <c r="B189" s="131">
        <v>262.91341508732802</v>
      </c>
      <c r="C189" s="131"/>
      <c r="D189" s="129">
        <v>0.4</v>
      </c>
      <c r="E189" s="130"/>
      <c r="F189" s="8">
        <v>0</v>
      </c>
      <c r="G189" s="8">
        <f t="shared" si="7"/>
        <v>0.4</v>
      </c>
      <c r="H189" s="183">
        <v>106</v>
      </c>
      <c r="I189" s="183"/>
      <c r="J189" s="183"/>
      <c r="K189" s="9"/>
    </row>
    <row r="190" spans="1:11" hidden="1" x14ac:dyDescent="0.35">
      <c r="A190" s="8">
        <v>110</v>
      </c>
      <c r="B190" s="125">
        <v>150</v>
      </c>
      <c r="C190" s="125"/>
      <c r="D190" s="129"/>
      <c r="E190" s="130"/>
      <c r="F190" s="8">
        <v>0</v>
      </c>
      <c r="G190" s="8">
        <f t="shared" si="6"/>
        <v>0</v>
      </c>
      <c r="H190" s="183"/>
      <c r="I190" s="183"/>
      <c r="J190" s="183"/>
      <c r="K190" s="9">
        <f>H190/B190</f>
        <v>0</v>
      </c>
    </row>
    <row r="191" spans="1:11" hidden="1" x14ac:dyDescent="0.35">
      <c r="A191" s="8">
        <v>119</v>
      </c>
      <c r="B191" s="125">
        <v>150</v>
      </c>
      <c r="C191" s="125"/>
      <c r="D191" s="129"/>
      <c r="E191" s="130"/>
      <c r="F191" s="8">
        <v>0</v>
      </c>
      <c r="G191" s="8">
        <f t="shared" si="6"/>
        <v>0</v>
      </c>
      <c r="H191" s="183"/>
      <c r="I191" s="183"/>
      <c r="J191" s="183"/>
      <c r="K191" s="9">
        <f>H191/B191</f>
        <v>0</v>
      </c>
    </row>
    <row r="192" spans="1:11" hidden="1" x14ac:dyDescent="0.35">
      <c r="A192" s="8">
        <v>120</v>
      </c>
      <c r="B192" s="125">
        <v>172</v>
      </c>
      <c r="C192" s="125"/>
      <c r="D192" s="129"/>
      <c r="E192" s="130"/>
      <c r="F192" s="8">
        <v>0</v>
      </c>
      <c r="G192" s="8">
        <f t="shared" si="6"/>
        <v>0</v>
      </c>
      <c r="H192" s="183"/>
      <c r="I192" s="183"/>
      <c r="J192" s="183"/>
      <c r="K192" s="9">
        <f>H192/B192</f>
        <v>0</v>
      </c>
    </row>
    <row r="193" spans="1:11" x14ac:dyDescent="0.35">
      <c r="A193" s="118" t="s">
        <v>18</v>
      </c>
      <c r="B193" s="119"/>
      <c r="C193" s="119"/>
      <c r="D193" s="119"/>
      <c r="E193" s="120"/>
      <c r="F193" s="118" t="s">
        <v>346</v>
      </c>
      <c r="G193" s="119"/>
      <c r="H193" s="119"/>
      <c r="I193" s="119"/>
      <c r="J193" s="120"/>
    </row>
    <row r="194" spans="1:11" x14ac:dyDescent="0.35">
      <c r="A194" s="197" t="s">
        <v>52</v>
      </c>
      <c r="B194" s="197"/>
      <c r="C194" s="197"/>
      <c r="D194" s="197"/>
      <c r="E194" s="197"/>
      <c r="F194" s="197"/>
      <c r="G194" s="197"/>
      <c r="H194" s="197"/>
      <c r="I194" s="197"/>
      <c r="J194" s="197"/>
    </row>
    <row r="195" spans="1:11" ht="18" customHeight="1" x14ac:dyDescent="0.35">
      <c r="A195" s="114" t="s">
        <v>51</v>
      </c>
      <c r="B195" s="114"/>
      <c r="C195" s="122" t="s">
        <v>127</v>
      </c>
      <c r="D195" s="122"/>
      <c r="E195" s="122"/>
      <c r="F195" s="122"/>
      <c r="G195" s="10" t="s">
        <v>44</v>
      </c>
      <c r="H195" s="230" t="s">
        <v>128</v>
      </c>
      <c r="I195" s="230"/>
      <c r="J195" s="230"/>
    </row>
    <row r="196" spans="1:11" ht="31.5" customHeight="1" x14ac:dyDescent="0.35">
      <c r="A196" s="114" t="s">
        <v>115</v>
      </c>
      <c r="B196" s="114"/>
      <c r="C196" s="122" t="s">
        <v>141</v>
      </c>
      <c r="D196" s="122"/>
      <c r="E196" s="122"/>
      <c r="F196" s="122"/>
      <c r="G196" s="10" t="s">
        <v>44</v>
      </c>
      <c r="H196" s="230" t="s">
        <v>116</v>
      </c>
      <c r="I196" s="230"/>
      <c r="J196" s="230"/>
    </row>
    <row r="197" spans="1:11" ht="292.5" customHeight="1" x14ac:dyDescent="0.35">
      <c r="A197" s="114" t="s">
        <v>142</v>
      </c>
      <c r="B197" s="114"/>
      <c r="C197" s="122" t="s">
        <v>342</v>
      </c>
      <c r="D197" s="122"/>
      <c r="E197" s="122"/>
      <c r="F197" s="122"/>
      <c r="G197" s="107" t="s">
        <v>44</v>
      </c>
      <c r="H197" s="121" t="s">
        <v>362</v>
      </c>
      <c r="I197" s="122"/>
      <c r="J197" s="122"/>
    </row>
    <row r="198" spans="1:11" x14ac:dyDescent="0.35">
      <c r="A198" s="115" t="s">
        <v>103</v>
      </c>
      <c r="B198" s="117"/>
      <c r="C198" s="126" t="s">
        <v>127</v>
      </c>
      <c r="D198" s="127"/>
      <c r="E198" s="127"/>
      <c r="F198" s="128" t="s">
        <v>96</v>
      </c>
      <c r="G198" s="11" t="s">
        <v>44</v>
      </c>
      <c r="H198" s="249" t="s">
        <v>128</v>
      </c>
      <c r="I198" s="250"/>
      <c r="J198" s="251"/>
    </row>
    <row r="199" spans="1:11" x14ac:dyDescent="0.35">
      <c r="A199" s="115" t="s">
        <v>97</v>
      </c>
      <c r="B199" s="117"/>
      <c r="C199" s="126" t="s">
        <v>36</v>
      </c>
      <c r="D199" s="127"/>
      <c r="E199" s="127"/>
      <c r="F199" s="128" t="s">
        <v>98</v>
      </c>
      <c r="G199" s="11" t="s">
        <v>44</v>
      </c>
      <c r="H199" s="249" t="s">
        <v>36</v>
      </c>
      <c r="I199" s="250"/>
      <c r="J199" s="251"/>
    </row>
    <row r="200" spans="1:11" x14ac:dyDescent="0.35">
      <c r="A200" s="198" t="s">
        <v>56</v>
      </c>
      <c r="B200" s="198"/>
      <c r="C200" s="198"/>
      <c r="D200" s="229" t="str">
        <f>H198</f>
        <v>09/12/2015.</v>
      </c>
      <c r="E200" s="199"/>
      <c r="F200" s="118" t="s">
        <v>53</v>
      </c>
      <c r="G200" s="256"/>
      <c r="H200" s="201">
        <v>46022</v>
      </c>
      <c r="I200" s="119"/>
      <c r="J200" s="120"/>
    </row>
    <row r="201" spans="1:11" x14ac:dyDescent="0.35">
      <c r="A201" s="226" t="s">
        <v>19</v>
      </c>
      <c r="B201" s="227"/>
      <c r="C201" s="227"/>
      <c r="D201" s="227"/>
      <c r="E201" s="227"/>
      <c r="F201" s="227"/>
      <c r="G201" s="227"/>
      <c r="H201" s="227"/>
      <c r="I201" s="227"/>
      <c r="J201" s="228"/>
    </row>
    <row r="202" spans="1:11" x14ac:dyDescent="0.35">
      <c r="A202" s="118" t="s">
        <v>81</v>
      </c>
      <c r="B202" s="119"/>
      <c r="C202" s="120"/>
      <c r="D202" s="224">
        <f>SUM(H129:J192)</f>
        <v>2266.3000000000002</v>
      </c>
      <c r="E202" s="225"/>
      <c r="F202" s="114" t="s">
        <v>88</v>
      </c>
      <c r="G202" s="114"/>
      <c r="H202" s="114"/>
      <c r="I202" s="183" t="str">
        <f>F193</f>
        <v>60 Villas</v>
      </c>
      <c r="J202" s="183"/>
    </row>
    <row r="203" spans="1:11" ht="72.75" customHeight="1" x14ac:dyDescent="0.35">
      <c r="A203" s="123" t="s">
        <v>54</v>
      </c>
      <c r="B203" s="124"/>
      <c r="C203" s="171" t="s">
        <v>345</v>
      </c>
      <c r="D203" s="172"/>
      <c r="E203" s="172"/>
      <c r="F203" s="172"/>
      <c r="G203" s="172"/>
      <c r="H203" s="172"/>
      <c r="I203" s="172"/>
      <c r="J203" s="173"/>
    </row>
    <row r="204" spans="1:11" ht="15" customHeight="1" thickBot="1" x14ac:dyDescent="0.4">
      <c r="A204" s="231" t="s">
        <v>239</v>
      </c>
      <c r="B204" s="231"/>
      <c r="C204" s="231"/>
      <c r="D204" s="231"/>
      <c r="E204" s="231"/>
      <c r="F204" s="231"/>
      <c r="G204" s="231"/>
      <c r="H204" s="231"/>
      <c r="I204" s="231"/>
      <c r="J204" s="231"/>
    </row>
    <row r="205" spans="1:11" ht="31.5" customHeight="1" x14ac:dyDescent="0.35">
      <c r="A205" s="110" t="s">
        <v>100</v>
      </c>
      <c r="B205" s="111"/>
      <c r="C205" s="112"/>
      <c r="D205" s="110" t="s">
        <v>240</v>
      </c>
      <c r="E205" s="111"/>
      <c r="F205" s="112"/>
      <c r="G205" s="257" t="s">
        <v>349</v>
      </c>
      <c r="H205" s="257"/>
      <c r="I205" s="257" t="s">
        <v>350</v>
      </c>
      <c r="J205" s="258"/>
    </row>
    <row r="206" spans="1:11" s="93" customFormat="1" ht="159" customHeight="1" x14ac:dyDescent="0.35">
      <c r="A206" s="113" t="s">
        <v>363</v>
      </c>
      <c r="B206" s="113"/>
      <c r="C206" s="113"/>
      <c r="D206" s="113" t="s">
        <v>291</v>
      </c>
      <c r="E206" s="113"/>
      <c r="F206" s="113"/>
      <c r="G206" s="113">
        <v>1</v>
      </c>
      <c r="H206" s="182"/>
      <c r="I206" s="113">
        <v>1</v>
      </c>
      <c r="J206" s="182"/>
    </row>
    <row r="207" spans="1:11" ht="15" customHeight="1" x14ac:dyDescent="0.35">
      <c r="A207" s="108" t="s">
        <v>100</v>
      </c>
      <c r="B207" s="232" t="s">
        <v>240</v>
      </c>
      <c r="C207" s="232"/>
      <c r="D207" s="232"/>
      <c r="E207" s="232"/>
      <c r="F207" s="232"/>
      <c r="G207" s="232" t="s">
        <v>158</v>
      </c>
      <c r="H207" s="232"/>
      <c r="I207" s="232" t="s">
        <v>159</v>
      </c>
      <c r="J207" s="232"/>
    </row>
    <row r="208" spans="1:11" hidden="1" x14ac:dyDescent="0.35">
      <c r="A208" s="44">
        <f>'C%'!A2</f>
        <v>1</v>
      </c>
      <c r="B208" s="154" t="str">
        <f>'C%'!R2</f>
        <v>All work completed. Please provide OC.</v>
      </c>
      <c r="C208" s="155"/>
      <c r="D208" s="155"/>
      <c r="E208" s="155"/>
      <c r="F208" s="156"/>
      <c r="G208" s="152">
        <f>'C%'!P2</f>
        <v>1</v>
      </c>
      <c r="H208" s="157"/>
      <c r="I208" s="152">
        <f>'C%'!Q2</f>
        <v>1</v>
      </c>
      <c r="J208" s="153"/>
      <c r="K208" s="6">
        <v>1</v>
      </c>
    </row>
    <row r="209" spans="1:11" ht="15" hidden="1" customHeight="1" x14ac:dyDescent="0.35">
      <c r="A209" s="44">
        <f>'C%'!A3</f>
        <v>2</v>
      </c>
      <c r="B209" s="154">
        <f>'C%'!R3</f>
        <v>0</v>
      </c>
      <c r="C209" s="155"/>
      <c r="D209" s="155"/>
      <c r="E209" s="155"/>
      <c r="F209" s="156"/>
      <c r="G209" s="152">
        <f>'C%'!P3</f>
        <v>0</v>
      </c>
      <c r="H209" s="157"/>
      <c r="I209" s="152">
        <f>'C%'!Q3</f>
        <v>0</v>
      </c>
      <c r="J209" s="153"/>
    </row>
    <row r="210" spans="1:11" ht="15" hidden="1" customHeight="1" x14ac:dyDescent="0.35">
      <c r="A210" s="44">
        <f>'C%'!A4</f>
        <v>3</v>
      </c>
      <c r="B210" s="154">
        <f>'C%'!R4</f>
        <v>0</v>
      </c>
      <c r="C210" s="155"/>
      <c r="D210" s="155"/>
      <c r="E210" s="155"/>
      <c r="F210" s="156"/>
      <c r="G210" s="152">
        <f>'C%'!P4</f>
        <v>0</v>
      </c>
      <c r="H210" s="157"/>
      <c r="I210" s="152">
        <f>'C%'!Q4</f>
        <v>0</v>
      </c>
      <c r="J210" s="153"/>
    </row>
    <row r="211" spans="1:11" ht="15" hidden="1" customHeight="1" x14ac:dyDescent="0.35">
      <c r="A211" s="44">
        <f>'C%'!A5</f>
        <v>4</v>
      </c>
      <c r="B211" s="154">
        <f>'C%'!R5</f>
        <v>0</v>
      </c>
      <c r="C211" s="155"/>
      <c r="D211" s="155"/>
      <c r="E211" s="155"/>
      <c r="F211" s="156"/>
      <c r="G211" s="152">
        <f>'C%'!P5</f>
        <v>0</v>
      </c>
      <c r="H211" s="157"/>
      <c r="I211" s="152">
        <f>'C%'!Q5</f>
        <v>0</v>
      </c>
      <c r="J211" s="153"/>
    </row>
    <row r="212" spans="1:11" ht="15" hidden="1" customHeight="1" x14ac:dyDescent="0.35">
      <c r="A212" s="44">
        <f>'C%'!A6</f>
        <v>5</v>
      </c>
      <c r="B212" s="154">
        <f>'C%'!R6</f>
        <v>0</v>
      </c>
      <c r="C212" s="155"/>
      <c r="D212" s="155"/>
      <c r="E212" s="155"/>
      <c r="F212" s="156"/>
      <c r="G212" s="152">
        <f>'C%'!P6</f>
        <v>0</v>
      </c>
      <c r="H212" s="157"/>
      <c r="I212" s="152">
        <f>'C%'!Q6</f>
        <v>0</v>
      </c>
      <c r="J212" s="153"/>
    </row>
    <row r="213" spans="1:11" ht="15" hidden="1" customHeight="1" x14ac:dyDescent="0.35">
      <c r="A213" s="44">
        <f>'C%'!A7</f>
        <v>6</v>
      </c>
      <c r="B213" s="154">
        <f>'C%'!R7</f>
        <v>0</v>
      </c>
      <c r="C213" s="155"/>
      <c r="D213" s="155"/>
      <c r="E213" s="155"/>
      <c r="F213" s="156"/>
      <c r="G213" s="152">
        <f>'C%'!P7</f>
        <v>0</v>
      </c>
      <c r="H213" s="157"/>
      <c r="I213" s="152">
        <f>'C%'!Q7</f>
        <v>0</v>
      </c>
      <c r="J213" s="153"/>
    </row>
    <row r="214" spans="1:11" ht="15" hidden="1" customHeight="1" x14ac:dyDescent="0.35">
      <c r="A214" s="44">
        <f>'C%'!A8</f>
        <v>7</v>
      </c>
      <c r="B214" s="154">
        <f>'C%'!R8</f>
        <v>0</v>
      </c>
      <c r="C214" s="155"/>
      <c r="D214" s="155"/>
      <c r="E214" s="155"/>
      <c r="F214" s="156"/>
      <c r="G214" s="152">
        <f>'C%'!P8</f>
        <v>0</v>
      </c>
      <c r="H214" s="157"/>
      <c r="I214" s="152">
        <f>'C%'!Q8</f>
        <v>0</v>
      </c>
      <c r="J214" s="153"/>
    </row>
    <row r="215" spans="1:11" ht="15" hidden="1" customHeight="1" x14ac:dyDescent="0.35">
      <c r="A215" s="44">
        <f>'C%'!A9</f>
        <v>8</v>
      </c>
      <c r="B215" s="154">
        <f>'C%'!R9</f>
        <v>0</v>
      </c>
      <c r="C215" s="155"/>
      <c r="D215" s="155"/>
      <c r="E215" s="155"/>
      <c r="F215" s="156"/>
      <c r="G215" s="152">
        <f>'C%'!P9</f>
        <v>0</v>
      </c>
      <c r="H215" s="157"/>
      <c r="I215" s="152">
        <f>'C%'!Q9</f>
        <v>0</v>
      </c>
      <c r="J215" s="153"/>
    </row>
    <row r="216" spans="1:11" ht="15" hidden="1" customHeight="1" x14ac:dyDescent="0.35">
      <c r="A216" s="44">
        <f>'C%'!A10</f>
        <v>9</v>
      </c>
      <c r="B216" s="154">
        <f>'C%'!R10</f>
        <v>0</v>
      </c>
      <c r="C216" s="155"/>
      <c r="D216" s="155"/>
      <c r="E216" s="155"/>
      <c r="F216" s="156"/>
      <c r="G216" s="152">
        <f>'C%'!P10</f>
        <v>0</v>
      </c>
      <c r="H216" s="157"/>
      <c r="I216" s="152">
        <f>'C%'!Q10</f>
        <v>0</v>
      </c>
      <c r="J216" s="153"/>
    </row>
    <row r="217" spans="1:11" hidden="1" x14ac:dyDescent="0.35">
      <c r="A217" s="44">
        <f>'C%'!A11</f>
        <v>10</v>
      </c>
      <c r="B217" s="154" t="str">
        <f>'C%'!R11</f>
        <v>All work completed. Please provide OC.</v>
      </c>
      <c r="C217" s="155"/>
      <c r="D217" s="155"/>
      <c r="E217" s="155"/>
      <c r="F217" s="156"/>
      <c r="G217" s="152">
        <f>'C%'!P11</f>
        <v>1</v>
      </c>
      <c r="H217" s="157"/>
      <c r="I217" s="152">
        <f>'C%'!Q11</f>
        <v>1</v>
      </c>
      <c r="J217" s="153"/>
    </row>
    <row r="218" spans="1:11" ht="37.5" hidden="1" customHeight="1" x14ac:dyDescent="0.35">
      <c r="A218" s="44">
        <f>'C%'!A12</f>
        <v>11</v>
      </c>
      <c r="B218" s="154">
        <f>'C%'!R12</f>
        <v>0</v>
      </c>
      <c r="C218" s="155"/>
      <c r="D218" s="155"/>
      <c r="E218" s="155"/>
      <c r="F218" s="156"/>
      <c r="G218" s="152">
        <f>'C%'!P12</f>
        <v>0</v>
      </c>
      <c r="H218" s="157"/>
      <c r="I218" s="152">
        <f>'C%'!Q12</f>
        <v>0</v>
      </c>
      <c r="J218" s="153"/>
    </row>
    <row r="219" spans="1:11" ht="33.75" hidden="1" customHeight="1" x14ac:dyDescent="0.35">
      <c r="A219" s="44">
        <f>'C%'!A13</f>
        <v>12</v>
      </c>
      <c r="B219" s="154">
        <f>'C%'!R13</f>
        <v>0</v>
      </c>
      <c r="C219" s="155"/>
      <c r="D219" s="155"/>
      <c r="E219" s="155"/>
      <c r="F219" s="156"/>
      <c r="G219" s="152">
        <f>'C%'!P13</f>
        <v>0</v>
      </c>
      <c r="H219" s="157"/>
      <c r="I219" s="152">
        <f>'C%'!Q13</f>
        <v>0</v>
      </c>
      <c r="J219" s="153"/>
    </row>
    <row r="220" spans="1:11" ht="33.75" hidden="1" customHeight="1" x14ac:dyDescent="0.35">
      <c r="A220" s="44">
        <f>'C%'!A14</f>
        <v>13</v>
      </c>
      <c r="B220" s="154">
        <f>'C%'!R14</f>
        <v>0</v>
      </c>
      <c r="C220" s="155"/>
      <c r="D220" s="155"/>
      <c r="E220" s="155"/>
      <c r="F220" s="156"/>
      <c r="G220" s="152">
        <f>'C%'!P14</f>
        <v>0</v>
      </c>
      <c r="H220" s="157"/>
      <c r="I220" s="152">
        <f>'C%'!Q14</f>
        <v>0</v>
      </c>
      <c r="J220" s="153"/>
    </row>
    <row r="221" spans="1:11" ht="41.25" hidden="1" customHeight="1" x14ac:dyDescent="0.35">
      <c r="A221" s="44">
        <f>'C%'!A15</f>
        <v>14</v>
      </c>
      <c r="B221" s="154">
        <f>'C%'!R15</f>
        <v>0</v>
      </c>
      <c r="C221" s="155"/>
      <c r="D221" s="155"/>
      <c r="E221" s="155"/>
      <c r="F221" s="156"/>
      <c r="G221" s="152">
        <f>'C%'!P15</f>
        <v>0</v>
      </c>
      <c r="H221" s="157"/>
      <c r="I221" s="152">
        <f>'C%'!Q15</f>
        <v>0</v>
      </c>
      <c r="J221" s="153"/>
    </row>
    <row r="222" spans="1:11" ht="63.75" hidden="1" customHeight="1" x14ac:dyDescent="0.35">
      <c r="A222" s="44">
        <f>'C%'!A16</f>
        <v>15</v>
      </c>
      <c r="B222" s="154">
        <f>'C%'!R16</f>
        <v>0</v>
      </c>
      <c r="C222" s="155"/>
      <c r="D222" s="155"/>
      <c r="E222" s="155"/>
      <c r="F222" s="156"/>
      <c r="G222" s="152">
        <f>'C%'!P16</f>
        <v>0</v>
      </c>
      <c r="H222" s="157"/>
      <c r="I222" s="152">
        <f>'C%'!Q16</f>
        <v>0</v>
      </c>
      <c r="J222" s="153"/>
    </row>
    <row r="223" spans="1:11" hidden="1" x14ac:dyDescent="0.35">
      <c r="A223" s="44">
        <f>'C%'!A17</f>
        <v>16</v>
      </c>
      <c r="B223" s="154" t="str">
        <f>'C%'!R17</f>
        <v>All work completed. Please provide OC.</v>
      </c>
      <c r="C223" s="155"/>
      <c r="D223" s="155"/>
      <c r="E223" s="155"/>
      <c r="F223" s="156"/>
      <c r="G223" s="152">
        <f>'C%'!P17</f>
        <v>1</v>
      </c>
      <c r="H223" s="157"/>
      <c r="I223" s="152">
        <f>'C%'!Q17</f>
        <v>1</v>
      </c>
      <c r="J223" s="153"/>
      <c r="K223" s="6">
        <v>1</v>
      </c>
    </row>
    <row r="224" spans="1:11" hidden="1" x14ac:dyDescent="0.35">
      <c r="A224" s="44">
        <f>'C%'!A18</f>
        <v>17</v>
      </c>
      <c r="B224" s="154" t="str">
        <f>'C%'!R18</f>
        <v>All work completed. Please provide OC.</v>
      </c>
      <c r="C224" s="155"/>
      <c r="D224" s="155"/>
      <c r="E224" s="155"/>
      <c r="F224" s="156"/>
      <c r="G224" s="152">
        <f>'C%'!P18</f>
        <v>1</v>
      </c>
      <c r="H224" s="157"/>
      <c r="I224" s="152">
        <f>'C%'!Q18</f>
        <v>1</v>
      </c>
      <c r="J224" s="153"/>
      <c r="K224" s="6">
        <v>1</v>
      </c>
    </row>
    <row r="225" spans="1:11" hidden="1" x14ac:dyDescent="0.35">
      <c r="A225" s="44">
        <f>'C%'!A19</f>
        <v>18</v>
      </c>
      <c r="B225" s="154">
        <f>'C%'!R19</f>
        <v>0</v>
      </c>
      <c r="C225" s="155"/>
      <c r="D225" s="155"/>
      <c r="E225" s="155"/>
      <c r="F225" s="156"/>
      <c r="G225" s="152">
        <f>'C%'!P19</f>
        <v>0</v>
      </c>
      <c r="H225" s="157"/>
      <c r="I225" s="152">
        <f>'C%'!Q19</f>
        <v>0</v>
      </c>
      <c r="J225" s="153"/>
    </row>
    <row r="226" spans="1:11" hidden="1" x14ac:dyDescent="0.35">
      <c r="A226" s="44" t="str">
        <f>'C%'!A20</f>
        <v>19A</v>
      </c>
      <c r="B226" s="154" t="str">
        <f>'C%'!R20</f>
        <v>All work completed. Please provide OC.</v>
      </c>
      <c r="C226" s="155"/>
      <c r="D226" s="155"/>
      <c r="E226" s="155"/>
      <c r="F226" s="156"/>
      <c r="G226" s="152">
        <f>'C%'!P20</f>
        <v>1</v>
      </c>
      <c r="H226" s="157"/>
      <c r="I226" s="152">
        <f>'C%'!Q20</f>
        <v>1</v>
      </c>
      <c r="J226" s="153"/>
      <c r="K226" s="6">
        <v>1</v>
      </c>
    </row>
    <row r="227" spans="1:11" ht="15" hidden="1" customHeight="1" x14ac:dyDescent="0.35">
      <c r="A227" s="44" t="str">
        <f>'C%'!A21</f>
        <v>19B</v>
      </c>
      <c r="B227" s="154">
        <f>'C%'!R21</f>
        <v>0</v>
      </c>
      <c r="C227" s="155"/>
      <c r="D227" s="155"/>
      <c r="E227" s="155"/>
      <c r="F227" s="156"/>
      <c r="G227" s="152">
        <f>'C%'!P21</f>
        <v>0</v>
      </c>
      <c r="H227" s="157"/>
      <c r="I227" s="152">
        <f>'C%'!Q21</f>
        <v>0</v>
      </c>
      <c r="J227" s="153"/>
    </row>
    <row r="228" spans="1:11" ht="15" hidden="1" customHeight="1" x14ac:dyDescent="0.35">
      <c r="A228" s="44" t="str">
        <f>'C%'!A22</f>
        <v>20A</v>
      </c>
      <c r="B228" s="154">
        <f>'C%'!R22</f>
        <v>0</v>
      </c>
      <c r="C228" s="155"/>
      <c r="D228" s="155"/>
      <c r="E228" s="155"/>
      <c r="F228" s="156"/>
      <c r="G228" s="152">
        <f>'C%'!P22</f>
        <v>0</v>
      </c>
      <c r="H228" s="157"/>
      <c r="I228" s="152">
        <f>'C%'!Q22</f>
        <v>0</v>
      </c>
      <c r="J228" s="153"/>
    </row>
    <row r="229" spans="1:11" ht="15" hidden="1" customHeight="1" x14ac:dyDescent="0.35">
      <c r="A229" s="44" t="str">
        <f>'C%'!A23</f>
        <v>20B</v>
      </c>
      <c r="B229" s="154">
        <f>'C%'!R23</f>
        <v>0</v>
      </c>
      <c r="C229" s="155"/>
      <c r="D229" s="155"/>
      <c r="E229" s="155"/>
      <c r="F229" s="156"/>
      <c r="G229" s="152">
        <f>'C%'!P23</f>
        <v>0</v>
      </c>
      <c r="H229" s="157"/>
      <c r="I229" s="152">
        <f>'C%'!Q23</f>
        <v>0</v>
      </c>
      <c r="J229" s="153"/>
    </row>
    <row r="230" spans="1:11" ht="15" hidden="1" customHeight="1" x14ac:dyDescent="0.35">
      <c r="A230" s="44" t="str">
        <f>'C%'!A24</f>
        <v>21A</v>
      </c>
      <c r="B230" s="154">
        <f>'C%'!R24</f>
        <v>0</v>
      </c>
      <c r="C230" s="155"/>
      <c r="D230" s="155"/>
      <c r="E230" s="155"/>
      <c r="F230" s="156"/>
      <c r="G230" s="152">
        <f>'C%'!P24</f>
        <v>0</v>
      </c>
      <c r="H230" s="157"/>
      <c r="I230" s="152">
        <f>'C%'!Q24</f>
        <v>0</v>
      </c>
      <c r="J230" s="153"/>
    </row>
    <row r="231" spans="1:11" ht="15" hidden="1" customHeight="1" x14ac:dyDescent="0.35">
      <c r="A231" s="44" t="str">
        <f>'C%'!A25</f>
        <v>21B</v>
      </c>
      <c r="B231" s="154">
        <f>'C%'!R25</f>
        <v>0</v>
      </c>
      <c r="C231" s="155"/>
      <c r="D231" s="155"/>
      <c r="E231" s="155"/>
      <c r="F231" s="156"/>
      <c r="G231" s="152">
        <f>'C%'!P25</f>
        <v>0</v>
      </c>
      <c r="H231" s="157"/>
      <c r="I231" s="152">
        <f>'C%'!Q25</f>
        <v>0</v>
      </c>
      <c r="J231" s="153"/>
    </row>
    <row r="232" spans="1:11" ht="15" hidden="1" customHeight="1" x14ac:dyDescent="0.35">
      <c r="A232" s="44">
        <f>'C%'!A26</f>
        <v>22</v>
      </c>
      <c r="B232" s="154">
        <f>'C%'!R26</f>
        <v>0</v>
      </c>
      <c r="C232" s="155"/>
      <c r="D232" s="155"/>
      <c r="E232" s="155"/>
      <c r="F232" s="156"/>
      <c r="G232" s="152">
        <f>'C%'!P26</f>
        <v>0</v>
      </c>
      <c r="H232" s="157"/>
      <c r="I232" s="152">
        <f>'C%'!Q26</f>
        <v>0</v>
      </c>
      <c r="J232" s="153"/>
    </row>
    <row r="233" spans="1:11" hidden="1" x14ac:dyDescent="0.35">
      <c r="A233" s="44" t="str">
        <f>'C%'!A27</f>
        <v>23A</v>
      </c>
      <c r="B233" s="154" t="str">
        <f>'C%'!R27</f>
        <v>All work completed. Please provide OC.</v>
      </c>
      <c r="C233" s="155"/>
      <c r="D233" s="155"/>
      <c r="E233" s="155"/>
      <c r="F233" s="156"/>
      <c r="G233" s="152">
        <f>'C%'!P27</f>
        <v>1</v>
      </c>
      <c r="H233" s="157"/>
      <c r="I233" s="152">
        <f>'C%'!Q27</f>
        <v>1</v>
      </c>
      <c r="J233" s="153"/>
    </row>
    <row r="234" spans="1:11" hidden="1" x14ac:dyDescent="0.35">
      <c r="A234" s="44" t="str">
        <f>'C%'!A28</f>
        <v>23B</v>
      </c>
      <c r="B234" s="154">
        <f>'C%'!R28</f>
        <v>0</v>
      </c>
      <c r="C234" s="155"/>
      <c r="D234" s="155"/>
      <c r="E234" s="155"/>
      <c r="F234" s="156"/>
      <c r="G234" s="152">
        <f>'C%'!P28</f>
        <v>0</v>
      </c>
      <c r="H234" s="157"/>
      <c r="I234" s="152">
        <f>'C%'!Q28</f>
        <v>0</v>
      </c>
      <c r="J234" s="153"/>
    </row>
    <row r="235" spans="1:11" hidden="1" x14ac:dyDescent="0.35">
      <c r="A235" s="44" t="str">
        <f>'C%'!A29</f>
        <v>24A</v>
      </c>
      <c r="B235" s="154" t="str">
        <f>'C%'!R29</f>
        <v>All work completed. Please provide OC.</v>
      </c>
      <c r="C235" s="155"/>
      <c r="D235" s="155"/>
      <c r="E235" s="155"/>
      <c r="F235" s="156"/>
      <c r="G235" s="152">
        <f>'C%'!P29</f>
        <v>1</v>
      </c>
      <c r="H235" s="157"/>
      <c r="I235" s="152">
        <f>'C%'!Q29</f>
        <v>1</v>
      </c>
      <c r="J235" s="153"/>
    </row>
    <row r="236" spans="1:11" hidden="1" x14ac:dyDescent="0.35">
      <c r="A236" s="44" t="str">
        <f>'C%'!A30</f>
        <v>24B</v>
      </c>
      <c r="B236" s="154" t="str">
        <f>'C%'!R30</f>
        <v>All work completed. Please provide OC.</v>
      </c>
      <c r="C236" s="155"/>
      <c r="D236" s="155"/>
      <c r="E236" s="155"/>
      <c r="F236" s="156"/>
      <c r="G236" s="152">
        <f>'C%'!P30</f>
        <v>1</v>
      </c>
      <c r="H236" s="157"/>
      <c r="I236" s="152">
        <f>'C%'!Q30</f>
        <v>1</v>
      </c>
      <c r="J236" s="153"/>
      <c r="K236" s="6">
        <v>1</v>
      </c>
    </row>
    <row r="237" spans="1:11" hidden="1" x14ac:dyDescent="0.35">
      <c r="A237" s="44">
        <f>'C%'!A31</f>
        <v>25</v>
      </c>
      <c r="B237" s="154" t="str">
        <f>'C%'!R31</f>
        <v>All work completed. Please provide OC.</v>
      </c>
      <c r="C237" s="155"/>
      <c r="D237" s="155"/>
      <c r="E237" s="155"/>
      <c r="F237" s="156"/>
      <c r="G237" s="152">
        <f>'C%'!P31</f>
        <v>1</v>
      </c>
      <c r="H237" s="157"/>
      <c r="I237" s="152">
        <f>'C%'!Q31</f>
        <v>1</v>
      </c>
      <c r="J237" s="153"/>
    </row>
    <row r="238" spans="1:11" hidden="1" x14ac:dyDescent="0.35">
      <c r="A238" s="44" t="str">
        <f>'C%'!A32</f>
        <v>26A</v>
      </c>
      <c r="B238" s="154">
        <f>'C%'!R32</f>
        <v>0</v>
      </c>
      <c r="C238" s="155"/>
      <c r="D238" s="155"/>
      <c r="E238" s="155"/>
      <c r="F238" s="156"/>
      <c r="G238" s="152">
        <f>'C%'!P32</f>
        <v>0</v>
      </c>
      <c r="H238" s="157"/>
      <c r="I238" s="152">
        <f>'C%'!Q32</f>
        <v>0</v>
      </c>
      <c r="J238" s="153"/>
    </row>
    <row r="239" spans="1:11" hidden="1" x14ac:dyDescent="0.35">
      <c r="A239" s="44" t="str">
        <f>'C%'!A33</f>
        <v>26B</v>
      </c>
      <c r="B239" s="154">
        <f>'C%'!R33</f>
        <v>0</v>
      </c>
      <c r="C239" s="155"/>
      <c r="D239" s="155"/>
      <c r="E239" s="155"/>
      <c r="F239" s="156"/>
      <c r="G239" s="152">
        <f>'C%'!P33</f>
        <v>0</v>
      </c>
      <c r="H239" s="157"/>
      <c r="I239" s="152">
        <f>'C%'!Q33</f>
        <v>0</v>
      </c>
      <c r="J239" s="153"/>
    </row>
    <row r="240" spans="1:11" hidden="1" x14ac:dyDescent="0.35">
      <c r="A240" s="44" t="str">
        <f>'C%'!A34</f>
        <v>27A</v>
      </c>
      <c r="B240" s="154" t="str">
        <f>'C%'!R34</f>
        <v>All work completed. Please provide OC.</v>
      </c>
      <c r="C240" s="155"/>
      <c r="D240" s="155"/>
      <c r="E240" s="155"/>
      <c r="F240" s="156"/>
      <c r="G240" s="152">
        <f>'C%'!P34</f>
        <v>1</v>
      </c>
      <c r="H240" s="157"/>
      <c r="I240" s="152">
        <f>'C%'!Q34</f>
        <v>1</v>
      </c>
      <c r="J240" s="153"/>
    </row>
    <row r="241" spans="1:11" hidden="1" x14ac:dyDescent="0.35">
      <c r="A241" s="44" t="str">
        <f>'C%'!A35</f>
        <v>27B</v>
      </c>
      <c r="B241" s="154" t="str">
        <f>'C%'!R35</f>
        <v>All work completed. Please provide OC.</v>
      </c>
      <c r="C241" s="155"/>
      <c r="D241" s="155"/>
      <c r="E241" s="155"/>
      <c r="F241" s="156"/>
      <c r="G241" s="152">
        <f>'C%'!P35</f>
        <v>1</v>
      </c>
      <c r="H241" s="157"/>
      <c r="I241" s="152">
        <f>'C%'!Q35</f>
        <v>1</v>
      </c>
      <c r="J241" s="153"/>
    </row>
    <row r="242" spans="1:11" ht="23.25" hidden="1" customHeight="1" x14ac:dyDescent="0.35">
      <c r="A242" s="44">
        <f>'C%'!A36</f>
        <v>28</v>
      </c>
      <c r="B242" s="154">
        <f>'C%'!R36</f>
        <v>0</v>
      </c>
      <c r="C242" s="155"/>
      <c r="D242" s="155"/>
      <c r="E242" s="155"/>
      <c r="F242" s="156"/>
      <c r="G242" s="152">
        <f>'C%'!P36</f>
        <v>0</v>
      </c>
      <c r="H242" s="157"/>
      <c r="I242" s="152">
        <f>'C%'!Q36</f>
        <v>0</v>
      </c>
      <c r="J242" s="153"/>
    </row>
    <row r="243" spans="1:11" ht="18" hidden="1" customHeight="1" x14ac:dyDescent="0.35">
      <c r="A243" s="44">
        <f>'C%'!A37</f>
        <v>29</v>
      </c>
      <c r="B243" s="154">
        <f>'C%'!R37</f>
        <v>0</v>
      </c>
      <c r="C243" s="155"/>
      <c r="D243" s="155"/>
      <c r="E243" s="155"/>
      <c r="F243" s="156"/>
      <c r="G243" s="152">
        <f>'C%'!P37</f>
        <v>0</v>
      </c>
      <c r="H243" s="157"/>
      <c r="I243" s="152">
        <f>'C%'!Q37</f>
        <v>0</v>
      </c>
      <c r="J243" s="153"/>
    </row>
    <row r="244" spans="1:11" hidden="1" x14ac:dyDescent="0.35">
      <c r="A244" s="44" t="str">
        <f>'C%'!A38</f>
        <v>30A</v>
      </c>
      <c r="B244" s="154" t="str">
        <f>'C%'!R38</f>
        <v>All work completed. Please provide OC.</v>
      </c>
      <c r="C244" s="155"/>
      <c r="D244" s="155"/>
      <c r="E244" s="155"/>
      <c r="F244" s="156"/>
      <c r="G244" s="152">
        <f>'C%'!P38</f>
        <v>1</v>
      </c>
      <c r="H244" s="157"/>
      <c r="I244" s="152">
        <f>'C%'!Q38</f>
        <v>1</v>
      </c>
      <c r="J244" s="153"/>
      <c r="K244" s="49">
        <v>1</v>
      </c>
    </row>
    <row r="245" spans="1:11" hidden="1" x14ac:dyDescent="0.35">
      <c r="A245" s="44" t="str">
        <f>'C%'!A39</f>
        <v>30B</v>
      </c>
      <c r="B245" s="154" t="str">
        <f>'C%'!R39</f>
        <v>All work completed. Please provide OC.</v>
      </c>
      <c r="C245" s="155"/>
      <c r="D245" s="155"/>
      <c r="E245" s="155"/>
      <c r="F245" s="156"/>
      <c r="G245" s="152">
        <f>'C%'!P39</f>
        <v>1</v>
      </c>
      <c r="H245" s="157"/>
      <c r="I245" s="152">
        <f>'C%'!Q39</f>
        <v>1</v>
      </c>
      <c r="J245" s="153"/>
      <c r="K245" s="49">
        <v>1</v>
      </c>
    </row>
    <row r="246" spans="1:11" ht="36" customHeight="1" x14ac:dyDescent="0.35">
      <c r="A246" s="109" t="str">
        <f>'C%'!A40</f>
        <v>31A &amp; B</v>
      </c>
      <c r="B246" s="174" t="str">
        <f>'C%'!R40</f>
        <v>Plinth, RCC, Brick, Plaster, Flooring, Painting work Completed. Finishing work is in process.</v>
      </c>
      <c r="C246" s="174"/>
      <c r="D246" s="174"/>
      <c r="E246" s="174"/>
      <c r="F246" s="174"/>
      <c r="G246" s="175">
        <f>'C%'!P40</f>
        <v>0.92500000000000004</v>
      </c>
      <c r="H246" s="175"/>
      <c r="I246" s="175">
        <f>'C%'!Q40</f>
        <v>0.95</v>
      </c>
      <c r="J246" s="175"/>
      <c r="K246" s="49">
        <v>1</v>
      </c>
    </row>
    <row r="247" spans="1:11" hidden="1" x14ac:dyDescent="0.35">
      <c r="A247" s="46" t="str">
        <f>'C%'!A41</f>
        <v>31B</v>
      </c>
      <c r="B247" s="176" t="str">
        <f>'C%'!R40</f>
        <v>Plinth, RCC, Brick, Plaster, Flooring, Painting work Completed. Finishing work is in process.</v>
      </c>
      <c r="C247" s="177"/>
      <c r="D247" s="177"/>
      <c r="E247" s="177"/>
      <c r="F247" s="178"/>
      <c r="G247" s="179">
        <f>'C%'!P40</f>
        <v>0.92500000000000004</v>
      </c>
      <c r="H247" s="180"/>
      <c r="I247" s="179">
        <f>'C%'!Q40</f>
        <v>0.95</v>
      </c>
      <c r="J247" s="181"/>
    </row>
    <row r="248" spans="1:11" hidden="1" x14ac:dyDescent="0.35">
      <c r="A248" s="44" t="str">
        <f>'C%'!A42</f>
        <v>32A</v>
      </c>
      <c r="B248" s="154">
        <f>'C%'!R42</f>
        <v>0</v>
      </c>
      <c r="C248" s="155"/>
      <c r="D248" s="155"/>
      <c r="E248" s="155"/>
      <c r="F248" s="156"/>
      <c r="G248" s="152">
        <f>'C%'!P42</f>
        <v>0</v>
      </c>
      <c r="H248" s="157"/>
      <c r="I248" s="152">
        <f>'C%'!Q42</f>
        <v>0</v>
      </c>
      <c r="J248" s="153"/>
    </row>
    <row r="249" spans="1:11" hidden="1" x14ac:dyDescent="0.35">
      <c r="A249" s="44" t="str">
        <f>'C%'!A43</f>
        <v>32B</v>
      </c>
      <c r="B249" s="154" t="str">
        <f>'C%'!R43</f>
        <v>All work completed. Please provide OC.</v>
      </c>
      <c r="C249" s="155"/>
      <c r="D249" s="155"/>
      <c r="E249" s="155"/>
      <c r="F249" s="156"/>
      <c r="G249" s="152">
        <f>'C%'!P43</f>
        <v>1</v>
      </c>
      <c r="H249" s="157"/>
      <c r="I249" s="152">
        <f>'C%'!Q43</f>
        <v>1</v>
      </c>
      <c r="J249" s="153"/>
    </row>
    <row r="250" spans="1:11" ht="0.75" hidden="1" customHeight="1" x14ac:dyDescent="0.35">
      <c r="A250" s="44" t="str">
        <f>'C%'!A44</f>
        <v>33A</v>
      </c>
      <c r="B250" s="154">
        <f>'C%'!R44</f>
        <v>0</v>
      </c>
      <c r="C250" s="155"/>
      <c r="D250" s="155"/>
      <c r="E250" s="155"/>
      <c r="F250" s="156"/>
      <c r="G250" s="152">
        <f>'C%'!P44</f>
        <v>0</v>
      </c>
      <c r="H250" s="157"/>
      <c r="I250" s="152">
        <f>'C%'!Q44</f>
        <v>0</v>
      </c>
      <c r="J250" s="153"/>
    </row>
    <row r="251" spans="1:11" ht="22.5" hidden="1" customHeight="1" x14ac:dyDescent="0.35">
      <c r="A251" s="44" t="str">
        <f>'C%'!A45</f>
        <v>33B</v>
      </c>
      <c r="B251" s="154">
        <f>'C%'!R45</f>
        <v>0</v>
      </c>
      <c r="C251" s="155"/>
      <c r="D251" s="155"/>
      <c r="E251" s="155"/>
      <c r="F251" s="156"/>
      <c r="G251" s="152" t="e">
        <f>'C%'!P45</f>
        <v>#DIV/0!</v>
      </c>
      <c r="H251" s="157"/>
      <c r="I251" s="152">
        <f>'C%'!Q45</f>
        <v>0</v>
      </c>
      <c r="J251" s="153"/>
    </row>
    <row r="252" spans="1:11" ht="22.5" hidden="1" customHeight="1" x14ac:dyDescent="0.35">
      <c r="A252" s="44">
        <f>'C%'!A46</f>
        <v>34</v>
      </c>
      <c r="B252" s="154">
        <f>'C%'!R46</f>
        <v>0</v>
      </c>
      <c r="C252" s="155"/>
      <c r="D252" s="155"/>
      <c r="E252" s="155"/>
      <c r="F252" s="156"/>
      <c r="G252" s="152">
        <f>'C%'!P46</f>
        <v>0</v>
      </c>
      <c r="H252" s="157"/>
      <c r="I252" s="152">
        <f>'C%'!Q46</f>
        <v>0</v>
      </c>
      <c r="J252" s="153"/>
    </row>
    <row r="253" spans="1:11" ht="29.25" hidden="1" customHeight="1" x14ac:dyDescent="0.35">
      <c r="A253" s="44">
        <f>'C%'!A47</f>
        <v>35</v>
      </c>
      <c r="B253" s="154">
        <f>'C%'!R47</f>
        <v>0</v>
      </c>
      <c r="C253" s="155"/>
      <c r="D253" s="155"/>
      <c r="E253" s="155"/>
      <c r="F253" s="156"/>
      <c r="G253" s="152">
        <f>'C%'!P47</f>
        <v>0</v>
      </c>
      <c r="H253" s="157"/>
      <c r="I253" s="152">
        <f>'C%'!Q47</f>
        <v>0</v>
      </c>
      <c r="J253" s="153"/>
    </row>
    <row r="254" spans="1:11" hidden="1" x14ac:dyDescent="0.35">
      <c r="A254" s="44">
        <f>'C%'!A48</f>
        <v>36</v>
      </c>
      <c r="B254" s="154" t="str">
        <f>'C%'!R48</f>
        <v>All work completed. Please provide OC.</v>
      </c>
      <c r="C254" s="155"/>
      <c r="D254" s="155"/>
      <c r="E254" s="155"/>
      <c r="F254" s="156"/>
      <c r="G254" s="152">
        <f>'C%'!P48</f>
        <v>1</v>
      </c>
      <c r="H254" s="157"/>
      <c r="I254" s="152">
        <f>'C%'!Q48</f>
        <v>1</v>
      </c>
      <c r="J254" s="153"/>
      <c r="K254" s="9">
        <v>1</v>
      </c>
    </row>
    <row r="255" spans="1:11" ht="15" hidden="1" customHeight="1" x14ac:dyDescent="0.35">
      <c r="A255" s="44">
        <f>'C%'!A49</f>
        <v>37</v>
      </c>
      <c r="B255" s="154">
        <f>'C%'!R49</f>
        <v>0</v>
      </c>
      <c r="C255" s="155"/>
      <c r="D255" s="155"/>
      <c r="E255" s="155"/>
      <c r="F255" s="156"/>
      <c r="G255" s="152">
        <f>'C%'!P49</f>
        <v>0</v>
      </c>
      <c r="H255" s="157"/>
      <c r="I255" s="152">
        <f>'C%'!Q49</f>
        <v>0</v>
      </c>
      <c r="J255" s="153"/>
    </row>
    <row r="256" spans="1:11" ht="15" hidden="1" customHeight="1" x14ac:dyDescent="0.35">
      <c r="A256" s="44" t="str">
        <f>'C%'!A50</f>
        <v>38A</v>
      </c>
      <c r="B256" s="154">
        <f>'C%'!R50</f>
        <v>0</v>
      </c>
      <c r="C256" s="155"/>
      <c r="D256" s="155"/>
      <c r="E256" s="155"/>
      <c r="F256" s="156"/>
      <c r="G256" s="152">
        <f>'C%'!P50</f>
        <v>0</v>
      </c>
      <c r="H256" s="157"/>
      <c r="I256" s="152">
        <f>'C%'!Q50</f>
        <v>0</v>
      </c>
      <c r="J256" s="153"/>
    </row>
    <row r="257" spans="1:13" ht="46.5" customHeight="1" x14ac:dyDescent="0.35">
      <c r="A257" s="44" t="str">
        <f>'C%'!A51</f>
        <v>38B</v>
      </c>
      <c r="B257" s="154" t="str">
        <f>'C%'!R51</f>
        <v>Excavation work Completed. Plinth work completed, RCC Slab, Brickwork, Internal Plaster, External Plaster, Flooring upto 0.5 Floor, Painting upto 0.5 Floor Completed</v>
      </c>
      <c r="C257" s="155"/>
      <c r="D257" s="155"/>
      <c r="E257" s="155"/>
      <c r="F257" s="156"/>
      <c r="G257" s="152">
        <f>'C%'!P51</f>
        <v>0.82499999999999996</v>
      </c>
      <c r="H257" s="157"/>
      <c r="I257" s="152">
        <f>'C%'!Q51</f>
        <v>0.92500000000000004</v>
      </c>
      <c r="J257" s="153"/>
      <c r="M257" s="50" t="s">
        <v>361</v>
      </c>
    </row>
    <row r="258" spans="1:13" hidden="1" x14ac:dyDescent="0.35">
      <c r="A258" s="44" t="str">
        <f>'C%'!A52</f>
        <v>39A</v>
      </c>
      <c r="B258" s="154">
        <f>'C%'!R52</f>
        <v>0</v>
      </c>
      <c r="C258" s="155"/>
      <c r="D258" s="155"/>
      <c r="E258" s="155"/>
      <c r="F258" s="156"/>
      <c r="G258" s="152">
        <f>'C%'!P52</f>
        <v>0</v>
      </c>
      <c r="H258" s="157"/>
      <c r="I258" s="152">
        <f>'C%'!Q52</f>
        <v>0</v>
      </c>
      <c r="J258" s="153"/>
    </row>
    <row r="259" spans="1:13" hidden="1" x14ac:dyDescent="0.35">
      <c r="A259" s="44" t="str">
        <f>'C%'!A53</f>
        <v>39B</v>
      </c>
      <c r="B259" s="154">
        <f>'C%'!R53</f>
        <v>0</v>
      </c>
      <c r="C259" s="155"/>
      <c r="D259" s="155"/>
      <c r="E259" s="155"/>
      <c r="F259" s="156"/>
      <c r="G259" s="152">
        <f>'C%'!P53</f>
        <v>0</v>
      </c>
      <c r="H259" s="157"/>
      <c r="I259" s="152">
        <f>'C%'!Q53</f>
        <v>0</v>
      </c>
      <c r="J259" s="153"/>
    </row>
    <row r="260" spans="1:13" hidden="1" x14ac:dyDescent="0.35">
      <c r="A260" s="44">
        <f>'C%'!A54</f>
        <v>40</v>
      </c>
      <c r="B260" s="154">
        <f>'C%'!R54</f>
        <v>0</v>
      </c>
      <c r="C260" s="155"/>
      <c r="D260" s="155"/>
      <c r="E260" s="155"/>
      <c r="F260" s="156"/>
      <c r="G260" s="152">
        <f>'C%'!P54</f>
        <v>0</v>
      </c>
      <c r="H260" s="157"/>
      <c r="I260" s="152">
        <f>'C%'!Q54</f>
        <v>0</v>
      </c>
      <c r="J260" s="153"/>
    </row>
    <row r="261" spans="1:13" hidden="1" x14ac:dyDescent="0.35">
      <c r="A261" s="44">
        <f>'C%'!A55</f>
        <v>41</v>
      </c>
      <c r="B261" s="154">
        <f>'C%'!R55</f>
        <v>0</v>
      </c>
      <c r="C261" s="155"/>
      <c r="D261" s="155"/>
      <c r="E261" s="155"/>
      <c r="F261" s="156"/>
      <c r="G261" s="152">
        <f>'C%'!P55</f>
        <v>0</v>
      </c>
      <c r="H261" s="157"/>
      <c r="I261" s="152">
        <f>'C%'!Q55</f>
        <v>0</v>
      </c>
      <c r="J261" s="153"/>
    </row>
    <row r="262" spans="1:13" hidden="1" x14ac:dyDescent="0.35">
      <c r="A262" s="44">
        <f>'C%'!A56</f>
        <v>42</v>
      </c>
      <c r="B262" s="154">
        <f>'C%'!R56</f>
        <v>0</v>
      </c>
      <c r="C262" s="155"/>
      <c r="D262" s="155"/>
      <c r="E262" s="155"/>
      <c r="F262" s="156"/>
      <c r="G262" s="152">
        <f>'C%'!P56</f>
        <v>0</v>
      </c>
      <c r="H262" s="157"/>
      <c r="I262" s="152">
        <f>'C%'!Q56</f>
        <v>0</v>
      </c>
      <c r="J262" s="153"/>
    </row>
    <row r="263" spans="1:13" hidden="1" x14ac:dyDescent="0.35">
      <c r="A263" s="44">
        <f>'C%'!A57</f>
        <v>43</v>
      </c>
      <c r="B263" s="154">
        <f>'C%'!R57</f>
        <v>0</v>
      </c>
      <c r="C263" s="155"/>
      <c r="D263" s="155"/>
      <c r="E263" s="155"/>
      <c r="F263" s="156"/>
      <c r="G263" s="152">
        <f>'C%'!P57</f>
        <v>0</v>
      </c>
      <c r="H263" s="157"/>
      <c r="I263" s="152">
        <f>'C%'!Q57</f>
        <v>0</v>
      </c>
      <c r="J263" s="153"/>
    </row>
    <row r="264" spans="1:13" hidden="1" x14ac:dyDescent="0.35">
      <c r="A264" s="44">
        <f>'C%'!A58</f>
        <v>44</v>
      </c>
      <c r="B264" s="154" t="str">
        <f>'C%'!R58</f>
        <v>All work completed. Please provide OC.</v>
      </c>
      <c r="C264" s="155"/>
      <c r="D264" s="155"/>
      <c r="E264" s="155"/>
      <c r="F264" s="156"/>
      <c r="G264" s="152">
        <f>'C%'!P58</f>
        <v>1</v>
      </c>
      <c r="H264" s="157"/>
      <c r="I264" s="152">
        <f>'C%'!Q58</f>
        <v>1</v>
      </c>
      <c r="J264" s="153"/>
    </row>
    <row r="265" spans="1:13" hidden="1" x14ac:dyDescent="0.35">
      <c r="A265" s="44">
        <f>'C%'!A59</f>
        <v>45</v>
      </c>
      <c r="B265" s="154" t="str">
        <f>'C%'!R59</f>
        <v>All work completed. Please provide OC.</v>
      </c>
      <c r="C265" s="155"/>
      <c r="D265" s="155"/>
      <c r="E265" s="155"/>
      <c r="F265" s="156"/>
      <c r="G265" s="152">
        <f>'C%'!P59</f>
        <v>1</v>
      </c>
      <c r="H265" s="157"/>
      <c r="I265" s="152">
        <f>'C%'!Q59</f>
        <v>1</v>
      </c>
      <c r="J265" s="153"/>
      <c r="K265" s="9">
        <v>1</v>
      </c>
    </row>
    <row r="266" spans="1:13" ht="15" hidden="1" customHeight="1" x14ac:dyDescent="0.35">
      <c r="A266" s="44">
        <f>'C%'!A60</f>
        <v>46</v>
      </c>
      <c r="B266" s="154">
        <f>'C%'!R60</f>
        <v>0</v>
      </c>
      <c r="C266" s="155"/>
      <c r="D266" s="155"/>
      <c r="E266" s="155"/>
      <c r="F266" s="156"/>
      <c r="G266" s="152">
        <f>'C%'!P60</f>
        <v>0</v>
      </c>
      <c r="H266" s="157"/>
      <c r="I266" s="152">
        <f>'C%'!Q60</f>
        <v>0</v>
      </c>
      <c r="J266" s="153"/>
    </row>
    <row r="267" spans="1:13" hidden="1" x14ac:dyDescent="0.35">
      <c r="A267" s="44">
        <f>'C%'!A61</f>
        <v>47</v>
      </c>
      <c r="B267" s="154" t="str">
        <f>'C%'!R61</f>
        <v>All work completed. Please provide OC.</v>
      </c>
      <c r="C267" s="155"/>
      <c r="D267" s="155"/>
      <c r="E267" s="155"/>
      <c r="F267" s="156"/>
      <c r="G267" s="152">
        <f>'C%'!P61</f>
        <v>1</v>
      </c>
      <c r="H267" s="157"/>
      <c r="I267" s="152">
        <f>'C%'!Q61</f>
        <v>1</v>
      </c>
      <c r="J267" s="157"/>
    </row>
    <row r="268" spans="1:13" hidden="1" x14ac:dyDescent="0.35">
      <c r="A268" s="44">
        <f>'C%'!A62</f>
        <v>48</v>
      </c>
      <c r="B268" s="154" t="str">
        <f>'C%'!R62</f>
        <v>All work completed. Please provide OC.</v>
      </c>
      <c r="C268" s="155"/>
      <c r="D268" s="155"/>
      <c r="E268" s="155"/>
      <c r="F268" s="156"/>
      <c r="G268" s="152">
        <f>'C%'!P62</f>
        <v>1</v>
      </c>
      <c r="H268" s="157"/>
      <c r="I268" s="152">
        <f>'C%'!Q62</f>
        <v>1</v>
      </c>
      <c r="J268" s="153"/>
      <c r="K268" s="9">
        <v>1</v>
      </c>
    </row>
    <row r="269" spans="1:13" hidden="1" x14ac:dyDescent="0.35">
      <c r="A269" s="44">
        <f>'C%'!A63</f>
        <v>49</v>
      </c>
      <c r="B269" s="154" t="str">
        <f>'C%'!R63</f>
        <v>All work completed. Please provide OC.</v>
      </c>
      <c r="C269" s="155"/>
      <c r="D269" s="155"/>
      <c r="E269" s="155"/>
      <c r="F269" s="156"/>
      <c r="G269" s="152">
        <f>'C%'!P63</f>
        <v>1</v>
      </c>
      <c r="H269" s="157"/>
      <c r="I269" s="152">
        <f>'C%'!Q63</f>
        <v>1</v>
      </c>
      <c r="J269" s="153"/>
      <c r="K269" s="9">
        <v>1</v>
      </c>
    </row>
    <row r="270" spans="1:13" hidden="1" x14ac:dyDescent="0.35">
      <c r="A270" s="44">
        <f>'C%'!A64</f>
        <v>50</v>
      </c>
      <c r="B270" s="154">
        <f>'C%'!R64</f>
        <v>0</v>
      </c>
      <c r="C270" s="155"/>
      <c r="D270" s="155"/>
      <c r="E270" s="155"/>
      <c r="F270" s="156"/>
      <c r="G270" s="152">
        <f>'C%'!P64</f>
        <v>0</v>
      </c>
      <c r="H270" s="157"/>
      <c r="I270" s="152">
        <f>'C%'!Q64</f>
        <v>0</v>
      </c>
      <c r="J270" s="153"/>
    </row>
    <row r="271" spans="1:13" hidden="1" x14ac:dyDescent="0.35">
      <c r="A271" s="44">
        <f>'C%'!A65</f>
        <v>51</v>
      </c>
      <c r="B271" s="154">
        <f>'C%'!R65</f>
        <v>0</v>
      </c>
      <c r="C271" s="155"/>
      <c r="D271" s="155"/>
      <c r="E271" s="155"/>
      <c r="F271" s="156"/>
      <c r="G271" s="152">
        <f>'C%'!P65</f>
        <v>0</v>
      </c>
      <c r="H271" s="157"/>
      <c r="I271" s="152">
        <f>'C%'!Q65</f>
        <v>0</v>
      </c>
      <c r="J271" s="153"/>
    </row>
    <row r="272" spans="1:13" hidden="1" x14ac:dyDescent="0.35">
      <c r="A272" s="44">
        <f>'C%'!A66</f>
        <v>52</v>
      </c>
      <c r="B272" s="154" t="str">
        <f>'C%'!R66</f>
        <v>All work completed. Please provide OC.</v>
      </c>
      <c r="C272" s="155"/>
      <c r="D272" s="155"/>
      <c r="E272" s="155"/>
      <c r="F272" s="156"/>
      <c r="G272" s="152">
        <f>'C%'!P66</f>
        <v>1</v>
      </c>
      <c r="H272" s="157"/>
      <c r="I272" s="152">
        <f>'C%'!Q66</f>
        <v>1</v>
      </c>
      <c r="J272" s="153"/>
    </row>
    <row r="273" spans="1:10" hidden="1" x14ac:dyDescent="0.35">
      <c r="A273" s="44">
        <f>'C%'!A67</f>
        <v>53</v>
      </c>
      <c r="B273" s="154">
        <f>'C%'!R67</f>
        <v>0</v>
      </c>
      <c r="C273" s="155"/>
      <c r="D273" s="155"/>
      <c r="E273" s="155"/>
      <c r="F273" s="156"/>
      <c r="G273" s="152">
        <f>'C%'!P67</f>
        <v>0</v>
      </c>
      <c r="H273" s="157"/>
      <c r="I273" s="152">
        <f>'C%'!Q67</f>
        <v>0</v>
      </c>
      <c r="J273" s="153"/>
    </row>
    <row r="274" spans="1:10" hidden="1" x14ac:dyDescent="0.35">
      <c r="A274" s="44">
        <f>'C%'!A68</f>
        <v>54</v>
      </c>
      <c r="B274" s="154">
        <f>'C%'!R68</f>
        <v>0</v>
      </c>
      <c r="C274" s="155"/>
      <c r="D274" s="155"/>
      <c r="E274" s="155"/>
      <c r="F274" s="156"/>
      <c r="G274" s="152">
        <f>'C%'!P68</f>
        <v>0</v>
      </c>
      <c r="H274" s="157"/>
      <c r="I274" s="152">
        <f>'C%'!Q68</f>
        <v>0</v>
      </c>
      <c r="J274" s="153"/>
    </row>
    <row r="275" spans="1:10" hidden="1" x14ac:dyDescent="0.35">
      <c r="A275" s="44">
        <f>'C%'!A69</f>
        <v>55</v>
      </c>
      <c r="B275" s="154">
        <f>'C%'!R69</f>
        <v>0</v>
      </c>
      <c r="C275" s="155"/>
      <c r="D275" s="155"/>
      <c r="E275" s="155"/>
      <c r="F275" s="156"/>
      <c r="G275" s="152">
        <f>'C%'!P69</f>
        <v>0</v>
      </c>
      <c r="H275" s="157"/>
      <c r="I275" s="152">
        <f>'C%'!Q69</f>
        <v>0</v>
      </c>
      <c r="J275" s="153"/>
    </row>
    <row r="276" spans="1:10" hidden="1" x14ac:dyDescent="0.35">
      <c r="A276" s="44">
        <f>'C%'!A70</f>
        <v>56</v>
      </c>
      <c r="B276" s="154">
        <f>'C%'!R70</f>
        <v>0</v>
      </c>
      <c r="C276" s="155"/>
      <c r="D276" s="155"/>
      <c r="E276" s="155"/>
      <c r="F276" s="156"/>
      <c r="G276" s="152">
        <f>'C%'!P70</f>
        <v>0</v>
      </c>
      <c r="H276" s="157"/>
      <c r="I276" s="152">
        <f>'C%'!Q70</f>
        <v>0</v>
      </c>
      <c r="J276" s="153"/>
    </row>
    <row r="277" spans="1:10" hidden="1" x14ac:dyDescent="0.35">
      <c r="A277" s="44">
        <f>'C%'!A71</f>
        <v>57</v>
      </c>
      <c r="B277" s="154">
        <f>'C%'!R71</f>
        <v>0</v>
      </c>
      <c r="C277" s="155"/>
      <c r="D277" s="155"/>
      <c r="E277" s="155"/>
      <c r="F277" s="156"/>
      <c r="G277" s="152">
        <f>'C%'!P71</f>
        <v>0</v>
      </c>
      <c r="H277" s="157"/>
      <c r="I277" s="152">
        <f>'C%'!Q71</f>
        <v>0</v>
      </c>
      <c r="J277" s="153"/>
    </row>
    <row r="278" spans="1:10" hidden="1" x14ac:dyDescent="0.35">
      <c r="A278" s="44">
        <f>'C%'!A72</f>
        <v>58</v>
      </c>
      <c r="B278" s="154" t="str">
        <f>'C%'!R72</f>
        <v>All work completed. Please provide OC.</v>
      </c>
      <c r="C278" s="155"/>
      <c r="D278" s="155"/>
      <c r="E278" s="155"/>
      <c r="F278" s="156"/>
      <c r="G278" s="152">
        <f>'C%'!P72</f>
        <v>1</v>
      </c>
      <c r="H278" s="157"/>
      <c r="I278" s="152">
        <f>'C%'!Q72</f>
        <v>1</v>
      </c>
      <c r="J278" s="153"/>
    </row>
    <row r="279" spans="1:10" hidden="1" x14ac:dyDescent="0.35">
      <c r="A279" s="44">
        <f>'C%'!A73</f>
        <v>59</v>
      </c>
      <c r="B279" s="154">
        <f>'C%'!R73</f>
        <v>0</v>
      </c>
      <c r="C279" s="155"/>
      <c r="D279" s="155"/>
      <c r="E279" s="155"/>
      <c r="F279" s="156"/>
      <c r="G279" s="152">
        <f>'C%'!P73</f>
        <v>0</v>
      </c>
      <c r="H279" s="157"/>
      <c r="I279" s="152">
        <f>'C%'!Q73</f>
        <v>0</v>
      </c>
      <c r="J279" s="153"/>
    </row>
    <row r="280" spans="1:10" hidden="1" x14ac:dyDescent="0.35">
      <c r="A280" s="44">
        <f>'C%'!A74</f>
        <v>60</v>
      </c>
      <c r="B280" s="154">
        <f>'C%'!R74</f>
        <v>0</v>
      </c>
      <c r="C280" s="155"/>
      <c r="D280" s="155"/>
      <c r="E280" s="155"/>
      <c r="F280" s="156"/>
      <c r="G280" s="152">
        <f>'C%'!P74</f>
        <v>0</v>
      </c>
      <c r="H280" s="157"/>
      <c r="I280" s="152">
        <f>'C%'!Q74</f>
        <v>0</v>
      </c>
      <c r="J280" s="153"/>
    </row>
    <row r="281" spans="1:10" hidden="1" x14ac:dyDescent="0.35">
      <c r="A281" s="44">
        <f>'C%'!A75</f>
        <v>61</v>
      </c>
      <c r="B281" s="154" t="str">
        <f>'C%'!R75</f>
        <v>All work completed. Please provide OC.</v>
      </c>
      <c r="C281" s="155"/>
      <c r="D281" s="155"/>
      <c r="E281" s="155"/>
      <c r="F281" s="156"/>
      <c r="G281" s="152">
        <f>'C%'!P75</f>
        <v>1</v>
      </c>
      <c r="H281" s="157"/>
      <c r="I281" s="152">
        <f>'C%'!Q75</f>
        <v>1</v>
      </c>
      <c r="J281" s="153"/>
    </row>
    <row r="282" spans="1:10" hidden="1" x14ac:dyDescent="0.35">
      <c r="A282" s="44">
        <f>'C%'!A76</f>
        <v>62</v>
      </c>
      <c r="B282" s="154" t="str">
        <f>'C%'!R76</f>
        <v>All work completed. Please provide OC.</v>
      </c>
      <c r="C282" s="155"/>
      <c r="D282" s="155"/>
      <c r="E282" s="155"/>
      <c r="F282" s="156"/>
      <c r="G282" s="152">
        <f>'C%'!P76</f>
        <v>1</v>
      </c>
      <c r="H282" s="157"/>
      <c r="I282" s="152">
        <f>'C%'!Q76</f>
        <v>1</v>
      </c>
      <c r="J282" s="153"/>
    </row>
    <row r="283" spans="1:10" hidden="1" x14ac:dyDescent="0.35">
      <c r="A283" s="44">
        <f>'C%'!A77</f>
        <v>63</v>
      </c>
      <c r="B283" s="154" t="str">
        <f>'C%'!R77</f>
        <v>All work completed. Please provide OC.</v>
      </c>
      <c r="C283" s="155"/>
      <c r="D283" s="155"/>
      <c r="E283" s="155"/>
      <c r="F283" s="156"/>
      <c r="G283" s="152">
        <f>'C%'!P77</f>
        <v>1</v>
      </c>
      <c r="H283" s="157"/>
      <c r="I283" s="152">
        <f>'C%'!Q77</f>
        <v>1</v>
      </c>
      <c r="J283" s="153"/>
    </row>
    <row r="284" spans="1:10" hidden="1" x14ac:dyDescent="0.35">
      <c r="A284" s="44">
        <f>'C%'!A78</f>
        <v>64</v>
      </c>
      <c r="B284" s="154" t="str">
        <f>'C%'!R78</f>
        <v>All work completed. Please provide OC.</v>
      </c>
      <c r="C284" s="155"/>
      <c r="D284" s="155"/>
      <c r="E284" s="155"/>
      <c r="F284" s="156"/>
      <c r="G284" s="152">
        <f>'C%'!P78</f>
        <v>1</v>
      </c>
      <c r="H284" s="157"/>
      <c r="I284" s="152">
        <f>'C%'!Q78</f>
        <v>1</v>
      </c>
      <c r="J284" s="153"/>
    </row>
    <row r="285" spans="1:10" hidden="1" x14ac:dyDescent="0.35">
      <c r="A285" s="44">
        <f>'C%'!A79</f>
        <v>65</v>
      </c>
      <c r="B285" s="154">
        <f>'C%'!R79</f>
        <v>0</v>
      </c>
      <c r="C285" s="155"/>
      <c r="D285" s="155"/>
      <c r="E285" s="155"/>
      <c r="F285" s="156"/>
      <c r="G285" s="152">
        <f>'C%'!P79</f>
        <v>0</v>
      </c>
      <c r="H285" s="157"/>
      <c r="I285" s="152">
        <f>'C%'!Q79</f>
        <v>0</v>
      </c>
      <c r="J285" s="153"/>
    </row>
    <row r="286" spans="1:10" hidden="1" x14ac:dyDescent="0.35">
      <c r="A286" s="44">
        <f>'C%'!A80</f>
        <v>66</v>
      </c>
      <c r="B286" s="154" t="str">
        <f>'C%'!R80</f>
        <v>All work completed. Please provide OC.</v>
      </c>
      <c r="C286" s="155"/>
      <c r="D286" s="155"/>
      <c r="E286" s="155"/>
      <c r="F286" s="156"/>
      <c r="G286" s="152">
        <f>'C%'!P80</f>
        <v>1</v>
      </c>
      <c r="H286" s="157"/>
      <c r="I286" s="152">
        <f>'C%'!Q80</f>
        <v>1</v>
      </c>
      <c r="J286" s="153"/>
    </row>
    <row r="287" spans="1:10" ht="20.25" hidden="1" customHeight="1" x14ac:dyDescent="0.35">
      <c r="A287" s="44">
        <f>'C%'!A81</f>
        <v>67</v>
      </c>
      <c r="B287" s="154">
        <f>'C%'!R81</f>
        <v>0</v>
      </c>
      <c r="C287" s="155"/>
      <c r="D287" s="155"/>
      <c r="E287" s="155"/>
      <c r="F287" s="156"/>
      <c r="G287" s="152">
        <f>'C%'!P81</f>
        <v>0</v>
      </c>
      <c r="H287" s="157"/>
      <c r="I287" s="152">
        <f>'C%'!Q81</f>
        <v>0</v>
      </c>
      <c r="J287" s="153"/>
    </row>
    <row r="288" spans="1:10" ht="30.75" hidden="1" customHeight="1" x14ac:dyDescent="0.35">
      <c r="A288" s="44">
        <f>'C%'!A82</f>
        <v>68</v>
      </c>
      <c r="B288" s="154">
        <f>'C%'!R82</f>
        <v>0</v>
      </c>
      <c r="C288" s="155"/>
      <c r="D288" s="155"/>
      <c r="E288" s="155"/>
      <c r="F288" s="156"/>
      <c r="G288" s="152">
        <f>'C%'!P82</f>
        <v>0</v>
      </c>
      <c r="H288" s="157"/>
      <c r="I288" s="152">
        <f>'C%'!Q82</f>
        <v>0</v>
      </c>
      <c r="J288" s="153"/>
    </row>
    <row r="289" spans="1:11" ht="28.5" hidden="1" customHeight="1" x14ac:dyDescent="0.35">
      <c r="A289" s="44">
        <f>'C%'!A83</f>
        <v>69</v>
      </c>
      <c r="B289" s="154">
        <f>'C%'!R83</f>
        <v>0</v>
      </c>
      <c r="C289" s="155"/>
      <c r="D289" s="155"/>
      <c r="E289" s="155"/>
      <c r="F289" s="156"/>
      <c r="G289" s="152">
        <f>'C%'!P83</f>
        <v>0</v>
      </c>
      <c r="H289" s="157"/>
      <c r="I289" s="152">
        <f>'C%'!Q83</f>
        <v>0</v>
      </c>
      <c r="J289" s="153"/>
    </row>
    <row r="290" spans="1:11" ht="31.5" hidden="1" customHeight="1" x14ac:dyDescent="0.35">
      <c r="A290" s="44">
        <f>'C%'!A84</f>
        <v>70</v>
      </c>
      <c r="B290" s="154">
        <f>'C%'!R84</f>
        <v>0</v>
      </c>
      <c r="C290" s="155"/>
      <c r="D290" s="155"/>
      <c r="E290" s="155"/>
      <c r="F290" s="156"/>
      <c r="G290" s="152">
        <f>'C%'!P84</f>
        <v>0</v>
      </c>
      <c r="H290" s="157"/>
      <c r="I290" s="152">
        <f>'C%'!Q84</f>
        <v>0</v>
      </c>
      <c r="J290" s="153"/>
    </row>
    <row r="291" spans="1:11" ht="34.5" hidden="1" customHeight="1" x14ac:dyDescent="0.35">
      <c r="A291" s="44">
        <f>'C%'!A85</f>
        <v>71</v>
      </c>
      <c r="B291" s="154">
        <f>'C%'!R85</f>
        <v>0</v>
      </c>
      <c r="C291" s="155"/>
      <c r="D291" s="155"/>
      <c r="E291" s="155"/>
      <c r="F291" s="156"/>
      <c r="G291" s="152">
        <f>'C%'!P85</f>
        <v>0</v>
      </c>
      <c r="H291" s="157"/>
      <c r="I291" s="152">
        <f>'C%'!Q85</f>
        <v>0</v>
      </c>
      <c r="J291" s="153"/>
    </row>
    <row r="292" spans="1:11" hidden="1" x14ac:dyDescent="0.35">
      <c r="A292" s="44">
        <f>'C%'!A86</f>
        <v>72</v>
      </c>
      <c r="B292" s="154" t="str">
        <f>'C%'!R86</f>
        <v>All work completed. Please provide OC.</v>
      </c>
      <c r="C292" s="155"/>
      <c r="D292" s="155"/>
      <c r="E292" s="155"/>
      <c r="F292" s="156"/>
      <c r="G292" s="152">
        <f>'C%'!P86</f>
        <v>1</v>
      </c>
      <c r="H292" s="157"/>
      <c r="I292" s="152">
        <f>'C%'!Q86</f>
        <v>1</v>
      </c>
      <c r="J292" s="153"/>
    </row>
    <row r="293" spans="1:11" hidden="1" x14ac:dyDescent="0.35">
      <c r="A293" s="44">
        <f>'C%'!A87</f>
        <v>73</v>
      </c>
      <c r="B293" s="154">
        <f>'C%'!R87</f>
        <v>0</v>
      </c>
      <c r="C293" s="155"/>
      <c r="D293" s="155"/>
      <c r="E293" s="155"/>
      <c r="F293" s="156"/>
      <c r="G293" s="152">
        <f>'C%'!P87</f>
        <v>0</v>
      </c>
      <c r="H293" s="157"/>
      <c r="I293" s="152">
        <f>'C%'!Q87</f>
        <v>0</v>
      </c>
      <c r="J293" s="153"/>
    </row>
    <row r="294" spans="1:11" hidden="1" x14ac:dyDescent="0.35">
      <c r="A294" s="44">
        <f>'C%'!A88</f>
        <v>74</v>
      </c>
      <c r="B294" s="154">
        <f>'C%'!R88</f>
        <v>0</v>
      </c>
      <c r="C294" s="155"/>
      <c r="D294" s="155"/>
      <c r="E294" s="155"/>
      <c r="F294" s="156"/>
      <c r="G294" s="152">
        <f>'C%'!P88</f>
        <v>0</v>
      </c>
      <c r="H294" s="157"/>
      <c r="I294" s="152">
        <f>'C%'!Q88</f>
        <v>0</v>
      </c>
      <c r="J294" s="153"/>
    </row>
    <row r="295" spans="1:11" hidden="1" x14ac:dyDescent="0.35">
      <c r="A295" s="44">
        <f>'C%'!A89</f>
        <v>75</v>
      </c>
      <c r="B295" s="154" t="str">
        <f>'C%'!R89</f>
        <v>All work completed. Please provide OC.</v>
      </c>
      <c r="C295" s="155"/>
      <c r="D295" s="155"/>
      <c r="E295" s="155"/>
      <c r="F295" s="156"/>
      <c r="G295" s="152">
        <f>'C%'!P89</f>
        <v>1</v>
      </c>
      <c r="H295" s="157"/>
      <c r="I295" s="152">
        <f>'C%'!Q89</f>
        <v>1</v>
      </c>
      <c r="J295" s="153"/>
      <c r="K295" s="9">
        <v>1</v>
      </c>
    </row>
    <row r="296" spans="1:11" s="15" customFormat="1" hidden="1" x14ac:dyDescent="0.35">
      <c r="A296" s="44">
        <f>'C%'!A90</f>
        <v>76</v>
      </c>
      <c r="B296" s="154" t="str">
        <f>'C%'!R90</f>
        <v>All work completed. Please provide OC.</v>
      </c>
      <c r="C296" s="155"/>
      <c r="D296" s="155"/>
      <c r="E296" s="155"/>
      <c r="F296" s="156"/>
      <c r="G296" s="152">
        <f>'C%'!P90</f>
        <v>1</v>
      </c>
      <c r="H296" s="157"/>
      <c r="I296" s="152">
        <f>'C%'!Q90</f>
        <v>1</v>
      </c>
      <c r="J296" s="153"/>
    </row>
    <row r="297" spans="1:11" ht="36" hidden="1" customHeight="1" x14ac:dyDescent="0.35">
      <c r="A297" s="44">
        <f>'C%'!A91</f>
        <v>77</v>
      </c>
      <c r="B297" s="154">
        <f>'C%'!R91</f>
        <v>0</v>
      </c>
      <c r="C297" s="155"/>
      <c r="D297" s="155"/>
      <c r="E297" s="155"/>
      <c r="F297" s="156"/>
      <c r="G297" s="152">
        <f>'C%'!P91</f>
        <v>0</v>
      </c>
      <c r="H297" s="157"/>
      <c r="I297" s="152">
        <f>'C%'!Q91</f>
        <v>0</v>
      </c>
      <c r="J297" s="153"/>
    </row>
    <row r="298" spans="1:11" ht="39" hidden="1" customHeight="1" x14ac:dyDescent="0.35">
      <c r="A298" s="44">
        <f>'C%'!A92</f>
        <v>78</v>
      </c>
      <c r="B298" s="154">
        <f>'C%'!R92</f>
        <v>0</v>
      </c>
      <c r="C298" s="155"/>
      <c r="D298" s="155"/>
      <c r="E298" s="155"/>
      <c r="F298" s="156"/>
      <c r="G298" s="152">
        <f>'C%'!P92</f>
        <v>0</v>
      </c>
      <c r="H298" s="157"/>
      <c r="I298" s="152">
        <f>'C%'!Q92</f>
        <v>0</v>
      </c>
      <c r="J298" s="153"/>
    </row>
    <row r="299" spans="1:11" ht="17.25" hidden="1" customHeight="1" x14ac:dyDescent="0.35">
      <c r="A299" s="44">
        <f>'C%'!A93</f>
        <v>79</v>
      </c>
      <c r="B299" s="154">
        <f>'C%'!R93</f>
        <v>0</v>
      </c>
      <c r="C299" s="155"/>
      <c r="D299" s="155"/>
      <c r="E299" s="155"/>
      <c r="F299" s="156"/>
      <c r="G299" s="152">
        <f>'C%'!P93</f>
        <v>0</v>
      </c>
      <c r="H299" s="157"/>
      <c r="I299" s="152">
        <f>'C%'!Q93</f>
        <v>0</v>
      </c>
      <c r="J299" s="153"/>
    </row>
    <row r="300" spans="1:11" ht="12.75" hidden="1" customHeight="1" x14ac:dyDescent="0.35">
      <c r="A300" s="44">
        <f>'C%'!A94</f>
        <v>80</v>
      </c>
      <c r="B300" s="154">
        <f>'C%'!R94</f>
        <v>0</v>
      </c>
      <c r="C300" s="155"/>
      <c r="D300" s="155"/>
      <c r="E300" s="155"/>
      <c r="F300" s="156"/>
      <c r="G300" s="152">
        <f>'C%'!P94</f>
        <v>0</v>
      </c>
      <c r="H300" s="157"/>
      <c r="I300" s="152">
        <f>'C%'!Q94</f>
        <v>0</v>
      </c>
      <c r="J300" s="153"/>
    </row>
    <row r="301" spans="1:11" hidden="1" x14ac:dyDescent="0.35">
      <c r="A301" s="44">
        <f>'C%'!A95</f>
        <v>81</v>
      </c>
      <c r="B301" s="154" t="str">
        <f>'C%'!R95</f>
        <v>All work completed. Please provide OC.</v>
      </c>
      <c r="C301" s="155"/>
      <c r="D301" s="155"/>
      <c r="E301" s="155"/>
      <c r="F301" s="156"/>
      <c r="G301" s="152">
        <f>'C%'!P95</f>
        <v>1</v>
      </c>
      <c r="H301" s="157"/>
      <c r="I301" s="152">
        <f>'C%'!Q95</f>
        <v>1</v>
      </c>
      <c r="J301" s="153"/>
      <c r="K301" s="9">
        <v>1</v>
      </c>
    </row>
    <row r="302" spans="1:11" ht="15" hidden="1" customHeight="1" x14ac:dyDescent="0.35">
      <c r="A302" s="44">
        <f>'C%'!A96</f>
        <v>82</v>
      </c>
      <c r="B302" s="154">
        <f>'C%'!R96</f>
        <v>0</v>
      </c>
      <c r="C302" s="155"/>
      <c r="D302" s="155"/>
      <c r="E302" s="155"/>
      <c r="F302" s="156"/>
      <c r="G302" s="152">
        <f>'C%'!P96</f>
        <v>0</v>
      </c>
      <c r="H302" s="157"/>
      <c r="I302" s="152">
        <f>'C%'!Q96</f>
        <v>0</v>
      </c>
      <c r="J302" s="153"/>
    </row>
    <row r="303" spans="1:11" ht="15" hidden="1" customHeight="1" x14ac:dyDescent="0.35">
      <c r="A303" s="44">
        <f>'C%'!A97</f>
        <v>83</v>
      </c>
      <c r="B303" s="154">
        <f>'C%'!R97</f>
        <v>0</v>
      </c>
      <c r="C303" s="155"/>
      <c r="D303" s="155"/>
      <c r="E303" s="155"/>
      <c r="F303" s="156"/>
      <c r="G303" s="152">
        <f>'C%'!P97</f>
        <v>0</v>
      </c>
      <c r="H303" s="157"/>
      <c r="I303" s="152">
        <f>'C%'!Q97</f>
        <v>0</v>
      </c>
      <c r="J303" s="153"/>
    </row>
    <row r="304" spans="1:11" hidden="1" x14ac:dyDescent="0.35">
      <c r="A304" s="44">
        <f>'C%'!A98</f>
        <v>84</v>
      </c>
      <c r="B304" s="154" t="str">
        <f>'C%'!R98</f>
        <v>All work completed. Please provide OC.</v>
      </c>
      <c r="C304" s="155"/>
      <c r="D304" s="155"/>
      <c r="E304" s="155"/>
      <c r="F304" s="156"/>
      <c r="G304" s="152">
        <f>'C%'!P98</f>
        <v>1</v>
      </c>
      <c r="H304" s="157"/>
      <c r="I304" s="152">
        <f>'C%'!Q98</f>
        <v>1</v>
      </c>
      <c r="J304" s="153"/>
      <c r="K304" s="9">
        <v>1</v>
      </c>
    </row>
    <row r="305" spans="1:11" ht="15" hidden="1" customHeight="1" x14ac:dyDescent="0.35">
      <c r="A305" s="44">
        <f>'C%'!A99</f>
        <v>85</v>
      </c>
      <c r="B305" s="154">
        <f>'C%'!R99</f>
        <v>0</v>
      </c>
      <c r="C305" s="155"/>
      <c r="D305" s="155"/>
      <c r="E305" s="155"/>
      <c r="F305" s="156"/>
      <c r="G305" s="152">
        <f>'C%'!P99</f>
        <v>0</v>
      </c>
      <c r="H305" s="157"/>
      <c r="I305" s="152">
        <f>'C%'!Q99</f>
        <v>0</v>
      </c>
      <c r="J305" s="153"/>
    </row>
    <row r="306" spans="1:11" hidden="1" x14ac:dyDescent="0.35">
      <c r="A306" s="44">
        <f>'C%'!A100</f>
        <v>86</v>
      </c>
      <c r="B306" s="154" t="str">
        <f>'C%'!R100</f>
        <v>All work completed. Please provide OC.</v>
      </c>
      <c r="C306" s="155"/>
      <c r="D306" s="155"/>
      <c r="E306" s="155"/>
      <c r="F306" s="156"/>
      <c r="G306" s="152">
        <f>'C%'!P100</f>
        <v>1</v>
      </c>
      <c r="H306" s="157"/>
      <c r="I306" s="152">
        <f>'C%'!Q100</f>
        <v>1</v>
      </c>
      <c r="J306" s="153"/>
      <c r="K306" s="9">
        <v>1</v>
      </c>
    </row>
    <row r="307" spans="1:11" hidden="1" x14ac:dyDescent="0.35">
      <c r="A307" s="44">
        <f>'C%'!A101</f>
        <v>87</v>
      </c>
      <c r="B307" s="154" t="str">
        <f>'C%'!R101</f>
        <v>All work completed. Please provide OC.</v>
      </c>
      <c r="C307" s="155"/>
      <c r="D307" s="155"/>
      <c r="E307" s="155"/>
      <c r="F307" s="156"/>
      <c r="G307" s="152">
        <f>'C%'!P101</f>
        <v>1</v>
      </c>
      <c r="H307" s="157"/>
      <c r="I307" s="152">
        <f>'C%'!Q101</f>
        <v>1</v>
      </c>
      <c r="J307" s="153"/>
    </row>
    <row r="308" spans="1:11" ht="16.5" hidden="1" customHeight="1" x14ac:dyDescent="0.35">
      <c r="A308" s="44">
        <f>'C%'!A102</f>
        <v>88</v>
      </c>
      <c r="B308" s="154">
        <f>'C%'!R102</f>
        <v>0</v>
      </c>
      <c r="C308" s="155"/>
      <c r="D308" s="155"/>
      <c r="E308" s="155"/>
      <c r="F308" s="156"/>
      <c r="G308" s="152">
        <f>'C%'!P102</f>
        <v>0</v>
      </c>
      <c r="H308" s="157"/>
      <c r="I308" s="152">
        <f>'C%'!Q102</f>
        <v>0</v>
      </c>
      <c r="J308" s="153"/>
    </row>
    <row r="309" spans="1:11" hidden="1" x14ac:dyDescent="0.35">
      <c r="A309" s="44">
        <f>'C%'!A103</f>
        <v>89</v>
      </c>
      <c r="B309" s="154" t="str">
        <f>'C%'!R103</f>
        <v>All work completed. Please provide OC.</v>
      </c>
      <c r="C309" s="155"/>
      <c r="D309" s="155"/>
      <c r="E309" s="155"/>
      <c r="F309" s="156"/>
      <c r="G309" s="152">
        <f>'C%'!P103</f>
        <v>1</v>
      </c>
      <c r="H309" s="157"/>
      <c r="I309" s="152">
        <f>'C%'!Q103</f>
        <v>1</v>
      </c>
      <c r="J309" s="153"/>
      <c r="K309" s="9">
        <v>1</v>
      </c>
    </row>
    <row r="310" spans="1:11" ht="15" hidden="1" customHeight="1" x14ac:dyDescent="0.35">
      <c r="A310" s="44">
        <f>'C%'!A104</f>
        <v>90</v>
      </c>
      <c r="B310" s="154">
        <f>'C%'!R104</f>
        <v>0</v>
      </c>
      <c r="C310" s="155"/>
      <c r="D310" s="155"/>
      <c r="E310" s="155"/>
      <c r="F310" s="156"/>
      <c r="G310" s="152">
        <f>'C%'!P104</f>
        <v>0</v>
      </c>
      <c r="H310" s="157"/>
      <c r="I310" s="152">
        <f>'C%'!Q104</f>
        <v>0</v>
      </c>
      <c r="J310" s="153"/>
    </row>
    <row r="311" spans="1:11" hidden="1" x14ac:dyDescent="0.35">
      <c r="A311" s="44">
        <f>'C%'!A105</f>
        <v>91</v>
      </c>
      <c r="B311" s="154" t="str">
        <f>'C%'!R105</f>
        <v>All work completed. Please provide OC.</v>
      </c>
      <c r="C311" s="155"/>
      <c r="D311" s="155"/>
      <c r="E311" s="155"/>
      <c r="F311" s="156"/>
      <c r="G311" s="152">
        <f>'C%'!P105</f>
        <v>1</v>
      </c>
      <c r="H311" s="157"/>
      <c r="I311" s="152">
        <f>'C%'!Q105</f>
        <v>1</v>
      </c>
      <c r="J311" s="153"/>
      <c r="K311" s="9">
        <v>1</v>
      </c>
    </row>
    <row r="312" spans="1:11" hidden="1" x14ac:dyDescent="0.35">
      <c r="A312" s="44">
        <f>'C%'!A106</f>
        <v>92</v>
      </c>
      <c r="B312" s="154" t="str">
        <f>'C%'!R106</f>
        <v>All work completed. Please provide OC.</v>
      </c>
      <c r="C312" s="155"/>
      <c r="D312" s="155"/>
      <c r="E312" s="155"/>
      <c r="F312" s="156"/>
      <c r="G312" s="152">
        <f>'C%'!P106</f>
        <v>1</v>
      </c>
      <c r="H312" s="157"/>
      <c r="I312" s="152">
        <f>'C%'!Q106</f>
        <v>1</v>
      </c>
      <c r="J312" s="153"/>
    </row>
    <row r="313" spans="1:11" hidden="1" x14ac:dyDescent="0.35">
      <c r="A313" s="44">
        <f>'C%'!A107</f>
        <v>93</v>
      </c>
      <c r="B313" s="154" t="str">
        <f>'C%'!R107</f>
        <v>All work completed. Please provide OC.</v>
      </c>
      <c r="C313" s="155"/>
      <c r="D313" s="155"/>
      <c r="E313" s="155"/>
      <c r="F313" s="156"/>
      <c r="G313" s="152">
        <f>'C%'!P107</f>
        <v>1</v>
      </c>
      <c r="H313" s="157"/>
      <c r="I313" s="152">
        <f>'C%'!Q107</f>
        <v>1</v>
      </c>
      <c r="J313" s="153"/>
      <c r="K313" s="9">
        <v>1</v>
      </c>
    </row>
    <row r="314" spans="1:11" hidden="1" x14ac:dyDescent="0.35">
      <c r="A314" s="44">
        <f>'C%'!A108</f>
        <v>94</v>
      </c>
      <c r="B314" s="154" t="str">
        <f>'C%'!R108</f>
        <v>All work completed. Please provide OC.</v>
      </c>
      <c r="C314" s="155"/>
      <c r="D314" s="155"/>
      <c r="E314" s="155"/>
      <c r="F314" s="156"/>
      <c r="G314" s="152">
        <f>'C%'!P108</f>
        <v>1</v>
      </c>
      <c r="H314" s="157"/>
      <c r="I314" s="152">
        <f>'C%'!Q108</f>
        <v>1</v>
      </c>
      <c r="J314" s="153"/>
    </row>
    <row r="315" spans="1:11" hidden="1" x14ac:dyDescent="0.35">
      <c r="A315" s="44">
        <f>'C%'!A109</f>
        <v>95</v>
      </c>
      <c r="B315" s="154">
        <f>'C%'!R109</f>
        <v>0</v>
      </c>
      <c r="C315" s="155"/>
      <c r="D315" s="155"/>
      <c r="E315" s="155"/>
      <c r="F315" s="156"/>
      <c r="G315" s="152">
        <f>'C%'!P109</f>
        <v>0</v>
      </c>
      <c r="H315" s="157"/>
      <c r="I315" s="152">
        <f>'C%'!Q109</f>
        <v>0</v>
      </c>
      <c r="J315" s="153"/>
    </row>
    <row r="316" spans="1:11" ht="15.75" hidden="1" customHeight="1" x14ac:dyDescent="0.35">
      <c r="A316" s="44">
        <f>'C%'!A110</f>
        <v>96</v>
      </c>
      <c r="B316" s="154" t="str">
        <f>'C%'!R110</f>
        <v>All work completed. Please provide OC.</v>
      </c>
      <c r="C316" s="155"/>
      <c r="D316" s="155"/>
      <c r="E316" s="155"/>
      <c r="F316" s="156"/>
      <c r="G316" s="152">
        <f>'C%'!P110</f>
        <v>1</v>
      </c>
      <c r="H316" s="157"/>
      <c r="I316" s="152">
        <f>'C%'!Q110</f>
        <v>1</v>
      </c>
      <c r="J316" s="153"/>
      <c r="K316" s="9">
        <v>1</v>
      </c>
    </row>
    <row r="317" spans="1:11" ht="15" hidden="1" customHeight="1" x14ac:dyDescent="0.35">
      <c r="A317" s="44">
        <f>'C%'!A111</f>
        <v>97</v>
      </c>
      <c r="B317" s="154">
        <f>'C%'!R111</f>
        <v>0</v>
      </c>
      <c r="C317" s="155"/>
      <c r="D317" s="155"/>
      <c r="E317" s="155"/>
      <c r="F317" s="156"/>
      <c r="G317" s="152">
        <f>'C%'!P111</f>
        <v>0</v>
      </c>
      <c r="H317" s="157"/>
      <c r="I317" s="152">
        <f>'C%'!Q111</f>
        <v>0</v>
      </c>
      <c r="J317" s="153"/>
    </row>
    <row r="318" spans="1:11" ht="15" hidden="1" customHeight="1" x14ac:dyDescent="0.35">
      <c r="A318" s="44">
        <f>'C%'!A112</f>
        <v>98</v>
      </c>
      <c r="B318" s="154">
        <f>'C%'!R112</f>
        <v>0</v>
      </c>
      <c r="C318" s="155"/>
      <c r="D318" s="155"/>
      <c r="E318" s="155"/>
      <c r="F318" s="156"/>
      <c r="G318" s="152">
        <f>'C%'!P112</f>
        <v>0</v>
      </c>
      <c r="H318" s="157"/>
      <c r="I318" s="152">
        <f>'C%'!Q112</f>
        <v>0</v>
      </c>
      <c r="J318" s="153"/>
    </row>
    <row r="319" spans="1:11" ht="15" hidden="1" customHeight="1" x14ac:dyDescent="0.35">
      <c r="A319" s="44">
        <f>'C%'!A113</f>
        <v>99</v>
      </c>
      <c r="B319" s="154">
        <f>'C%'!R113</f>
        <v>0</v>
      </c>
      <c r="C319" s="155"/>
      <c r="D319" s="155"/>
      <c r="E319" s="155"/>
      <c r="F319" s="156"/>
      <c r="G319" s="152">
        <f>'C%'!P113</f>
        <v>0</v>
      </c>
      <c r="H319" s="157"/>
      <c r="I319" s="152">
        <f>'C%'!Q113</f>
        <v>0</v>
      </c>
      <c r="J319" s="153"/>
    </row>
    <row r="320" spans="1:11" ht="15" hidden="1" customHeight="1" x14ac:dyDescent="0.35">
      <c r="A320" s="44">
        <f>'C%'!A114</f>
        <v>100</v>
      </c>
      <c r="B320" s="154">
        <f>'C%'!R114</f>
        <v>0</v>
      </c>
      <c r="C320" s="155"/>
      <c r="D320" s="155"/>
      <c r="E320" s="155"/>
      <c r="F320" s="156"/>
      <c r="G320" s="152">
        <f>'C%'!P114</f>
        <v>0</v>
      </c>
      <c r="H320" s="157"/>
      <c r="I320" s="152">
        <f>'C%'!Q114</f>
        <v>0</v>
      </c>
      <c r="J320" s="153"/>
    </row>
    <row r="321" spans="1:11" hidden="1" x14ac:dyDescent="0.35">
      <c r="A321" s="44">
        <f>'C%'!A115</f>
        <v>101</v>
      </c>
      <c r="B321" s="154" t="str">
        <f>'C%'!R115</f>
        <v>All work completed. Please provide OC.</v>
      </c>
      <c r="C321" s="155"/>
      <c r="D321" s="155"/>
      <c r="E321" s="155"/>
      <c r="F321" s="156"/>
      <c r="G321" s="152">
        <f>'C%'!P115</f>
        <v>1</v>
      </c>
      <c r="H321" s="157"/>
      <c r="I321" s="152">
        <f>'C%'!Q115</f>
        <v>1</v>
      </c>
      <c r="J321" s="153"/>
      <c r="K321" s="9">
        <v>1</v>
      </c>
    </row>
    <row r="322" spans="1:11" ht="47.25" customHeight="1" x14ac:dyDescent="0.35">
      <c r="A322" s="44">
        <f>'C%'!A116</f>
        <v>102</v>
      </c>
      <c r="B322" s="154" t="str">
        <f>'C%'!R116</f>
        <v>Plinth, RCC, Brick, Plaster, Flooring, Painting work Completed. Finishing work is in process.</v>
      </c>
      <c r="C322" s="155"/>
      <c r="D322" s="155"/>
      <c r="E322" s="155"/>
      <c r="F322" s="156"/>
      <c r="G322" s="152">
        <f>'C%'!P116</f>
        <v>0.9</v>
      </c>
      <c r="H322" s="157"/>
      <c r="I322" s="152">
        <f>'C%'!Q116</f>
        <v>0.95</v>
      </c>
      <c r="J322" s="153"/>
    </row>
    <row r="323" spans="1:11" ht="21" hidden="1" customHeight="1" x14ac:dyDescent="0.35">
      <c r="A323" s="44">
        <f>'C%'!A117</f>
        <v>103</v>
      </c>
      <c r="B323" s="154">
        <f>'C%'!R117</f>
        <v>0</v>
      </c>
      <c r="C323" s="155"/>
      <c r="D323" s="155"/>
      <c r="E323" s="155"/>
      <c r="F323" s="156"/>
      <c r="G323" s="152">
        <f>'C%'!P117</f>
        <v>0</v>
      </c>
      <c r="H323" s="157"/>
      <c r="I323" s="152">
        <f>'C%'!Q117</f>
        <v>0</v>
      </c>
      <c r="J323" s="153"/>
    </row>
    <row r="324" spans="1:11" ht="19.5" hidden="1" customHeight="1" x14ac:dyDescent="0.35">
      <c r="A324" s="44">
        <f>'C%'!A118</f>
        <v>104</v>
      </c>
      <c r="B324" s="154">
        <f>'C%'!R118</f>
        <v>0</v>
      </c>
      <c r="C324" s="155"/>
      <c r="D324" s="155"/>
      <c r="E324" s="155"/>
      <c r="F324" s="156"/>
      <c r="G324" s="152">
        <f>'C%'!P118</f>
        <v>0</v>
      </c>
      <c r="H324" s="157"/>
      <c r="I324" s="152">
        <f>'C%'!Q118</f>
        <v>0</v>
      </c>
      <c r="J324" s="153"/>
    </row>
    <row r="325" spans="1:11" ht="17.25" hidden="1" customHeight="1" x14ac:dyDescent="0.35">
      <c r="A325" s="44">
        <f>'C%'!A119</f>
        <v>105</v>
      </c>
      <c r="B325" s="154">
        <f>'C%'!R119</f>
        <v>0</v>
      </c>
      <c r="C325" s="155"/>
      <c r="D325" s="155"/>
      <c r="E325" s="155"/>
      <c r="F325" s="156"/>
      <c r="G325" s="152">
        <f>'C%'!P119</f>
        <v>0</v>
      </c>
      <c r="H325" s="157"/>
      <c r="I325" s="152">
        <f>'C%'!Q119</f>
        <v>0</v>
      </c>
      <c r="J325" s="153"/>
    </row>
    <row r="326" spans="1:11" ht="21" hidden="1" customHeight="1" x14ac:dyDescent="0.35">
      <c r="A326" s="44">
        <f>'C%'!A120</f>
        <v>106</v>
      </c>
      <c r="B326" s="154">
        <f>'C%'!R120</f>
        <v>0</v>
      </c>
      <c r="C326" s="155"/>
      <c r="D326" s="155"/>
      <c r="E326" s="155"/>
      <c r="F326" s="156"/>
      <c r="G326" s="152">
        <f>'C%'!P120</f>
        <v>0</v>
      </c>
      <c r="H326" s="157"/>
      <c r="I326" s="152">
        <f>'C%'!Q120</f>
        <v>0</v>
      </c>
      <c r="J326" s="153"/>
    </row>
    <row r="327" spans="1:11" ht="29.25" hidden="1" customHeight="1" x14ac:dyDescent="0.35">
      <c r="A327" s="44">
        <f>'C%'!A121</f>
        <v>107</v>
      </c>
      <c r="B327" s="154">
        <f>'C%'!R121</f>
        <v>0</v>
      </c>
      <c r="C327" s="155"/>
      <c r="D327" s="155"/>
      <c r="E327" s="155"/>
      <c r="F327" s="156"/>
      <c r="G327" s="152">
        <f>'C%'!P121</f>
        <v>0</v>
      </c>
      <c r="H327" s="157"/>
      <c r="I327" s="152">
        <f>'C%'!Q121</f>
        <v>0</v>
      </c>
      <c r="J327" s="153"/>
    </row>
    <row r="328" spans="1:11" hidden="1" x14ac:dyDescent="0.35">
      <c r="A328" s="44">
        <f>'C%'!A122</f>
        <v>108</v>
      </c>
      <c r="B328" s="154" t="str">
        <f>'C%'!R122</f>
        <v>All work completed. Please provide OC.</v>
      </c>
      <c r="C328" s="155"/>
      <c r="D328" s="155"/>
      <c r="E328" s="155"/>
      <c r="F328" s="156"/>
      <c r="G328" s="152">
        <f>'C%'!P122</f>
        <v>1</v>
      </c>
      <c r="H328" s="157"/>
      <c r="I328" s="152">
        <f>'C%'!Q122</f>
        <v>1</v>
      </c>
      <c r="J328" s="153"/>
      <c r="K328" s="9">
        <v>1</v>
      </c>
    </row>
    <row r="329" spans="1:11" hidden="1" x14ac:dyDescent="0.35">
      <c r="A329" s="44">
        <f>'C%'!A123</f>
        <v>109</v>
      </c>
      <c r="B329" s="154" t="str">
        <f>'C%'!R123</f>
        <v>All work completed. Please provide OC.</v>
      </c>
      <c r="C329" s="155"/>
      <c r="D329" s="155"/>
      <c r="E329" s="155"/>
      <c r="F329" s="156"/>
      <c r="G329" s="152">
        <f>'C%'!P123</f>
        <v>1</v>
      </c>
      <c r="H329" s="157"/>
      <c r="I329" s="152">
        <f>'C%'!Q123</f>
        <v>1</v>
      </c>
      <c r="J329" s="153"/>
      <c r="K329" s="9">
        <v>1</v>
      </c>
    </row>
    <row r="330" spans="1:11" hidden="1" x14ac:dyDescent="0.35">
      <c r="A330" s="44">
        <f>'C%'!A124</f>
        <v>110</v>
      </c>
      <c r="B330" s="154" t="str">
        <f>'C%'!R124</f>
        <v>All work completed. Please provide OC.</v>
      </c>
      <c r="C330" s="155"/>
      <c r="D330" s="155"/>
      <c r="E330" s="155"/>
      <c r="F330" s="156"/>
      <c r="G330" s="152">
        <f>'C%'!P124</f>
        <v>1</v>
      </c>
      <c r="H330" s="157"/>
      <c r="I330" s="152">
        <f>'C%'!Q124</f>
        <v>1</v>
      </c>
      <c r="J330" s="153"/>
      <c r="K330" s="9">
        <v>1</v>
      </c>
    </row>
    <row r="331" spans="1:11" hidden="1" x14ac:dyDescent="0.35">
      <c r="A331" s="44">
        <f>'C%'!A125</f>
        <v>111</v>
      </c>
      <c r="B331" s="154" t="str">
        <f>'C%'!R125</f>
        <v>All work completed. Please provide OC.</v>
      </c>
      <c r="C331" s="155"/>
      <c r="D331" s="155"/>
      <c r="E331" s="155"/>
      <c r="F331" s="156"/>
      <c r="G331" s="152">
        <f>'C%'!P125</f>
        <v>1</v>
      </c>
      <c r="H331" s="157"/>
      <c r="I331" s="152">
        <f>'C%'!Q125</f>
        <v>1</v>
      </c>
      <c r="J331" s="153"/>
      <c r="K331" s="9">
        <v>1</v>
      </c>
    </row>
    <row r="332" spans="1:11" hidden="1" x14ac:dyDescent="0.35">
      <c r="A332" s="44">
        <f>'C%'!A126</f>
        <v>112</v>
      </c>
      <c r="B332" s="154" t="str">
        <f>'C%'!R126</f>
        <v>All work completed. Please provide OC.</v>
      </c>
      <c r="C332" s="155"/>
      <c r="D332" s="155"/>
      <c r="E332" s="155"/>
      <c r="F332" s="156"/>
      <c r="G332" s="152">
        <f>'C%'!P126</f>
        <v>1</v>
      </c>
      <c r="H332" s="157"/>
      <c r="I332" s="152">
        <f>'C%'!Q126</f>
        <v>1</v>
      </c>
      <c r="J332" s="153"/>
    </row>
    <row r="333" spans="1:11" hidden="1" x14ac:dyDescent="0.35">
      <c r="A333" s="44">
        <f>'C%'!A127</f>
        <v>113</v>
      </c>
      <c r="B333" s="154">
        <f>'C%'!R127</f>
        <v>0</v>
      </c>
      <c r="C333" s="155"/>
      <c r="D333" s="155"/>
      <c r="E333" s="155"/>
      <c r="F333" s="156"/>
      <c r="G333" s="152">
        <f>'C%'!P127</f>
        <v>0</v>
      </c>
      <c r="H333" s="157"/>
      <c r="I333" s="152">
        <f>'C%'!Q127</f>
        <v>0</v>
      </c>
      <c r="J333" s="153"/>
    </row>
    <row r="334" spans="1:11" hidden="1" x14ac:dyDescent="0.35">
      <c r="A334" s="44">
        <f>'C%'!A128</f>
        <v>114</v>
      </c>
      <c r="B334" s="154" t="str">
        <f>'C%'!R128</f>
        <v>All work completed. Please provide OC.</v>
      </c>
      <c r="C334" s="155"/>
      <c r="D334" s="155"/>
      <c r="E334" s="155"/>
      <c r="F334" s="156"/>
      <c r="G334" s="152">
        <f>'C%'!P128</f>
        <v>1</v>
      </c>
      <c r="H334" s="157"/>
      <c r="I334" s="152">
        <f>'C%'!Q128</f>
        <v>1</v>
      </c>
      <c r="J334" s="153"/>
    </row>
    <row r="335" spans="1:11" hidden="1" x14ac:dyDescent="0.35">
      <c r="A335" s="44">
        <f>'C%'!A129</f>
        <v>115</v>
      </c>
      <c r="B335" s="154">
        <f>'C%'!R129</f>
        <v>0</v>
      </c>
      <c r="C335" s="155"/>
      <c r="D335" s="155"/>
      <c r="E335" s="155"/>
      <c r="F335" s="156"/>
      <c r="G335" s="152">
        <f>'C%'!P129</f>
        <v>0</v>
      </c>
      <c r="H335" s="157"/>
      <c r="I335" s="152">
        <f>'C%'!Q129</f>
        <v>0</v>
      </c>
      <c r="J335" s="153"/>
    </row>
    <row r="336" spans="1:11" hidden="1" x14ac:dyDescent="0.35">
      <c r="A336" s="44">
        <f>'C%'!A130</f>
        <v>116</v>
      </c>
      <c r="B336" s="154">
        <f>'C%'!R130</f>
        <v>0</v>
      </c>
      <c r="C336" s="155"/>
      <c r="D336" s="155"/>
      <c r="E336" s="155"/>
      <c r="F336" s="156"/>
      <c r="G336" s="152">
        <f>'C%'!P130</f>
        <v>0</v>
      </c>
      <c r="H336" s="157"/>
      <c r="I336" s="152">
        <f>'C%'!Q130</f>
        <v>0</v>
      </c>
      <c r="J336" s="153"/>
    </row>
    <row r="337" spans="1:11" hidden="1" x14ac:dyDescent="0.35">
      <c r="A337" s="44">
        <f>'C%'!A131</f>
        <v>117</v>
      </c>
      <c r="B337" s="154">
        <f>'C%'!R131</f>
        <v>0</v>
      </c>
      <c r="C337" s="155"/>
      <c r="D337" s="155"/>
      <c r="E337" s="155"/>
      <c r="F337" s="156"/>
      <c r="G337" s="152">
        <f>'C%'!P131</f>
        <v>0</v>
      </c>
      <c r="H337" s="157"/>
      <c r="I337" s="152">
        <f>'C%'!Q131</f>
        <v>0</v>
      </c>
      <c r="J337" s="153"/>
    </row>
    <row r="338" spans="1:11" hidden="1" x14ac:dyDescent="0.35">
      <c r="A338" s="44">
        <f>'C%'!A132</f>
        <v>118</v>
      </c>
      <c r="B338" s="154" t="str">
        <f>'C%'!R132</f>
        <v>All work completed. Please provide OC.</v>
      </c>
      <c r="C338" s="155"/>
      <c r="D338" s="155"/>
      <c r="E338" s="155"/>
      <c r="F338" s="156"/>
      <c r="G338" s="152">
        <f>'C%'!P132</f>
        <v>1</v>
      </c>
      <c r="H338" s="157"/>
      <c r="I338" s="152">
        <f>'C%'!Q132</f>
        <v>1</v>
      </c>
      <c r="J338" s="153"/>
      <c r="K338" s="9">
        <v>1</v>
      </c>
    </row>
    <row r="339" spans="1:11" hidden="1" x14ac:dyDescent="0.35">
      <c r="A339" s="44">
        <f>'C%'!A133</f>
        <v>119</v>
      </c>
      <c r="B339" s="154" t="str">
        <f>'C%'!R133</f>
        <v>All work completed. Please provide OC.</v>
      </c>
      <c r="C339" s="155"/>
      <c r="D339" s="155"/>
      <c r="E339" s="155"/>
      <c r="F339" s="156"/>
      <c r="G339" s="152">
        <f>'C%'!P133</f>
        <v>1</v>
      </c>
      <c r="H339" s="157"/>
      <c r="I339" s="152">
        <f>'C%'!Q133</f>
        <v>1</v>
      </c>
      <c r="J339" s="153"/>
      <c r="K339" s="9">
        <v>1</v>
      </c>
    </row>
    <row r="340" spans="1:11" hidden="1" x14ac:dyDescent="0.35">
      <c r="A340" s="44">
        <f>'C%'!A134</f>
        <v>120</v>
      </c>
      <c r="B340" s="154" t="str">
        <f>'C%'!R134</f>
        <v>All work completed. Please provide OC.</v>
      </c>
      <c r="C340" s="155"/>
      <c r="D340" s="155"/>
      <c r="E340" s="155"/>
      <c r="F340" s="156"/>
      <c r="G340" s="152">
        <f>'C%'!P134</f>
        <v>1</v>
      </c>
      <c r="H340" s="157"/>
      <c r="I340" s="152">
        <f>'C%'!Q134</f>
        <v>1</v>
      </c>
      <c r="J340" s="153"/>
      <c r="K340" s="9">
        <v>1</v>
      </c>
    </row>
    <row r="341" spans="1:11" s="59" customFormat="1" hidden="1" x14ac:dyDescent="0.35">
      <c r="A341" s="44" t="str">
        <f>'C%'!A135</f>
        <v>121A</v>
      </c>
      <c r="B341" s="154" t="str">
        <f>'C%'!R135</f>
        <v>All work completed. Please provide OC.</v>
      </c>
      <c r="C341" s="155"/>
      <c r="D341" s="155"/>
      <c r="E341" s="155"/>
      <c r="F341" s="156"/>
      <c r="G341" s="152">
        <f>'C%'!P135</f>
        <v>1</v>
      </c>
      <c r="H341" s="157"/>
      <c r="I341" s="152">
        <f>'C%'!Q135</f>
        <v>1</v>
      </c>
      <c r="J341" s="153"/>
    </row>
    <row r="342" spans="1:11" hidden="1" x14ac:dyDescent="0.35">
      <c r="A342" s="44" t="str">
        <f>'C%'!A136</f>
        <v>121B</v>
      </c>
      <c r="B342" s="154">
        <f>'C%'!R136</f>
        <v>0</v>
      </c>
      <c r="C342" s="155"/>
      <c r="D342" s="155"/>
      <c r="E342" s="155"/>
      <c r="F342" s="156"/>
      <c r="G342" s="152">
        <f>'C%'!P136</f>
        <v>0</v>
      </c>
      <c r="H342" s="157"/>
      <c r="I342" s="152">
        <f>'C%'!Q136</f>
        <v>0</v>
      </c>
      <c r="J342" s="153"/>
    </row>
    <row r="343" spans="1:11" hidden="1" x14ac:dyDescent="0.35">
      <c r="A343" s="44" t="str">
        <f>'C%'!A137</f>
        <v>122A</v>
      </c>
      <c r="B343" s="154" t="str">
        <f>'C%'!R137</f>
        <v>All work completed. Please provide OC.</v>
      </c>
      <c r="C343" s="155"/>
      <c r="D343" s="155"/>
      <c r="E343" s="155"/>
      <c r="F343" s="156"/>
      <c r="G343" s="152">
        <f>'C%'!P137</f>
        <v>1</v>
      </c>
      <c r="H343" s="157"/>
      <c r="I343" s="152">
        <f>'C%'!Q137</f>
        <v>1</v>
      </c>
      <c r="J343" s="153"/>
      <c r="K343" s="9">
        <v>1</v>
      </c>
    </row>
    <row r="344" spans="1:11" hidden="1" x14ac:dyDescent="0.35">
      <c r="A344" s="44" t="str">
        <f>'C%'!A138</f>
        <v>122B</v>
      </c>
      <c r="B344" s="154" t="str">
        <f>'C%'!R138</f>
        <v>All work completed. Please provide OC.</v>
      </c>
      <c r="C344" s="155"/>
      <c r="D344" s="155"/>
      <c r="E344" s="155"/>
      <c r="F344" s="156"/>
      <c r="G344" s="152">
        <f>'C%'!P138</f>
        <v>1</v>
      </c>
      <c r="H344" s="157"/>
      <c r="I344" s="152">
        <f>'C%'!Q138</f>
        <v>1</v>
      </c>
      <c r="J344" s="153"/>
      <c r="K344" s="9">
        <v>1</v>
      </c>
    </row>
    <row r="345" spans="1:11" ht="15" hidden="1" customHeight="1" x14ac:dyDescent="0.35">
      <c r="A345" s="44" t="str">
        <f>'C%'!A139</f>
        <v>123A</v>
      </c>
      <c r="B345" s="154">
        <f>'C%'!R139</f>
        <v>0</v>
      </c>
      <c r="C345" s="155"/>
      <c r="D345" s="155"/>
      <c r="E345" s="155"/>
      <c r="F345" s="156"/>
      <c r="G345" s="152">
        <f>'C%'!P139</f>
        <v>0</v>
      </c>
      <c r="H345" s="157"/>
      <c r="I345" s="152">
        <f>'C%'!Q139</f>
        <v>0</v>
      </c>
      <c r="J345" s="153"/>
    </row>
    <row r="346" spans="1:11" ht="15" hidden="1" customHeight="1" x14ac:dyDescent="0.35">
      <c r="A346" s="44" t="str">
        <f>'C%'!A140</f>
        <v>123B</v>
      </c>
      <c r="B346" s="154">
        <f>'C%'!R140</f>
        <v>0</v>
      </c>
      <c r="C346" s="155"/>
      <c r="D346" s="155"/>
      <c r="E346" s="155"/>
      <c r="F346" s="156"/>
      <c r="G346" s="152">
        <f>'C%'!P140</f>
        <v>0</v>
      </c>
      <c r="H346" s="157"/>
      <c r="I346" s="152">
        <f>'C%'!Q140</f>
        <v>0</v>
      </c>
      <c r="J346" s="153"/>
    </row>
    <row r="347" spans="1:11" ht="15" hidden="1" customHeight="1" x14ac:dyDescent="0.35">
      <c r="A347" s="44" t="str">
        <f>'C%'!A141</f>
        <v>124A</v>
      </c>
      <c r="B347" s="154">
        <f>'C%'!R141</f>
        <v>0</v>
      </c>
      <c r="C347" s="155"/>
      <c r="D347" s="155"/>
      <c r="E347" s="155"/>
      <c r="F347" s="156"/>
      <c r="G347" s="152">
        <f>'C%'!P141</f>
        <v>0</v>
      </c>
      <c r="H347" s="157"/>
      <c r="I347" s="152">
        <f>'C%'!Q141</f>
        <v>0</v>
      </c>
      <c r="J347" s="153"/>
    </row>
    <row r="348" spans="1:11" ht="15" hidden="1" customHeight="1" x14ac:dyDescent="0.35">
      <c r="A348" s="44" t="str">
        <f>'C%'!A142</f>
        <v>124B</v>
      </c>
      <c r="B348" s="154">
        <f>'C%'!R142</f>
        <v>0</v>
      </c>
      <c r="C348" s="155"/>
      <c r="D348" s="155"/>
      <c r="E348" s="155"/>
      <c r="F348" s="156"/>
      <c r="G348" s="152">
        <f>'C%'!P142</f>
        <v>0</v>
      </c>
      <c r="H348" s="157"/>
      <c r="I348" s="152">
        <f>'C%'!Q142</f>
        <v>0</v>
      </c>
      <c r="J348" s="153"/>
    </row>
    <row r="349" spans="1:11" ht="15" hidden="1" customHeight="1" x14ac:dyDescent="0.35">
      <c r="A349" s="44" t="str">
        <f>'C%'!A143</f>
        <v>125A</v>
      </c>
      <c r="B349" s="154">
        <f>'C%'!R143</f>
        <v>0</v>
      </c>
      <c r="C349" s="155"/>
      <c r="D349" s="155"/>
      <c r="E349" s="155"/>
      <c r="F349" s="156"/>
      <c r="G349" s="152">
        <f>'C%'!P143</f>
        <v>0</v>
      </c>
      <c r="H349" s="157"/>
      <c r="I349" s="152">
        <f>'C%'!Q143</f>
        <v>0</v>
      </c>
      <c r="J349" s="153"/>
    </row>
    <row r="350" spans="1:11" hidden="1" x14ac:dyDescent="0.35">
      <c r="A350" s="44" t="str">
        <f>'C%'!A144</f>
        <v>125B</v>
      </c>
      <c r="B350" s="154" t="str">
        <f>'C%'!R144</f>
        <v>All work completed. Please provide OC.</v>
      </c>
      <c r="C350" s="155"/>
      <c r="D350" s="155"/>
      <c r="E350" s="155"/>
      <c r="F350" s="156"/>
      <c r="G350" s="152">
        <f>'C%'!P144</f>
        <v>1</v>
      </c>
      <c r="H350" s="157"/>
      <c r="I350" s="152">
        <f>'C%'!Q144</f>
        <v>1</v>
      </c>
      <c r="J350" s="153"/>
    </row>
    <row r="351" spans="1:11" hidden="1" x14ac:dyDescent="0.35">
      <c r="A351" s="44" t="str">
        <f>'C%'!A145</f>
        <v>126A</v>
      </c>
      <c r="B351" s="154">
        <f>'C%'!R145</f>
        <v>0</v>
      </c>
      <c r="C351" s="155"/>
      <c r="D351" s="155"/>
      <c r="E351" s="155"/>
      <c r="F351" s="156"/>
      <c r="G351" s="152">
        <f>'C%'!P145</f>
        <v>0</v>
      </c>
      <c r="H351" s="157"/>
      <c r="I351" s="152">
        <f>'C%'!Q145</f>
        <v>0</v>
      </c>
      <c r="J351" s="153"/>
    </row>
    <row r="352" spans="1:11" hidden="1" x14ac:dyDescent="0.35">
      <c r="A352" s="44" t="str">
        <f>'C%'!A146</f>
        <v>126B</v>
      </c>
      <c r="B352" s="154" t="str">
        <f>'C%'!R146</f>
        <v>All work completed. Please provide OC.</v>
      </c>
      <c r="C352" s="155"/>
      <c r="D352" s="155"/>
      <c r="E352" s="155"/>
      <c r="F352" s="156"/>
      <c r="G352" s="152">
        <f>'C%'!P146</f>
        <v>1</v>
      </c>
      <c r="H352" s="157"/>
      <c r="I352" s="152">
        <f>'C%'!Q146</f>
        <v>1</v>
      </c>
      <c r="J352" s="153"/>
    </row>
    <row r="353" spans="1:19" hidden="1" x14ac:dyDescent="0.35">
      <c r="A353" s="44">
        <f>'C%'!A147</f>
        <v>127</v>
      </c>
      <c r="B353" s="154" t="str">
        <f>'C%'!R147</f>
        <v>All work completed. Please provide OC.</v>
      </c>
      <c r="C353" s="155"/>
      <c r="D353" s="155"/>
      <c r="E353" s="155"/>
      <c r="F353" s="156"/>
      <c r="G353" s="152">
        <f>'C%'!P147</f>
        <v>1</v>
      </c>
      <c r="H353" s="157"/>
      <c r="I353" s="152">
        <f>'C%'!Q147</f>
        <v>1</v>
      </c>
      <c r="J353" s="153"/>
    </row>
    <row r="354" spans="1:19" ht="30.75" customHeight="1" x14ac:dyDescent="0.35">
      <c r="A354" s="44">
        <f>'C%'!A148</f>
        <v>128</v>
      </c>
      <c r="B354" s="154" t="str">
        <f>'C%'!R148</f>
        <v>Excavation work Completed. Plinth work completed, RCC upto 1 Slab, Brickwork upto 0.5 Floor, Internal Plaster upto 0.5 Floor Completed</v>
      </c>
      <c r="C354" s="155"/>
      <c r="D354" s="155"/>
      <c r="E354" s="155"/>
      <c r="F354" s="156"/>
      <c r="G354" s="152">
        <f>'C%'!P148</f>
        <v>0.375</v>
      </c>
      <c r="H354" s="157"/>
      <c r="I354" s="152">
        <f>'C%'!Q148</f>
        <v>0.65</v>
      </c>
      <c r="J354" s="153"/>
    </row>
    <row r="355" spans="1:19" x14ac:dyDescent="0.35">
      <c r="A355" s="118" t="s">
        <v>42</v>
      </c>
      <c r="B355" s="119"/>
      <c r="C355" s="119"/>
      <c r="D355" s="119"/>
      <c r="E355" s="119"/>
      <c r="F355" s="119"/>
      <c r="G355" s="119"/>
      <c r="H355" s="119"/>
      <c r="I355" s="119"/>
      <c r="J355" s="120"/>
    </row>
    <row r="356" spans="1:19" x14ac:dyDescent="0.35">
      <c r="A356" s="118" t="s">
        <v>35</v>
      </c>
      <c r="B356" s="119"/>
      <c r="C356" s="119"/>
      <c r="D356" s="119"/>
      <c r="E356" s="119"/>
      <c r="F356" s="119"/>
      <c r="G356" s="119"/>
      <c r="H356" s="119"/>
      <c r="I356" s="119"/>
      <c r="J356" s="120"/>
    </row>
    <row r="357" spans="1:19" ht="15" customHeight="1" x14ac:dyDescent="0.35">
      <c r="A357" s="158" t="s">
        <v>55</v>
      </c>
      <c r="B357" s="159"/>
      <c r="C357" s="159"/>
      <c r="D357" s="159"/>
      <c r="E357" s="159"/>
      <c r="F357" s="159"/>
      <c r="G357" s="159"/>
      <c r="H357" s="159"/>
      <c r="I357" s="159"/>
      <c r="J357" s="160"/>
    </row>
    <row r="358" spans="1:19" x14ac:dyDescent="0.35">
      <c r="A358" s="161"/>
      <c r="B358" s="162"/>
      <c r="C358" s="162"/>
      <c r="D358" s="162"/>
      <c r="E358" s="162"/>
      <c r="F358" s="162"/>
      <c r="G358" s="162"/>
      <c r="H358" s="162"/>
      <c r="I358" s="162"/>
      <c r="J358" s="163"/>
    </row>
    <row r="359" spans="1:19" x14ac:dyDescent="0.35">
      <c r="A359" s="149" t="s">
        <v>112</v>
      </c>
      <c r="B359" s="150"/>
      <c r="C359" s="150"/>
      <c r="D359" s="150"/>
      <c r="E359" s="150"/>
      <c r="F359" s="150"/>
      <c r="G359" s="150"/>
      <c r="H359" s="150"/>
      <c r="I359" s="150"/>
      <c r="J359" s="151"/>
    </row>
    <row r="360" spans="1:19" x14ac:dyDescent="0.35">
      <c r="A360" s="171" t="s">
        <v>151</v>
      </c>
      <c r="B360" s="172"/>
      <c r="C360" s="172"/>
      <c r="D360" s="172"/>
      <c r="E360" s="172"/>
      <c r="F360" s="173"/>
      <c r="G360" s="164">
        <v>5400</v>
      </c>
      <c r="H360" s="165"/>
      <c r="I360" s="165"/>
      <c r="J360" s="166"/>
      <c r="K360" s="47" t="s">
        <v>243</v>
      </c>
      <c r="L360" s="47"/>
      <c r="M360" s="47"/>
      <c r="N360" s="47"/>
      <c r="O360" s="47"/>
      <c r="P360" s="47"/>
      <c r="Q360" s="47"/>
      <c r="R360" s="47"/>
      <c r="S360" s="47"/>
    </row>
    <row r="361" spans="1:19" x14ac:dyDescent="0.35">
      <c r="A361" s="149" t="s">
        <v>187</v>
      </c>
      <c r="B361" s="150"/>
      <c r="C361" s="150"/>
      <c r="D361" s="150"/>
      <c r="E361" s="150"/>
      <c r="F361" s="151"/>
      <c r="G361" s="164" t="s">
        <v>190</v>
      </c>
      <c r="H361" s="165"/>
      <c r="I361" s="165"/>
      <c r="J361" s="166"/>
    </row>
    <row r="362" spans="1:19" x14ac:dyDescent="0.35">
      <c r="A362" s="149" t="s">
        <v>188</v>
      </c>
      <c r="B362" s="150"/>
      <c r="C362" s="150"/>
      <c r="D362" s="150"/>
      <c r="E362" s="150"/>
      <c r="F362" s="151"/>
      <c r="G362" s="164" t="s">
        <v>191</v>
      </c>
      <c r="H362" s="165"/>
      <c r="I362" s="165"/>
      <c r="J362" s="166"/>
    </row>
    <row r="363" spans="1:19" x14ac:dyDescent="0.35">
      <c r="A363" s="149" t="s">
        <v>189</v>
      </c>
      <c r="B363" s="150"/>
      <c r="C363" s="150"/>
      <c r="D363" s="150"/>
      <c r="E363" s="150"/>
      <c r="F363" s="151"/>
      <c r="G363" s="164" t="s">
        <v>192</v>
      </c>
      <c r="H363" s="165"/>
      <c r="I363" s="165"/>
      <c r="J363" s="166"/>
    </row>
    <row r="364" spans="1:19" x14ac:dyDescent="0.35">
      <c r="A364" s="149" t="s">
        <v>150</v>
      </c>
      <c r="B364" s="150"/>
      <c r="C364" s="150"/>
      <c r="D364" s="150"/>
      <c r="E364" s="150"/>
      <c r="F364" s="151"/>
      <c r="G364" s="253">
        <f>G360*0.8</f>
        <v>4320</v>
      </c>
      <c r="H364" s="254"/>
      <c r="I364" s="254"/>
      <c r="J364" s="255"/>
    </row>
    <row r="365" spans="1:19" s="12" customFormat="1" x14ac:dyDescent="0.35">
      <c r="A365" s="252" t="s">
        <v>85</v>
      </c>
      <c r="B365" s="252"/>
      <c r="C365" s="252"/>
      <c r="D365" s="252"/>
      <c r="E365" s="252"/>
      <c r="F365" s="252"/>
      <c r="G365" s="252"/>
      <c r="H365" s="252"/>
      <c r="I365" s="252"/>
      <c r="J365" s="252"/>
      <c r="K365" s="17" t="s">
        <v>186</v>
      </c>
      <c r="L365" s="17"/>
      <c r="M365" s="17"/>
      <c r="N365" s="17"/>
      <c r="O365" s="17"/>
      <c r="P365" s="17"/>
      <c r="Q365" s="17"/>
    </row>
    <row r="366" spans="1:19" x14ac:dyDescent="0.35">
      <c r="A366" s="252" t="s">
        <v>32</v>
      </c>
      <c r="B366" s="252"/>
      <c r="C366" s="252"/>
      <c r="D366" s="252"/>
      <c r="E366" s="252"/>
      <c r="F366" s="252"/>
      <c r="G366" s="252"/>
      <c r="H366" s="252"/>
      <c r="I366" s="252"/>
      <c r="J366" s="252"/>
    </row>
    <row r="367" spans="1:19" ht="48" customHeight="1" x14ac:dyDescent="0.35">
      <c r="A367" s="13" t="s">
        <v>23</v>
      </c>
      <c r="B367" s="13" t="s">
        <v>111</v>
      </c>
      <c r="C367" s="13" t="s">
        <v>124</v>
      </c>
      <c r="D367" s="245" t="s">
        <v>108</v>
      </c>
      <c r="E367" s="245"/>
      <c r="F367" s="13" t="s">
        <v>109</v>
      </c>
      <c r="G367" s="13" t="s">
        <v>110</v>
      </c>
      <c r="H367" s="13" t="s">
        <v>24</v>
      </c>
      <c r="I367" s="245" t="s">
        <v>86</v>
      </c>
      <c r="J367" s="245"/>
    </row>
    <row r="368" spans="1:19" ht="19.5" customHeight="1" x14ac:dyDescent="0.35">
      <c r="A368" s="140" t="s">
        <v>171</v>
      </c>
      <c r="B368" s="140"/>
      <c r="C368" s="140"/>
      <c r="D368" s="140"/>
      <c r="E368" s="140"/>
      <c r="F368" s="140"/>
      <c r="G368" s="140"/>
      <c r="H368" s="140"/>
      <c r="I368" s="140"/>
      <c r="J368" s="140"/>
    </row>
    <row r="369" spans="1:12" ht="30.75" customHeight="1" x14ac:dyDescent="0.35">
      <c r="A369" s="40" t="s">
        <v>106</v>
      </c>
      <c r="B369" s="41">
        <f>192*10.764</f>
        <v>2066.6880000000001</v>
      </c>
      <c r="C369" s="41">
        <f>((2.29*3.25+3.05*2.13+3.05*5.45+3.2*2.82+2.24*1.3+1.3*0.9+3.02*3.25+1.3*1.83+1.3*0.9+1.8*2.8))*10.764</f>
        <v>668.13762599999984</v>
      </c>
      <c r="D369" s="141">
        <f>(6.71*4.37)*10.764</f>
        <v>315.62954279999997</v>
      </c>
      <c r="E369" s="141"/>
      <c r="F369" s="41">
        <f>76.99*10.764</f>
        <v>828.72035999999991</v>
      </c>
      <c r="G369" s="41">
        <f>C369*1.6+D369/2</f>
        <v>1226.8349729999998</v>
      </c>
      <c r="H369" s="41" t="s">
        <v>95</v>
      </c>
      <c r="I369" s="140" t="s">
        <v>107</v>
      </c>
      <c r="J369" s="140"/>
      <c r="L369" s="6">
        <f>G369*4800</f>
        <v>5888807.8703999985</v>
      </c>
    </row>
    <row r="370" spans="1:12" ht="19.5" customHeight="1" x14ac:dyDescent="0.35">
      <c r="A370" s="140" t="s">
        <v>329</v>
      </c>
      <c r="B370" s="140"/>
      <c r="C370" s="140"/>
      <c r="D370" s="140"/>
      <c r="E370" s="140"/>
      <c r="F370" s="140"/>
      <c r="G370" s="140"/>
      <c r="H370" s="140"/>
      <c r="I370" s="140"/>
      <c r="J370" s="140"/>
    </row>
    <row r="371" spans="1:12" ht="30.75" customHeight="1" x14ac:dyDescent="0.35">
      <c r="A371" s="40" t="s">
        <v>106</v>
      </c>
      <c r="B371" s="41">
        <f>184*10.764</f>
        <v>1980.5759999999998</v>
      </c>
      <c r="C371" s="41">
        <f>((5.03*3.6+5.1*5.55+5.1*5.55+1.2*3.68)-3*1.2)*10.764</f>
        <v>813.04797599999984</v>
      </c>
      <c r="D371" s="141">
        <f>(5.32*3.9)*10.764</f>
        <v>223.33147199999999</v>
      </c>
      <c r="E371" s="141"/>
      <c r="F371" s="41">
        <f>78.56*10.764</f>
        <v>845.61983999999995</v>
      </c>
      <c r="G371" s="41">
        <f>C371*1.6+D371/2</f>
        <v>1412.5424975999997</v>
      </c>
      <c r="H371" s="41" t="s">
        <v>95</v>
      </c>
      <c r="I371" s="140" t="s">
        <v>107</v>
      </c>
      <c r="J371" s="140"/>
      <c r="L371" s="6">
        <f>G371*4800</f>
        <v>6780203.9884799989</v>
      </c>
    </row>
    <row r="372" spans="1:12" ht="19.5" customHeight="1" x14ac:dyDescent="0.35">
      <c r="A372" s="140" t="s">
        <v>152</v>
      </c>
      <c r="B372" s="140"/>
      <c r="C372" s="140"/>
      <c r="D372" s="140"/>
      <c r="E372" s="140"/>
      <c r="F372" s="140"/>
      <c r="G372" s="140"/>
      <c r="H372" s="140"/>
      <c r="I372" s="140"/>
      <c r="J372" s="140"/>
    </row>
    <row r="373" spans="1:12" ht="30.75" customHeight="1" x14ac:dyDescent="0.35">
      <c r="A373" s="40" t="s">
        <v>123</v>
      </c>
      <c r="B373" s="41">
        <f>203*10.764</f>
        <v>2185.0919999999996</v>
      </c>
      <c r="C373" s="41">
        <f>(3.64*3.77+3.85*6.11+2.64*1.2+3.64+3.64+1.2*2.55+1.3*1+3.68*3.78+3.64*4.61+2.65*1.2+2.54*1.2+1.3*1)*10.764</f>
        <v>971.69964840000011</v>
      </c>
      <c r="D373" s="141">
        <f>(5.3*1.5+1*1)*10.764</f>
        <v>96.337799999999987</v>
      </c>
      <c r="E373" s="141"/>
      <c r="F373" s="41">
        <f>101.19*10.764</f>
        <v>1089.2091599999999</v>
      </c>
      <c r="G373" s="41">
        <f>C373*1.6+D373/2</f>
        <v>1602.8883374400002</v>
      </c>
      <c r="H373" s="41" t="s">
        <v>95</v>
      </c>
      <c r="I373" s="140" t="s">
        <v>107</v>
      </c>
      <c r="J373" s="140"/>
    </row>
    <row r="374" spans="1:12" ht="19.5" customHeight="1" x14ac:dyDescent="0.35">
      <c r="A374" s="140" t="s">
        <v>244</v>
      </c>
      <c r="B374" s="140"/>
      <c r="C374" s="140"/>
      <c r="D374" s="140"/>
      <c r="E374" s="140"/>
      <c r="F374" s="140"/>
      <c r="G374" s="140"/>
      <c r="H374" s="140"/>
      <c r="I374" s="140"/>
      <c r="J374" s="140"/>
    </row>
    <row r="375" spans="1:12" ht="30.75" customHeight="1" x14ac:dyDescent="0.35">
      <c r="A375" s="40" t="s">
        <v>123</v>
      </c>
      <c r="B375" s="41">
        <f>198*10.764</f>
        <v>2131.2719999999999</v>
      </c>
      <c r="C375" s="41">
        <f>((3.5*6.5+3.2*2+3.2*3.25+2.2*1.2+2.8*2.1+0.9*3.3)+(3.05*3.53+3.2*3.25+2.2*1.2+2.43*3.09+1*3.09+0.9*3.2+2.8*2.1)+(1.82*1.21+0.8*2.1))*10.764</f>
        <v>1055.8127735999999</v>
      </c>
      <c r="D375" s="141">
        <f>(3.9*5.2+1.9*1.2)*10.764</f>
        <v>242.83584000000002</v>
      </c>
      <c r="E375" s="141"/>
      <c r="F375" s="41">
        <f>120*10.764</f>
        <v>1291.6799999999998</v>
      </c>
      <c r="G375" s="41">
        <f>C375*1.6+D375/3</f>
        <v>1770.2457177599999</v>
      </c>
      <c r="H375" s="41" t="s">
        <v>95</v>
      </c>
      <c r="I375" s="140" t="s">
        <v>177</v>
      </c>
      <c r="J375" s="140"/>
    </row>
    <row r="376" spans="1:12" ht="19.5" customHeight="1" x14ac:dyDescent="0.35">
      <c r="A376" s="140" t="s">
        <v>163</v>
      </c>
      <c r="B376" s="140"/>
      <c r="C376" s="140"/>
      <c r="D376" s="140"/>
      <c r="E376" s="140"/>
      <c r="F376" s="140"/>
      <c r="G376" s="140"/>
      <c r="H376" s="140"/>
      <c r="I376" s="140"/>
      <c r="J376" s="140"/>
    </row>
    <row r="377" spans="1:12" x14ac:dyDescent="0.35">
      <c r="A377" s="40" t="s">
        <v>153</v>
      </c>
      <c r="B377" s="41">
        <f>(201/2)*10.764</f>
        <v>1081.7819999999999</v>
      </c>
      <c r="C377" s="41">
        <f>((3.5*3.9+3.19*3.1+3.19*1.33+3.19*3.1+3.19*1.33+15*0.75+0.75*0.75))*10.764</f>
        <v>578.30558759999997</v>
      </c>
      <c r="D377" s="141">
        <v>0</v>
      </c>
      <c r="E377" s="141"/>
      <c r="F377" s="41">
        <f>57.17*10.764</f>
        <v>615.37788</v>
      </c>
      <c r="G377" s="41">
        <f>C377*1.6+D377/2</f>
        <v>925.28894016000004</v>
      </c>
      <c r="H377" s="41" t="s">
        <v>95</v>
      </c>
      <c r="I377" s="140" t="s">
        <v>107</v>
      </c>
      <c r="J377" s="140"/>
      <c r="L377" s="6">
        <f>G377*4800</f>
        <v>4441386.9127679998</v>
      </c>
    </row>
    <row r="378" spans="1:12" ht="19.5" customHeight="1" x14ac:dyDescent="0.35">
      <c r="A378" s="140" t="s">
        <v>165</v>
      </c>
      <c r="B378" s="140"/>
      <c r="C378" s="140"/>
      <c r="D378" s="140"/>
      <c r="E378" s="140"/>
      <c r="F378" s="140"/>
      <c r="G378" s="140"/>
      <c r="H378" s="140"/>
      <c r="I378" s="140"/>
      <c r="J378" s="140"/>
    </row>
    <row r="379" spans="1:12" ht="15.75" customHeight="1" x14ac:dyDescent="0.35">
      <c r="A379" s="40" t="s">
        <v>154</v>
      </c>
      <c r="B379" s="41">
        <f>(201/2)*10.764</f>
        <v>1081.7819999999999</v>
      </c>
      <c r="C379" s="41">
        <f>((3.5*3.9+3.19*3.1+3.19*1.33))*10.764</f>
        <v>299.0422188</v>
      </c>
      <c r="D379" s="167">
        <v>0</v>
      </c>
      <c r="E379" s="168"/>
      <c r="F379" s="41">
        <f>57.17*10.764</f>
        <v>615.37788</v>
      </c>
      <c r="G379" s="41">
        <f>C379*1.6+D379/2</f>
        <v>478.46755008000002</v>
      </c>
      <c r="H379" s="41" t="s">
        <v>95</v>
      </c>
      <c r="I379" s="169" t="s">
        <v>164</v>
      </c>
      <c r="J379" s="170"/>
      <c r="L379" s="6">
        <f>G379*4800</f>
        <v>2296644.2403839999</v>
      </c>
    </row>
    <row r="380" spans="1:12" x14ac:dyDescent="0.35">
      <c r="A380" s="140" t="s">
        <v>301</v>
      </c>
      <c r="B380" s="140"/>
      <c r="C380" s="140"/>
      <c r="D380" s="140"/>
      <c r="E380" s="140"/>
      <c r="F380" s="140"/>
      <c r="G380" s="140"/>
      <c r="H380" s="140"/>
      <c r="I380" s="140"/>
      <c r="J380" s="140"/>
    </row>
    <row r="381" spans="1:12" ht="15" customHeight="1" x14ac:dyDescent="0.35">
      <c r="A381" s="40" t="s">
        <v>154</v>
      </c>
      <c r="B381" s="41">
        <f>(213/2)*10.764</f>
        <v>1146.366</v>
      </c>
      <c r="C381" s="41">
        <f>(3.76*4.73+3.19*1.74+3.19*3.15)*10.764</f>
        <v>359.34429959999994</v>
      </c>
      <c r="D381" s="141">
        <v>0</v>
      </c>
      <c r="E381" s="141"/>
      <c r="F381" s="41">
        <f>57.17*10.764</f>
        <v>615.37788</v>
      </c>
      <c r="G381" s="41">
        <f>C381*1.6+D381/2</f>
        <v>574.95087935999993</v>
      </c>
      <c r="H381" s="41" t="s">
        <v>95</v>
      </c>
      <c r="I381" s="140" t="s">
        <v>180</v>
      </c>
      <c r="J381" s="140"/>
      <c r="L381" s="6">
        <f>G381*4800</f>
        <v>2759764.2209279998</v>
      </c>
    </row>
    <row r="382" spans="1:12" ht="19.5" customHeight="1" x14ac:dyDescent="0.35">
      <c r="A382" s="140" t="s">
        <v>302</v>
      </c>
      <c r="B382" s="140"/>
      <c r="C382" s="140"/>
      <c r="D382" s="140"/>
      <c r="E382" s="140"/>
      <c r="F382" s="140"/>
      <c r="G382" s="140"/>
      <c r="H382" s="140"/>
      <c r="I382" s="140"/>
      <c r="J382" s="140"/>
    </row>
    <row r="383" spans="1:12" ht="30.75" customHeight="1" x14ac:dyDescent="0.35">
      <c r="A383" s="40" t="s">
        <v>106</v>
      </c>
      <c r="B383" s="41">
        <f>101*10.764</f>
        <v>1087.164</v>
      </c>
      <c r="C383" s="41">
        <f>(3.79*(1.95+3.36)+3.19*(2.86+1.2)+3.23*(2.84+1.2)+1.99*1.8)*10.764</f>
        <v>535.05152999999996</v>
      </c>
      <c r="D383" s="141">
        <f>(3.79*3.36)*10.764</f>
        <v>137.07308159999999</v>
      </c>
      <c r="E383" s="141"/>
      <c r="F383" s="41">
        <f>61.66*10.764</f>
        <v>663.70823999999993</v>
      </c>
      <c r="G383" s="41">
        <f>C383*1.6+D383/2</f>
        <v>924.61898880000001</v>
      </c>
      <c r="H383" s="41" t="s">
        <v>95</v>
      </c>
      <c r="I383" s="140" t="s">
        <v>107</v>
      </c>
      <c r="J383" s="140"/>
    </row>
    <row r="384" spans="1:12" ht="19.5" customHeight="1" x14ac:dyDescent="0.35">
      <c r="A384" s="140" t="s">
        <v>148</v>
      </c>
      <c r="B384" s="140"/>
      <c r="C384" s="140"/>
      <c r="D384" s="140"/>
      <c r="E384" s="140"/>
      <c r="F384" s="140"/>
      <c r="G384" s="140"/>
      <c r="H384" s="140"/>
      <c r="I384" s="140"/>
      <c r="J384" s="140"/>
    </row>
    <row r="385" spans="1:20" ht="30.75" customHeight="1" x14ac:dyDescent="0.35">
      <c r="A385" s="40" t="s">
        <v>106</v>
      </c>
      <c r="B385" s="41">
        <f>(203/2)*10.764</f>
        <v>1092.5459999999998</v>
      </c>
      <c r="C385" s="41">
        <f>(3.85*2.73+3.05*1.68+3.25*3.06+2.14*1.3+1*1.3+3.25*3.06+2.14*1.3+1*1.3+3*1.68+0.8*1.68)*10.764</f>
        <v>538.98038999999994</v>
      </c>
      <c r="D385" s="141">
        <f>(3.85*2.57)*10.764</f>
        <v>106.50439799999998</v>
      </c>
      <c r="E385" s="141"/>
      <c r="F385" s="41">
        <f>59.3*10.764</f>
        <v>638.3051999999999</v>
      </c>
      <c r="G385" s="41">
        <f>C385*1.6+D385/2</f>
        <v>915.62082299999997</v>
      </c>
      <c r="H385" s="41" t="s">
        <v>95</v>
      </c>
      <c r="I385" s="140" t="s">
        <v>107</v>
      </c>
      <c r="J385" s="140"/>
    </row>
    <row r="386" spans="1:20" ht="19.5" customHeight="1" x14ac:dyDescent="0.35">
      <c r="A386" s="140" t="s">
        <v>276</v>
      </c>
      <c r="B386" s="140"/>
      <c r="C386" s="140"/>
      <c r="D386" s="140"/>
      <c r="E386" s="140"/>
      <c r="F386" s="140"/>
      <c r="G386" s="140"/>
      <c r="H386" s="140"/>
      <c r="I386" s="140"/>
      <c r="J386" s="140"/>
    </row>
    <row r="387" spans="1:20" ht="30.75" customHeight="1" x14ac:dyDescent="0.35">
      <c r="A387" s="40" t="s">
        <v>123</v>
      </c>
      <c r="B387" s="41">
        <f>(194)*10.764</f>
        <v>2088.2159999999999</v>
      </c>
      <c r="C387" s="41">
        <f>((3.85*3+3.85*3.55+3.25*3+2.2*1.2+0.9*1.2+3.7*2)+(3.85*3.5+3.25*3+2.2*1.2+0.9*1.2))*10.764</f>
        <v>786.12182999999993</v>
      </c>
      <c r="D387" s="141">
        <f>(3.95*4.3)*10.764</f>
        <v>182.82653999999999</v>
      </c>
      <c r="E387" s="141"/>
      <c r="F387" s="41">
        <f>91.26*10.764</f>
        <v>982.32263999999998</v>
      </c>
      <c r="G387" s="41">
        <f>C387*1.6+D387/2</f>
        <v>1349.208198</v>
      </c>
      <c r="H387" s="41" t="s">
        <v>95</v>
      </c>
      <c r="I387" s="140" t="s">
        <v>107</v>
      </c>
      <c r="J387" s="140"/>
      <c r="K387" s="6">
        <f>6778500/G387</f>
        <v>5024.0578215045798</v>
      </c>
    </row>
    <row r="388" spans="1:20" ht="19.5" customHeight="1" x14ac:dyDescent="0.35">
      <c r="A388" s="140" t="s">
        <v>272</v>
      </c>
      <c r="B388" s="140"/>
      <c r="C388" s="140"/>
      <c r="D388" s="140"/>
      <c r="E388" s="140"/>
      <c r="F388" s="140"/>
      <c r="G388" s="140"/>
      <c r="H388" s="140"/>
      <c r="I388" s="140"/>
      <c r="J388" s="140"/>
    </row>
    <row r="389" spans="1:20" ht="30.75" customHeight="1" x14ac:dyDescent="0.35">
      <c r="A389" s="40" t="s">
        <v>123</v>
      </c>
      <c r="B389" s="41">
        <f>(193)*10.764</f>
        <v>2077.4519999999998</v>
      </c>
      <c r="C389" s="41">
        <f>((3.89*5.35+2.18*2.7+2.1*1.2+1.2*0.9)+(2.59*2.7+1.2*2.7+1.75*3.05+3.19*2.7+2.1*1.2+2.1*3.3+1.2*0.9))*10.764</f>
        <v>699.77840399999991</v>
      </c>
      <c r="D389" s="141">
        <f>(4.1*2.7+3.3*1.75+3.4*4.13)*10.764</f>
        <v>332.467668</v>
      </c>
      <c r="E389" s="141"/>
      <c r="F389" s="41">
        <f>86.24*10.764</f>
        <v>928.28735999999992</v>
      </c>
      <c r="G389" s="41">
        <f>C389*1.6+D389/2</f>
        <v>1285.8792804</v>
      </c>
      <c r="H389" s="41" t="s">
        <v>95</v>
      </c>
      <c r="I389" s="140" t="s">
        <v>177</v>
      </c>
      <c r="J389" s="140"/>
    </row>
    <row r="390" spans="1:20" ht="19.5" customHeight="1" x14ac:dyDescent="0.35">
      <c r="A390" s="140" t="s">
        <v>308</v>
      </c>
      <c r="B390" s="140"/>
      <c r="C390" s="140"/>
      <c r="D390" s="140"/>
      <c r="E390" s="140"/>
      <c r="F390" s="140"/>
      <c r="G390" s="140"/>
      <c r="H390" s="140"/>
      <c r="I390" s="140"/>
      <c r="J390" s="140"/>
    </row>
    <row r="391" spans="1:20" ht="30.75" customHeight="1" x14ac:dyDescent="0.35">
      <c r="A391" s="40" t="s">
        <v>310</v>
      </c>
      <c r="B391" s="41">
        <f>193*10.764</f>
        <v>2077.4519999999998</v>
      </c>
      <c r="C391" s="60">
        <f>(3.84*6.06+2*1.2+3.32*3.23+1.2*1.2+3.85*4.05)*10.764</f>
        <v>575.0828459999999</v>
      </c>
      <c r="D391" s="141">
        <f>(3.5*4.5)*10.764</f>
        <v>169.53299999999999</v>
      </c>
      <c r="E391" s="141">
        <v>0</v>
      </c>
      <c r="F391" s="41">
        <f>69.1*10.764</f>
        <v>743.79239999999993</v>
      </c>
      <c r="G391" s="41">
        <f>C391*1.6+D391/2</f>
        <v>1004.8990535999999</v>
      </c>
      <c r="H391" s="41" t="s">
        <v>95</v>
      </c>
      <c r="I391" s="140" t="s">
        <v>177</v>
      </c>
      <c r="J391" s="140"/>
    </row>
    <row r="392" spans="1:20" ht="19.5" customHeight="1" x14ac:dyDescent="0.35">
      <c r="A392" s="140" t="s">
        <v>178</v>
      </c>
      <c r="B392" s="140"/>
      <c r="C392" s="140"/>
      <c r="D392" s="140"/>
      <c r="E392" s="140"/>
      <c r="F392" s="140"/>
      <c r="G392" s="140"/>
      <c r="H392" s="140"/>
      <c r="I392" s="140"/>
      <c r="J392" s="140"/>
      <c r="N392" s="60">
        <v>10.763999999999999</v>
      </c>
    </row>
    <row r="393" spans="1:20" x14ac:dyDescent="0.35">
      <c r="A393" s="40" t="s">
        <v>154</v>
      </c>
      <c r="B393" s="41">
        <f>(193/2)*10.764</f>
        <v>1038.7259999999999</v>
      </c>
      <c r="C393" s="41">
        <f>(3.73*3.93+3.25*3+2.23*1.3+1.3*0.9)*10.764</f>
        <v>306.53611560000002</v>
      </c>
      <c r="D393" s="141">
        <v>0</v>
      </c>
      <c r="E393" s="141"/>
      <c r="F393" s="41">
        <f>C393*1.2</f>
        <v>367.84333872000002</v>
      </c>
      <c r="G393" s="41">
        <f>C393*1.6+D393/2</f>
        <v>490.45778496000003</v>
      </c>
      <c r="H393" s="41" t="s">
        <v>95</v>
      </c>
      <c r="I393" s="140" t="s">
        <v>180</v>
      </c>
      <c r="J393" s="140"/>
    </row>
    <row r="394" spans="1:20" ht="19.5" customHeight="1" x14ac:dyDescent="0.35">
      <c r="A394" s="140" t="s">
        <v>179</v>
      </c>
      <c r="B394" s="140"/>
      <c r="C394" s="140"/>
      <c r="D394" s="140"/>
      <c r="E394" s="140"/>
      <c r="F394" s="140"/>
      <c r="G394" s="140"/>
      <c r="H394" s="140"/>
      <c r="I394" s="140"/>
      <c r="J394" s="140"/>
      <c r="T394" s="6">
        <f>156+20</f>
        <v>176</v>
      </c>
    </row>
    <row r="395" spans="1:20" ht="30.75" customHeight="1" x14ac:dyDescent="0.35">
      <c r="A395" s="40" t="s">
        <v>106</v>
      </c>
      <c r="B395" s="41">
        <f>(193/2)*10.764</f>
        <v>1038.7259999999999</v>
      </c>
      <c r="C395" s="41">
        <f>((3.73+3.68+3.275*2.74+2.23*1.29+1.29*0.9)+(3.25*2.74+2.23*1.29+1.29*0.9+2.18*1.09))*10.764</f>
        <v>384.70643639999997</v>
      </c>
      <c r="D395" s="141">
        <f>(2*2.18)*10.764</f>
        <v>46.931040000000003</v>
      </c>
      <c r="E395" s="141"/>
      <c r="F395" s="41">
        <f>C395*1.2</f>
        <v>461.64772367999996</v>
      </c>
      <c r="G395" s="41">
        <f>C395*1.6+D395/2</f>
        <v>638.99581823999995</v>
      </c>
      <c r="H395" s="41" t="s">
        <v>95</v>
      </c>
      <c r="I395" s="140" t="s">
        <v>107</v>
      </c>
      <c r="J395" s="140"/>
    </row>
    <row r="396" spans="1:20" ht="19.5" customHeight="1" x14ac:dyDescent="0.35">
      <c r="A396" s="140" t="s">
        <v>241</v>
      </c>
      <c r="B396" s="140"/>
      <c r="C396" s="140"/>
      <c r="D396" s="140"/>
      <c r="E396" s="140"/>
      <c r="F396" s="140"/>
      <c r="G396" s="140"/>
      <c r="H396" s="140"/>
      <c r="I396" s="140"/>
      <c r="J396" s="140"/>
    </row>
    <row r="397" spans="1:20" ht="30.75" customHeight="1" x14ac:dyDescent="0.35">
      <c r="A397" s="40" t="s">
        <v>123</v>
      </c>
      <c r="B397" s="41">
        <f>(186.5)*10.764</f>
        <v>2007.4859999999999</v>
      </c>
      <c r="C397" s="41">
        <f>((3.8*6.5+3.2*2+3.2*3.35+2.2*1.2+3.5*2.1)+(3.85*3.53+3.2*3.35+2.43*6.09+2.2*1.2+1*3.3+0.9*1.2+0.9*2.1+2.8*1.21+0.9*3.3)+(2.1*2.7))*10.764</f>
        <v>1204.0309007999999</v>
      </c>
      <c r="D397" s="141">
        <f>(5.53*3.9+1.21*2)*10.764</f>
        <v>258.19606800000003</v>
      </c>
      <c r="E397" s="141"/>
      <c r="F397" s="41">
        <f>120*10.764</f>
        <v>1291.6799999999998</v>
      </c>
      <c r="G397" s="41">
        <f>C397*1.6+D397/2</f>
        <v>2055.5474752800001</v>
      </c>
      <c r="H397" s="41" t="s">
        <v>95</v>
      </c>
      <c r="I397" s="140" t="s">
        <v>107</v>
      </c>
      <c r="J397" s="140"/>
    </row>
    <row r="398" spans="1:20" ht="19.5" customHeight="1" x14ac:dyDescent="0.35">
      <c r="A398" s="140" t="s">
        <v>319</v>
      </c>
      <c r="B398" s="140"/>
      <c r="C398" s="140"/>
      <c r="D398" s="140"/>
      <c r="E398" s="140"/>
      <c r="F398" s="140"/>
      <c r="G398" s="140"/>
      <c r="H398" s="140"/>
      <c r="I398" s="140"/>
      <c r="J398" s="140"/>
    </row>
    <row r="399" spans="1:20" ht="30.75" customHeight="1" x14ac:dyDescent="0.35">
      <c r="A399" s="40" t="s">
        <v>310</v>
      </c>
      <c r="B399" s="41">
        <f>193*10.764</f>
        <v>2077.4519999999998</v>
      </c>
      <c r="C399" s="60">
        <f>(3.56+10.57+2.13*1.17+1.83*2.37+4.45*3.56+2.13*1.2)*10.764</f>
        <v>423.64090079999994</v>
      </c>
      <c r="D399" s="141">
        <f>(3.99*3.86)*10.764</f>
        <v>165.78066960000001</v>
      </c>
      <c r="E399" s="141">
        <v>0</v>
      </c>
      <c r="F399" s="41">
        <f>69.1*10.764</f>
        <v>743.79239999999993</v>
      </c>
      <c r="G399" s="41">
        <f>C399*1.6+D399/2</f>
        <v>760.71577607999996</v>
      </c>
      <c r="H399" s="41" t="s">
        <v>95</v>
      </c>
      <c r="I399" s="140" t="s">
        <v>177</v>
      </c>
      <c r="J399" s="140"/>
    </row>
    <row r="400" spans="1:20" ht="19.5" customHeight="1" x14ac:dyDescent="0.35">
      <c r="A400" s="140" t="s">
        <v>182</v>
      </c>
      <c r="B400" s="140"/>
      <c r="C400" s="140"/>
      <c r="D400" s="140"/>
      <c r="E400" s="140"/>
      <c r="F400" s="140"/>
      <c r="G400" s="140"/>
      <c r="H400" s="140"/>
      <c r="I400" s="140"/>
      <c r="J400" s="140"/>
    </row>
    <row r="401" spans="1:15" ht="30.75" customHeight="1" x14ac:dyDescent="0.35">
      <c r="A401" s="40" t="s">
        <v>185</v>
      </c>
      <c r="B401" s="41">
        <f>(352)*10.764</f>
        <v>3788.9279999999999</v>
      </c>
      <c r="C401" s="41">
        <f>((4*4.5+3.6*4.8+3.5*3.5+1.4*2.4+1.4*1+3.8*2.1)+(5.2*3.2+3.6*3.4+3.6*1.4+3.6*3.5+1.4*2.4+1.4*1+1*1.5+1.5*1.2))*10.764</f>
        <v>1236.2453999999998</v>
      </c>
      <c r="D401" s="141">
        <v>0</v>
      </c>
      <c r="E401" s="141"/>
      <c r="F401" s="41">
        <f>144.6*10.764</f>
        <v>1556.4743999999998</v>
      </c>
      <c r="G401" s="41">
        <f>C401*1.6+D401/2</f>
        <v>1977.9926399999997</v>
      </c>
      <c r="H401" s="41" t="s">
        <v>95</v>
      </c>
      <c r="I401" s="140" t="s">
        <v>107</v>
      </c>
      <c r="J401" s="140"/>
      <c r="K401" s="6">
        <f>((2*2.5+1.74*2.4+2*1.1+0.9*1.2+1.8*1.8)+(1.7*1.8+1.8*1.8+2.4*1.6+2.4*0.75)+(1*2.5+1.5*1)+(2.4*0.75+2.5*0.9)+(0.9*0.6+0.9*1.6))*4</f>
        <v>150.66399999999999</v>
      </c>
    </row>
    <row r="402" spans="1:15" ht="19.5" customHeight="1" x14ac:dyDescent="0.35">
      <c r="A402" s="140" t="s">
        <v>299</v>
      </c>
      <c r="B402" s="140"/>
      <c r="C402" s="140"/>
      <c r="D402" s="140"/>
      <c r="E402" s="140"/>
      <c r="F402" s="140"/>
      <c r="G402" s="140"/>
      <c r="H402" s="140"/>
      <c r="I402" s="140"/>
      <c r="J402" s="140"/>
    </row>
    <row r="403" spans="1:15" ht="30.75" customHeight="1" x14ac:dyDescent="0.35">
      <c r="A403" s="40" t="s">
        <v>300</v>
      </c>
      <c r="B403" s="41">
        <f>(309/2)*10.764</f>
        <v>1663.038</v>
      </c>
      <c r="C403" s="41">
        <f>(3.19*13.15+1.24*3.19+10.67*3.19)*10.764</f>
        <v>860.48922959999993</v>
      </c>
      <c r="D403" s="141">
        <f>3.49*4.46*10.764</f>
        <v>167.54596559999999</v>
      </c>
      <c r="E403" s="141"/>
      <c r="F403" s="41">
        <f>144.6*10.764</f>
        <v>1556.4743999999998</v>
      </c>
      <c r="G403" s="41">
        <f>C403*1.6+D403/2</f>
        <v>1460.5557501599999</v>
      </c>
      <c r="H403" s="41" t="s">
        <v>95</v>
      </c>
      <c r="I403" s="140" t="s">
        <v>107</v>
      </c>
      <c r="J403" s="140"/>
      <c r="K403" s="6">
        <f>((2*2.5+1.74*2.4+2*1.1+0.9*1.2+1.8*1.8)+(1.7*1.8+1.8*1.8+2.4*1.6+2.4*0.75)+(1*2.5+1.5*1)+(2.4*0.75+2.5*0.9)+(0.9*0.6+0.9*1.6))*4</f>
        <v>150.66399999999999</v>
      </c>
    </row>
    <row r="404" spans="1:15" ht="19.5" customHeight="1" x14ac:dyDescent="0.35">
      <c r="A404" s="140" t="s">
        <v>263</v>
      </c>
      <c r="B404" s="140"/>
      <c r="C404" s="140"/>
      <c r="D404" s="140"/>
      <c r="E404" s="140"/>
      <c r="F404" s="140"/>
      <c r="G404" s="140"/>
      <c r="H404" s="140"/>
      <c r="I404" s="140"/>
      <c r="J404" s="140"/>
      <c r="K404" s="6">
        <f>K397*10.764</f>
        <v>0</v>
      </c>
      <c r="M404" s="42">
        <f>((4*4.5+3.6*4.8+3.5*3.5+1.4*2.4+1.4*1+3.8*2.1)+(5.2*3.2+3.6*3.4+3.6*1.4+3.6*3.5+1.4*2.4+1.4*1+1*1.5+1.5*1.2))*10.764</f>
        <v>1236.2453999999998</v>
      </c>
      <c r="N404" s="6">
        <f>144.6*10.764</f>
        <v>1556.4743999999998</v>
      </c>
    </row>
    <row r="405" spans="1:15" ht="30.75" customHeight="1" x14ac:dyDescent="0.35">
      <c r="A405" s="40" t="s">
        <v>153</v>
      </c>
      <c r="B405" s="41">
        <f>100*10.764</f>
        <v>1076.3999999999999</v>
      </c>
      <c r="C405" s="41">
        <f>((1.37*1.98+4.46*3.35+2.94*3.6+2.89*3.04+1.83*1.22+1.22*1)+(2.89*3.04+1.83*1.22+0.9*1.5+2.94*2.82))*10.764</f>
        <v>658.05498719999991</v>
      </c>
      <c r="D405" s="141">
        <v>0</v>
      </c>
      <c r="E405" s="141"/>
      <c r="F405" s="41">
        <f>78.64*10.764</f>
        <v>846.48095999999998</v>
      </c>
      <c r="G405" s="41">
        <f>C405*1.6+D405/2</f>
        <v>1052.8879795199998</v>
      </c>
      <c r="H405" s="41" t="s">
        <v>95</v>
      </c>
      <c r="I405" s="140" t="s">
        <v>107</v>
      </c>
      <c r="J405" s="140"/>
      <c r="K405" s="6">
        <f>4/12</f>
        <v>0.33333333333333331</v>
      </c>
      <c r="L405" s="6">
        <f>5375545/G405</f>
        <v>5105.5241436516853</v>
      </c>
      <c r="O405" s="6">
        <f>4543150/G405</f>
        <v>4314.9414642108204</v>
      </c>
    </row>
    <row r="406" spans="1:15" ht="19.5" customHeight="1" x14ac:dyDescent="0.35">
      <c r="A406" s="140" t="s">
        <v>183</v>
      </c>
      <c r="B406" s="140"/>
      <c r="C406" s="140"/>
      <c r="D406" s="140"/>
      <c r="E406" s="140"/>
      <c r="F406" s="140"/>
      <c r="G406" s="140"/>
      <c r="H406" s="140"/>
      <c r="I406" s="140"/>
      <c r="J406" s="140"/>
      <c r="K406" s="6">
        <f>K401*10.764</f>
        <v>1621.7472959999998</v>
      </c>
      <c r="M406" s="42">
        <f>((4*4.5+3.6*4.8+3.5*3.5+1.4*2.4+1.4*1+3.8*2.1)+(5.2*3.2+3.6*3.4+3.6*1.4+3.6*3.5+1.4*2.4+1.4*1+1*1.5+1.5*1.2))*10.764</f>
        <v>1236.2453999999998</v>
      </c>
      <c r="N406" s="6">
        <f>144.6*10.764</f>
        <v>1556.4743999999998</v>
      </c>
    </row>
    <row r="407" spans="1:15" ht="30.75" customHeight="1" x14ac:dyDescent="0.35">
      <c r="A407" s="40" t="s">
        <v>153</v>
      </c>
      <c r="B407" s="41">
        <f>100*10.764</f>
        <v>1076.3999999999999</v>
      </c>
      <c r="C407" s="41">
        <f>((3.64*3.64+2.133*4.26+3.048*4.26+1.52*4.26+3.64*3.64+3.75*2.66+3.75*1.52))*10.764</f>
        <v>761.23503143999994</v>
      </c>
      <c r="D407" s="141">
        <v>0</v>
      </c>
      <c r="E407" s="141"/>
      <c r="F407" s="41">
        <f>87*10.764</f>
        <v>936.46799999999996</v>
      </c>
      <c r="G407" s="41">
        <f>C407*1.6+D407/2</f>
        <v>1217.976050304</v>
      </c>
      <c r="H407" s="41" t="s">
        <v>95</v>
      </c>
      <c r="I407" s="140" t="s">
        <v>107</v>
      </c>
      <c r="J407" s="140"/>
      <c r="K407" s="6">
        <f>4/12</f>
        <v>0.33333333333333331</v>
      </c>
      <c r="L407" s="6">
        <f>5375545/G407</f>
        <v>4413.5063235917441</v>
      </c>
    </row>
    <row r="408" spans="1:15" ht="19.5" customHeight="1" x14ac:dyDescent="0.35">
      <c r="A408" s="140" t="s">
        <v>311</v>
      </c>
      <c r="B408" s="140"/>
      <c r="C408" s="140"/>
      <c r="D408" s="140"/>
      <c r="E408" s="140"/>
      <c r="F408" s="140"/>
      <c r="G408" s="140"/>
      <c r="H408" s="140"/>
      <c r="I408" s="140"/>
      <c r="J408" s="140"/>
    </row>
    <row r="409" spans="1:15" ht="30.75" customHeight="1" x14ac:dyDescent="0.35">
      <c r="A409" s="40" t="s">
        <v>123</v>
      </c>
      <c r="B409" s="41">
        <f>196*10.764</f>
        <v>2109.7439999999997</v>
      </c>
      <c r="C409" s="41">
        <f>(5.26*3.5+2.03*3.2+2.93*1.32+3.04*3.2+1.22*2.18+0.81*1.24+3.14*3.5+0.91*3.5+0.9*3.4+2.04*3.5+3.04*3.2+1.22*3.2+1.02*1.8+1.8*2.18+3.14*0.81)*10.764</f>
        <v>952.35566399999993</v>
      </c>
      <c r="D409" s="141">
        <f>(3.8*6.49)*10.764</f>
        <v>265.46176799999995</v>
      </c>
      <c r="E409" s="141"/>
      <c r="F409" s="41">
        <f>104.28*10.764</f>
        <v>1122.46992</v>
      </c>
      <c r="G409" s="41">
        <f>C409*1.6+D409/2</f>
        <v>1656.4999464</v>
      </c>
      <c r="H409" s="41" t="s">
        <v>95</v>
      </c>
      <c r="I409" s="140" t="s">
        <v>107</v>
      </c>
      <c r="J409" s="140"/>
      <c r="L409" s="6">
        <f>G409*4800</f>
        <v>7951199.7427200004</v>
      </c>
    </row>
    <row r="410" spans="1:15" ht="19.5" customHeight="1" x14ac:dyDescent="0.35">
      <c r="A410" s="140" t="s">
        <v>170</v>
      </c>
      <c r="B410" s="140"/>
      <c r="C410" s="140"/>
      <c r="D410" s="140"/>
      <c r="E410" s="140"/>
      <c r="F410" s="140"/>
      <c r="G410" s="140"/>
      <c r="H410" s="140"/>
      <c r="I410" s="140"/>
      <c r="J410" s="140"/>
    </row>
    <row r="411" spans="1:15" ht="30.75" customHeight="1" x14ac:dyDescent="0.35">
      <c r="A411" s="40" t="s">
        <v>106</v>
      </c>
      <c r="B411" s="41">
        <f>151*10.764</f>
        <v>1625.3639999999998</v>
      </c>
      <c r="C411" s="41">
        <f>((4.27*3.05+3.24*4.06+3.06*2.74+2.04*1.21+1.21*0.9+3*2.74+2.04*1.2+1.2*0.9+1.2*0.9))*10.764</f>
        <v>548.40104279999991</v>
      </c>
      <c r="D411" s="141">
        <f>(4.57*3.2)*10.764</f>
        <v>157.41273600000002</v>
      </c>
      <c r="E411" s="141"/>
      <c r="F411" s="41">
        <f>65.6*10.764</f>
        <v>706.11839999999995</v>
      </c>
      <c r="G411" s="41">
        <f>C411*1.6+D411/2</f>
        <v>956.14803647999986</v>
      </c>
      <c r="H411" s="41" t="s">
        <v>95</v>
      </c>
      <c r="I411" s="140" t="s">
        <v>107</v>
      </c>
      <c r="J411" s="140"/>
      <c r="L411" s="6">
        <f>G411*4800</f>
        <v>4589510.5751039991</v>
      </c>
    </row>
    <row r="412" spans="1:15" ht="19.5" customHeight="1" x14ac:dyDescent="0.35">
      <c r="A412" s="140" t="s">
        <v>169</v>
      </c>
      <c r="B412" s="140"/>
      <c r="C412" s="140"/>
      <c r="D412" s="140"/>
      <c r="E412" s="140"/>
      <c r="F412" s="140"/>
      <c r="G412" s="140"/>
      <c r="H412" s="140"/>
      <c r="I412" s="140"/>
      <c r="J412" s="140"/>
    </row>
    <row r="413" spans="1:15" ht="28" x14ac:dyDescent="0.35">
      <c r="A413" s="40" t="s">
        <v>106</v>
      </c>
      <c r="B413" s="41">
        <f>100*10.764</f>
        <v>1076.3999999999999</v>
      </c>
      <c r="C413" s="41">
        <f>((4*2.62+2.28*3+3*3+1.85*1.2+0.9*1.2+1.2*1.52)+(3*3+1.85*1.2+0.9*1.2+3.49*2.06))*10.764</f>
        <v>548.24711759999991</v>
      </c>
      <c r="D413" s="141">
        <f>(5.91*2.74)*10.764</f>
        <v>174.30575759999999</v>
      </c>
      <c r="E413" s="141"/>
      <c r="F413" s="41">
        <f>61.24*10.764</f>
        <v>659.18736000000001</v>
      </c>
      <c r="G413" s="41">
        <f>C413*1.6+D413/2</f>
        <v>964.34826695999982</v>
      </c>
      <c r="H413" s="41" t="s">
        <v>95</v>
      </c>
      <c r="I413" s="140" t="s">
        <v>107</v>
      </c>
      <c r="J413" s="140"/>
      <c r="L413" s="6">
        <f>G413*4800</f>
        <v>4628871.6814079992</v>
      </c>
    </row>
    <row r="414" spans="1:15" ht="19.5" customHeight="1" x14ac:dyDescent="0.35">
      <c r="A414" s="140" t="s">
        <v>277</v>
      </c>
      <c r="B414" s="140"/>
      <c r="C414" s="140"/>
      <c r="D414" s="140"/>
      <c r="E414" s="140"/>
      <c r="F414" s="140"/>
      <c r="G414" s="140"/>
      <c r="H414" s="140"/>
      <c r="I414" s="140"/>
      <c r="J414" s="140"/>
    </row>
    <row r="415" spans="1:15" ht="28" x14ac:dyDescent="0.35">
      <c r="A415" s="40" t="s">
        <v>106</v>
      </c>
      <c r="B415" s="41">
        <f>100*10.764</f>
        <v>1076.3999999999999</v>
      </c>
      <c r="C415" s="41">
        <f>((2.9*3.25+3.56*3.05+2.43*3.15+2.44*1.22+1.2*3.7+3.56*3.05+2.44*1.2+1.5*1+0.6*1))*10.764</f>
        <v>551.55058919999999</v>
      </c>
      <c r="D415" s="141">
        <f>(2.9*3.25+1.5*0.92)*10.764</f>
        <v>116.30501999999998</v>
      </c>
      <c r="E415" s="141"/>
      <c r="F415" s="41">
        <f>65.72*10.764</f>
        <v>707.41007999999999</v>
      </c>
      <c r="G415" s="41">
        <f>C415*1.6+D415/2</f>
        <v>940.63345272000004</v>
      </c>
      <c r="H415" s="41" t="s">
        <v>95</v>
      </c>
      <c r="I415" s="140" t="s">
        <v>107</v>
      </c>
      <c r="J415" s="140"/>
      <c r="K415" s="6">
        <f>4380100/G415</f>
        <v>4656.5428726080318</v>
      </c>
      <c r="L415" s="6">
        <f>G415*4800</f>
        <v>4515040.5730560003</v>
      </c>
    </row>
    <row r="416" spans="1:15" ht="19.5" customHeight="1" x14ac:dyDescent="0.35">
      <c r="A416" s="140" t="s">
        <v>258</v>
      </c>
      <c r="B416" s="140"/>
      <c r="C416" s="140"/>
      <c r="D416" s="140"/>
      <c r="E416" s="140"/>
      <c r="F416" s="140"/>
      <c r="G416" s="140"/>
      <c r="H416" s="140"/>
      <c r="I416" s="140"/>
      <c r="J416" s="140"/>
    </row>
    <row r="417" spans="1:12" ht="28" x14ac:dyDescent="0.35">
      <c r="A417" s="40" t="s">
        <v>123</v>
      </c>
      <c r="B417" s="41">
        <f>176*10.764</f>
        <v>1894.4639999999999</v>
      </c>
      <c r="C417" s="41">
        <f>((4.51*3.51+3.07*3.55+3.15*2.74+1*1.22+2.06*1.22+1.85*1.2)+(3.15*2.74+1.3*2.74+3.15*2.75+1*1.22+2.06*1.22+2.75*1.83))*10.764</f>
        <v>763.53357599999993</v>
      </c>
      <c r="D417" s="141">
        <f>(2.75*3.5)*10.764</f>
        <v>103.6035</v>
      </c>
      <c r="E417" s="141"/>
      <c r="F417" s="41">
        <f>86.35*10.764</f>
        <v>929.4713999999999</v>
      </c>
      <c r="G417" s="41">
        <f>C417*1.6+D417/2</f>
        <v>1273.4554716</v>
      </c>
      <c r="H417" s="41" t="s">
        <v>95</v>
      </c>
      <c r="I417" s="140" t="s">
        <v>107</v>
      </c>
      <c r="J417" s="140"/>
      <c r="L417" s="6">
        <f>G417*4800</f>
        <v>6112586.2636799999</v>
      </c>
    </row>
    <row r="418" spans="1:12" s="50" customFormat="1" ht="19.5" customHeight="1" x14ac:dyDescent="0.35">
      <c r="A418" s="140" t="s">
        <v>303</v>
      </c>
      <c r="B418" s="140"/>
      <c r="C418" s="140"/>
      <c r="D418" s="140"/>
      <c r="E418" s="140"/>
      <c r="F418" s="140"/>
      <c r="G418" s="140"/>
      <c r="H418" s="140"/>
      <c r="I418" s="140"/>
      <c r="J418" s="140"/>
    </row>
    <row r="419" spans="1:12" s="50" customFormat="1" ht="28" x14ac:dyDescent="0.35">
      <c r="A419" s="40" t="s">
        <v>106</v>
      </c>
      <c r="B419" s="41">
        <f>100*10.764</f>
        <v>1076.3999999999999</v>
      </c>
      <c r="C419" s="41">
        <f>(7.89*3.68+2.7*3.66+3.68*2.74+2.56*1.3+1*1.3)*10.764</f>
        <v>577.25609759999998</v>
      </c>
      <c r="D419" s="141">
        <f>(3.88*4.18+2.7*2.13)*10.764</f>
        <v>236.4786216</v>
      </c>
      <c r="E419" s="141"/>
      <c r="F419" s="41">
        <f>74.25*10.764</f>
        <v>799.22699999999998</v>
      </c>
      <c r="G419" s="41">
        <f>C419*1.6+D419/2</f>
        <v>1041.8490669600001</v>
      </c>
      <c r="H419" s="41" t="s">
        <v>95</v>
      </c>
      <c r="I419" s="140" t="s">
        <v>304</v>
      </c>
      <c r="J419" s="140"/>
      <c r="L419" s="50">
        <f>G419*4800</f>
        <v>5000875.521408</v>
      </c>
    </row>
    <row r="420" spans="1:12" s="50" customFormat="1" ht="19.5" customHeight="1" x14ac:dyDescent="0.35">
      <c r="A420" s="140" t="s">
        <v>267</v>
      </c>
      <c r="B420" s="140"/>
      <c r="C420" s="140"/>
      <c r="D420" s="140"/>
      <c r="E420" s="140"/>
      <c r="F420" s="140"/>
      <c r="G420" s="140"/>
      <c r="H420" s="140"/>
      <c r="I420" s="140"/>
      <c r="J420" s="140"/>
    </row>
    <row r="421" spans="1:12" s="50" customFormat="1" ht="28" x14ac:dyDescent="0.35">
      <c r="A421" s="40" t="s">
        <v>106</v>
      </c>
      <c r="B421" s="41">
        <f>100*10.764</f>
        <v>1076.3999999999999</v>
      </c>
      <c r="C421" s="41">
        <f>((4*3.65+3.2*2.89+2.43*3.5+2.13*1.37+1.37*3.92+1.07*2.13)+(3.14*2.89+2.13*1.37+1.37*0.9+3.44*2.13))*10.764</f>
        <v>683.22875400000009</v>
      </c>
      <c r="D421" s="141">
        <f>(4.32*3.81)*10.764</f>
        <v>177.16682880000002</v>
      </c>
      <c r="E421" s="141"/>
      <c r="F421" s="41">
        <f>96.39*10.764</f>
        <v>1037.54196</v>
      </c>
      <c r="G421" s="41">
        <f>C421*1.6+D421/2</f>
        <v>1181.7494208000003</v>
      </c>
      <c r="H421" s="41" t="s">
        <v>95</v>
      </c>
      <c r="I421" s="140" t="s">
        <v>107</v>
      </c>
      <c r="J421" s="140"/>
      <c r="L421" s="50">
        <f>G421*4800</f>
        <v>5672397.2198400013</v>
      </c>
    </row>
    <row r="422" spans="1:12" s="50" customFormat="1" ht="19.5" customHeight="1" x14ac:dyDescent="0.35">
      <c r="A422" s="140" t="s">
        <v>269</v>
      </c>
      <c r="B422" s="140"/>
      <c r="C422" s="140"/>
      <c r="D422" s="140"/>
      <c r="E422" s="140"/>
      <c r="F422" s="140"/>
      <c r="G422" s="140"/>
      <c r="H422" s="140"/>
      <c r="I422" s="140"/>
      <c r="J422" s="140"/>
    </row>
    <row r="423" spans="1:12" s="50" customFormat="1" ht="28" x14ac:dyDescent="0.35">
      <c r="A423" s="40" t="s">
        <v>123</v>
      </c>
      <c r="B423" s="41">
        <f>100*10.764</f>
        <v>1076.3999999999999</v>
      </c>
      <c r="C423" s="41">
        <f>((3.31*3+3*4.6+3.29*3.3+2.3*1.2+1.2*0.9+0.66*2.08)+(3*2.86+3.3*3.3+2.3*1.2+1.2*0.9+1.1*2.08+0.9*0.9))*10.764</f>
        <v>712.66075919999992</v>
      </c>
      <c r="D423" s="141">
        <f>(3.31*3)*10.764</f>
        <v>106.88651999999999</v>
      </c>
      <c r="E423" s="141"/>
      <c r="F423" s="41">
        <f>79.67*10.764</f>
        <v>857.56787999999995</v>
      </c>
      <c r="G423" s="41">
        <f>C423*1.6+D423/2</f>
        <v>1193.7004747199999</v>
      </c>
      <c r="H423" s="41" t="s">
        <v>95</v>
      </c>
      <c r="I423" s="140" t="s">
        <v>107</v>
      </c>
      <c r="J423" s="140"/>
      <c r="L423" s="50">
        <f>G423*4800</f>
        <v>5729762.2786559993</v>
      </c>
    </row>
    <row r="424" spans="1:12" ht="19.5" customHeight="1" x14ac:dyDescent="0.35">
      <c r="A424" s="140" t="s">
        <v>264</v>
      </c>
      <c r="B424" s="140"/>
      <c r="C424" s="140"/>
      <c r="D424" s="140"/>
      <c r="E424" s="140"/>
      <c r="F424" s="140"/>
      <c r="G424" s="140"/>
      <c r="H424" s="140"/>
      <c r="I424" s="140"/>
      <c r="J424" s="140"/>
    </row>
    <row r="425" spans="1:12" ht="28" x14ac:dyDescent="0.35">
      <c r="A425" s="40" t="s">
        <v>106</v>
      </c>
      <c r="B425" s="41">
        <f>100*10.764</f>
        <v>1076.3999999999999</v>
      </c>
      <c r="C425" s="41">
        <f>((3.98*2.84+2.89*2.81+3*2.74+1.98*1.21+1.98*1.21+1*1.8)+(3*2.74+1.98*2.54+1*2.09+1*2.09+1*1.2))*10.764</f>
        <v>569.03778360000001</v>
      </c>
      <c r="D425" s="141">
        <f>(4.28*3.63)*10.764</f>
        <v>167.2338096</v>
      </c>
      <c r="E425" s="141"/>
      <c r="F425" s="41">
        <f>62.32*10.764</f>
        <v>670.81247999999994</v>
      </c>
      <c r="G425" s="41">
        <f>C425*1.6+D425/2</f>
        <v>994.07735856000011</v>
      </c>
      <c r="H425" s="41" t="s">
        <v>95</v>
      </c>
      <c r="I425" s="140" t="s">
        <v>107</v>
      </c>
      <c r="J425" s="140"/>
      <c r="L425" s="6">
        <f>G425*4800</f>
        <v>4771571.3210880002</v>
      </c>
    </row>
    <row r="426" spans="1:12" ht="19.5" customHeight="1" x14ac:dyDescent="0.35">
      <c r="A426" s="140" t="s">
        <v>343</v>
      </c>
      <c r="B426" s="140"/>
      <c r="C426" s="140"/>
      <c r="D426" s="140"/>
      <c r="E426" s="140"/>
      <c r="F426" s="140"/>
      <c r="G426" s="140"/>
      <c r="H426" s="140"/>
      <c r="I426" s="140"/>
      <c r="J426" s="140"/>
    </row>
    <row r="427" spans="1:12" ht="28" x14ac:dyDescent="0.35">
      <c r="A427" s="40" t="s">
        <v>106</v>
      </c>
      <c r="B427" s="41">
        <f>100*10.764</f>
        <v>1076.3999999999999</v>
      </c>
      <c r="C427" s="41">
        <f>((6.46*4.65+2.66*2.2+3.38*2.05)+(3*2.85+2*1.35+2.48*2.15+1.35*2.2))*10.764</f>
        <v>671.372208</v>
      </c>
      <c r="D427" s="141">
        <f>(3*3.15+1.88*1.35)*10.764</f>
        <v>129.03883199999999</v>
      </c>
      <c r="E427" s="141"/>
      <c r="F427" s="41">
        <f>71*10.764</f>
        <v>764.24399999999991</v>
      </c>
      <c r="G427" s="41">
        <f>C427*1.6+D427/2</f>
        <v>1138.7149488000002</v>
      </c>
      <c r="H427" s="41" t="s">
        <v>95</v>
      </c>
      <c r="I427" s="140" t="s">
        <v>107</v>
      </c>
      <c r="J427" s="140"/>
      <c r="L427" s="6">
        <f>G427*4800</f>
        <v>5465831.7542400016</v>
      </c>
    </row>
    <row r="428" spans="1:12" ht="19.5" customHeight="1" x14ac:dyDescent="0.35">
      <c r="A428" s="140" t="s">
        <v>259</v>
      </c>
      <c r="B428" s="140"/>
      <c r="C428" s="140"/>
      <c r="D428" s="140"/>
      <c r="E428" s="140"/>
      <c r="F428" s="140"/>
      <c r="G428" s="140"/>
      <c r="H428" s="140"/>
      <c r="I428" s="140"/>
      <c r="J428" s="140"/>
    </row>
    <row r="429" spans="1:12" ht="30.75" customHeight="1" x14ac:dyDescent="0.35">
      <c r="A429" s="40" t="s">
        <v>260</v>
      </c>
      <c r="B429" s="41">
        <f>100*10.764</f>
        <v>1076.3999999999999</v>
      </c>
      <c r="C429" s="41">
        <f>(1.3*1.5+4.02*3.56+2.47*4.51+3.86*3.1+2.27*1.31+1.8*1.31)*10.764</f>
        <v>481.13573039999994</v>
      </c>
      <c r="D429" s="141">
        <v>0</v>
      </c>
      <c r="E429" s="141"/>
      <c r="F429" s="41">
        <f>48.58*10.764</f>
        <v>522.91512</v>
      </c>
      <c r="G429" s="41">
        <f>C429*1.6+D429/2</f>
        <v>769.81716863999998</v>
      </c>
      <c r="H429" s="41" t="s">
        <v>95</v>
      </c>
      <c r="I429" s="140" t="s">
        <v>180</v>
      </c>
      <c r="J429" s="140"/>
      <c r="L429" s="6">
        <f>4179874/G429</f>
        <v>5429.6970375243618</v>
      </c>
    </row>
    <row r="430" spans="1:12" ht="19.5" customHeight="1" x14ac:dyDescent="0.35">
      <c r="A430" s="140" t="s">
        <v>144</v>
      </c>
      <c r="B430" s="140"/>
      <c r="C430" s="140"/>
      <c r="D430" s="140"/>
      <c r="E430" s="140"/>
      <c r="F430" s="140"/>
      <c r="G430" s="140"/>
      <c r="H430" s="140"/>
      <c r="I430" s="140"/>
      <c r="J430" s="140"/>
    </row>
    <row r="431" spans="1:12" ht="30.75" customHeight="1" x14ac:dyDescent="0.35">
      <c r="A431" s="40" t="s">
        <v>106</v>
      </c>
      <c r="B431" s="41">
        <f>100*10.764</f>
        <v>1076.3999999999999</v>
      </c>
      <c r="C431" s="41">
        <f>(2.9*3.2+2.42*3.3+3.5*3.2+2.31*1.22+1.22*1+3.5*2+3.49*3.2+2.36*1.22+1.22*1+2*1)*10.764</f>
        <v>611.08734959999992</v>
      </c>
      <c r="D431" s="141">
        <f>(2.9*3.05+1*1.5)*10.764</f>
        <v>111.35357999999998</v>
      </c>
      <c r="E431" s="141"/>
      <c r="F431" s="41">
        <f>69.43*10.764</f>
        <v>747.34451999999999</v>
      </c>
      <c r="G431" s="41">
        <f>C431*1.6+D431/2</f>
        <v>1033.4165493599999</v>
      </c>
      <c r="H431" s="41" t="s">
        <v>95</v>
      </c>
      <c r="I431" s="140" t="s">
        <v>107</v>
      </c>
      <c r="J431" s="140"/>
    </row>
    <row r="432" spans="1:12" ht="19.5" customHeight="1" x14ac:dyDescent="0.35">
      <c r="A432" s="140" t="s">
        <v>324</v>
      </c>
      <c r="B432" s="140"/>
      <c r="C432" s="140"/>
      <c r="D432" s="140"/>
      <c r="E432" s="140"/>
      <c r="F432" s="140"/>
      <c r="G432" s="140"/>
      <c r="H432" s="140"/>
      <c r="I432" s="140"/>
      <c r="J432" s="140"/>
    </row>
    <row r="433" spans="1:13" ht="30.75" customHeight="1" x14ac:dyDescent="0.35">
      <c r="A433" s="40" t="s">
        <v>106</v>
      </c>
      <c r="B433" s="41">
        <f>100*10.764</f>
        <v>1076.3999999999999</v>
      </c>
      <c r="C433" s="41">
        <f>(7.09*3.4+2.31*1.22+3.43*3.15+1.22*3.25+1.22*1.5+2*3.69+3.4*3.13+2.31*1.88+1.88*1.2)*10.764</f>
        <v>733.50739800000008</v>
      </c>
      <c r="D433" s="141">
        <f>(7.4*2.9)*10.764</f>
        <v>230.99544</v>
      </c>
      <c r="E433" s="141"/>
      <c r="F433" s="41">
        <f>77.1*10.764</f>
        <v>829.9043999999999</v>
      </c>
      <c r="G433" s="41">
        <f>C433*1.6+D433/3</f>
        <v>1250.6103168000002</v>
      </c>
      <c r="H433" s="41" t="s">
        <v>95</v>
      </c>
      <c r="I433" s="140" t="s">
        <v>328</v>
      </c>
      <c r="J433" s="140"/>
    </row>
    <row r="434" spans="1:13" ht="19.5" customHeight="1" x14ac:dyDescent="0.35">
      <c r="A434" s="140" t="s">
        <v>145</v>
      </c>
      <c r="B434" s="140"/>
      <c r="C434" s="140"/>
      <c r="D434" s="140"/>
      <c r="E434" s="140"/>
      <c r="F434" s="140"/>
      <c r="G434" s="140"/>
      <c r="H434" s="140"/>
      <c r="I434" s="140"/>
      <c r="J434" s="140"/>
    </row>
    <row r="435" spans="1:13" ht="32.25" customHeight="1" x14ac:dyDescent="0.35">
      <c r="A435" s="43" t="s">
        <v>106</v>
      </c>
      <c r="B435" s="41">
        <f>100*10.764</f>
        <v>1076.3999999999999</v>
      </c>
      <c r="C435" s="41">
        <f>(3.35*3.96+2.79*2.27+2.79*1.2+2.2*1+2.34*1.37+1.37*1+3.35*3.96+3.35*5.5+3.5*1.2)*10.764</f>
        <v>706.27017240000009</v>
      </c>
      <c r="D435" s="141">
        <f>(3.35*3.96)*10.764</f>
        <v>142.79522399999999</v>
      </c>
      <c r="E435" s="141"/>
      <c r="F435" s="41">
        <f>(79.22)*10.764</f>
        <v>852.72407999999996</v>
      </c>
      <c r="G435" s="41">
        <f>C435*1.6+D435/2</f>
        <v>1201.4298878400002</v>
      </c>
      <c r="H435" s="41" t="s">
        <v>95</v>
      </c>
      <c r="I435" s="140" t="s">
        <v>107</v>
      </c>
      <c r="J435" s="140"/>
      <c r="M435" s="6">
        <f>5400*G435</f>
        <v>6487721.394336001</v>
      </c>
    </row>
    <row r="436" spans="1:13" ht="19.5" customHeight="1" x14ac:dyDescent="0.35">
      <c r="A436" s="140" t="s">
        <v>193</v>
      </c>
      <c r="B436" s="140"/>
      <c r="C436" s="140"/>
      <c r="D436" s="140"/>
      <c r="E436" s="140"/>
      <c r="F436" s="140"/>
      <c r="G436" s="140"/>
      <c r="H436" s="140"/>
      <c r="I436" s="140"/>
      <c r="J436" s="140"/>
    </row>
    <row r="437" spans="1:13" ht="32.25" customHeight="1" x14ac:dyDescent="0.35">
      <c r="A437" s="43" t="s">
        <v>106</v>
      </c>
      <c r="B437" s="41">
        <f>100*10.764</f>
        <v>1076.3999999999999</v>
      </c>
      <c r="C437" s="41">
        <f>((3*3.34+2.67*4.03+3.27*2.97+2.18*1.2+1*1.2)+(3.22*2.97+2.18*1.2+2.67*2.5+1*1.2))*10.764</f>
        <v>585.15687359999993</v>
      </c>
      <c r="D437" s="141">
        <f>(5.16*3.12)*10.764</f>
        <v>173.29178879999998</v>
      </c>
      <c r="E437" s="141"/>
      <c r="F437" s="41">
        <f>(68)*10.764</f>
        <v>731.952</v>
      </c>
      <c r="G437" s="41">
        <f>C437*1.6+D437/2</f>
        <v>1022.8968921599999</v>
      </c>
      <c r="H437" s="41" t="s">
        <v>95</v>
      </c>
      <c r="I437" s="140" t="s">
        <v>107</v>
      </c>
      <c r="J437" s="140"/>
      <c r="K437" s="6">
        <f>4402900/G437</f>
        <v>4304.3439018595682</v>
      </c>
    </row>
    <row r="438" spans="1:13" ht="19.5" customHeight="1" x14ac:dyDescent="0.35">
      <c r="A438" s="140" t="s">
        <v>298</v>
      </c>
      <c r="B438" s="140"/>
      <c r="C438" s="140"/>
      <c r="D438" s="140"/>
      <c r="E438" s="140"/>
      <c r="F438" s="140"/>
      <c r="G438" s="140"/>
      <c r="H438" s="140"/>
      <c r="I438" s="140"/>
      <c r="J438" s="140"/>
    </row>
    <row r="439" spans="1:13" ht="32.25" customHeight="1" x14ac:dyDescent="0.35">
      <c r="A439" s="43" t="s">
        <v>106</v>
      </c>
      <c r="B439" s="41">
        <f>100*10.764</f>
        <v>1076.3999999999999</v>
      </c>
      <c r="C439" s="41">
        <f>(2.85*2.85+3.2*3.15+2.39*3.1+2.2*1.2+1*1.2+3.15*3+3.15*1.2+1.8*3.4)*10.764</f>
        <v>525.2993459999999</v>
      </c>
      <c r="D439" s="141">
        <f>(2.85*2.85+2.39*3.1)*10.764</f>
        <v>167.18106600000002</v>
      </c>
      <c r="E439" s="141"/>
      <c r="F439" s="41">
        <f>(62.51)*10.764</f>
        <v>672.85763999999995</v>
      </c>
      <c r="G439" s="41">
        <f>C439*1.6+D439/2</f>
        <v>924.06948659999989</v>
      </c>
      <c r="H439" s="41" t="s">
        <v>95</v>
      </c>
      <c r="I439" s="140" t="s">
        <v>107</v>
      </c>
      <c r="J439" s="140"/>
      <c r="K439" s="6">
        <f>4402900/G439</f>
        <v>4764.6849764512081</v>
      </c>
    </row>
    <row r="440" spans="1:13" ht="19.5" customHeight="1" x14ac:dyDescent="0.35">
      <c r="A440" s="140" t="s">
        <v>168</v>
      </c>
      <c r="B440" s="140"/>
      <c r="C440" s="140"/>
      <c r="D440" s="140"/>
      <c r="E440" s="140"/>
      <c r="F440" s="140"/>
      <c r="G440" s="140"/>
      <c r="H440" s="140"/>
      <c r="I440" s="140"/>
      <c r="J440" s="140"/>
    </row>
    <row r="441" spans="1:13" ht="28" x14ac:dyDescent="0.35">
      <c r="A441" s="40" t="s">
        <v>106</v>
      </c>
      <c r="B441" s="41">
        <f>100*10.764</f>
        <v>1076.3999999999999</v>
      </c>
      <c r="C441" s="41">
        <f>((3.3*3.3+3.3*3.3+3*2.87+2.25*1.2+1.9*3+1.2*1.3+3.25*3.3+2.25*1.2+3.25*3.3+1.2*1.8+0.9*0.9))*10.764</f>
        <v>726.24707999999998</v>
      </c>
      <c r="D441" s="141">
        <f>(3.15*2.8)*10.764</f>
        <v>94.938479999999984</v>
      </c>
      <c r="E441" s="141"/>
      <c r="F441" s="41">
        <f>69.25*10.764</f>
        <v>745.40699999999993</v>
      </c>
      <c r="G441" s="41">
        <f>C441*1.6+D441</f>
        <v>1256.933808</v>
      </c>
      <c r="H441" s="41" t="s">
        <v>95</v>
      </c>
      <c r="I441" s="140" t="s">
        <v>107</v>
      </c>
      <c r="J441" s="140"/>
      <c r="L441" s="6">
        <f>G441*4800</f>
        <v>6033282.2784000002</v>
      </c>
    </row>
    <row r="442" spans="1:13" ht="19.5" customHeight="1" x14ac:dyDescent="0.35">
      <c r="A442" s="140" t="s">
        <v>167</v>
      </c>
      <c r="B442" s="140"/>
      <c r="C442" s="140"/>
      <c r="D442" s="140"/>
      <c r="E442" s="140"/>
      <c r="F442" s="140"/>
      <c r="G442" s="140"/>
      <c r="H442" s="140"/>
      <c r="I442" s="140"/>
      <c r="J442" s="140"/>
    </row>
    <row r="443" spans="1:13" ht="30.75" customHeight="1" x14ac:dyDescent="0.35">
      <c r="A443" s="40" t="s">
        <v>106</v>
      </c>
      <c r="B443" s="41">
        <f>100*10.764</f>
        <v>1076.3999999999999</v>
      </c>
      <c r="C443" s="41">
        <f>((2.9*2.93+2.9*2.77+2.7*3.27+1.2*2.17+1.2*1+0.9*2.9+2.7*3.27+1.2*2.17+1.2*0.9+2*1.8))*10.764</f>
        <v>515.44490399999995</v>
      </c>
      <c r="D443" s="141">
        <f>(3.2*2.9)*10.764</f>
        <v>99.889919999999989</v>
      </c>
      <c r="E443" s="141"/>
      <c r="F443" s="41">
        <f>58.66*10.764</f>
        <v>631.4162399999999</v>
      </c>
      <c r="G443" s="41">
        <f>C443*1.6+D443/2</f>
        <v>874.65680640000005</v>
      </c>
      <c r="H443" s="41" t="s">
        <v>95</v>
      </c>
      <c r="I443" s="140" t="s">
        <v>107</v>
      </c>
      <c r="J443" s="140"/>
      <c r="L443" s="6">
        <f>G443*4800</f>
        <v>4198352.6707199998</v>
      </c>
    </row>
    <row r="444" spans="1:13" ht="19.5" customHeight="1" x14ac:dyDescent="0.35">
      <c r="A444" s="140" t="s">
        <v>278</v>
      </c>
      <c r="B444" s="140"/>
      <c r="C444" s="140"/>
      <c r="D444" s="140"/>
      <c r="E444" s="140"/>
      <c r="F444" s="140"/>
      <c r="G444" s="140"/>
      <c r="H444" s="140"/>
      <c r="I444" s="140"/>
      <c r="J444" s="140"/>
    </row>
    <row r="445" spans="1:13" ht="30.75" customHeight="1" x14ac:dyDescent="0.35">
      <c r="A445" s="40" t="s">
        <v>106</v>
      </c>
      <c r="B445" s="41">
        <f>100*10.764</f>
        <v>1076.3999999999999</v>
      </c>
      <c r="C445" s="41">
        <f>((3.15*3.47+2.45*2.64+3.2*2.64+2.18*1.2+1.2*2.8)+(3.15*2.65+3.15*1.2+3.45*2.1))*10.764</f>
        <v>551.06298000000004</v>
      </c>
      <c r="D445" s="141">
        <f>(4.05*3.47)*10.764</f>
        <v>151.271874</v>
      </c>
      <c r="E445" s="141"/>
      <c r="F445" s="41">
        <f>62.56*10.764</f>
        <v>673.39584000000002</v>
      </c>
      <c r="G445" s="41">
        <f>C445*1.6+D445/2</f>
        <v>957.33670500000017</v>
      </c>
      <c r="H445" s="41" t="s">
        <v>95</v>
      </c>
      <c r="I445" s="140" t="s">
        <v>107</v>
      </c>
      <c r="J445" s="140"/>
      <c r="K445" s="6">
        <f>4696490/G445</f>
        <v>4905.7870396810904</v>
      </c>
      <c r="L445" s="6">
        <f>G445*4800</f>
        <v>4595216.1840000004</v>
      </c>
    </row>
    <row r="446" spans="1:13" ht="19.5" customHeight="1" x14ac:dyDescent="0.35">
      <c r="A446" s="140" t="s">
        <v>273</v>
      </c>
      <c r="B446" s="140"/>
      <c r="C446" s="140"/>
      <c r="D446" s="140"/>
      <c r="E446" s="140"/>
      <c r="F446" s="140"/>
      <c r="G446" s="140"/>
      <c r="H446" s="140"/>
      <c r="I446" s="140"/>
      <c r="J446" s="140"/>
    </row>
    <row r="447" spans="1:13" ht="30.75" customHeight="1" x14ac:dyDescent="0.35">
      <c r="A447" s="40" t="s">
        <v>106</v>
      </c>
      <c r="B447" s="41">
        <f>100*10.764</f>
        <v>1076.3999999999999</v>
      </c>
      <c r="C447" s="41">
        <f>((1.5*1.5+3.2*3.89+3.36*2.1+3.05*3.05+1.5*1.12+1.83*1.12)+(3.05*3.05+1.22*2+3.05*2))*10.764</f>
        <v>566.49425039999983</v>
      </c>
      <c r="D447" s="141">
        <f>(2.3*4.8+3.2*2+1.98*2)*10.764</f>
        <v>230.34959999999998</v>
      </c>
      <c r="E447" s="141"/>
      <c r="F447" s="41">
        <f>63.45*10.764</f>
        <v>682.97579999999994</v>
      </c>
      <c r="G447" s="41">
        <f>C447*1.6+D447/3</f>
        <v>983.17400063999969</v>
      </c>
      <c r="H447" s="41" t="s">
        <v>95</v>
      </c>
      <c r="I447" s="140" t="s">
        <v>107</v>
      </c>
      <c r="J447" s="140"/>
      <c r="L447" s="6">
        <f>G447*4800</f>
        <v>4719235.2030719984</v>
      </c>
    </row>
    <row r="448" spans="1:13" ht="19.5" customHeight="1" x14ac:dyDescent="0.35">
      <c r="A448" s="140" t="s">
        <v>166</v>
      </c>
      <c r="B448" s="140"/>
      <c r="C448" s="140"/>
      <c r="D448" s="140"/>
      <c r="E448" s="140"/>
      <c r="F448" s="140"/>
      <c r="G448" s="140"/>
      <c r="H448" s="140"/>
      <c r="I448" s="140"/>
      <c r="J448" s="140"/>
    </row>
    <row r="449" spans="1:12" ht="30.75" customHeight="1" x14ac:dyDescent="0.35">
      <c r="A449" s="40" t="s">
        <v>123</v>
      </c>
      <c r="B449" s="41">
        <f>175*10.764</f>
        <v>1883.6999999999998</v>
      </c>
      <c r="C449" s="41">
        <f>((3.35*3.35+3.89*3.35+3.35*3.25+2.26*1.32+0.9*2.4+2.6*0.9+3.35*3.35+3.35*2.82+1.27*2.8+2.34*1.37+1.2*2.13+0.9*1.37)+(3.66*0.91))*10.764</f>
        <v>830.71815839999999</v>
      </c>
      <c r="D449" s="141">
        <f>(3.5*3.65)*10.764</f>
        <v>137.51009999999999</v>
      </c>
      <c r="E449" s="141"/>
      <c r="F449" s="41">
        <f>92.81*10.764</f>
        <v>999.00684000000001</v>
      </c>
      <c r="G449" s="41">
        <f>C449*1.6+D449/2</f>
        <v>1397.90410344</v>
      </c>
      <c r="H449" s="41" t="s">
        <v>95</v>
      </c>
      <c r="I449" s="140" t="s">
        <v>107</v>
      </c>
      <c r="J449" s="140"/>
      <c r="L449" s="6">
        <f>G449*4800</f>
        <v>6709939.6965119997</v>
      </c>
    </row>
    <row r="450" spans="1:12" ht="19.5" customHeight="1" x14ac:dyDescent="0.35">
      <c r="A450" s="140" t="s">
        <v>172</v>
      </c>
      <c r="B450" s="140"/>
      <c r="C450" s="140"/>
      <c r="D450" s="140"/>
      <c r="E450" s="140"/>
      <c r="F450" s="140"/>
      <c r="G450" s="140"/>
      <c r="H450" s="140"/>
      <c r="I450" s="140"/>
      <c r="J450" s="140"/>
    </row>
    <row r="451" spans="1:12" ht="28" x14ac:dyDescent="0.35">
      <c r="A451" s="40" t="s">
        <v>106</v>
      </c>
      <c r="B451" s="41">
        <f>150*10.764</f>
        <v>1614.6</v>
      </c>
      <c r="C451" s="41">
        <f>((2.92*4.18+3*3.6+4.3*3.92+1.35*2.4+1.3*1+3*3.5+1.35*2.4+1.35*1+1.5*1.8)+(3.15*0.85))*10.764</f>
        <v>698.25099239999997</v>
      </c>
      <c r="D451" s="141">
        <f>(2.5*4.4+4.75*1.1)*10.764</f>
        <v>174.64590000000001</v>
      </c>
      <c r="E451" s="141"/>
      <c r="F451" s="41">
        <f>74.92*10.764</f>
        <v>806.43887999999993</v>
      </c>
      <c r="G451" s="41">
        <f>C451*1.6+D451/2</f>
        <v>1204.52453784</v>
      </c>
      <c r="H451" s="41" t="s">
        <v>95</v>
      </c>
      <c r="I451" s="140" t="s">
        <v>107</v>
      </c>
      <c r="J451" s="140"/>
      <c r="L451" s="6">
        <f>G451*4800</f>
        <v>5781717.7816319996</v>
      </c>
    </row>
    <row r="452" spans="1:12" ht="19.5" customHeight="1" x14ac:dyDescent="0.35">
      <c r="A452" s="140" t="s">
        <v>336</v>
      </c>
      <c r="B452" s="140"/>
      <c r="C452" s="140"/>
      <c r="D452" s="140"/>
      <c r="E452" s="140"/>
      <c r="F452" s="140"/>
      <c r="G452" s="140"/>
      <c r="H452" s="140"/>
      <c r="I452" s="140"/>
      <c r="J452" s="140"/>
    </row>
    <row r="453" spans="1:12" ht="32.25" customHeight="1" x14ac:dyDescent="0.35">
      <c r="A453" s="40" t="s">
        <v>337</v>
      </c>
      <c r="B453" s="41">
        <f>150*10.764</f>
        <v>1614.6</v>
      </c>
      <c r="C453" s="41">
        <f>(7.65*4.4+3.3*2+0.97*3.86+7.65*4.4+2.29*0.91)*10.764</f>
        <v>858.40854840000009</v>
      </c>
      <c r="D453" s="141">
        <v>0</v>
      </c>
      <c r="E453" s="141"/>
      <c r="F453" s="41">
        <f>80.52*10.764</f>
        <v>866.71727999999996</v>
      </c>
      <c r="G453" s="41">
        <f>C453*1.6+D453/2</f>
        <v>1373.4536774400003</v>
      </c>
      <c r="H453" s="41" t="s">
        <v>95</v>
      </c>
      <c r="I453" s="140" t="s">
        <v>107</v>
      </c>
      <c r="J453" s="140"/>
      <c r="L453" s="6">
        <f>G453*4800</f>
        <v>6592577.6517120013</v>
      </c>
    </row>
    <row r="454" spans="1:12" ht="19.5" customHeight="1" x14ac:dyDescent="0.35">
      <c r="A454" s="140" t="s">
        <v>176</v>
      </c>
      <c r="B454" s="140"/>
      <c r="C454" s="140"/>
      <c r="D454" s="140"/>
      <c r="E454" s="140"/>
      <c r="F454" s="140"/>
      <c r="G454" s="140"/>
      <c r="H454" s="140"/>
      <c r="I454" s="140"/>
      <c r="J454" s="140"/>
    </row>
    <row r="455" spans="1:12" ht="32.25" customHeight="1" x14ac:dyDescent="0.35">
      <c r="A455" s="43" t="s">
        <v>123</v>
      </c>
      <c r="B455" s="41">
        <f>150*10.764</f>
        <v>1614.6</v>
      </c>
      <c r="C455" s="41">
        <f>(3.2*3.05+2.11*1.22*2+4.65*3.96+3.2*3.05+3.2*3.05+2.11*1.22*2+3.51*2.64+2*4)*10.764</f>
        <v>810.06850079999992</v>
      </c>
      <c r="D455" s="141">
        <f>(2.13*4.11)*10.764</f>
        <v>94.231285200000002</v>
      </c>
      <c r="E455" s="141"/>
      <c r="F455" s="41">
        <f>88.54*10.764</f>
        <v>953.04456000000005</v>
      </c>
      <c r="G455" s="41">
        <f>C455*1.6+D455</f>
        <v>1390.3408864799999</v>
      </c>
      <c r="H455" s="41" t="s">
        <v>95</v>
      </c>
      <c r="I455" s="140" t="s">
        <v>177</v>
      </c>
      <c r="J455" s="140"/>
      <c r="L455" s="6">
        <f>6880300/G455</f>
        <v>4948.6424997679687</v>
      </c>
    </row>
    <row r="456" spans="1:12" ht="19.5" customHeight="1" x14ac:dyDescent="0.35">
      <c r="A456" s="140" t="s">
        <v>146</v>
      </c>
      <c r="B456" s="140"/>
      <c r="C456" s="140"/>
      <c r="D456" s="140"/>
      <c r="E456" s="140"/>
      <c r="F456" s="140"/>
      <c r="G456" s="140"/>
      <c r="H456" s="140"/>
      <c r="I456" s="140"/>
      <c r="J456" s="140"/>
    </row>
    <row r="457" spans="1:12" ht="32.25" customHeight="1" x14ac:dyDescent="0.35">
      <c r="A457" s="43" t="s">
        <v>123</v>
      </c>
      <c r="B457" s="41">
        <f>150*10.764</f>
        <v>1614.6</v>
      </c>
      <c r="C457" s="41">
        <f>(3.14*2.99+2.4*3.04+3.74*2.63+2.4*0.95+3.74*2.85+1.85*1.8+2*0.6+5.79*2.85+3.89*2.8+4.07*2.91)*10.764</f>
        <v>895.85542799999996</v>
      </c>
      <c r="D457" s="141">
        <f>(4*2.8)*10.764</f>
        <v>120.55679999999998</v>
      </c>
      <c r="E457" s="141"/>
      <c r="F457" s="41">
        <f>100.12*10.764</f>
        <v>1077.6916799999999</v>
      </c>
      <c r="G457" s="41">
        <f>C457*1.6+D457/2</f>
        <v>1493.6470847999999</v>
      </c>
      <c r="H457" s="41" t="s">
        <v>95</v>
      </c>
      <c r="I457" s="140" t="s">
        <v>107</v>
      </c>
      <c r="J457" s="140"/>
    </row>
    <row r="458" spans="1:12" ht="19.5" customHeight="1" x14ac:dyDescent="0.35">
      <c r="A458" s="140" t="s">
        <v>194</v>
      </c>
      <c r="B458" s="140"/>
      <c r="C458" s="140"/>
      <c r="D458" s="140"/>
      <c r="E458" s="140"/>
      <c r="F458" s="140"/>
      <c r="G458" s="140"/>
      <c r="H458" s="140"/>
      <c r="I458" s="140"/>
      <c r="J458" s="140"/>
    </row>
    <row r="459" spans="1:12" ht="32.25" customHeight="1" x14ac:dyDescent="0.35">
      <c r="A459" s="43" t="s">
        <v>123</v>
      </c>
      <c r="B459" s="41">
        <f>150*10.764</f>
        <v>1614.6</v>
      </c>
      <c r="C459" s="41">
        <f>((3*3+1.2*2.44+1*0.3+3.5*3.25+2.5*1.2+0.9*2+3.5*                                                                                                           4.27)+(3.5*3.25+2.4*1.22+2.4*1.2+4.1*2.79+1.2*1.22+0.9* 4+0.9*1.22+2.16*3.91))*10.764</f>
        <v>931.92128639999987</v>
      </c>
      <c r="D459" s="141">
        <f>(3*2.84+5*4+3.2*4.5)*10.764</f>
        <v>461.99088</v>
      </c>
      <c r="E459" s="141"/>
      <c r="F459" s="41">
        <f>112.58*10.764</f>
        <v>1211.8111199999998</v>
      </c>
      <c r="G459" s="41">
        <f>C459*1.6+D459/2</f>
        <v>1722.0694982399998</v>
      </c>
      <c r="H459" s="41" t="s">
        <v>95</v>
      </c>
      <c r="I459" s="140" t="s">
        <v>177</v>
      </c>
      <c r="J459" s="140"/>
      <c r="L459" s="6">
        <f>7227375/G459</f>
        <v>4196.9124982392213</v>
      </c>
    </row>
    <row r="460" spans="1:12" ht="19.5" customHeight="1" x14ac:dyDescent="0.35">
      <c r="A460" s="140" t="s">
        <v>266</v>
      </c>
      <c r="B460" s="140"/>
      <c r="C460" s="140"/>
      <c r="D460" s="140"/>
      <c r="E460" s="140"/>
      <c r="F460" s="140"/>
      <c r="G460" s="140"/>
      <c r="H460" s="140"/>
      <c r="I460" s="140"/>
      <c r="J460" s="140"/>
    </row>
    <row r="461" spans="1:12" ht="32.25" customHeight="1" x14ac:dyDescent="0.35">
      <c r="A461" s="43" t="s">
        <v>123</v>
      </c>
      <c r="B461" s="41">
        <f>150*10.764</f>
        <v>1614.6</v>
      </c>
      <c r="C461" s="41">
        <f>((2.44*1.6+5.11*3.37+2.28*2.72+3.44*2.72+2.38*1.2+2.35*2)+(3.4*2.73+2.35*1.37+2.28*4.04+3.37*1.6+0.9*3.37))*10.764</f>
        <v>800.5918752</v>
      </c>
      <c r="D461" s="141">
        <f>(2.28*2+2.28*2.37)*10.764</f>
        <v>107.24819039999998</v>
      </c>
      <c r="E461" s="141"/>
      <c r="F461" s="41">
        <f>91.45*10.764</f>
        <v>984.36779999999999</v>
      </c>
      <c r="G461" s="41">
        <f>C461*1.6+D461/2</f>
        <v>1334.5710955200002</v>
      </c>
      <c r="H461" s="41" t="s">
        <v>95</v>
      </c>
      <c r="I461" s="140" t="s">
        <v>268</v>
      </c>
      <c r="J461" s="140"/>
      <c r="L461" s="6">
        <f>7227375/G461</f>
        <v>5415.5039205190769</v>
      </c>
    </row>
    <row r="462" spans="1:12" ht="19.5" customHeight="1" x14ac:dyDescent="0.35">
      <c r="A462" s="140" t="s">
        <v>270</v>
      </c>
      <c r="B462" s="140"/>
      <c r="C462" s="140"/>
      <c r="D462" s="140"/>
      <c r="E462" s="140"/>
      <c r="F462" s="140"/>
      <c r="G462" s="140"/>
      <c r="H462" s="140"/>
      <c r="I462" s="140"/>
      <c r="J462" s="140"/>
    </row>
    <row r="463" spans="1:12" ht="32.25" customHeight="1" x14ac:dyDescent="0.35">
      <c r="A463" s="43" t="s">
        <v>106</v>
      </c>
      <c r="B463" s="41">
        <f>150*10.764</f>
        <v>1614.6</v>
      </c>
      <c r="C463" s="41">
        <f>((1.32*1.83+2.92*3.5+2.92*4.37+3.15*3.05+2.1*1.2+1*1.2+0.84*2.14)+(3.15*3.05+2.1*1.2+1*1.2+1.2*2.14+0.9*1.5))*10.764</f>
        <v>621.79968240000005</v>
      </c>
      <c r="D463" s="141">
        <f>(4.55*3.56)*10.764</f>
        <v>174.35527199999999</v>
      </c>
      <c r="E463" s="141"/>
      <c r="F463" s="41">
        <f>71.53*10.764</f>
        <v>769.94891999999993</v>
      </c>
      <c r="G463" s="41">
        <f>C463*1.6+D463/2</f>
        <v>1082.05712784</v>
      </c>
      <c r="H463" s="41" t="s">
        <v>95</v>
      </c>
      <c r="I463" s="140" t="s">
        <v>268</v>
      </c>
      <c r="J463" s="140"/>
      <c r="L463" s="6">
        <f>7227375/G463</f>
        <v>6679.2915217214731</v>
      </c>
    </row>
    <row r="464" spans="1:12" ht="19.5" customHeight="1" x14ac:dyDescent="0.35">
      <c r="A464" s="140" t="s">
        <v>245</v>
      </c>
      <c r="B464" s="140"/>
      <c r="C464" s="140"/>
      <c r="D464" s="140"/>
      <c r="E464" s="140"/>
      <c r="F464" s="140"/>
      <c r="G464" s="140"/>
      <c r="H464" s="140"/>
      <c r="I464" s="140"/>
      <c r="J464" s="140"/>
    </row>
    <row r="465" spans="1:13" ht="32.25" customHeight="1" x14ac:dyDescent="0.35">
      <c r="A465" s="43" t="s">
        <v>123</v>
      </c>
      <c r="B465" s="41">
        <f>150*10.764</f>
        <v>1614.6</v>
      </c>
      <c r="C465" s="41">
        <f>((3*3+3*2.8+ 3*2.5+2*1.2+4*2.1+0.85*1.2)+(3*2.6+2*1.2+3*2.77+2*1.2+0.85*1.2+0.85*1.2+4*2.1))*10.764</f>
        <v>732.70547999999985</v>
      </c>
      <c r="D465" s="141">
        <f>(3*4.2+3*4)*10.764</f>
        <v>264.7944</v>
      </c>
      <c r="E465" s="141"/>
      <c r="F465" s="41">
        <f>92.31*10.764</f>
        <v>993.62483999999995</v>
      </c>
      <c r="G465" s="41">
        <f>C465*1.6+D465/3</f>
        <v>1260.5935679999998</v>
      </c>
      <c r="H465" s="41" t="s">
        <v>95</v>
      </c>
      <c r="I465" s="140" t="s">
        <v>177</v>
      </c>
      <c r="J465" s="140"/>
      <c r="L465" s="6">
        <f>7227375/G465</f>
        <v>5733.3110238430163</v>
      </c>
    </row>
    <row r="466" spans="1:13" s="61" customFormat="1" ht="19.5" customHeight="1" x14ac:dyDescent="0.35">
      <c r="A466" s="140" t="s">
        <v>312</v>
      </c>
      <c r="B466" s="140"/>
      <c r="C466" s="140"/>
      <c r="D466" s="140"/>
      <c r="E466" s="140"/>
      <c r="F466" s="140"/>
      <c r="G466" s="140"/>
      <c r="H466" s="140"/>
      <c r="I466" s="140"/>
      <c r="J466" s="140"/>
    </row>
    <row r="467" spans="1:13" ht="28" x14ac:dyDescent="0.35">
      <c r="A467" s="40" t="s">
        <v>106</v>
      </c>
      <c r="B467" s="41">
        <f>(255/2)*10.764</f>
        <v>1372.4099999999999</v>
      </c>
      <c r="C467" s="60">
        <f>((44+3.2*5.33+2.01*2.44))*10.764</f>
        <v>709.99774559999992</v>
      </c>
      <c r="D467" s="141">
        <f>(5.18*3.81)*10.764</f>
        <v>212.43615119999995</v>
      </c>
      <c r="E467" s="141"/>
      <c r="F467" s="60">
        <f>(78.68)*10.764</f>
        <v>846.91152</v>
      </c>
      <c r="G467" s="41">
        <f>C467*1.6+D467/3</f>
        <v>1206.80844336</v>
      </c>
      <c r="H467" s="41" t="s">
        <v>95</v>
      </c>
      <c r="I467" s="140" t="s">
        <v>107</v>
      </c>
      <c r="J467" s="140"/>
      <c r="L467" s="6">
        <f>G467*4800</f>
        <v>5792680.528128</v>
      </c>
    </row>
    <row r="468" spans="1:13" ht="19.5" customHeight="1" x14ac:dyDescent="0.35">
      <c r="A468" s="140" t="s">
        <v>173</v>
      </c>
      <c r="B468" s="140"/>
      <c r="C468" s="140"/>
      <c r="D468" s="140"/>
      <c r="E468" s="140"/>
      <c r="F468" s="140"/>
      <c r="G468" s="140"/>
      <c r="H468" s="140"/>
      <c r="I468" s="140"/>
      <c r="J468" s="140"/>
      <c r="M468" s="68">
        <v>10.763999999999999</v>
      </c>
    </row>
    <row r="469" spans="1:13" x14ac:dyDescent="0.35">
      <c r="A469" s="40" t="s">
        <v>155</v>
      </c>
      <c r="B469" s="41">
        <f>(255/2)*10.764</f>
        <v>1372.4099999999999</v>
      </c>
      <c r="C469" s="41">
        <f>((4.2*3.15+3.5*3.05+2.3*1.3+1.81*3.28+2.3*1.8+2.8*3.05+3.05*3.05+2.3*1.3+1.2*3.05+1.3*1.5+1.8*1.8))*10.764</f>
        <v>717.46688519999998</v>
      </c>
      <c r="D469" s="141">
        <v>0</v>
      </c>
      <c r="E469" s="141"/>
      <c r="F469" s="41">
        <f>143.36*10.764</f>
        <v>1543.1270400000001</v>
      </c>
      <c r="G469" s="41">
        <f>C469*1.6+D469</f>
        <v>1147.9470163200001</v>
      </c>
      <c r="H469" s="41" t="s">
        <v>95</v>
      </c>
      <c r="I469" s="140" t="s">
        <v>107</v>
      </c>
      <c r="J469" s="140"/>
      <c r="L469" s="6">
        <f>G469*4800</f>
        <v>5510145.6783360001</v>
      </c>
    </row>
    <row r="470" spans="1:13" ht="19.5" customHeight="1" x14ac:dyDescent="0.35">
      <c r="A470" s="140" t="s">
        <v>174</v>
      </c>
      <c r="B470" s="140"/>
      <c r="C470" s="140"/>
      <c r="D470" s="140"/>
      <c r="E470" s="140"/>
      <c r="F470" s="140"/>
      <c r="G470" s="140"/>
      <c r="H470" s="140"/>
      <c r="I470" s="140"/>
      <c r="J470" s="140"/>
    </row>
    <row r="471" spans="1:13" ht="28" x14ac:dyDescent="0.35">
      <c r="A471" s="40" t="s">
        <v>106</v>
      </c>
      <c r="B471" s="41">
        <f>(255/2)*10.764</f>
        <v>1372.4099999999999</v>
      </c>
      <c r="C471" s="41">
        <f>((3.85*3+3.25*2.75+2.15*1.3+3.85*1.5+3.25*2.75+2.15*1.3+0.9*1.3+2.4*1.5))*10.764</f>
        <v>490.40784000000002</v>
      </c>
      <c r="D471" s="141">
        <f>(4.15*2.9)*10.764</f>
        <v>129.54473999999999</v>
      </c>
      <c r="E471" s="141"/>
      <c r="F471" s="41">
        <f>143.36*10.764</f>
        <v>1543.1270400000001</v>
      </c>
      <c r="G471" s="41">
        <f>C471*1.6+D471</f>
        <v>914.19728400000008</v>
      </c>
      <c r="H471" s="41" t="s">
        <v>95</v>
      </c>
      <c r="I471" s="140" t="s">
        <v>107</v>
      </c>
      <c r="J471" s="140"/>
      <c r="L471" s="6">
        <f>G471*4800</f>
        <v>4388146.9632000001</v>
      </c>
    </row>
    <row r="472" spans="1:13" ht="19.5" customHeight="1" x14ac:dyDescent="0.35">
      <c r="A472" s="140" t="s">
        <v>184</v>
      </c>
      <c r="B472" s="140"/>
      <c r="C472" s="140"/>
      <c r="D472" s="140"/>
      <c r="E472" s="140"/>
      <c r="F472" s="140"/>
      <c r="G472" s="140"/>
      <c r="H472" s="140"/>
      <c r="I472" s="140"/>
      <c r="J472" s="140"/>
    </row>
    <row r="473" spans="1:13" ht="28" x14ac:dyDescent="0.35">
      <c r="A473" s="40" t="s">
        <v>106</v>
      </c>
      <c r="B473" s="41">
        <f>(255/2)*10.764</f>
        <v>1372.4099999999999</v>
      </c>
      <c r="C473" s="41">
        <f>((3.13*5.89+1.98*1.22+3*3.13+1.22*1+2.1*0.9+3*3.13+1.22*1.98+1*1.22+4*2))*10.764</f>
        <v>585.31295159999991</v>
      </c>
      <c r="D473" s="141">
        <f>((3.13*3.94)+(4.2*3.1))*10.764</f>
        <v>272.8910808</v>
      </c>
      <c r="E473" s="141"/>
      <c r="F473" s="41">
        <f>72.37*10.764</f>
        <v>778.99068</v>
      </c>
      <c r="G473" s="41">
        <f>C473*1.6+D473/3</f>
        <v>1027.4644161599999</v>
      </c>
      <c r="H473" s="41" t="s">
        <v>95</v>
      </c>
      <c r="I473" s="140" t="s">
        <v>107</v>
      </c>
      <c r="J473" s="140"/>
      <c r="L473" s="6">
        <f>6000836/G473</f>
        <v>5840.431946468043</v>
      </c>
    </row>
    <row r="474" spans="1:13" s="15" customFormat="1" ht="24.75" customHeight="1" x14ac:dyDescent="0.35">
      <c r="A474" s="140" t="s">
        <v>332</v>
      </c>
      <c r="B474" s="140"/>
      <c r="C474" s="140"/>
      <c r="D474" s="140"/>
      <c r="E474" s="140"/>
      <c r="F474" s="140"/>
      <c r="G474" s="140"/>
      <c r="H474" s="140"/>
      <c r="I474" s="140"/>
      <c r="J474" s="140"/>
    </row>
    <row r="475" spans="1:13" s="15" customFormat="1" ht="28.5" customHeight="1" x14ac:dyDescent="0.35">
      <c r="A475" s="79" t="s">
        <v>300</v>
      </c>
      <c r="B475" s="78">
        <f>(255/2)*10.764</f>
        <v>1372.4099999999999</v>
      </c>
      <c r="C475" s="78">
        <f>((11.89*3.51+1.07*2.13)+(11.89*3.51-2.11*2.13))*10.764</f>
        <v>874.60298639999996</v>
      </c>
      <c r="D475" s="140">
        <v>0</v>
      </c>
      <c r="E475" s="140"/>
      <c r="F475" s="78">
        <f>(84.15)*10.764</f>
        <v>905.79060000000004</v>
      </c>
      <c r="G475" s="78">
        <f>C475*1.6+D475/2</f>
        <v>1399.3647782400001</v>
      </c>
      <c r="H475" s="78" t="s">
        <v>95</v>
      </c>
      <c r="I475" s="140" t="s">
        <v>107</v>
      </c>
      <c r="J475" s="140"/>
      <c r="L475" s="15">
        <f>6000836/G475</f>
        <v>4288.2571387478629</v>
      </c>
    </row>
    <row r="476" spans="1:13" ht="19.5" customHeight="1" x14ac:dyDescent="0.35">
      <c r="A476" s="140" t="s">
        <v>297</v>
      </c>
      <c r="B476" s="140"/>
      <c r="C476" s="140"/>
      <c r="D476" s="140"/>
      <c r="E476" s="140"/>
      <c r="F476" s="140"/>
      <c r="G476" s="140"/>
      <c r="H476" s="140"/>
      <c r="I476" s="140"/>
      <c r="J476" s="140"/>
    </row>
    <row r="477" spans="1:13" ht="28" x14ac:dyDescent="0.35">
      <c r="A477" s="40" t="s">
        <v>123</v>
      </c>
      <c r="B477" s="41">
        <f>(255)*10.764</f>
        <v>2744.8199999999997</v>
      </c>
      <c r="C477" s="41">
        <f>((8.7*2.8+4.7*2.3+4*5.5+2.9*1.8+4*5.5+4.5*3.5+3.5*1.6+2.9*1.8)+(4.7*2+4.7*2+0.9*1.8+0.9*1.8))*10.764</f>
        <v>1431.6119999999996</v>
      </c>
      <c r="D477" s="141">
        <f>(4.1*3.1)*10.764</f>
        <v>136.81043999999997</v>
      </c>
      <c r="E477" s="141"/>
      <c r="F477" s="41">
        <f>(154)*10.764</f>
        <v>1657.6559999999999</v>
      </c>
      <c r="G477" s="41">
        <f>C477*1.6+D477/2</f>
        <v>2358.9844199999998</v>
      </c>
      <c r="H477" s="41" t="s">
        <v>95</v>
      </c>
      <c r="I477" s="140" t="s">
        <v>107</v>
      </c>
      <c r="J477" s="140"/>
      <c r="L477" s="6">
        <f>6000836/G477</f>
        <v>2543.8218027739244</v>
      </c>
    </row>
    <row r="478" spans="1:13" ht="19.5" customHeight="1" x14ac:dyDescent="0.35">
      <c r="A478" s="140" t="s">
        <v>261</v>
      </c>
      <c r="B478" s="140"/>
      <c r="C478" s="140"/>
      <c r="D478" s="140"/>
      <c r="E478" s="140"/>
      <c r="F478" s="140"/>
      <c r="G478" s="140"/>
      <c r="H478" s="140"/>
      <c r="I478" s="140"/>
      <c r="J478" s="140"/>
    </row>
    <row r="479" spans="1:13" ht="28" x14ac:dyDescent="0.35">
      <c r="A479" s="40" t="s">
        <v>123</v>
      </c>
      <c r="B479" s="41">
        <f>(263)*10.764</f>
        <v>2830.9319999999998</v>
      </c>
      <c r="C479" s="41">
        <f>((2.97*5.37+4.37*3.51+3.05*3.43+1.2*2.36+1.2*1+3.05*3.43+2.97*3.84+2.97*1.37+1.2*2.36+1.2*1+4.67*2)+(2.09*1.8))*10.764</f>
        <v>956.38462919999995</v>
      </c>
      <c r="D479" s="141">
        <f>((5.67*3.13+4.67*3.58))*10.764</f>
        <v>370.98879479999994</v>
      </c>
      <c r="E479" s="141"/>
      <c r="F479" s="41">
        <f>106*10.764</f>
        <v>1140.9839999999999</v>
      </c>
      <c r="G479" s="41">
        <f>C479*1.6+D479/3</f>
        <v>1653.8783383199998</v>
      </c>
      <c r="H479" s="41" t="s">
        <v>95</v>
      </c>
      <c r="I479" s="140" t="s">
        <v>107</v>
      </c>
      <c r="J479" s="140"/>
      <c r="L479" s="6">
        <f>6000836/G479</f>
        <v>3628.3418562066754</v>
      </c>
    </row>
    <row r="480" spans="1:13" x14ac:dyDescent="0.35">
      <c r="A480" s="144" t="s">
        <v>351</v>
      </c>
      <c r="B480" s="144"/>
      <c r="C480" s="144"/>
      <c r="D480" s="144"/>
      <c r="E480" s="144"/>
      <c r="F480" s="144"/>
      <c r="G480" s="144"/>
      <c r="H480" s="144"/>
      <c r="I480" s="144"/>
      <c r="J480" s="144"/>
    </row>
    <row r="481" spans="1:10" ht="44.5" customHeight="1" x14ac:dyDescent="0.35">
      <c r="A481" s="145" t="s">
        <v>357</v>
      </c>
      <c r="B481" s="145"/>
      <c r="C481" s="145"/>
      <c r="D481" s="145"/>
      <c r="E481" s="145"/>
      <c r="F481" s="144" t="s">
        <v>352</v>
      </c>
      <c r="G481" s="144"/>
      <c r="H481" s="144"/>
      <c r="I481" s="144"/>
      <c r="J481" s="144"/>
    </row>
    <row r="482" spans="1:10" x14ac:dyDescent="0.35">
      <c r="A482" s="145" t="s">
        <v>353</v>
      </c>
      <c r="B482" s="145"/>
      <c r="C482" s="145"/>
      <c r="D482" s="145"/>
      <c r="E482" s="145"/>
      <c r="F482" s="144" t="s">
        <v>354</v>
      </c>
      <c r="G482" s="144"/>
      <c r="H482" s="144"/>
      <c r="I482" s="144"/>
      <c r="J482" s="144"/>
    </row>
    <row r="483" spans="1:10" x14ac:dyDescent="0.35">
      <c r="A483" s="145" t="s">
        <v>358</v>
      </c>
      <c r="B483" s="145"/>
      <c r="C483" s="145"/>
      <c r="D483" s="145"/>
      <c r="E483" s="145"/>
      <c r="F483" s="144" t="s">
        <v>359</v>
      </c>
      <c r="G483" s="144"/>
      <c r="H483" s="144"/>
      <c r="I483" s="144"/>
      <c r="J483" s="144"/>
    </row>
    <row r="484" spans="1:10" x14ac:dyDescent="0.35">
      <c r="A484" s="144" t="s">
        <v>356</v>
      </c>
      <c r="B484" s="144"/>
      <c r="C484" s="144"/>
      <c r="D484" s="144"/>
      <c r="E484" s="144"/>
      <c r="F484" s="145" t="s">
        <v>355</v>
      </c>
      <c r="G484" s="145"/>
      <c r="H484" s="145"/>
      <c r="I484" s="145"/>
      <c r="J484" s="145"/>
    </row>
    <row r="485" spans="1:10" ht="74.5" customHeight="1" x14ac:dyDescent="0.35">
      <c r="A485" s="144" t="s">
        <v>360</v>
      </c>
      <c r="B485" s="144"/>
      <c r="C485" s="144"/>
      <c r="D485" s="144"/>
      <c r="E485" s="144"/>
      <c r="F485" s="144"/>
      <c r="G485" s="144"/>
      <c r="H485" s="144"/>
      <c r="I485" s="144"/>
      <c r="J485" s="144"/>
    </row>
    <row r="486" spans="1:10" ht="15" customHeight="1" x14ac:dyDescent="0.35">
      <c r="A486" s="146" t="s">
        <v>256</v>
      </c>
      <c r="B486" s="142"/>
      <c r="C486" s="142"/>
      <c r="D486" s="142"/>
      <c r="E486" s="143"/>
      <c r="F486" s="146" t="s">
        <v>246</v>
      </c>
      <c r="G486" s="142"/>
      <c r="H486" s="142"/>
      <c r="I486" s="142"/>
      <c r="J486" s="143"/>
    </row>
    <row r="487" spans="1:10" x14ac:dyDescent="0.35">
      <c r="A487" s="136" t="s">
        <v>247</v>
      </c>
      <c r="B487" s="137"/>
      <c r="C487" s="137"/>
      <c r="D487" s="137"/>
      <c r="E487" s="138"/>
      <c r="F487" s="139">
        <v>44373</v>
      </c>
      <c r="G487" s="142"/>
      <c r="H487" s="142"/>
      <c r="I487" s="142"/>
      <c r="J487" s="143"/>
    </row>
    <row r="488" spans="1:10" ht="15" customHeight="1" x14ac:dyDescent="0.35">
      <c r="A488" s="136" t="s">
        <v>248</v>
      </c>
      <c r="B488" s="137"/>
      <c r="C488" s="137"/>
      <c r="D488" s="137"/>
      <c r="E488" s="138"/>
      <c r="F488" s="139">
        <v>44378</v>
      </c>
      <c r="G488" s="142"/>
      <c r="H488" s="142"/>
      <c r="I488" s="142"/>
      <c r="J488" s="143"/>
    </row>
    <row r="489" spans="1:10" x14ac:dyDescent="0.35">
      <c r="A489" s="136" t="s">
        <v>249</v>
      </c>
      <c r="B489" s="137"/>
      <c r="C489" s="137"/>
      <c r="D489" s="137"/>
      <c r="E489" s="138"/>
      <c r="F489" s="139">
        <v>44394</v>
      </c>
      <c r="G489" s="142"/>
      <c r="H489" s="142"/>
      <c r="I489" s="142"/>
      <c r="J489" s="143"/>
    </row>
    <row r="490" spans="1:10" ht="15" customHeight="1" x14ac:dyDescent="0.35">
      <c r="A490" s="136" t="s">
        <v>250</v>
      </c>
      <c r="B490" s="137"/>
      <c r="C490" s="137"/>
      <c r="D490" s="137"/>
      <c r="E490" s="138"/>
      <c r="F490" s="139">
        <v>44408</v>
      </c>
      <c r="G490" s="142"/>
      <c r="H490" s="142"/>
      <c r="I490" s="142"/>
      <c r="J490" s="143"/>
    </row>
    <row r="491" spans="1:10" x14ac:dyDescent="0.35">
      <c r="A491" s="136" t="s">
        <v>251</v>
      </c>
      <c r="B491" s="137"/>
      <c r="C491" s="137"/>
      <c r="D491" s="137"/>
      <c r="E491" s="138"/>
      <c r="F491" s="139">
        <v>44439</v>
      </c>
      <c r="G491" s="142"/>
      <c r="H491" s="142"/>
      <c r="I491" s="142"/>
      <c r="J491" s="143"/>
    </row>
    <row r="492" spans="1:10" ht="15" customHeight="1" x14ac:dyDescent="0.35">
      <c r="A492" s="136" t="s">
        <v>252</v>
      </c>
      <c r="B492" s="137"/>
      <c r="C492" s="137"/>
      <c r="D492" s="137"/>
      <c r="E492" s="138"/>
      <c r="F492" s="139">
        <v>44462</v>
      </c>
      <c r="G492" s="142"/>
      <c r="H492" s="142"/>
      <c r="I492" s="142"/>
      <c r="J492" s="143"/>
    </row>
    <row r="493" spans="1:10" x14ac:dyDescent="0.35">
      <c r="A493" s="136" t="s">
        <v>253</v>
      </c>
      <c r="B493" s="137"/>
      <c r="C493" s="137"/>
      <c r="D493" s="137"/>
      <c r="E493" s="138"/>
      <c r="F493" s="139">
        <v>44485</v>
      </c>
      <c r="G493" s="142"/>
      <c r="H493" s="142"/>
      <c r="I493" s="142"/>
      <c r="J493" s="143"/>
    </row>
    <row r="494" spans="1:10" ht="15" customHeight="1" x14ac:dyDescent="0.35">
      <c r="A494" s="136" t="s">
        <v>254</v>
      </c>
      <c r="B494" s="137"/>
      <c r="C494" s="137"/>
      <c r="D494" s="137"/>
      <c r="E494" s="138"/>
      <c r="F494" s="139">
        <v>44491</v>
      </c>
      <c r="G494" s="142"/>
      <c r="H494" s="142"/>
      <c r="I494" s="142"/>
      <c r="J494" s="143"/>
    </row>
    <row r="495" spans="1:10" ht="15" customHeight="1" x14ac:dyDescent="0.35">
      <c r="A495" s="136" t="s">
        <v>255</v>
      </c>
      <c r="B495" s="137"/>
      <c r="C495" s="137"/>
      <c r="D495" s="137"/>
      <c r="E495" s="138"/>
      <c r="F495" s="139">
        <v>44516</v>
      </c>
      <c r="G495" s="142"/>
      <c r="H495" s="142"/>
      <c r="I495" s="142"/>
      <c r="J495" s="143"/>
    </row>
    <row r="496" spans="1:10" ht="15" customHeight="1" x14ac:dyDescent="0.35">
      <c r="A496" s="136" t="s">
        <v>262</v>
      </c>
      <c r="B496" s="137"/>
      <c r="C496" s="137"/>
      <c r="D496" s="137"/>
      <c r="E496" s="138"/>
      <c r="F496" s="139">
        <v>44557</v>
      </c>
      <c r="G496" s="134"/>
      <c r="H496" s="134"/>
      <c r="I496" s="134"/>
      <c r="J496" s="135"/>
    </row>
    <row r="497" spans="1:20" ht="15" customHeight="1" x14ac:dyDescent="0.35">
      <c r="A497" s="136" t="s">
        <v>265</v>
      </c>
      <c r="B497" s="137"/>
      <c r="C497" s="137"/>
      <c r="D497" s="137"/>
      <c r="E497" s="138"/>
      <c r="F497" s="139">
        <v>44564</v>
      </c>
      <c r="G497" s="134"/>
      <c r="H497" s="134"/>
      <c r="I497" s="134"/>
      <c r="J497" s="135"/>
    </row>
    <row r="498" spans="1:20" ht="15" customHeight="1" x14ac:dyDescent="0.35">
      <c r="A498" s="136" t="s">
        <v>271</v>
      </c>
      <c r="B498" s="137"/>
      <c r="C498" s="137"/>
      <c r="D498" s="137"/>
      <c r="E498" s="138"/>
      <c r="F498" s="139">
        <v>44582</v>
      </c>
      <c r="G498" s="134"/>
      <c r="H498" s="134"/>
      <c r="I498" s="134"/>
      <c r="J498" s="135"/>
    </row>
    <row r="499" spans="1:20" ht="15" customHeight="1" x14ac:dyDescent="0.35">
      <c r="A499" s="136" t="s">
        <v>274</v>
      </c>
      <c r="B499" s="137"/>
      <c r="C499" s="137"/>
      <c r="D499" s="137"/>
      <c r="E499" s="138"/>
      <c r="F499" s="139">
        <v>44590</v>
      </c>
      <c r="G499" s="134"/>
      <c r="H499" s="134"/>
      <c r="I499" s="134"/>
      <c r="J499" s="135"/>
    </row>
    <row r="500" spans="1:20" ht="15" customHeight="1" x14ac:dyDescent="0.35">
      <c r="A500" s="136" t="s">
        <v>275</v>
      </c>
      <c r="B500" s="137"/>
      <c r="C500" s="137"/>
      <c r="D500" s="137"/>
      <c r="E500" s="138"/>
      <c r="F500" s="139">
        <v>44617</v>
      </c>
      <c r="G500" s="134"/>
      <c r="H500" s="134"/>
      <c r="I500" s="134"/>
      <c r="J500" s="135"/>
      <c r="L500" s="67" t="s">
        <v>317</v>
      </c>
      <c r="M500" s="47"/>
      <c r="N500" s="47"/>
      <c r="O500" s="47"/>
      <c r="P500" s="47"/>
      <c r="Q500" s="47"/>
      <c r="R500" s="47"/>
      <c r="S500" s="47"/>
      <c r="T500" s="47"/>
    </row>
    <row r="501" spans="1:20" ht="15" customHeight="1" x14ac:dyDescent="0.35">
      <c r="A501" s="136" t="s">
        <v>279</v>
      </c>
      <c r="B501" s="137"/>
      <c r="C501" s="137"/>
      <c r="D501" s="137"/>
      <c r="E501" s="138"/>
      <c r="F501" s="139">
        <v>44629</v>
      </c>
      <c r="G501" s="134"/>
      <c r="H501" s="134"/>
      <c r="I501" s="134"/>
      <c r="J501" s="135"/>
      <c r="L501" s="67" t="s">
        <v>318</v>
      </c>
      <c r="M501" s="47"/>
      <c r="N501" s="47"/>
      <c r="O501" s="47"/>
      <c r="P501" s="47"/>
    </row>
    <row r="502" spans="1:20" ht="42.75" customHeight="1" x14ac:dyDescent="0.35">
      <c r="A502" s="147" t="s">
        <v>333</v>
      </c>
      <c r="B502" s="137"/>
      <c r="C502" s="137"/>
      <c r="D502" s="137"/>
      <c r="E502" s="138"/>
      <c r="F502" s="133" t="s">
        <v>334</v>
      </c>
      <c r="G502" s="134"/>
      <c r="H502" s="134"/>
      <c r="I502" s="134"/>
      <c r="J502" s="135"/>
    </row>
    <row r="503" spans="1:20" x14ac:dyDescent="0.35">
      <c r="A503" s="147" t="s">
        <v>306</v>
      </c>
      <c r="B503" s="137"/>
      <c r="C503" s="137"/>
      <c r="D503" s="137"/>
      <c r="E503" s="138"/>
      <c r="F503" s="133">
        <v>44744</v>
      </c>
      <c r="G503" s="134"/>
      <c r="H503" s="134"/>
      <c r="I503" s="134"/>
      <c r="J503" s="135"/>
      <c r="L503" s="67" t="s">
        <v>321</v>
      </c>
    </row>
    <row r="504" spans="1:20" x14ac:dyDescent="0.35">
      <c r="A504" s="147" t="s">
        <v>307</v>
      </c>
      <c r="B504" s="137"/>
      <c r="C504" s="137"/>
      <c r="D504" s="137"/>
      <c r="E504" s="138"/>
      <c r="F504" s="133">
        <v>44770</v>
      </c>
      <c r="G504" s="134"/>
      <c r="H504" s="134"/>
      <c r="I504" s="134"/>
      <c r="J504" s="135"/>
      <c r="L504" s="67" t="s">
        <v>322</v>
      </c>
    </row>
    <row r="505" spans="1:20" x14ac:dyDescent="0.35">
      <c r="A505" s="147" t="s">
        <v>309</v>
      </c>
      <c r="B505" s="137"/>
      <c r="C505" s="137"/>
      <c r="D505" s="137"/>
      <c r="E505" s="138"/>
      <c r="F505" s="133">
        <v>44810</v>
      </c>
      <c r="G505" s="134"/>
      <c r="H505" s="134"/>
      <c r="I505" s="134"/>
      <c r="J505" s="135"/>
    </row>
    <row r="506" spans="1:20" x14ac:dyDescent="0.35">
      <c r="A506" s="147" t="s">
        <v>313</v>
      </c>
      <c r="B506" s="137"/>
      <c r="C506" s="137"/>
      <c r="D506" s="137"/>
      <c r="E506" s="138"/>
      <c r="F506" s="133">
        <v>44834</v>
      </c>
      <c r="G506" s="134"/>
      <c r="H506" s="134"/>
      <c r="I506" s="134"/>
      <c r="J506" s="135"/>
    </row>
    <row r="507" spans="1:20" x14ac:dyDescent="0.35">
      <c r="A507" s="147" t="s">
        <v>320</v>
      </c>
      <c r="B507" s="137"/>
      <c r="C507" s="137"/>
      <c r="D507" s="137"/>
      <c r="E507" s="138"/>
      <c r="F507" s="133">
        <v>44972</v>
      </c>
      <c r="G507" s="134"/>
      <c r="H507" s="134"/>
      <c r="I507" s="134"/>
      <c r="J507" s="135"/>
    </row>
    <row r="508" spans="1:20" x14ac:dyDescent="0.35">
      <c r="A508" s="147" t="s">
        <v>325</v>
      </c>
      <c r="B508" s="137"/>
      <c r="C508" s="137"/>
      <c r="D508" s="137"/>
      <c r="E508" s="138"/>
      <c r="F508" s="133">
        <v>44999</v>
      </c>
      <c r="G508" s="134"/>
      <c r="H508" s="134"/>
      <c r="I508" s="134"/>
      <c r="J508" s="135"/>
    </row>
    <row r="509" spans="1:20" x14ac:dyDescent="0.35">
      <c r="A509" s="147" t="s">
        <v>338</v>
      </c>
      <c r="B509" s="137"/>
      <c r="C509" s="137"/>
      <c r="D509" s="137"/>
      <c r="E509" s="138"/>
      <c r="F509" s="133">
        <v>45086</v>
      </c>
      <c r="G509" s="134"/>
      <c r="H509" s="134"/>
      <c r="I509" s="134"/>
      <c r="J509" s="135"/>
    </row>
    <row r="510" spans="1:20" x14ac:dyDescent="0.35">
      <c r="A510" s="147" t="s">
        <v>339</v>
      </c>
      <c r="B510" s="137"/>
      <c r="C510" s="137"/>
      <c r="D510" s="137"/>
      <c r="E510" s="138"/>
      <c r="F510" s="133">
        <v>45176</v>
      </c>
      <c r="G510" s="134"/>
      <c r="H510" s="134"/>
      <c r="I510" s="134"/>
      <c r="J510" s="135"/>
    </row>
    <row r="511" spans="1:20" x14ac:dyDescent="0.35">
      <c r="A511" s="147" t="s">
        <v>340</v>
      </c>
      <c r="B511" s="137"/>
      <c r="C511" s="137"/>
      <c r="D511" s="137"/>
      <c r="E511" s="138"/>
      <c r="F511" s="133">
        <v>45307</v>
      </c>
      <c r="G511" s="134"/>
      <c r="H511" s="134"/>
      <c r="I511" s="134"/>
      <c r="J511" s="135"/>
    </row>
    <row r="512" spans="1:20" x14ac:dyDescent="0.35">
      <c r="A512" s="147" t="s">
        <v>344</v>
      </c>
      <c r="B512" s="137"/>
      <c r="C512" s="137"/>
      <c r="D512" s="137"/>
      <c r="E512" s="138"/>
      <c r="F512" s="133">
        <v>45322</v>
      </c>
      <c r="G512" s="134"/>
      <c r="H512" s="134"/>
      <c r="I512" s="134"/>
      <c r="J512" s="135"/>
    </row>
    <row r="513" spans="1:10" ht="15" customHeight="1" x14ac:dyDescent="0.35">
      <c r="A513" s="242" t="s">
        <v>20</v>
      </c>
      <c r="B513" s="243"/>
      <c r="C513" s="243"/>
      <c r="D513" s="243"/>
      <c r="E513" s="243"/>
      <c r="F513" s="243"/>
      <c r="G513" s="243"/>
      <c r="H513" s="243"/>
      <c r="I513" s="243"/>
      <c r="J513" s="244"/>
    </row>
    <row r="514" spans="1:10" x14ac:dyDescent="0.35">
      <c r="A514" s="221" t="s">
        <v>117</v>
      </c>
      <c r="B514" s="222"/>
      <c r="C514" s="222"/>
      <c r="D514" s="222"/>
      <c r="E514" s="222"/>
      <c r="F514" s="222"/>
      <c r="G514" s="222"/>
      <c r="H514" s="222"/>
      <c r="I514" s="222"/>
      <c r="J514" s="223"/>
    </row>
    <row r="515" spans="1:10" x14ac:dyDescent="0.35">
      <c r="A515" s="242" t="s">
        <v>121</v>
      </c>
      <c r="B515" s="243"/>
      <c r="C515" s="243"/>
      <c r="D515" s="243"/>
      <c r="E515" s="243"/>
      <c r="F515" s="243"/>
      <c r="G515" s="243"/>
      <c r="H515" s="243"/>
      <c r="I515" s="243"/>
      <c r="J515" s="244"/>
    </row>
    <row r="516" spans="1:10" x14ac:dyDescent="0.35">
      <c r="A516" s="221" t="s">
        <v>27</v>
      </c>
      <c r="B516" s="222"/>
      <c r="C516" s="222"/>
      <c r="D516" s="222"/>
      <c r="E516" s="222"/>
      <c r="F516" s="222"/>
      <c r="G516" s="222"/>
      <c r="H516" s="222"/>
      <c r="I516" s="222"/>
      <c r="J516" s="223"/>
    </row>
    <row r="517" spans="1:10" x14ac:dyDescent="0.35">
      <c r="A517" s="221" t="s">
        <v>118</v>
      </c>
      <c r="B517" s="222"/>
      <c r="C517" s="222"/>
      <c r="D517" s="222"/>
      <c r="E517" s="222"/>
      <c r="F517" s="222"/>
      <c r="G517" s="222"/>
      <c r="H517" s="222"/>
      <c r="I517" s="222"/>
      <c r="J517" s="223"/>
    </row>
    <row r="518" spans="1:10" x14ac:dyDescent="0.35">
      <c r="A518" s="221" t="s">
        <v>119</v>
      </c>
      <c r="B518" s="222"/>
      <c r="C518" s="222"/>
      <c r="D518" s="222"/>
      <c r="E518" s="222"/>
      <c r="F518" s="222"/>
      <c r="G518" s="222"/>
      <c r="H518" s="222"/>
      <c r="I518" s="222"/>
      <c r="J518" s="223"/>
    </row>
    <row r="519" spans="1:10" x14ac:dyDescent="0.35">
      <c r="A519" s="246" t="s">
        <v>120</v>
      </c>
      <c r="B519" s="247"/>
      <c r="C519" s="247"/>
      <c r="D519" s="247"/>
      <c r="E519" s="247"/>
      <c r="F519" s="247"/>
      <c r="G519" s="247"/>
      <c r="H519" s="247"/>
      <c r="I519" s="247"/>
      <c r="J519" s="248"/>
    </row>
    <row r="520" spans="1:10" x14ac:dyDescent="0.35">
      <c r="A520" s="233" t="s">
        <v>21</v>
      </c>
      <c r="B520" s="234"/>
      <c r="C520" s="234"/>
      <c r="D520" s="234"/>
      <c r="E520" s="234"/>
      <c r="F520" s="234"/>
      <c r="G520" s="234"/>
      <c r="H520" s="234"/>
      <c r="I520" s="234"/>
      <c r="J520" s="235"/>
    </row>
    <row r="521" spans="1:10" x14ac:dyDescent="0.35">
      <c r="A521" s="236"/>
      <c r="B521" s="237"/>
      <c r="C521" s="237"/>
      <c r="D521" s="237"/>
      <c r="E521" s="237"/>
      <c r="F521" s="237"/>
      <c r="G521" s="237"/>
      <c r="H521" s="237"/>
      <c r="I521" s="237"/>
      <c r="J521" s="238"/>
    </row>
    <row r="522" spans="1:10" x14ac:dyDescent="0.35">
      <c r="A522" s="236"/>
      <c r="B522" s="237"/>
      <c r="C522" s="237"/>
      <c r="D522" s="237"/>
      <c r="E522" s="237"/>
      <c r="F522" s="237"/>
      <c r="G522" s="237"/>
      <c r="H522" s="237"/>
      <c r="I522" s="237"/>
      <c r="J522" s="238"/>
    </row>
    <row r="523" spans="1:10" x14ac:dyDescent="0.35">
      <c r="A523" s="239"/>
      <c r="B523" s="240"/>
      <c r="C523" s="240"/>
      <c r="D523" s="240"/>
      <c r="E523" s="240"/>
      <c r="F523" s="240"/>
      <c r="G523" s="240"/>
      <c r="H523" s="240"/>
      <c r="I523" s="240"/>
      <c r="J523" s="241"/>
    </row>
    <row r="524" spans="1:10" x14ac:dyDescent="0.35">
      <c r="A524" s="148" t="s">
        <v>335</v>
      </c>
      <c r="B524" s="148"/>
      <c r="C524" s="148"/>
      <c r="D524" s="14"/>
      <c r="E524" s="148" t="str">
        <f>F8</f>
        <v>City of Music</v>
      </c>
      <c r="F524" s="148"/>
      <c r="G524" s="14"/>
      <c r="H524" s="14"/>
      <c r="I524" s="14"/>
      <c r="J524" s="14"/>
    </row>
    <row r="525" spans="1:10" ht="13.5" customHeight="1" x14ac:dyDescent="0.35">
      <c r="A525" s="14"/>
      <c r="B525" s="14"/>
      <c r="C525" s="14"/>
      <c r="D525" s="14"/>
      <c r="E525" s="14"/>
      <c r="F525" s="14"/>
      <c r="G525" s="14"/>
      <c r="H525" s="14"/>
      <c r="I525" s="14"/>
      <c r="J525" s="14"/>
    </row>
    <row r="526" spans="1:10" x14ac:dyDescent="0.35">
      <c r="B526"/>
    </row>
    <row r="528" spans="1:10" x14ac:dyDescent="0.35">
      <c r="B528"/>
    </row>
    <row r="530" spans="5:5" x14ac:dyDescent="0.35">
      <c r="E530"/>
    </row>
    <row r="543" spans="5:5" ht="15.75" customHeight="1" x14ac:dyDescent="0.35"/>
    <row r="553" ht="15.75" customHeight="1" x14ac:dyDescent="0.35"/>
    <row r="561" spans="1:10" ht="15.75" customHeight="1" x14ac:dyDescent="0.35"/>
    <row r="564" spans="1:10" ht="15.75" customHeight="1" x14ac:dyDescent="0.35"/>
    <row r="569" spans="1:10" x14ac:dyDescent="0.35">
      <c r="A569" s="148" t="s">
        <v>335</v>
      </c>
      <c r="B569" s="148"/>
      <c r="C569" s="148"/>
      <c r="D569" s="14"/>
      <c r="E569" s="148" t="str">
        <f>F8</f>
        <v>City of Music</v>
      </c>
      <c r="F569" s="148"/>
      <c r="G569" s="14"/>
      <c r="H569" s="14"/>
      <c r="I569" s="14"/>
      <c r="J569" s="14"/>
    </row>
    <row r="570" spans="1:10" ht="13.5" customHeight="1" x14ac:dyDescent="0.35">
      <c r="A570" s="14"/>
      <c r="B570" s="14"/>
      <c r="C570" s="14"/>
      <c r="D570" s="14"/>
      <c r="E570" s="14"/>
      <c r="F570" s="14"/>
      <c r="G570" s="14"/>
      <c r="H570" s="14"/>
      <c r="I570" s="14"/>
      <c r="J570" s="14"/>
    </row>
    <row r="571" spans="1:10" x14ac:dyDescent="0.35">
      <c r="B571"/>
    </row>
    <row r="573" spans="1:10" x14ac:dyDescent="0.35">
      <c r="B573"/>
    </row>
    <row r="575" spans="1:10" x14ac:dyDescent="0.35">
      <c r="E575"/>
    </row>
    <row r="588" ht="15.75" customHeight="1" x14ac:dyDescent="0.35"/>
    <row r="598" ht="15.75" customHeight="1" x14ac:dyDescent="0.35"/>
    <row r="613" spans="1:10" ht="15.75" customHeight="1" x14ac:dyDescent="0.35"/>
    <row r="618" spans="1:10" x14ac:dyDescent="0.35">
      <c r="A618" s="148" t="s">
        <v>335</v>
      </c>
      <c r="B618" s="148"/>
      <c r="C618" s="148"/>
      <c r="D618" s="14"/>
      <c r="E618" s="148" t="str">
        <f>F8</f>
        <v>City of Music</v>
      </c>
      <c r="F618" s="148"/>
      <c r="G618" s="14"/>
      <c r="H618" s="14"/>
      <c r="I618" s="14"/>
      <c r="J618" s="14"/>
    </row>
    <row r="619" spans="1:10" ht="13.5" customHeight="1" x14ac:dyDescent="0.35">
      <c r="A619" s="14"/>
      <c r="B619" s="14"/>
      <c r="C619" s="14"/>
      <c r="D619" s="14"/>
      <c r="E619" s="14"/>
      <c r="F619" s="14"/>
      <c r="G619" s="14"/>
      <c r="H619" s="14"/>
      <c r="I619" s="14"/>
      <c r="J619" s="14"/>
    </row>
    <row r="620" spans="1:10" x14ac:dyDescent="0.35">
      <c r="B620"/>
    </row>
    <row r="622" spans="1:10" x14ac:dyDescent="0.35">
      <c r="B622"/>
    </row>
    <row r="624" spans="1:10" x14ac:dyDescent="0.35">
      <c r="E624"/>
    </row>
    <row r="637" ht="15.75" customHeight="1" x14ac:dyDescent="0.35"/>
    <row r="647" ht="15.75" customHeight="1" x14ac:dyDescent="0.35"/>
    <row r="656" ht="15.75" customHeight="1" x14ac:dyDescent="0.35"/>
    <row r="662" spans="1:1" ht="15.75" customHeight="1" x14ac:dyDescent="0.35"/>
    <row r="667" spans="1:1" x14ac:dyDescent="0.35">
      <c r="A667" s="16" t="s">
        <v>89</v>
      </c>
    </row>
  </sheetData>
  <autoFilter ref="A207:Q666">
    <filterColumn colId="1" showButton="0">
      <filters blank="1">
        <filter val="1039"/>
        <filter val="1076"/>
        <filter val="1082"/>
        <filter val="1093"/>
        <filter val="1372"/>
        <filter val="1615"/>
        <filter val="1625"/>
        <filter val="1884"/>
        <filter val="2067"/>
        <filter val="2185"/>
        <filter val="3789"/>
        <filter val="Excavation work Completed. Plinth work completed"/>
        <filter val="Excavation work Completed. Plinth work completed, RCC Slab Completed"/>
        <filter val="Excavation work Completed. Plinth work completed, RCC Slab, Brickwork Completed"/>
        <filter val="Excavation work Completed. Plinth work completed, RCC Slab, Brickwork upto 0.5 Floor Completed"/>
        <filter val="Excavation work Completed. Plinth work completed, RCC Slab, Brickwork, Internal Plaster, External Plaster Completed"/>
        <filter val="Excavation work Completed. Plinth work completed, RCC upto 1 Slab Completed"/>
        <filter val="Excavation work Completed. Plinth work completed, RCC upto 1 Slab, Brickwork upto 0.5 Floor Completed"/>
        <filter val="Excavation work Completed. Plinth work completed, RCC upto 1 Slab, Brickwork upto 0.5 Floor, External Plaster upto 0.5 Floor Completed"/>
        <filter val="Excavation work Completed. Plinth work completed, RCC upto 1.5 Slab Completed"/>
        <filter val="Plinth, RCC, Brick, Plaster, Flooring, Painting work Completed. Finishing work is in process."/>
        <filter val="Plot Area_x000a__x000a_(Sq.Ft)"/>
      </filters>
    </filterColumn>
    <filterColumn colId="2" showButton="0"/>
    <filterColumn colId="3" showButton="0"/>
    <filterColumn colId="4" showButton="0"/>
    <filterColumn colId="6" showButton="0"/>
    <filterColumn colId="8" showButton="0"/>
  </autoFilter>
  <mergeCells count="1281">
    <mergeCell ref="A524:C524"/>
    <mergeCell ref="E524:F524"/>
    <mergeCell ref="A512:E512"/>
    <mergeCell ref="F512:J512"/>
    <mergeCell ref="I371:J371"/>
    <mergeCell ref="A509:E509"/>
    <mergeCell ref="F509:J509"/>
    <mergeCell ref="A508:E508"/>
    <mergeCell ref="F508:J508"/>
    <mergeCell ref="C31:J31"/>
    <mergeCell ref="A32:B32"/>
    <mergeCell ref="C32:J32"/>
    <mergeCell ref="A507:E507"/>
    <mergeCell ref="F507:J507"/>
    <mergeCell ref="A506:E506"/>
    <mergeCell ref="F506:J506"/>
    <mergeCell ref="A504:E504"/>
    <mergeCell ref="F504:J504"/>
    <mergeCell ref="I381:J381"/>
    <mergeCell ref="D387:E387"/>
    <mergeCell ref="I387:J387"/>
    <mergeCell ref="A414:J414"/>
    <mergeCell ref="A500:E500"/>
    <mergeCell ref="F500:J500"/>
    <mergeCell ref="A499:E499"/>
    <mergeCell ref="F499:J499"/>
    <mergeCell ref="A498:E498"/>
    <mergeCell ref="F498:J498"/>
    <mergeCell ref="A440:J440"/>
    <mergeCell ref="A488:E488"/>
    <mergeCell ref="F488:J488"/>
    <mergeCell ref="D441:E441"/>
    <mergeCell ref="D425:E425"/>
    <mergeCell ref="I425:J425"/>
    <mergeCell ref="A428:J428"/>
    <mergeCell ref="D429:E429"/>
    <mergeCell ref="I429:J429"/>
    <mergeCell ref="A496:E496"/>
    <mergeCell ref="F496:J496"/>
    <mergeCell ref="D473:E473"/>
    <mergeCell ref="I473:J473"/>
    <mergeCell ref="A472:J472"/>
    <mergeCell ref="A478:J478"/>
    <mergeCell ref="D479:E479"/>
    <mergeCell ref="I479:J479"/>
    <mergeCell ref="D443:E443"/>
    <mergeCell ref="I443:J443"/>
    <mergeCell ref="D457:E457"/>
    <mergeCell ref="F482:J482"/>
    <mergeCell ref="A484:E484"/>
    <mergeCell ref="F484:J484"/>
    <mergeCell ref="I435:J435"/>
    <mergeCell ref="A430:J430"/>
    <mergeCell ref="D431:E431"/>
    <mergeCell ref="A486:E486"/>
    <mergeCell ref="I427:J427"/>
    <mergeCell ref="F487:J487"/>
    <mergeCell ref="D449:E449"/>
    <mergeCell ref="D459:E459"/>
    <mergeCell ref="I459:J459"/>
    <mergeCell ref="D465:E465"/>
    <mergeCell ref="D130:E130"/>
    <mergeCell ref="H130:J130"/>
    <mergeCell ref="C203:J203"/>
    <mergeCell ref="A196:B196"/>
    <mergeCell ref="H200:J200"/>
    <mergeCell ref="H199:J199"/>
    <mergeCell ref="A198:B198"/>
    <mergeCell ref="B164:C164"/>
    <mergeCell ref="A408:J408"/>
    <mergeCell ref="D409:E409"/>
    <mergeCell ref="I409:J409"/>
    <mergeCell ref="D395:E395"/>
    <mergeCell ref="I395:J395"/>
    <mergeCell ref="A394:J394"/>
    <mergeCell ref="B140:C140"/>
    <mergeCell ref="D140:E140"/>
    <mergeCell ref="H140:J140"/>
    <mergeCell ref="B143:C143"/>
    <mergeCell ref="D143:E143"/>
    <mergeCell ref="D147:E147"/>
    <mergeCell ref="H147:J147"/>
    <mergeCell ref="B148:C148"/>
    <mergeCell ref="A404:J404"/>
    <mergeCell ref="D405:E405"/>
    <mergeCell ref="H170:J170"/>
    <mergeCell ref="H158:J158"/>
    <mergeCell ref="B159:C159"/>
    <mergeCell ref="G206:H206"/>
    <mergeCell ref="A361:F361"/>
    <mergeCell ref="D157:E157"/>
    <mergeCell ref="H157:J157"/>
    <mergeCell ref="B158:C158"/>
    <mergeCell ref="D415:E415"/>
    <mergeCell ref="I399:J399"/>
    <mergeCell ref="A424:J424"/>
    <mergeCell ref="A363:F363"/>
    <mergeCell ref="G363:J363"/>
    <mergeCell ref="A416:J416"/>
    <mergeCell ref="A386:J386"/>
    <mergeCell ref="D401:E401"/>
    <mergeCell ref="I401:J401"/>
    <mergeCell ref="A388:J388"/>
    <mergeCell ref="D389:E389"/>
    <mergeCell ref="I389:J389"/>
    <mergeCell ref="I405:J405"/>
    <mergeCell ref="A426:J426"/>
    <mergeCell ref="D162:E162"/>
    <mergeCell ref="H162:J162"/>
    <mergeCell ref="H163:J163"/>
    <mergeCell ref="B163:C163"/>
    <mergeCell ref="F184:F185"/>
    <mergeCell ref="G184:G185"/>
    <mergeCell ref="H184:J185"/>
    <mergeCell ref="B184:C184"/>
    <mergeCell ref="B185:C185"/>
    <mergeCell ref="B186:C186"/>
    <mergeCell ref="D186:E186"/>
    <mergeCell ref="H186:J186"/>
    <mergeCell ref="F200:G200"/>
    <mergeCell ref="H189:J189"/>
    <mergeCell ref="B171:C171"/>
    <mergeCell ref="I415:J415"/>
    <mergeCell ref="G205:H205"/>
    <mergeCell ref="I205:J205"/>
    <mergeCell ref="D413:E413"/>
    <mergeCell ref="I393:J393"/>
    <mergeCell ref="A384:J384"/>
    <mergeCell ref="D385:E385"/>
    <mergeCell ref="I385:J385"/>
    <mergeCell ref="A406:J406"/>
    <mergeCell ref="I407:J407"/>
    <mergeCell ref="A364:F364"/>
    <mergeCell ref="G364:J364"/>
    <mergeCell ref="I369:J369"/>
    <mergeCell ref="A378:J378"/>
    <mergeCell ref="A362:F362"/>
    <mergeCell ref="G362:J362"/>
    <mergeCell ref="A370:J370"/>
    <mergeCell ref="D381:E381"/>
    <mergeCell ref="A396:J396"/>
    <mergeCell ref="D397:E397"/>
    <mergeCell ref="I397:J397"/>
    <mergeCell ref="A412:J412"/>
    <mergeCell ref="A400:J400"/>
    <mergeCell ref="A380:J380"/>
    <mergeCell ref="D391:E391"/>
    <mergeCell ref="A390:J390"/>
    <mergeCell ref="I383:J383"/>
    <mergeCell ref="I417:J417"/>
    <mergeCell ref="A365:J365"/>
    <mergeCell ref="A376:J376"/>
    <mergeCell ref="A392:J392"/>
    <mergeCell ref="A366:J366"/>
    <mergeCell ref="I377:J377"/>
    <mergeCell ref="I419:J419"/>
    <mergeCell ref="A398:J398"/>
    <mergeCell ref="D399:E399"/>
    <mergeCell ref="H52:J52"/>
    <mergeCell ref="B53:C53"/>
    <mergeCell ref="D53:E53"/>
    <mergeCell ref="H53:J53"/>
    <mergeCell ref="B54:C54"/>
    <mergeCell ref="D54:E54"/>
    <mergeCell ref="H54:J54"/>
    <mergeCell ref="H148:J148"/>
    <mergeCell ref="B150:C150"/>
    <mergeCell ref="B155:C155"/>
    <mergeCell ref="D155:E155"/>
    <mergeCell ref="H155:J155"/>
    <mergeCell ref="D177:E177"/>
    <mergeCell ref="H177:J177"/>
    <mergeCell ref="B172:C172"/>
    <mergeCell ref="D172:E172"/>
    <mergeCell ref="H172:J172"/>
    <mergeCell ref="B173:C173"/>
    <mergeCell ref="D159:E159"/>
    <mergeCell ref="H159:J159"/>
    <mergeCell ref="H166:J166"/>
    <mergeCell ref="D171:E171"/>
    <mergeCell ref="B157:C157"/>
    <mergeCell ref="A476:J476"/>
    <mergeCell ref="D477:E477"/>
    <mergeCell ref="I477:J477"/>
    <mergeCell ref="A450:J450"/>
    <mergeCell ref="A436:J436"/>
    <mergeCell ref="A438:J438"/>
    <mergeCell ref="D471:E471"/>
    <mergeCell ref="I471:J471"/>
    <mergeCell ref="D451:E451"/>
    <mergeCell ref="I451:J451"/>
    <mergeCell ref="A468:J468"/>
    <mergeCell ref="D469:E469"/>
    <mergeCell ref="I469:J469"/>
    <mergeCell ref="A446:J446"/>
    <mergeCell ref="D447:E447"/>
    <mergeCell ref="I447:J447"/>
    <mergeCell ref="I455:J455"/>
    <mergeCell ref="A444:J444"/>
    <mergeCell ref="A470:J470"/>
    <mergeCell ref="I441:J441"/>
    <mergeCell ref="A442:J442"/>
    <mergeCell ref="A448:J448"/>
    <mergeCell ref="I467:J467"/>
    <mergeCell ref="D463:E463"/>
    <mergeCell ref="I463:J463"/>
    <mergeCell ref="D437:E437"/>
    <mergeCell ref="A434:J434"/>
    <mergeCell ref="I431:J431"/>
    <mergeCell ref="A432:J432"/>
    <mergeCell ref="D445:E445"/>
    <mergeCell ref="I445:J445"/>
    <mergeCell ref="D173:E173"/>
    <mergeCell ref="H173:J173"/>
    <mergeCell ref="B174:C174"/>
    <mergeCell ref="D174:E174"/>
    <mergeCell ref="B192:C192"/>
    <mergeCell ref="A202:C202"/>
    <mergeCell ref="H174:J174"/>
    <mergeCell ref="B176:C176"/>
    <mergeCell ref="D175:E175"/>
    <mergeCell ref="D182:E182"/>
    <mergeCell ref="H182:J182"/>
    <mergeCell ref="B183:C183"/>
    <mergeCell ref="D183:E183"/>
    <mergeCell ref="H183:J183"/>
    <mergeCell ref="B178:C178"/>
    <mergeCell ref="B179:C179"/>
    <mergeCell ref="D178:E178"/>
    <mergeCell ref="H178:J178"/>
    <mergeCell ref="D179:E179"/>
    <mergeCell ref="D427:E427"/>
    <mergeCell ref="I465:J465"/>
    <mergeCell ref="I437:J437"/>
    <mergeCell ref="A458:J458"/>
    <mergeCell ref="B169:C169"/>
    <mergeCell ref="H167:J167"/>
    <mergeCell ref="B168:C168"/>
    <mergeCell ref="D168:E168"/>
    <mergeCell ref="H168:J168"/>
    <mergeCell ref="D164:E164"/>
    <mergeCell ref="H164:J164"/>
    <mergeCell ref="B165:C165"/>
    <mergeCell ref="D165:E165"/>
    <mergeCell ref="H165:J165"/>
    <mergeCell ref="B307:F307"/>
    <mergeCell ref="H176:J176"/>
    <mergeCell ref="B177:C177"/>
    <mergeCell ref="D158:E158"/>
    <mergeCell ref="D184:E185"/>
    <mergeCell ref="H198:J198"/>
    <mergeCell ref="D191:E191"/>
    <mergeCell ref="G234:H234"/>
    <mergeCell ref="G251:H251"/>
    <mergeCell ref="I251:J251"/>
    <mergeCell ref="H179:J179"/>
    <mergeCell ref="B180:C180"/>
    <mergeCell ref="D180:E180"/>
    <mergeCell ref="H180:J180"/>
    <mergeCell ref="G220:H220"/>
    <mergeCell ref="I220:J220"/>
    <mergeCell ref="G209:H209"/>
    <mergeCell ref="I209:J209"/>
    <mergeCell ref="B190:C190"/>
    <mergeCell ref="H190:J190"/>
    <mergeCell ref="I217:J217"/>
    <mergeCell ref="B189:C189"/>
    <mergeCell ref="A519:J519"/>
    <mergeCell ref="I411:J411"/>
    <mergeCell ref="G315:H315"/>
    <mergeCell ref="B316:F316"/>
    <mergeCell ref="G316:H316"/>
    <mergeCell ref="I316:J316"/>
    <mergeCell ref="I315:J315"/>
    <mergeCell ref="B306:F306"/>
    <mergeCell ref="G306:H306"/>
    <mergeCell ref="I306:J306"/>
    <mergeCell ref="I216:J216"/>
    <mergeCell ref="I208:J208"/>
    <mergeCell ref="B208:F208"/>
    <mergeCell ref="G208:H208"/>
    <mergeCell ref="B271:F271"/>
    <mergeCell ref="G271:H271"/>
    <mergeCell ref="I271:J271"/>
    <mergeCell ref="B272:F272"/>
    <mergeCell ref="G272:H272"/>
    <mergeCell ref="I272:J272"/>
    <mergeCell ref="B273:F273"/>
    <mergeCell ref="G273:H273"/>
    <mergeCell ref="B284:F284"/>
    <mergeCell ref="G284:H284"/>
    <mergeCell ref="I284:J284"/>
    <mergeCell ref="B285:F285"/>
    <mergeCell ref="G285:H285"/>
    <mergeCell ref="I285:J285"/>
    <mergeCell ref="B233:F233"/>
    <mergeCell ref="G233:H233"/>
    <mergeCell ref="I233:J233"/>
    <mergeCell ref="B234:F234"/>
    <mergeCell ref="B313:F313"/>
    <mergeCell ref="B156:C156"/>
    <mergeCell ref="B160:C160"/>
    <mergeCell ref="D407:E407"/>
    <mergeCell ref="H175:J175"/>
    <mergeCell ref="B181:C181"/>
    <mergeCell ref="D181:E181"/>
    <mergeCell ref="H181:J181"/>
    <mergeCell ref="B182:C182"/>
    <mergeCell ref="G360:J360"/>
    <mergeCell ref="B175:C175"/>
    <mergeCell ref="H171:J171"/>
    <mergeCell ref="B161:C161"/>
    <mergeCell ref="D161:E161"/>
    <mergeCell ref="H161:J161"/>
    <mergeCell ref="B167:C167"/>
    <mergeCell ref="D393:E393"/>
    <mergeCell ref="D170:E170"/>
    <mergeCell ref="D163:E163"/>
    <mergeCell ref="D167:E167"/>
    <mergeCell ref="A199:B199"/>
    <mergeCell ref="H169:J169"/>
    <mergeCell ref="D160:E160"/>
    <mergeCell ref="B162:C162"/>
    <mergeCell ref="D169:E169"/>
    <mergeCell ref="B188:C188"/>
    <mergeCell ref="D188:E188"/>
    <mergeCell ref="H188:J188"/>
    <mergeCell ref="B187:C187"/>
    <mergeCell ref="D187:E187"/>
    <mergeCell ref="H187:J187"/>
    <mergeCell ref="B216:F216"/>
    <mergeCell ref="B145:C145"/>
    <mergeCell ref="A520:J523"/>
    <mergeCell ref="A513:J513"/>
    <mergeCell ref="A514:J514"/>
    <mergeCell ref="A515:J515"/>
    <mergeCell ref="A516:J516"/>
    <mergeCell ref="A518:J518"/>
    <mergeCell ref="D367:E367"/>
    <mergeCell ref="I457:J457"/>
    <mergeCell ref="I367:J367"/>
    <mergeCell ref="A456:J456"/>
    <mergeCell ref="A485:J485"/>
    <mergeCell ref="B294:F294"/>
    <mergeCell ref="G294:H294"/>
    <mergeCell ref="I294:J294"/>
    <mergeCell ref="B295:F295"/>
    <mergeCell ref="G295:H295"/>
    <mergeCell ref="I329:J329"/>
    <mergeCell ref="G326:H326"/>
    <mergeCell ref="B318:F318"/>
    <mergeCell ref="G318:H318"/>
    <mergeCell ref="I318:J318"/>
    <mergeCell ref="B319:F319"/>
    <mergeCell ref="G300:H300"/>
    <mergeCell ref="I305:J305"/>
    <mergeCell ref="B304:F304"/>
    <mergeCell ref="G301:H301"/>
    <mergeCell ref="I301:J301"/>
    <mergeCell ref="G321:H321"/>
    <mergeCell ref="B305:F305"/>
    <mergeCell ref="G305:H305"/>
    <mergeCell ref="I300:J300"/>
    <mergeCell ref="B127:C127"/>
    <mergeCell ref="B210:F210"/>
    <mergeCell ref="G210:H210"/>
    <mergeCell ref="I210:J210"/>
    <mergeCell ref="A204:J204"/>
    <mergeCell ref="I207:J207"/>
    <mergeCell ref="G207:H207"/>
    <mergeCell ref="B207:F207"/>
    <mergeCell ref="B137:C137"/>
    <mergeCell ref="D137:E137"/>
    <mergeCell ref="H137:J137"/>
    <mergeCell ref="B138:C138"/>
    <mergeCell ref="D138:E138"/>
    <mergeCell ref="H138:J138"/>
    <mergeCell ref="B139:C139"/>
    <mergeCell ref="D139:E139"/>
    <mergeCell ref="H139:J139"/>
    <mergeCell ref="B141:C141"/>
    <mergeCell ref="B152:C152"/>
    <mergeCell ref="D152:E152"/>
    <mergeCell ref="H152:J152"/>
    <mergeCell ref="B153:C153"/>
    <mergeCell ref="D153:E153"/>
    <mergeCell ref="H153:J153"/>
    <mergeCell ref="B154:C154"/>
    <mergeCell ref="B149:C149"/>
    <mergeCell ref="D149:E149"/>
    <mergeCell ref="H149:J149"/>
    <mergeCell ref="B146:C146"/>
    <mergeCell ref="D146:E146"/>
    <mergeCell ref="D148:E148"/>
    <mergeCell ref="H143:J143"/>
    <mergeCell ref="D36:J36"/>
    <mergeCell ref="A36:C36"/>
    <mergeCell ref="B42:C42"/>
    <mergeCell ref="H44:J44"/>
    <mergeCell ref="B45:C45"/>
    <mergeCell ref="D45:E45"/>
    <mergeCell ref="H45:J45"/>
    <mergeCell ref="B46:C46"/>
    <mergeCell ref="D46:E46"/>
    <mergeCell ref="H46:J46"/>
    <mergeCell ref="B47:C47"/>
    <mergeCell ref="D47:E47"/>
    <mergeCell ref="H47:J47"/>
    <mergeCell ref="B48:C48"/>
    <mergeCell ref="D48:E48"/>
    <mergeCell ref="A39:J39"/>
    <mergeCell ref="B43:C43"/>
    <mergeCell ref="D43:E43"/>
    <mergeCell ref="H43:J43"/>
    <mergeCell ref="A38:J38"/>
    <mergeCell ref="D42:E42"/>
    <mergeCell ref="A517:J517"/>
    <mergeCell ref="A40:J40"/>
    <mergeCell ref="D202:E202"/>
    <mergeCell ref="A201:J201"/>
    <mergeCell ref="F202:H202"/>
    <mergeCell ref="C199:F199"/>
    <mergeCell ref="B151:C151"/>
    <mergeCell ref="D151:E151"/>
    <mergeCell ref="H151:J151"/>
    <mergeCell ref="D156:E156"/>
    <mergeCell ref="A200:C200"/>
    <mergeCell ref="D200:E200"/>
    <mergeCell ref="A33:J33"/>
    <mergeCell ref="A28:B28"/>
    <mergeCell ref="H196:J196"/>
    <mergeCell ref="D190:E190"/>
    <mergeCell ref="G28:H28"/>
    <mergeCell ref="C195:F195"/>
    <mergeCell ref="H191:J191"/>
    <mergeCell ref="H195:J195"/>
    <mergeCell ref="A41:J41"/>
    <mergeCell ref="B170:C170"/>
    <mergeCell ref="H160:J160"/>
    <mergeCell ref="A37:J37"/>
    <mergeCell ref="B142:C142"/>
    <mergeCell ref="H42:J42"/>
    <mergeCell ref="D150:E150"/>
    <mergeCell ref="D145:E145"/>
    <mergeCell ref="H145:J145"/>
    <mergeCell ref="H150:J150"/>
    <mergeCell ref="D154:E154"/>
    <mergeCell ref="H154:J154"/>
    <mergeCell ref="A1:J1"/>
    <mergeCell ref="I202:J202"/>
    <mergeCell ref="C13:J13"/>
    <mergeCell ref="C27:D27"/>
    <mergeCell ref="A29:J29"/>
    <mergeCell ref="I27:J27"/>
    <mergeCell ref="A24:E24"/>
    <mergeCell ref="A25:E25"/>
    <mergeCell ref="F24:J24"/>
    <mergeCell ref="A26:B26"/>
    <mergeCell ref="C26:D26"/>
    <mergeCell ref="E28:F28"/>
    <mergeCell ref="F25:J25"/>
    <mergeCell ref="I26:J26"/>
    <mergeCell ref="E26:F26"/>
    <mergeCell ref="G26:H26"/>
    <mergeCell ref="C17:E17"/>
    <mergeCell ref="F18:J19"/>
    <mergeCell ref="F17:G17"/>
    <mergeCell ref="A18:E19"/>
    <mergeCell ref="A17:B17"/>
    <mergeCell ref="A34:J35"/>
    <mergeCell ref="A22:E22"/>
    <mergeCell ref="H17:J17"/>
    <mergeCell ref="A23:E23"/>
    <mergeCell ref="F23:J23"/>
    <mergeCell ref="F22:J22"/>
    <mergeCell ref="B89:C89"/>
    <mergeCell ref="D89:E89"/>
    <mergeCell ref="D176:E176"/>
    <mergeCell ref="A20:E21"/>
    <mergeCell ref="E27:F27"/>
    <mergeCell ref="F20:J21"/>
    <mergeCell ref="A13:B13"/>
    <mergeCell ref="C28:D28"/>
    <mergeCell ref="A31:B31"/>
    <mergeCell ref="A30:J30"/>
    <mergeCell ref="I28:J28"/>
    <mergeCell ref="A2:J2"/>
    <mergeCell ref="A3:E3"/>
    <mergeCell ref="F3:J3"/>
    <mergeCell ref="A4:E4"/>
    <mergeCell ref="F4:J4"/>
    <mergeCell ref="A6:E6"/>
    <mergeCell ref="A5:E5"/>
    <mergeCell ref="F5:J5"/>
    <mergeCell ref="F6:J6"/>
    <mergeCell ref="A7:E7"/>
    <mergeCell ref="F7:J7"/>
    <mergeCell ref="A11:E11"/>
    <mergeCell ref="A9:E9"/>
    <mergeCell ref="F8:J8"/>
    <mergeCell ref="F11:J11"/>
    <mergeCell ref="F9:J9"/>
    <mergeCell ref="F12:J12"/>
    <mergeCell ref="A10:E10"/>
    <mergeCell ref="A8:E8"/>
    <mergeCell ref="A12:E12"/>
    <mergeCell ref="G27:H27"/>
    <mergeCell ref="A27:B27"/>
    <mergeCell ref="F10:J10"/>
    <mergeCell ref="D141:E141"/>
    <mergeCell ref="A193:E193"/>
    <mergeCell ref="F193:J193"/>
    <mergeCell ref="A194:J194"/>
    <mergeCell ref="B103:C103"/>
    <mergeCell ref="D103:E103"/>
    <mergeCell ref="H103:J103"/>
    <mergeCell ref="B104:C104"/>
    <mergeCell ref="B49:C49"/>
    <mergeCell ref="D49:E49"/>
    <mergeCell ref="H49:J49"/>
    <mergeCell ref="B50:C50"/>
    <mergeCell ref="D50:E50"/>
    <mergeCell ref="B166:C166"/>
    <mergeCell ref="D166:E166"/>
    <mergeCell ref="H156:J156"/>
    <mergeCell ref="H142:J142"/>
    <mergeCell ref="H146:J146"/>
    <mergeCell ref="D104:E104"/>
    <mergeCell ref="H104:J104"/>
    <mergeCell ref="B144:C144"/>
    <mergeCell ref="D144:E144"/>
    <mergeCell ref="H144:J144"/>
    <mergeCell ref="D55:E55"/>
    <mergeCell ref="H55:J55"/>
    <mergeCell ref="B56:C56"/>
    <mergeCell ref="D56:E56"/>
    <mergeCell ref="H56:J56"/>
    <mergeCell ref="B63:C63"/>
    <mergeCell ref="D63:E63"/>
    <mergeCell ref="H63:J63"/>
    <mergeCell ref="B147:C147"/>
    <mergeCell ref="H117:J117"/>
    <mergeCell ref="B118:C118"/>
    <mergeCell ref="D118:E118"/>
    <mergeCell ref="H118:J118"/>
    <mergeCell ref="B119:C119"/>
    <mergeCell ref="D119:E119"/>
    <mergeCell ref="B58:C58"/>
    <mergeCell ref="D58:E58"/>
    <mergeCell ref="H58:J58"/>
    <mergeCell ref="B44:C44"/>
    <mergeCell ref="D44:E44"/>
    <mergeCell ref="H48:J48"/>
    <mergeCell ref="H50:J50"/>
    <mergeCell ref="B57:C57"/>
    <mergeCell ref="D57:E57"/>
    <mergeCell ref="H57:J57"/>
    <mergeCell ref="B51:C51"/>
    <mergeCell ref="D51:E51"/>
    <mergeCell ref="H51:J51"/>
    <mergeCell ref="B55:C55"/>
    <mergeCell ref="B62:C62"/>
    <mergeCell ref="D61:E62"/>
    <mergeCell ref="F61:F62"/>
    <mergeCell ref="G61:G62"/>
    <mergeCell ref="H61:J62"/>
    <mergeCell ref="B65:C65"/>
    <mergeCell ref="D65:E65"/>
    <mergeCell ref="H65:J65"/>
    <mergeCell ref="B52:C52"/>
    <mergeCell ref="B80:C80"/>
    <mergeCell ref="H119:J119"/>
    <mergeCell ref="D52:E52"/>
    <mergeCell ref="D142:E142"/>
    <mergeCell ref="H141:J141"/>
    <mergeCell ref="H192:J192"/>
    <mergeCell ref="B59:C59"/>
    <mergeCell ref="D59:E59"/>
    <mergeCell ref="H59:J59"/>
    <mergeCell ref="B60:C60"/>
    <mergeCell ref="D60:E60"/>
    <mergeCell ref="H60:J60"/>
    <mergeCell ref="B64:C64"/>
    <mergeCell ref="D64:E64"/>
    <mergeCell ref="H64:J64"/>
    <mergeCell ref="B61:C61"/>
    <mergeCell ref="H109:J109"/>
    <mergeCell ref="B110:C110"/>
    <mergeCell ref="D110:E110"/>
    <mergeCell ref="H110:J110"/>
    <mergeCell ref="B120:C120"/>
    <mergeCell ref="D120:E120"/>
    <mergeCell ref="H120:J120"/>
    <mergeCell ref="B121:C121"/>
    <mergeCell ref="D121:E121"/>
    <mergeCell ref="H121:J121"/>
    <mergeCell ref="B122:C122"/>
    <mergeCell ref="D122:E122"/>
    <mergeCell ref="H122:J122"/>
    <mergeCell ref="B117:C117"/>
    <mergeCell ref="D117:E117"/>
    <mergeCell ref="H74:J74"/>
    <mergeCell ref="B68:C68"/>
    <mergeCell ref="D68:E68"/>
    <mergeCell ref="H68:J68"/>
    <mergeCell ref="B69:C69"/>
    <mergeCell ref="D69:E69"/>
    <mergeCell ref="H69:J69"/>
    <mergeCell ref="B70:C70"/>
    <mergeCell ref="D70:E70"/>
    <mergeCell ref="H70:J70"/>
    <mergeCell ref="B71:C71"/>
    <mergeCell ref="D71:E71"/>
    <mergeCell ref="H71:J71"/>
    <mergeCell ref="B78:C78"/>
    <mergeCell ref="D78:E78"/>
    <mergeCell ref="H78:J78"/>
    <mergeCell ref="B79:C79"/>
    <mergeCell ref="D79:E80"/>
    <mergeCell ref="F79:F80"/>
    <mergeCell ref="G79:G80"/>
    <mergeCell ref="H79:J80"/>
    <mergeCell ref="B75:C75"/>
    <mergeCell ref="D75:E75"/>
    <mergeCell ref="H75:J75"/>
    <mergeCell ref="B76:C76"/>
    <mergeCell ref="D76:E76"/>
    <mergeCell ref="H76:J76"/>
    <mergeCell ref="B77:C77"/>
    <mergeCell ref="D77:E77"/>
    <mergeCell ref="H77:J77"/>
    <mergeCell ref="B66:C66"/>
    <mergeCell ref="D66:E66"/>
    <mergeCell ref="H66:J66"/>
    <mergeCell ref="B67:C67"/>
    <mergeCell ref="D67:E67"/>
    <mergeCell ref="H67:J67"/>
    <mergeCell ref="B84:C84"/>
    <mergeCell ref="D84:E84"/>
    <mergeCell ref="H84:J84"/>
    <mergeCell ref="B85:C85"/>
    <mergeCell ref="D85:E85"/>
    <mergeCell ref="H85:J85"/>
    <mergeCell ref="B86:C86"/>
    <mergeCell ref="D86:E86"/>
    <mergeCell ref="H86:J86"/>
    <mergeCell ref="B81:C81"/>
    <mergeCell ref="B82:C82"/>
    <mergeCell ref="B83:C83"/>
    <mergeCell ref="D83:E83"/>
    <mergeCell ref="H83:J83"/>
    <mergeCell ref="D81:E82"/>
    <mergeCell ref="F81:F82"/>
    <mergeCell ref="G81:G82"/>
    <mergeCell ref="H81:J82"/>
    <mergeCell ref="B72:C72"/>
    <mergeCell ref="D72:E72"/>
    <mergeCell ref="H72:J72"/>
    <mergeCell ref="B73:C73"/>
    <mergeCell ref="D73:E73"/>
    <mergeCell ref="H73:J73"/>
    <mergeCell ref="B74:C74"/>
    <mergeCell ref="D74:E74"/>
    <mergeCell ref="B91:C91"/>
    <mergeCell ref="D91:E91"/>
    <mergeCell ref="H91:J91"/>
    <mergeCell ref="B92:C92"/>
    <mergeCell ref="D92:E92"/>
    <mergeCell ref="H92:J92"/>
    <mergeCell ref="B93:C93"/>
    <mergeCell ref="D93:E93"/>
    <mergeCell ref="H93:J93"/>
    <mergeCell ref="B87:C87"/>
    <mergeCell ref="D87:E87"/>
    <mergeCell ref="H87:J87"/>
    <mergeCell ref="B88:C88"/>
    <mergeCell ref="D88:E88"/>
    <mergeCell ref="H88:J88"/>
    <mergeCell ref="B90:C90"/>
    <mergeCell ref="D90:E90"/>
    <mergeCell ref="H90:J90"/>
    <mergeCell ref="H89:J89"/>
    <mergeCell ref="B101:C101"/>
    <mergeCell ref="D101:E101"/>
    <mergeCell ref="H101:J101"/>
    <mergeCell ref="B102:C102"/>
    <mergeCell ref="D102:E102"/>
    <mergeCell ref="H102:J102"/>
    <mergeCell ref="B97:C97"/>
    <mergeCell ref="D97:E97"/>
    <mergeCell ref="H97:J97"/>
    <mergeCell ref="B98:C98"/>
    <mergeCell ref="D98:E98"/>
    <mergeCell ref="H98:J98"/>
    <mergeCell ref="B99:C99"/>
    <mergeCell ref="D99:E99"/>
    <mergeCell ref="H99:J99"/>
    <mergeCell ref="B94:C94"/>
    <mergeCell ref="D94:E94"/>
    <mergeCell ref="H94:J94"/>
    <mergeCell ref="B95:C95"/>
    <mergeCell ref="D95:E95"/>
    <mergeCell ref="H95:J95"/>
    <mergeCell ref="B96:C96"/>
    <mergeCell ref="D96:E96"/>
    <mergeCell ref="H96:J96"/>
    <mergeCell ref="B100:C100"/>
    <mergeCell ref="D100:E100"/>
    <mergeCell ref="H100:J100"/>
    <mergeCell ref="B105:C105"/>
    <mergeCell ref="D105:E105"/>
    <mergeCell ref="H105:J105"/>
    <mergeCell ref="B106:C106"/>
    <mergeCell ref="D106:E106"/>
    <mergeCell ref="H106:J106"/>
    <mergeCell ref="B107:C107"/>
    <mergeCell ref="D107:E107"/>
    <mergeCell ref="H107:J107"/>
    <mergeCell ref="B114:C114"/>
    <mergeCell ref="D114:E114"/>
    <mergeCell ref="H114:J114"/>
    <mergeCell ref="B115:C115"/>
    <mergeCell ref="D115:E115"/>
    <mergeCell ref="H115:J115"/>
    <mergeCell ref="B116:C116"/>
    <mergeCell ref="D116:E116"/>
    <mergeCell ref="H116:J116"/>
    <mergeCell ref="B111:C111"/>
    <mergeCell ref="D111:E111"/>
    <mergeCell ref="H111:J111"/>
    <mergeCell ref="B112:C112"/>
    <mergeCell ref="D112:E112"/>
    <mergeCell ref="H112:J112"/>
    <mergeCell ref="B113:C113"/>
    <mergeCell ref="D113:E113"/>
    <mergeCell ref="H113:J113"/>
    <mergeCell ref="B108:C108"/>
    <mergeCell ref="D108:E108"/>
    <mergeCell ref="H108:J108"/>
    <mergeCell ref="B109:C109"/>
    <mergeCell ref="D109:E109"/>
    <mergeCell ref="D125:E125"/>
    <mergeCell ref="H125:J125"/>
    <mergeCell ref="B136:C136"/>
    <mergeCell ref="D136:E136"/>
    <mergeCell ref="H136:J136"/>
    <mergeCell ref="B131:C131"/>
    <mergeCell ref="D131:E131"/>
    <mergeCell ref="H131:J131"/>
    <mergeCell ref="B132:C132"/>
    <mergeCell ref="D132:E132"/>
    <mergeCell ref="H132:J132"/>
    <mergeCell ref="B133:C133"/>
    <mergeCell ref="D133:E133"/>
    <mergeCell ref="H133:J133"/>
    <mergeCell ref="B134:C134"/>
    <mergeCell ref="D134:E134"/>
    <mergeCell ref="H134:J134"/>
    <mergeCell ref="B135:C135"/>
    <mergeCell ref="D135:E135"/>
    <mergeCell ref="H135:J135"/>
    <mergeCell ref="H128:J128"/>
    <mergeCell ref="B129:C129"/>
    <mergeCell ref="D129:E129"/>
    <mergeCell ref="H129:J129"/>
    <mergeCell ref="B130:C130"/>
    <mergeCell ref="D127:E127"/>
    <mergeCell ref="H127:J127"/>
    <mergeCell ref="B128:C128"/>
    <mergeCell ref="D128:E128"/>
    <mergeCell ref="B126:C126"/>
    <mergeCell ref="D126:E126"/>
    <mergeCell ref="H126:J126"/>
    <mergeCell ref="B209:F209"/>
    <mergeCell ref="B232:F232"/>
    <mergeCell ref="G232:H232"/>
    <mergeCell ref="I232:J232"/>
    <mergeCell ref="G217:H217"/>
    <mergeCell ref="I229:J229"/>
    <mergeCell ref="B230:F230"/>
    <mergeCell ref="G230:H230"/>
    <mergeCell ref="B228:F228"/>
    <mergeCell ref="B211:F211"/>
    <mergeCell ref="G211:H211"/>
    <mergeCell ref="I211:J211"/>
    <mergeCell ref="B212:F212"/>
    <mergeCell ref="G212:H212"/>
    <mergeCell ref="I212:J212"/>
    <mergeCell ref="B213:F213"/>
    <mergeCell ref="G213:H213"/>
    <mergeCell ref="I213:J213"/>
    <mergeCell ref="D189:E189"/>
    <mergeCell ref="G216:H216"/>
    <mergeCell ref="I206:J206"/>
    <mergeCell ref="B252:F252"/>
    <mergeCell ref="B219:F219"/>
    <mergeCell ref="G219:H219"/>
    <mergeCell ref="I219:J219"/>
    <mergeCell ref="B220:F220"/>
    <mergeCell ref="I222:J222"/>
    <mergeCell ref="B223:F223"/>
    <mergeCell ref="I282:J282"/>
    <mergeCell ref="I281:J281"/>
    <mergeCell ref="B280:F280"/>
    <mergeCell ref="G280:H280"/>
    <mergeCell ref="I280:J280"/>
    <mergeCell ref="B281:F281"/>
    <mergeCell ref="G281:H281"/>
    <mergeCell ref="B224:F224"/>
    <mergeCell ref="I230:J230"/>
    <mergeCell ref="B231:F231"/>
    <mergeCell ref="G231:H231"/>
    <mergeCell ref="I231:J231"/>
    <mergeCell ref="B253:F253"/>
    <mergeCell ref="G253:H253"/>
    <mergeCell ref="I253:J253"/>
    <mergeCell ref="B254:F254"/>
    <mergeCell ref="G224:H224"/>
    <mergeCell ref="I224:J224"/>
    <mergeCell ref="B236:F236"/>
    <mergeCell ref="G236:H236"/>
    <mergeCell ref="I236:J236"/>
    <mergeCell ref="B237:F237"/>
    <mergeCell ref="B283:F283"/>
    <mergeCell ref="G283:H283"/>
    <mergeCell ref="I283:J283"/>
    <mergeCell ref="B288:F288"/>
    <mergeCell ref="G288:H288"/>
    <mergeCell ref="I288:J288"/>
    <mergeCell ref="I234:J234"/>
    <mergeCell ref="B235:F235"/>
    <mergeCell ref="G235:H235"/>
    <mergeCell ref="I235:J235"/>
    <mergeCell ref="I242:J242"/>
    <mergeCell ref="G254:H254"/>
    <mergeCell ref="I254:J254"/>
    <mergeCell ref="B243:F243"/>
    <mergeCell ref="G243:H243"/>
    <mergeCell ref="I243:J243"/>
    <mergeCell ref="B244:F244"/>
    <mergeCell ref="G244:H244"/>
    <mergeCell ref="I244:J244"/>
    <mergeCell ref="B245:F245"/>
    <mergeCell ref="G277:H277"/>
    <mergeCell ref="I277:J277"/>
    <mergeCell ref="B278:F278"/>
    <mergeCell ref="G278:H278"/>
    <mergeCell ref="I278:J278"/>
    <mergeCell ref="B279:F279"/>
    <mergeCell ref="G279:H279"/>
    <mergeCell ref="I279:J279"/>
    <mergeCell ref="B282:F282"/>
    <mergeCell ref="G282:H282"/>
    <mergeCell ref="G237:H237"/>
    <mergeCell ref="I237:J237"/>
    <mergeCell ref="B238:F238"/>
    <mergeCell ref="B214:F214"/>
    <mergeCell ref="G214:H214"/>
    <mergeCell ref="I214:J214"/>
    <mergeCell ref="G223:H223"/>
    <mergeCell ref="G228:H228"/>
    <mergeCell ref="I228:J228"/>
    <mergeCell ref="B229:F229"/>
    <mergeCell ref="G229:H229"/>
    <mergeCell ref="B217:F217"/>
    <mergeCell ref="B218:F218"/>
    <mergeCell ref="G218:H218"/>
    <mergeCell ref="I218:J218"/>
    <mergeCell ref="B215:F215"/>
    <mergeCell ref="G215:H215"/>
    <mergeCell ref="I215:J215"/>
    <mergeCell ref="B221:F221"/>
    <mergeCell ref="G221:H221"/>
    <mergeCell ref="I221:J221"/>
    <mergeCell ref="B225:F225"/>
    <mergeCell ref="G225:H225"/>
    <mergeCell ref="B226:F226"/>
    <mergeCell ref="G226:H226"/>
    <mergeCell ref="I226:J226"/>
    <mergeCell ref="I225:J225"/>
    <mergeCell ref="B227:F227"/>
    <mergeCell ref="G227:H227"/>
    <mergeCell ref="I227:J227"/>
    <mergeCell ref="B222:F222"/>
    <mergeCell ref="G222:H222"/>
    <mergeCell ref="I223:J223"/>
    <mergeCell ref="I275:J275"/>
    <mergeCell ref="B276:F276"/>
    <mergeCell ref="G276:H276"/>
    <mergeCell ref="I276:J276"/>
    <mergeCell ref="B298:F298"/>
    <mergeCell ref="I296:J296"/>
    <mergeCell ref="B297:F297"/>
    <mergeCell ref="G298:H298"/>
    <mergeCell ref="I298:J298"/>
    <mergeCell ref="I289:J289"/>
    <mergeCell ref="I290:J290"/>
    <mergeCell ref="B291:F291"/>
    <mergeCell ref="G275:H275"/>
    <mergeCell ref="G238:H238"/>
    <mergeCell ref="I238:J238"/>
    <mergeCell ref="B239:F239"/>
    <mergeCell ref="G239:H239"/>
    <mergeCell ref="B240:F240"/>
    <mergeCell ref="G240:H240"/>
    <mergeCell ref="I240:J240"/>
    <mergeCell ref="B241:F241"/>
    <mergeCell ref="G241:H241"/>
    <mergeCell ref="I241:J241"/>
    <mergeCell ref="I239:J239"/>
    <mergeCell ref="G249:H249"/>
    <mergeCell ref="I249:J249"/>
    <mergeCell ref="B251:F251"/>
    <mergeCell ref="B257:F257"/>
    <mergeCell ref="G257:H257"/>
    <mergeCell ref="I257:J257"/>
    <mergeCell ref="B258:F258"/>
    <mergeCell ref="B242:F242"/>
    <mergeCell ref="G242:H242"/>
    <mergeCell ref="B289:F289"/>
    <mergeCell ref="G289:H289"/>
    <mergeCell ref="B277:F277"/>
    <mergeCell ref="G245:H245"/>
    <mergeCell ref="I245:J245"/>
    <mergeCell ref="B246:F246"/>
    <mergeCell ref="G246:H246"/>
    <mergeCell ref="I246:J246"/>
    <mergeCell ref="B247:F247"/>
    <mergeCell ref="G247:H247"/>
    <mergeCell ref="I247:J247"/>
    <mergeCell ref="B248:F248"/>
    <mergeCell ref="G248:H248"/>
    <mergeCell ref="I248:J248"/>
    <mergeCell ref="B250:F250"/>
    <mergeCell ref="G250:H250"/>
    <mergeCell ref="I250:J250"/>
    <mergeCell ref="G252:H252"/>
    <mergeCell ref="I252:J252"/>
    <mergeCell ref="B262:F262"/>
    <mergeCell ref="G262:H262"/>
    <mergeCell ref="I262:J262"/>
    <mergeCell ref="B264:F264"/>
    <mergeCell ref="G264:H264"/>
    <mergeCell ref="I264:J264"/>
    <mergeCell ref="B263:F263"/>
    <mergeCell ref="G263:H263"/>
    <mergeCell ref="I263:J263"/>
    <mergeCell ref="B265:F265"/>
    <mergeCell ref="B249:F249"/>
    <mergeCell ref="I266:J266"/>
    <mergeCell ref="B267:F267"/>
    <mergeCell ref="G265:H265"/>
    <mergeCell ref="I265:J265"/>
    <mergeCell ref="G258:H258"/>
    <mergeCell ref="I258:J258"/>
    <mergeCell ref="B259:F259"/>
    <mergeCell ref="G259:H259"/>
    <mergeCell ref="I259:J259"/>
    <mergeCell ref="B260:F260"/>
    <mergeCell ref="G260:H260"/>
    <mergeCell ref="I260:J260"/>
    <mergeCell ref="B261:F261"/>
    <mergeCell ref="G261:H261"/>
    <mergeCell ref="I261:J261"/>
    <mergeCell ref="B255:F255"/>
    <mergeCell ref="G255:H255"/>
    <mergeCell ref="I255:J255"/>
    <mergeCell ref="B256:F256"/>
    <mergeCell ref="G256:H256"/>
    <mergeCell ref="I256:J256"/>
    <mergeCell ref="B266:F266"/>
    <mergeCell ref="G266:H266"/>
    <mergeCell ref="B335:F335"/>
    <mergeCell ref="G335:H335"/>
    <mergeCell ref="I335:J335"/>
    <mergeCell ref="B336:F336"/>
    <mergeCell ref="G336:H336"/>
    <mergeCell ref="I336:J336"/>
    <mergeCell ref="I326:J326"/>
    <mergeCell ref="B327:F327"/>
    <mergeCell ref="G327:H327"/>
    <mergeCell ref="I327:J327"/>
    <mergeCell ref="B317:F317"/>
    <mergeCell ref="G317:H317"/>
    <mergeCell ref="I317:J317"/>
    <mergeCell ref="G267:H267"/>
    <mergeCell ref="B269:F269"/>
    <mergeCell ref="G269:H269"/>
    <mergeCell ref="B332:F332"/>
    <mergeCell ref="G332:H332"/>
    <mergeCell ref="I332:J332"/>
    <mergeCell ref="I269:J269"/>
    <mergeCell ref="B333:F333"/>
    <mergeCell ref="I267:J267"/>
    <mergeCell ref="B268:F268"/>
    <mergeCell ref="I293:J293"/>
    <mergeCell ref="I273:J273"/>
    <mergeCell ref="B274:F274"/>
    <mergeCell ref="B301:F301"/>
    <mergeCell ref="G299:H299"/>
    <mergeCell ref="I299:J299"/>
    <mergeCell ref="B299:F299"/>
    <mergeCell ref="G297:H297"/>
    <mergeCell ref="I297:J297"/>
    <mergeCell ref="B300:F300"/>
    <mergeCell ref="G268:H268"/>
    <mergeCell ref="I268:J268"/>
    <mergeCell ref="G307:H307"/>
    <mergeCell ref="B302:F302"/>
    <mergeCell ref="G302:H302"/>
    <mergeCell ref="I302:J302"/>
    <mergeCell ref="B303:F303"/>
    <mergeCell ref="G303:H303"/>
    <mergeCell ref="I303:J303"/>
    <mergeCell ref="B292:F292"/>
    <mergeCell ref="G292:H292"/>
    <mergeCell ref="B286:F286"/>
    <mergeCell ref="G286:H286"/>
    <mergeCell ref="I286:J286"/>
    <mergeCell ref="B287:F287"/>
    <mergeCell ref="G287:H287"/>
    <mergeCell ref="I287:J287"/>
    <mergeCell ref="B296:F296"/>
    <mergeCell ref="G296:H296"/>
    <mergeCell ref="G274:H274"/>
    <mergeCell ref="G304:H304"/>
    <mergeCell ref="I304:J304"/>
    <mergeCell ref="B275:F275"/>
    <mergeCell ref="B290:F290"/>
    <mergeCell ref="G290:H290"/>
    <mergeCell ref="I291:J291"/>
    <mergeCell ref="G291:H291"/>
    <mergeCell ref="I295:J295"/>
    <mergeCell ref="B270:F270"/>
    <mergeCell ref="G270:H270"/>
    <mergeCell ref="I270:J270"/>
    <mergeCell ref="I310:J310"/>
    <mergeCell ref="I292:J292"/>
    <mergeCell ref="B293:F293"/>
    <mergeCell ref="G293:H293"/>
    <mergeCell ref="B320:F320"/>
    <mergeCell ref="G320:H320"/>
    <mergeCell ref="I320:J320"/>
    <mergeCell ref="B321:F321"/>
    <mergeCell ref="B308:F308"/>
    <mergeCell ref="G308:H308"/>
    <mergeCell ref="I308:J308"/>
    <mergeCell ref="B309:F309"/>
    <mergeCell ref="G309:H309"/>
    <mergeCell ref="I309:J309"/>
    <mergeCell ref="I338:J338"/>
    <mergeCell ref="I307:J307"/>
    <mergeCell ref="I274:J274"/>
    <mergeCell ref="I334:J334"/>
    <mergeCell ref="B329:F329"/>
    <mergeCell ref="B331:F331"/>
    <mergeCell ref="G331:H331"/>
    <mergeCell ref="I331:J331"/>
    <mergeCell ref="B323:F323"/>
    <mergeCell ref="G323:H323"/>
    <mergeCell ref="I323:J323"/>
    <mergeCell ref="I328:J328"/>
    <mergeCell ref="I311:J311"/>
    <mergeCell ref="B310:F310"/>
    <mergeCell ref="G310:H310"/>
    <mergeCell ref="B324:F324"/>
    <mergeCell ref="G324:H324"/>
    <mergeCell ref="I324:J324"/>
    <mergeCell ref="B311:F311"/>
    <mergeCell ref="G311:H311"/>
    <mergeCell ref="B328:F328"/>
    <mergeCell ref="G328:H328"/>
    <mergeCell ref="B312:F312"/>
    <mergeCell ref="G312:H312"/>
    <mergeCell ref="I312:J312"/>
    <mergeCell ref="G333:H333"/>
    <mergeCell ref="I333:J333"/>
    <mergeCell ref="B334:F334"/>
    <mergeCell ref="G334:H334"/>
    <mergeCell ref="G338:H338"/>
    <mergeCell ref="I337:J337"/>
    <mergeCell ref="B338:F338"/>
    <mergeCell ref="B315:F315"/>
    <mergeCell ref="G319:H319"/>
    <mergeCell ref="I319:J319"/>
    <mergeCell ref="I321:J321"/>
    <mergeCell ref="B322:F322"/>
    <mergeCell ref="G322:H322"/>
    <mergeCell ref="I322:J322"/>
    <mergeCell ref="B337:F337"/>
    <mergeCell ref="G337:H337"/>
    <mergeCell ref="G313:H313"/>
    <mergeCell ref="I313:J313"/>
    <mergeCell ref="B314:F314"/>
    <mergeCell ref="G314:H314"/>
    <mergeCell ref="I314:J314"/>
    <mergeCell ref="B325:F325"/>
    <mergeCell ref="G325:H325"/>
    <mergeCell ref="I325:J325"/>
    <mergeCell ref="B326:F326"/>
    <mergeCell ref="G329:H329"/>
    <mergeCell ref="B330:F330"/>
    <mergeCell ref="G330:H330"/>
    <mergeCell ref="I330:J330"/>
    <mergeCell ref="A382:J382"/>
    <mergeCell ref="G361:J361"/>
    <mergeCell ref="D371:E371"/>
    <mergeCell ref="D379:E379"/>
    <mergeCell ref="I379:J379"/>
    <mergeCell ref="A360:F360"/>
    <mergeCell ref="G351:H351"/>
    <mergeCell ref="B352:F352"/>
    <mergeCell ref="G352:H352"/>
    <mergeCell ref="I352:J352"/>
    <mergeCell ref="G347:H347"/>
    <mergeCell ref="I353:J353"/>
    <mergeCell ref="D383:E383"/>
    <mergeCell ref="B346:F346"/>
    <mergeCell ref="G346:H346"/>
    <mergeCell ref="A372:J372"/>
    <mergeCell ref="D373:E373"/>
    <mergeCell ref="I373:J373"/>
    <mergeCell ref="B348:F348"/>
    <mergeCell ref="G348:H348"/>
    <mergeCell ref="I348:J348"/>
    <mergeCell ref="B340:F340"/>
    <mergeCell ref="G340:H340"/>
    <mergeCell ref="I340:J340"/>
    <mergeCell ref="B339:F339"/>
    <mergeCell ref="G339:H339"/>
    <mergeCell ref="I339:J339"/>
    <mergeCell ref="G343:H343"/>
    <mergeCell ref="A418:J418"/>
    <mergeCell ref="D419:E419"/>
    <mergeCell ref="A410:J410"/>
    <mergeCell ref="A402:J402"/>
    <mergeCell ref="D403:E403"/>
    <mergeCell ref="I413:J413"/>
    <mergeCell ref="D417:E417"/>
    <mergeCell ref="F497:J497"/>
    <mergeCell ref="A489:E489"/>
    <mergeCell ref="F489:J489"/>
    <mergeCell ref="A490:E490"/>
    <mergeCell ref="F490:J490"/>
    <mergeCell ref="A454:J454"/>
    <mergeCell ref="G341:H341"/>
    <mergeCell ref="I341:J341"/>
    <mergeCell ref="B342:F342"/>
    <mergeCell ref="G342:H342"/>
    <mergeCell ref="I342:J342"/>
    <mergeCell ref="A357:J358"/>
    <mergeCell ref="A368:J368"/>
    <mergeCell ref="D369:E369"/>
    <mergeCell ref="B354:F354"/>
    <mergeCell ref="G354:H354"/>
    <mergeCell ref="I354:J354"/>
    <mergeCell ref="B343:F343"/>
    <mergeCell ref="I391:J391"/>
    <mergeCell ref="A466:J466"/>
    <mergeCell ref="A480:J480"/>
    <mergeCell ref="A481:E481"/>
    <mergeCell ref="A374:J374"/>
    <mergeCell ref="D375:E375"/>
    <mergeCell ref="B341:F341"/>
    <mergeCell ref="I343:J343"/>
    <mergeCell ref="B344:F344"/>
    <mergeCell ref="G344:H344"/>
    <mergeCell ref="I344:J344"/>
    <mergeCell ref="B345:F345"/>
    <mergeCell ref="G345:H345"/>
    <mergeCell ref="I345:J345"/>
    <mergeCell ref="B353:F353"/>
    <mergeCell ref="I347:J347"/>
    <mergeCell ref="B349:F349"/>
    <mergeCell ref="I351:J351"/>
    <mergeCell ref="A355:J355"/>
    <mergeCell ref="B350:F350"/>
    <mergeCell ref="G350:H350"/>
    <mergeCell ref="I350:J350"/>
    <mergeCell ref="B351:F351"/>
    <mergeCell ref="I346:J346"/>
    <mergeCell ref="B347:F347"/>
    <mergeCell ref="G349:H349"/>
    <mergeCell ref="I349:J349"/>
    <mergeCell ref="G353:H353"/>
    <mergeCell ref="A356:J356"/>
    <mergeCell ref="I375:J375"/>
    <mergeCell ref="A464:J464"/>
    <mergeCell ref="A497:E497"/>
    <mergeCell ref="A511:E511"/>
    <mergeCell ref="F511:J511"/>
    <mergeCell ref="A569:C569"/>
    <mergeCell ref="E569:F569"/>
    <mergeCell ref="A618:C618"/>
    <mergeCell ref="E618:F618"/>
    <mergeCell ref="A474:J474"/>
    <mergeCell ref="D475:E475"/>
    <mergeCell ref="I475:J475"/>
    <mergeCell ref="A510:E510"/>
    <mergeCell ref="F510:J510"/>
    <mergeCell ref="D439:E439"/>
    <mergeCell ref="I439:J439"/>
    <mergeCell ref="D411:E411"/>
    <mergeCell ref="D377:E377"/>
    <mergeCell ref="I403:J403"/>
    <mergeCell ref="A359:J359"/>
    <mergeCell ref="A462:J462"/>
    <mergeCell ref="A502:E502"/>
    <mergeCell ref="F502:J502"/>
    <mergeCell ref="A491:E491"/>
    <mergeCell ref="F491:J491"/>
    <mergeCell ref="A492:E492"/>
    <mergeCell ref="F492:J492"/>
    <mergeCell ref="A493:E493"/>
    <mergeCell ref="A505:E505"/>
    <mergeCell ref="F505:J505"/>
    <mergeCell ref="A503:E503"/>
    <mergeCell ref="F503:J503"/>
    <mergeCell ref="A501:E501"/>
    <mergeCell ref="F501:J501"/>
    <mergeCell ref="A460:J460"/>
    <mergeCell ref="D461:E461"/>
    <mergeCell ref="I461:J461"/>
    <mergeCell ref="A420:J420"/>
    <mergeCell ref="D421:E421"/>
    <mergeCell ref="I421:J421"/>
    <mergeCell ref="A422:J422"/>
    <mergeCell ref="D423:E423"/>
    <mergeCell ref="I423:J423"/>
    <mergeCell ref="D455:E455"/>
    <mergeCell ref="A452:J452"/>
    <mergeCell ref="D453:E453"/>
    <mergeCell ref="I453:J453"/>
    <mergeCell ref="I449:J449"/>
    <mergeCell ref="F493:J493"/>
    <mergeCell ref="A494:E494"/>
    <mergeCell ref="F494:J494"/>
    <mergeCell ref="A495:E495"/>
    <mergeCell ref="F495:J495"/>
    <mergeCell ref="F481:J481"/>
    <mergeCell ref="A482:E482"/>
    <mergeCell ref="F486:J486"/>
    <mergeCell ref="A487:E487"/>
    <mergeCell ref="D467:E467"/>
    <mergeCell ref="D435:E435"/>
    <mergeCell ref="D433:E433"/>
    <mergeCell ref="A483:E483"/>
    <mergeCell ref="F483:J483"/>
    <mergeCell ref="I433:J433"/>
    <mergeCell ref="D205:F205"/>
    <mergeCell ref="A205:C205"/>
    <mergeCell ref="D206:F206"/>
    <mergeCell ref="A206:C206"/>
    <mergeCell ref="F14:G14"/>
    <mergeCell ref="F15:G15"/>
    <mergeCell ref="F16:G16"/>
    <mergeCell ref="H14:J14"/>
    <mergeCell ref="H15:J15"/>
    <mergeCell ref="H16:J16"/>
    <mergeCell ref="C14:E14"/>
    <mergeCell ref="C15:E15"/>
    <mergeCell ref="C16:E16"/>
    <mergeCell ref="A14:B14"/>
    <mergeCell ref="A15:B15"/>
    <mergeCell ref="A16:B16"/>
    <mergeCell ref="H197:J197"/>
    <mergeCell ref="C197:F197"/>
    <mergeCell ref="A197:B197"/>
    <mergeCell ref="A203:B203"/>
    <mergeCell ref="C196:F196"/>
    <mergeCell ref="B191:C191"/>
    <mergeCell ref="A195:B195"/>
    <mergeCell ref="C198:F198"/>
    <mergeCell ref="D192:E192"/>
    <mergeCell ref="B123:C123"/>
    <mergeCell ref="D123:E123"/>
    <mergeCell ref="H123:J123"/>
    <mergeCell ref="B124:C124"/>
    <mergeCell ref="D124:E124"/>
    <mergeCell ref="H124:J124"/>
    <mergeCell ref="B125:C125"/>
  </mergeCells>
  <phoneticPr fontId="0" type="noConversion"/>
  <hyperlinks>
    <hyperlink ref="C32" r:id="rId1"/>
  </hyperlinks>
  <printOptions horizontalCentered="1"/>
  <pageMargins left="0.31496062992125984" right="0.31496062992125984" top="0.78740157480314965" bottom="0.78740157480314965" header="0.19685039370078741" footer="0.19685039370078741"/>
  <pageSetup paperSize="2" scale="93" fitToHeight="0" orientation="portrait" r:id="rId2"/>
  <headerFooter>
    <oddHeader>&amp;C&amp;G</oddHeader>
    <oddFooter>&amp;L&amp;"Times New Roman,Bold"Ref No: &amp;F&amp;C&amp;G&amp;R&amp;P</oddFooter>
  </headerFooter>
  <rowBreaks count="6" manualBreakCount="6">
    <brk id="193" max="16383" man="1"/>
    <brk id="206" max="16383" man="1"/>
    <brk id="523" max="9" man="1"/>
    <brk id="568" max="16383" man="1"/>
    <brk id="617" max="16383" man="1"/>
    <brk id="666" max="16383" man="1"/>
  </rowBreaks>
  <drawing r:id="rId3"/>
  <legacyDrawingHF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filterMode="1"/>
  <dimension ref="A1:XFC148"/>
  <sheetViews>
    <sheetView zoomScale="85" zoomScaleNormal="85" workbookViewId="0">
      <pane ySplit="1" topLeftCell="A86" activePane="bottomLeft" state="frozen"/>
      <selection pane="bottomLeft" activeCell="M122" sqref="M122"/>
    </sheetView>
  </sheetViews>
  <sheetFormatPr defaultColWidth="9.1796875" defaultRowHeight="14" x14ac:dyDescent="0.3"/>
  <cols>
    <col min="1" max="1" width="6.81640625" style="18" bestFit="1" customWidth="1"/>
    <col min="2" max="2" width="8.7265625" style="18" hidden="1" customWidth="1"/>
    <col min="3" max="3" width="0" style="18" hidden="1" customWidth="1"/>
    <col min="4" max="4" width="7.1796875" style="18" bestFit="1" customWidth="1"/>
    <col min="5" max="5" width="5.26953125" style="18" bestFit="1" customWidth="1"/>
    <col min="6" max="6" width="10.1796875" style="18" customWidth="1"/>
    <col min="7" max="7" width="5.7265625" style="18" customWidth="1"/>
    <col min="8" max="8" width="5.26953125" style="18" customWidth="1"/>
    <col min="9" max="9" width="5.54296875" style="18" customWidth="1"/>
    <col min="10" max="10" width="7.453125" style="18" customWidth="1"/>
    <col min="11" max="11" width="6.81640625" style="18" customWidth="1"/>
    <col min="12" max="12" width="7.7265625" style="18" customWidth="1"/>
    <col min="13" max="13" width="7.7265625" style="20" customWidth="1"/>
    <col min="14" max="14" width="8.26953125" style="20" customWidth="1"/>
    <col min="15" max="15" width="10.1796875" style="20" customWidth="1"/>
    <col min="16" max="16" width="12" style="20" customWidth="1"/>
    <col min="17" max="17" width="15.1796875" style="20" bestFit="1" customWidth="1"/>
    <col min="18" max="18" width="12.7265625" style="20" customWidth="1"/>
    <col min="19" max="16384" width="9.1796875" style="20"/>
  </cols>
  <sheetData>
    <row r="1" spans="1:18" s="28" customFormat="1" ht="28" x14ac:dyDescent="0.35">
      <c r="A1" s="26" t="s">
        <v>199</v>
      </c>
      <c r="B1" s="26" t="s">
        <v>233</v>
      </c>
      <c r="C1" s="26" t="s">
        <v>234</v>
      </c>
      <c r="D1" s="260" t="s">
        <v>86</v>
      </c>
      <c r="E1" s="261"/>
      <c r="F1" s="33" t="s">
        <v>160</v>
      </c>
      <c r="G1" s="33" t="s">
        <v>25</v>
      </c>
      <c r="H1" s="33" t="s">
        <v>26</v>
      </c>
      <c r="I1" s="33" t="s">
        <v>235</v>
      </c>
      <c r="J1" s="33" t="s">
        <v>161</v>
      </c>
      <c r="K1" s="33" t="s">
        <v>236</v>
      </c>
      <c r="L1" s="33" t="s">
        <v>29</v>
      </c>
      <c r="M1" s="33" t="s">
        <v>237</v>
      </c>
      <c r="N1" s="33" t="s">
        <v>30</v>
      </c>
      <c r="O1" s="33" t="s">
        <v>162</v>
      </c>
      <c r="P1" s="33" t="s">
        <v>158</v>
      </c>
      <c r="Q1" s="33" t="s">
        <v>159</v>
      </c>
      <c r="R1" s="33" t="s">
        <v>157</v>
      </c>
    </row>
    <row r="2" spans="1:18" s="73" customFormat="1" ht="15.5" x14ac:dyDescent="0.35">
      <c r="A2" s="71">
        <v>1</v>
      </c>
      <c r="B2" s="24">
        <v>191.93608324043109</v>
      </c>
      <c r="C2" s="23">
        <f>B2*10.764</f>
        <v>2066</v>
      </c>
      <c r="D2" s="71" t="s">
        <v>238</v>
      </c>
      <c r="E2" s="86">
        <v>1</v>
      </c>
      <c r="F2" s="87">
        <v>1</v>
      </c>
      <c r="G2" s="87">
        <v>1</v>
      </c>
      <c r="H2" s="88">
        <v>2</v>
      </c>
      <c r="I2" s="87">
        <v>1</v>
      </c>
      <c r="J2" s="87">
        <v>1</v>
      </c>
      <c r="K2" s="87">
        <v>1</v>
      </c>
      <c r="L2" s="87">
        <v>1</v>
      </c>
      <c r="M2" s="87">
        <v>1</v>
      </c>
      <c r="N2" s="87">
        <v>1</v>
      </c>
      <c r="O2" s="87">
        <v>1</v>
      </c>
      <c r="P2" s="69">
        <f>(((G2/E2*10)+(40/(1+E2)*H2)+(7.5/(E2)*I2)+(7.5/(E2)*J2)+(10/E2*K2)+(10/E2*L2)+(5/E2*M2)+(5/E2*N2)+(5/E2*O2))/100)</f>
        <v>1</v>
      </c>
      <c r="Q2" s="69">
        <f>((((F2/E2)*20)+((G2/E2)*25)+(30/(E2+1)*H2)+(5/E2*I2)+(5/E2*J2)+(5/E2*K2)+(5/E2*L2)+(0/E2*M2)+(0/E2*N2)+(5/E2*O2))/100)</f>
        <v>1</v>
      </c>
      <c r="R2" s="72" t="str">
        <f>(IF(P2&gt;99%,"All work completed. Please provide OC.",IF(P2&gt;89.8%,"Plinth, RCC, Brick, Plaster, Flooring, Painting work Completed. Finishing work is in process.",(IF(F2=0,"Work not yet Started.",IF(F2=25%*E2,"Piling work in process",IF(F2=50%*E2,"Excavation work in process",IF(F2=E2,"Excavation work Completed. ","0")))&amp;(IF(G2=0%,"",IF(G2=25%*E2,"Footing work is process",IF(G2=50%*E2,"Footing work Completed",IF(G2=75%*E2,"Plinth work is process",IF(G2=E2,"Plinth work completed","0")))))))&amp;(IF(H2=(1+E2),", RCC Slab",IF(H2&gt;0,", RCC upto "&amp;H2&amp;" Slab",""))&amp;(IF(I2=E2,", Brickwork",IF(I2&gt;0,", Brickwork upto "&amp;I2&amp;" Floor",""))&amp;(IF(J2=E2,", Internal Plaster",IF(J2&gt;0,", Internal Plaster upto "&amp;J2&amp;" Floor",""))&amp;(IF(K2=E2,", External Plaster",IF(K2&gt;0,", External Plaster upto "&amp;K2&amp;" Floor",""))&amp;(IF(L2=E2,", Flooring",IF(L2&gt;0,", Flooring upto "&amp;L2&amp;" Floor",""))&amp;(IF(M2=E2,", Painting",IF(M2&gt;0,", Painting upto "&amp;M2&amp;" Floor",""))&amp;(IF(N2&gt;0,", Finishing upto "&amp;N2&amp;" Floor","")&amp;(IF(H2&gt;0.5," Completed","")))))))))))))</f>
        <v>All work completed. Please provide OC.</v>
      </c>
    </row>
    <row r="3" spans="1:18" hidden="1" x14ac:dyDescent="0.3">
      <c r="A3" s="19">
        <v>2</v>
      </c>
      <c r="B3" s="25">
        <v>191.93608324043109</v>
      </c>
      <c r="C3" s="19">
        <v>2066</v>
      </c>
      <c r="D3" s="19"/>
      <c r="E3" s="19"/>
      <c r="F3" s="36"/>
      <c r="G3" s="36"/>
      <c r="H3" s="36"/>
      <c r="I3" s="36"/>
      <c r="J3" s="36"/>
      <c r="K3" s="36"/>
      <c r="L3" s="36"/>
      <c r="M3" s="30"/>
      <c r="N3" s="30"/>
      <c r="O3" s="30"/>
      <c r="P3" s="30"/>
      <c r="Q3" s="30"/>
    </row>
    <row r="4" spans="1:18" hidden="1" x14ac:dyDescent="0.3">
      <c r="A4" s="19">
        <v>3</v>
      </c>
      <c r="B4" s="25">
        <v>191.93608324043109</v>
      </c>
      <c r="C4" s="19">
        <v>2066</v>
      </c>
      <c r="D4" s="19"/>
      <c r="E4" s="19"/>
      <c r="F4" s="19"/>
      <c r="G4" s="19"/>
      <c r="H4" s="19"/>
      <c r="I4" s="19"/>
      <c r="J4" s="19"/>
      <c r="K4" s="19"/>
      <c r="L4" s="19"/>
      <c r="M4" s="29"/>
      <c r="N4" s="29"/>
      <c r="O4" s="29"/>
      <c r="P4" s="29"/>
      <c r="Q4" s="29"/>
    </row>
    <row r="5" spans="1:18" hidden="1" x14ac:dyDescent="0.3">
      <c r="A5" s="19">
        <v>4</v>
      </c>
      <c r="B5" s="25">
        <v>191.93608324043109</v>
      </c>
      <c r="C5" s="19">
        <v>2066</v>
      </c>
      <c r="D5" s="19"/>
      <c r="E5" s="19"/>
      <c r="F5" s="19"/>
      <c r="G5" s="19"/>
      <c r="H5" s="19"/>
      <c r="I5" s="19"/>
      <c r="J5" s="19"/>
      <c r="K5" s="19"/>
      <c r="L5" s="19"/>
      <c r="M5" s="29"/>
      <c r="N5" s="29"/>
      <c r="O5" s="29"/>
      <c r="P5" s="29"/>
      <c r="Q5" s="29"/>
    </row>
    <row r="6" spans="1:18" hidden="1" x14ac:dyDescent="0.3">
      <c r="A6" s="19">
        <v>5</v>
      </c>
      <c r="B6" s="25">
        <v>191.93608324043109</v>
      </c>
      <c r="C6" s="19">
        <v>2066</v>
      </c>
      <c r="D6" s="19"/>
      <c r="E6" s="19"/>
      <c r="F6" s="19"/>
      <c r="G6" s="19"/>
      <c r="H6" s="19"/>
      <c r="I6" s="19"/>
      <c r="J6" s="19"/>
      <c r="K6" s="19"/>
      <c r="L6" s="19"/>
      <c r="M6" s="29"/>
      <c r="N6" s="29"/>
      <c r="O6" s="29"/>
      <c r="P6" s="29"/>
      <c r="Q6" s="29"/>
    </row>
    <row r="7" spans="1:18" hidden="1" x14ac:dyDescent="0.3">
      <c r="A7" s="19">
        <v>6</v>
      </c>
      <c r="B7" s="25">
        <v>191.93608324043109</v>
      </c>
      <c r="C7" s="19">
        <v>2066</v>
      </c>
      <c r="D7" s="19"/>
      <c r="E7" s="19"/>
      <c r="F7" s="19"/>
      <c r="G7" s="19"/>
      <c r="H7" s="19"/>
      <c r="I7" s="19"/>
      <c r="J7" s="19"/>
      <c r="K7" s="19"/>
      <c r="L7" s="19"/>
      <c r="M7" s="29"/>
      <c r="N7" s="29"/>
      <c r="O7" s="29"/>
      <c r="P7" s="29"/>
      <c r="Q7" s="29"/>
    </row>
    <row r="8" spans="1:18" hidden="1" x14ac:dyDescent="0.3">
      <c r="A8" s="19">
        <v>7</v>
      </c>
      <c r="B8" s="25">
        <v>191.93608324043109</v>
      </c>
      <c r="C8" s="19">
        <v>2066</v>
      </c>
      <c r="D8" s="19"/>
      <c r="E8" s="19"/>
      <c r="F8" s="19"/>
      <c r="G8" s="19"/>
      <c r="H8" s="19"/>
      <c r="I8" s="19"/>
      <c r="J8" s="19"/>
      <c r="K8" s="19"/>
      <c r="L8" s="19"/>
      <c r="M8" s="29"/>
      <c r="N8" s="29"/>
      <c r="O8" s="29"/>
      <c r="P8" s="29"/>
      <c r="Q8" s="29"/>
    </row>
    <row r="9" spans="1:18" hidden="1" x14ac:dyDescent="0.3">
      <c r="A9" s="19">
        <v>8</v>
      </c>
      <c r="B9" s="25">
        <v>224.91638795986623</v>
      </c>
      <c r="C9" s="19">
        <v>2421</v>
      </c>
      <c r="D9" s="19"/>
      <c r="E9" s="19"/>
      <c r="F9" s="19"/>
      <c r="G9" s="19"/>
      <c r="H9" s="19"/>
      <c r="I9" s="19"/>
      <c r="J9" s="19"/>
      <c r="K9" s="19"/>
      <c r="L9" s="19"/>
      <c r="M9" s="29"/>
      <c r="N9" s="29"/>
      <c r="O9" s="29"/>
      <c r="P9" s="29"/>
      <c r="Q9" s="29"/>
    </row>
    <row r="10" spans="1:18" hidden="1" x14ac:dyDescent="0.3">
      <c r="A10" s="19">
        <v>9</v>
      </c>
      <c r="B10" s="25">
        <v>183.94648829431441</v>
      </c>
      <c r="C10" s="19">
        <v>1980</v>
      </c>
      <c r="D10" s="19"/>
      <c r="E10" s="19"/>
      <c r="F10" s="19"/>
      <c r="G10" s="19"/>
      <c r="H10" s="19"/>
      <c r="I10" s="19"/>
      <c r="J10" s="19"/>
      <c r="K10" s="19"/>
      <c r="L10" s="19"/>
      <c r="M10" s="29"/>
      <c r="N10" s="29"/>
      <c r="O10" s="29"/>
      <c r="P10" s="29"/>
      <c r="Q10" s="29"/>
    </row>
    <row r="11" spans="1:18" s="73" customFormat="1" ht="15.5" x14ac:dyDescent="0.35">
      <c r="A11" s="71">
        <v>10</v>
      </c>
      <c r="B11" s="25">
        <v>183.94648829431441</v>
      </c>
      <c r="C11" s="19">
        <v>1980</v>
      </c>
      <c r="D11" s="71" t="s">
        <v>323</v>
      </c>
      <c r="E11" s="71">
        <v>1</v>
      </c>
      <c r="F11" s="71">
        <v>1</v>
      </c>
      <c r="G11" s="71">
        <v>1</v>
      </c>
      <c r="H11" s="71">
        <v>2</v>
      </c>
      <c r="I11" s="71">
        <v>1</v>
      </c>
      <c r="J11" s="71">
        <v>1</v>
      </c>
      <c r="K11" s="71">
        <v>1</v>
      </c>
      <c r="L11" s="71">
        <v>1</v>
      </c>
      <c r="M11" s="76">
        <v>1</v>
      </c>
      <c r="N11" s="76">
        <v>1</v>
      </c>
      <c r="O11" s="76">
        <v>1</v>
      </c>
      <c r="P11" s="69">
        <f>(((G11/E11*10)+(40/(1+E11)*H11)+(7.5/(E11)*I11)+(7.5/(E11)*J11)+(10/E11*K11)+(10/E11*L11)+(5/E11*M11)+(5/E11*N11)+(5/E11*O11))/100)</f>
        <v>1</v>
      </c>
      <c r="Q11" s="69">
        <f>((((F11/E11)*20)+((G11/E11)*25)+(30/(E11+1)*H11)+(5/E11*I11)+(5/E11*J11)+(5/E11*K11)+(5/E11*L11)+(0/E11*M11)+(0/E11*N11)+(5/E11*O11))/100)</f>
        <v>1</v>
      </c>
      <c r="R11" s="72" t="str">
        <f>(IF(P11&gt;99%,"All work completed. Please provide OC.",IF(P11&gt;89.8%,"Plinth, RCC, Brick, Plaster, Flooring, Painting work Completed. Finishing work is in process.",(IF(F11=0,"Work not yet Started.",IF(F11=25%*E11,"Piling work in process",IF(F11=50%*E11,"Excavation work in process",IF(F11=E11,"Excavation work Completed. ","0")))&amp;(IF(G11=0%,"",IF(G11=25%*E11,"Footing work is process",IF(G11=50%*E11,"Footing work Completed",IF(G11=75%*E11,"Plinth work is process",IF(G11=E11,"Plinth work completed","0")))))))&amp;(IF(H11=(1+E11),", RCC Slab",IF(H11&gt;0,", RCC upto "&amp;H11&amp;" Slab",""))&amp;(IF(I11=E11,", Brickwork",IF(I11&gt;0,", Brickwork upto "&amp;I11&amp;" Floor",""))&amp;(IF(J11=E11,", Internal Plaster",IF(J11&gt;0,", Internal Plaster upto "&amp;J11&amp;" Floor",""))&amp;(IF(K11=E11,", External Plaster",IF(K11&gt;0,", External Plaster upto "&amp;K11&amp;" Floor",""))&amp;(IF(L11=E11,", Flooring",IF(L11&gt;0,", Flooring upto "&amp;L11&amp;" Floor",""))&amp;(IF(M11=E11,", Painting",IF(M11&gt;0,", Painting upto "&amp;M11&amp;" Floor",""))&amp;(IF(N11&gt;0,", Finishing upto "&amp;N11&amp;" Floor","")&amp;(IF(H11&gt;0.5," Completed","")))))))))))))</f>
        <v>All work completed. Please provide OC.</v>
      </c>
    </row>
    <row r="12" spans="1:18" ht="42.75" hidden="1" customHeight="1" x14ac:dyDescent="0.3">
      <c r="A12" s="19">
        <v>11</v>
      </c>
      <c r="B12" s="25">
        <v>184.96841322928282</v>
      </c>
      <c r="C12" s="19">
        <v>1991</v>
      </c>
      <c r="D12" s="19"/>
      <c r="E12" s="19"/>
      <c r="F12" s="19"/>
      <c r="G12" s="19"/>
      <c r="H12" s="19"/>
      <c r="I12" s="19"/>
      <c r="J12" s="19"/>
      <c r="K12" s="19"/>
      <c r="L12" s="19"/>
      <c r="M12" s="29"/>
      <c r="N12" s="29"/>
      <c r="O12" s="29"/>
      <c r="P12" s="29"/>
      <c r="Q12" s="29"/>
    </row>
    <row r="13" spans="1:18" ht="39" hidden="1" customHeight="1" x14ac:dyDescent="0.3">
      <c r="A13" s="19">
        <v>12</v>
      </c>
      <c r="B13" s="25">
        <v>192.9580081753995</v>
      </c>
      <c r="C13" s="19">
        <v>2077</v>
      </c>
      <c r="D13" s="19"/>
      <c r="E13" s="19"/>
      <c r="F13" s="19"/>
      <c r="G13" s="19"/>
      <c r="H13" s="19"/>
      <c r="I13" s="19"/>
      <c r="J13" s="19"/>
      <c r="K13" s="19"/>
      <c r="L13" s="19"/>
      <c r="M13" s="29"/>
      <c r="N13" s="29"/>
      <c r="O13" s="29"/>
      <c r="P13" s="29"/>
      <c r="Q13" s="29"/>
    </row>
    <row r="14" spans="1:18" ht="57.75" hidden="1" customHeight="1" x14ac:dyDescent="0.3">
      <c r="A14" s="19">
        <v>13</v>
      </c>
      <c r="B14" s="25">
        <v>192.9580081753995</v>
      </c>
      <c r="C14" s="19">
        <v>2077</v>
      </c>
      <c r="D14" s="19"/>
      <c r="E14" s="19"/>
      <c r="F14" s="19"/>
      <c r="G14" s="19"/>
      <c r="H14" s="19"/>
      <c r="I14" s="19"/>
      <c r="J14" s="19"/>
      <c r="K14" s="19"/>
      <c r="L14" s="19"/>
      <c r="M14" s="29"/>
      <c r="N14" s="29"/>
      <c r="O14" s="29"/>
      <c r="P14" s="29"/>
      <c r="Q14" s="29"/>
    </row>
    <row r="15" spans="1:18" ht="31.5" hidden="1" customHeight="1" x14ac:dyDescent="0.3">
      <c r="A15" s="19">
        <v>14</v>
      </c>
      <c r="B15" s="25">
        <v>193.88703084355259</v>
      </c>
      <c r="C15" s="19">
        <v>2087</v>
      </c>
      <c r="D15" s="19"/>
      <c r="E15" s="19"/>
      <c r="F15" s="19"/>
      <c r="G15" s="19"/>
      <c r="H15" s="19"/>
      <c r="I15" s="19"/>
      <c r="J15" s="19"/>
      <c r="K15" s="19"/>
      <c r="L15" s="19"/>
      <c r="M15" s="29"/>
      <c r="N15" s="29"/>
      <c r="O15" s="29"/>
      <c r="P15" s="29"/>
      <c r="Q15" s="29"/>
    </row>
    <row r="16" spans="1:18" ht="31.5" hidden="1" customHeight="1" x14ac:dyDescent="0.3">
      <c r="A16" s="19">
        <v>15</v>
      </c>
      <c r="B16" s="25">
        <v>193.88703084355259</v>
      </c>
      <c r="C16" s="19">
        <v>2087</v>
      </c>
      <c r="D16" s="19"/>
      <c r="E16" s="19"/>
      <c r="F16" s="34"/>
      <c r="G16" s="34"/>
      <c r="H16" s="34"/>
      <c r="I16" s="34"/>
      <c r="J16" s="34"/>
      <c r="K16" s="34"/>
      <c r="L16" s="34"/>
      <c r="M16" s="35"/>
      <c r="N16" s="35"/>
      <c r="O16" s="35"/>
      <c r="P16" s="35"/>
      <c r="Q16" s="35"/>
    </row>
    <row r="17" spans="1:18 16383:16383" s="73" customFormat="1" ht="15.5" x14ac:dyDescent="0.35">
      <c r="A17" s="71">
        <v>16</v>
      </c>
      <c r="B17" s="24">
        <v>193.88703084355259</v>
      </c>
      <c r="C17" s="23">
        <v>2087</v>
      </c>
      <c r="D17" s="71" t="s">
        <v>238</v>
      </c>
      <c r="E17" s="86">
        <v>1</v>
      </c>
      <c r="F17" s="87">
        <v>1</v>
      </c>
      <c r="G17" s="87">
        <v>1</v>
      </c>
      <c r="H17" s="88">
        <v>2</v>
      </c>
      <c r="I17" s="87">
        <v>1</v>
      </c>
      <c r="J17" s="87">
        <v>1</v>
      </c>
      <c r="K17" s="87">
        <v>1</v>
      </c>
      <c r="L17" s="87">
        <v>1</v>
      </c>
      <c r="M17" s="87">
        <v>1</v>
      </c>
      <c r="N17" s="87">
        <v>1</v>
      </c>
      <c r="O17" s="87">
        <v>1</v>
      </c>
      <c r="P17" s="69">
        <f>(((G17/E17*10)+(40/(1+E17)*H17)+(7.5/(E17)*I17)+(7.5/(E17)*J17)+(10/E17*K17)+(10/E17*L17)+(5/E17*M17)+(5/E17*N17)+(5/E17*O17))/100)</f>
        <v>1</v>
      </c>
      <c r="Q17" s="69">
        <f>((((F17/E17)*20)+((G17/E17)*25)+(30/(E17+1)*H17)+(5/E17*I17)+(5/E17*J17)+(5/E17*K17)+(5/E17*L17)+(0/E17*M17)+(0/E17*N17)+(5/E17*O17))/100)</f>
        <v>1</v>
      </c>
      <c r="R17" s="72" t="str">
        <f>(IF(P17&gt;99%,"All work completed. Please provide OC.",IF(P17&gt;89.8%,"Plinth, RCC, Brick, Plaster, Flooring, Painting work Completed. Finishing work is in process.",(IF(F17=0,"Work not yet Started.",IF(F17=25%*E17,"Piling work in process",IF(F17=50%*E17,"Excavation work in process",IF(F17=E17,"Excavation work Completed. ","0")))&amp;(IF(G17=0%,"",IF(G17=25%*E17,"Footing work is process",IF(G17=50%*E17,"Footing work Completed",IF(G17=75%*E17,"Plinth work is process",IF(G17=E17,"Plinth work completed","0")))))))&amp;(IF(H17=(1+E17),", RCC Slab",IF(H17&gt;0,", RCC upto "&amp;H17&amp;" Slab",""))&amp;(IF(I17=E17,", Brickwork",IF(I17&gt;0,", Brickwork upto "&amp;I17&amp;" Floor",""))&amp;(IF(J17=E17,", Internal Plaster",IF(J17&gt;0,", Internal Plaster upto "&amp;J17&amp;" Floor",""))&amp;(IF(K17=E17,", External Plaster",IF(K17&gt;0,", External Plaster upto "&amp;K17&amp;" Floor",""))&amp;(IF(L17=E17,", Flooring",IF(L17&gt;0,", Flooring upto "&amp;L17&amp;" Floor",""))&amp;(IF(M17=E17,", Painting",IF(M17&gt;0,", Painting upto "&amp;M17&amp;" Floor",""))&amp;(IF(N17&gt;0,", Finishing upto "&amp;N17&amp;" Floor","")&amp;(IF(H17&gt;0.5," Completed","")))))))))))))</f>
        <v>All work completed. Please provide OC.</v>
      </c>
    </row>
    <row r="18" spans="1:18 16383:16383" s="99" customFormat="1" ht="15.5" x14ac:dyDescent="0.35">
      <c r="A18" s="21">
        <v>17</v>
      </c>
      <c r="B18" s="25">
        <v>194.908955778521</v>
      </c>
      <c r="C18" s="19">
        <v>2098</v>
      </c>
      <c r="D18" s="21" t="s">
        <v>257</v>
      </c>
      <c r="E18" s="21">
        <v>1</v>
      </c>
      <c r="F18" s="95">
        <v>1</v>
      </c>
      <c r="G18" s="95">
        <v>1</v>
      </c>
      <c r="H18" s="95">
        <v>2</v>
      </c>
      <c r="I18" s="102">
        <v>1</v>
      </c>
      <c r="J18" s="102">
        <v>1</v>
      </c>
      <c r="K18" s="102">
        <v>1</v>
      </c>
      <c r="L18" s="102">
        <v>1</v>
      </c>
      <c r="M18" s="102">
        <v>1</v>
      </c>
      <c r="N18" s="102">
        <v>1</v>
      </c>
      <c r="O18" s="102">
        <v>1</v>
      </c>
      <c r="P18" s="97">
        <f>(((G18/E18*10)+(40/(1+E18)*H18)+(7.5/(E18)*I18)+(7.5/(E18)*J18)+(10/E18*K18)+(10/E18*L18)+(5/E18*M18)+(5/E18*N18)+(5/E18*O18))/100)</f>
        <v>1</v>
      </c>
      <c r="Q18" s="97">
        <f>((((F18/E18)*20)+((G18/E18)*25)+(30/(E18+1)*H18)+(5/E18*I18)+(5/E18*J18)+(5/E18*K18)+(5/E18*L18)+(0/E18*M18)+(0/E18*N18)+(5/E18*O18))/100)</f>
        <v>1</v>
      </c>
      <c r="R18" s="98" t="str">
        <f>(IF(P18&gt;99%,"All work completed. Please provide OC.",IF(P18&gt;89.8%,"Plinth, RCC, Brick, Plaster, Flooring, Painting work Completed. Finishing work is in process.",(IF(F18=0,"Work not yet Started.",IF(F18=25%*E18,"Piling work in process",IF(F18=50%*E18,"Excavation work in process",IF(F18=E18,"Excavation work Completed. ","0")))&amp;(IF(G18=0%,"",IF(G18=25%*E18,"Footing work is process",IF(G18=50%*E18,"Footing work Completed",IF(G18=75%*E18,"Plinth work is process",IF(G18=E18,"Plinth work completed","0")))))))&amp;(IF(H18=(1+E18),", RCC Slab",IF(H18&gt;0,", RCC upto "&amp;H18&amp;" Slab",""))&amp;(IF(I18=E18,", Brickwork",IF(I18&gt;0,", Brickwork upto "&amp;I18&amp;" Floor",""))&amp;(IF(J18=E18,", Internal Plaster",IF(J18&gt;0,", Internal Plaster upto "&amp;J18&amp;" Floor",""))&amp;(IF(K18=E18,", External Plaster",IF(K18&gt;0,", External Plaster upto "&amp;K18&amp;" Floor",""))&amp;(IF(L18=E18,", Flooring",IF(L18&gt;0,", Flooring upto "&amp;L18&amp;" Floor",""))&amp;(IF(M18=E18,", Painting",IF(M18&gt;0,", Painting upto "&amp;M18&amp;" Floor",""))&amp;(IF(N18&gt;0,", Finishing upto "&amp;N18&amp;" Floor","")&amp;(IF(H18&gt;0.5," Completed","")))))))))))))</f>
        <v>All work completed. Please provide OC.</v>
      </c>
    </row>
    <row r="19" spans="1:18 16383:16383" hidden="1" x14ac:dyDescent="0.3">
      <c r="A19" s="19">
        <v>18</v>
      </c>
      <c r="B19" s="25">
        <v>338.907469342252</v>
      </c>
      <c r="C19" s="19">
        <v>3648</v>
      </c>
      <c r="D19" s="19"/>
      <c r="E19" s="19"/>
      <c r="F19" s="34"/>
      <c r="G19" s="34"/>
      <c r="H19" s="34"/>
      <c r="I19" s="34"/>
      <c r="J19" s="34"/>
      <c r="K19" s="34"/>
      <c r="L19" s="34"/>
      <c r="M19" s="35"/>
      <c r="N19" s="35"/>
      <c r="O19" s="35"/>
      <c r="P19" s="35"/>
      <c r="Q19" s="35"/>
    </row>
    <row r="20" spans="1:18 16383:16383" s="99" customFormat="1" ht="15.5" x14ac:dyDescent="0.35">
      <c r="A20" s="21" t="s">
        <v>195</v>
      </c>
      <c r="B20" s="24">
        <v>100.47380156075809</v>
      </c>
      <c r="C20" s="23">
        <v>1081.5</v>
      </c>
      <c r="D20" s="21" t="s">
        <v>238</v>
      </c>
      <c r="E20" s="101">
        <v>1</v>
      </c>
      <c r="F20" s="102">
        <v>1</v>
      </c>
      <c r="G20" s="102">
        <v>1</v>
      </c>
      <c r="H20" s="103">
        <v>2</v>
      </c>
      <c r="I20" s="102">
        <v>1</v>
      </c>
      <c r="J20" s="102">
        <v>1</v>
      </c>
      <c r="K20" s="102">
        <v>1</v>
      </c>
      <c r="L20" s="102">
        <v>1</v>
      </c>
      <c r="M20" s="102">
        <v>1</v>
      </c>
      <c r="N20" s="102">
        <v>1</v>
      </c>
      <c r="O20" s="102">
        <v>1</v>
      </c>
      <c r="P20" s="97">
        <f>(((G20/E20*10)+(40/(1+E20)*H20)+(7.5/(E20)*I20)+(7.5/(E20)*J20)+(10/E20*K20)+(10/E20*L20)+(5/E20*M20)+(5/E20*N20)+(5/E20*O20))/100)</f>
        <v>1</v>
      </c>
      <c r="Q20" s="97">
        <f>((((F20/E20)*20)+((G20/E20)*25)+(30/(E20+1)*H20)+(5/E20*I20)+(5/E20*J20)+(5/E20*K20)+(5/E20*L20)+(0/E20*M20)+(0/E20*N20)+(5/E20*O20))/100)</f>
        <v>1</v>
      </c>
      <c r="R20" s="98" t="str">
        <f>(IF(P20&gt;99%,"All work completed. Please provide OC.",IF(P20&gt;89.8%,"Plinth, RCC, Brick, Plaster, Flooring, Painting work Completed. Finishing work is in process.",(IF(F20=0,"Work not yet Started.",IF(F20=25%*E20,"Piling work in process",IF(F20=50%*E20,"Excavation work in process",IF(F20=E20,"Excavation work Completed. ","0")))&amp;(IF(G20=0%,"",IF(G20=25%*E20,"Footing work is process",IF(G20=50%*E20,"Footing work Completed",IF(G20=75%*E20,"Plinth work is process",IF(G20=E20,"Plinth work completed","0")))))))&amp;(IF(H20=(1+E20),", RCC Slab",IF(H20&gt;0,", RCC upto "&amp;H20&amp;" Slab",""))&amp;(IF(I20=E20,", Brickwork",IF(I20&gt;0,", Brickwork upto "&amp;I20&amp;" Floor",""))&amp;(IF(J20=E20,", Internal Plaster",IF(J20&gt;0,", Internal Plaster upto "&amp;J20&amp;" Floor",""))&amp;(IF(K20=E20,", External Plaster",IF(K20&gt;0,", External Plaster upto "&amp;K20&amp;" Floor",""))&amp;(IF(L20=E20,", Flooring",IF(L20&gt;0,", Flooring upto "&amp;L20&amp;" Floor",""))&amp;(IF(M20=E20,", Painting",IF(M20&gt;0,", Painting upto "&amp;M20&amp;" Floor",""))&amp;(IF(N20&gt;0,", Finishing upto "&amp;N20&amp;" Floor","")&amp;(IF(H20&gt;0.5," Completed","")))))))))))))</f>
        <v>All work completed. Please provide OC.</v>
      </c>
    </row>
    <row r="21" spans="1:18 16383:16383" hidden="1" x14ac:dyDescent="0.3">
      <c r="A21" s="19" t="s">
        <v>196</v>
      </c>
      <c r="B21" s="25">
        <v>100.47380156075809</v>
      </c>
      <c r="C21" s="19">
        <v>1081.5</v>
      </c>
      <c r="D21" s="19"/>
      <c r="E21" s="19"/>
      <c r="F21" s="36"/>
      <c r="G21" s="36"/>
      <c r="H21" s="36"/>
      <c r="I21" s="36"/>
      <c r="J21" s="36"/>
      <c r="K21" s="36"/>
      <c r="L21" s="36"/>
      <c r="M21" s="30"/>
      <c r="N21" s="30"/>
      <c r="O21" s="30"/>
      <c r="P21" s="30"/>
      <c r="Q21" s="30"/>
    </row>
    <row r="22" spans="1:18 16383:16383" hidden="1" x14ac:dyDescent="0.3">
      <c r="A22" s="19" t="s">
        <v>197</v>
      </c>
      <c r="B22" s="25">
        <v>100.47380156075809</v>
      </c>
      <c r="C22" s="19">
        <v>1081.5</v>
      </c>
      <c r="D22" s="19"/>
      <c r="E22" s="19"/>
      <c r="F22" s="19"/>
      <c r="G22" s="19"/>
      <c r="H22" s="19"/>
      <c r="I22" s="19"/>
      <c r="J22" s="19"/>
      <c r="K22" s="19"/>
      <c r="L22" s="19"/>
      <c r="M22" s="29"/>
      <c r="N22" s="29"/>
      <c r="O22" s="29"/>
      <c r="P22" s="29"/>
      <c r="Q22" s="29"/>
    </row>
    <row r="23" spans="1:18 16383:16383" hidden="1" x14ac:dyDescent="0.3">
      <c r="A23" s="19" t="s">
        <v>198</v>
      </c>
      <c r="B23" s="25">
        <v>100.47380156075809</v>
      </c>
      <c r="C23" s="19">
        <v>1081.5</v>
      </c>
      <c r="D23" s="19"/>
      <c r="E23" s="19"/>
      <c r="F23" s="19"/>
      <c r="G23" s="19"/>
      <c r="H23" s="19"/>
      <c r="I23" s="19"/>
      <c r="J23" s="19"/>
      <c r="K23" s="19"/>
      <c r="L23" s="19"/>
      <c r="M23" s="29"/>
      <c r="N23" s="29"/>
      <c r="O23" s="29"/>
      <c r="P23" s="29"/>
      <c r="Q23" s="29"/>
    </row>
    <row r="24" spans="1:18 16383:16383" hidden="1" x14ac:dyDescent="0.3">
      <c r="A24" s="19" t="s">
        <v>200</v>
      </c>
      <c r="B24" s="25">
        <v>113.48011891490152</v>
      </c>
      <c r="C24" s="19">
        <v>1221.5</v>
      </c>
      <c r="D24" s="19"/>
      <c r="E24" s="19"/>
      <c r="F24" s="19"/>
      <c r="G24" s="19"/>
      <c r="H24" s="19"/>
      <c r="I24" s="19"/>
      <c r="J24" s="19"/>
      <c r="K24" s="19"/>
      <c r="L24" s="19"/>
      <c r="M24" s="29"/>
      <c r="N24" s="29"/>
      <c r="O24" s="29"/>
      <c r="P24" s="29"/>
      <c r="Q24" s="29"/>
    </row>
    <row r="25" spans="1:18 16383:16383" hidden="1" x14ac:dyDescent="0.3">
      <c r="A25" s="19" t="s">
        <v>201</v>
      </c>
      <c r="B25" s="25">
        <v>113.48011891490152</v>
      </c>
      <c r="C25" s="19">
        <v>1221.5</v>
      </c>
      <c r="D25" s="19"/>
      <c r="E25" s="19"/>
      <c r="F25" s="19"/>
      <c r="G25" s="19"/>
      <c r="H25" s="19"/>
      <c r="I25" s="19"/>
      <c r="J25" s="19"/>
      <c r="K25" s="19"/>
      <c r="L25" s="19"/>
      <c r="M25" s="29"/>
      <c r="N25" s="29"/>
      <c r="O25" s="29"/>
      <c r="P25" s="29"/>
      <c r="Q25" s="29"/>
    </row>
    <row r="26" spans="1:18 16383:16383" hidden="1" x14ac:dyDescent="0.3">
      <c r="A26" s="19">
        <v>22</v>
      </c>
      <c r="B26" s="25">
        <v>222.77963582311409</v>
      </c>
      <c r="C26" s="19">
        <v>2398</v>
      </c>
      <c r="D26" s="19"/>
      <c r="E26" s="19"/>
      <c r="F26" s="19"/>
      <c r="G26" s="19"/>
      <c r="H26" s="19"/>
      <c r="I26" s="19"/>
      <c r="J26" s="19"/>
      <c r="K26" s="19"/>
      <c r="L26" s="19"/>
      <c r="M26" s="29"/>
      <c r="N26" s="29"/>
      <c r="O26" s="29"/>
      <c r="P26" s="29"/>
      <c r="Q26" s="29"/>
    </row>
    <row r="27" spans="1:18 16383:16383" s="99" customFormat="1" ht="15.5" x14ac:dyDescent="0.35">
      <c r="A27" s="21" t="s">
        <v>202</v>
      </c>
      <c r="B27" s="23">
        <v>106.46599777034561</v>
      </c>
      <c r="C27" s="32">
        <v>1146</v>
      </c>
      <c r="D27" s="21" t="s">
        <v>156</v>
      </c>
      <c r="E27" s="102">
        <v>1</v>
      </c>
      <c r="F27" s="103">
        <v>1</v>
      </c>
      <c r="G27" s="102">
        <v>1</v>
      </c>
      <c r="H27" s="102">
        <v>2</v>
      </c>
      <c r="I27" s="102">
        <v>1</v>
      </c>
      <c r="J27" s="102">
        <v>1</v>
      </c>
      <c r="K27" s="102">
        <v>1</v>
      </c>
      <c r="L27" s="102">
        <v>1</v>
      </c>
      <c r="M27" s="102">
        <v>1</v>
      </c>
      <c r="N27" s="104">
        <v>1</v>
      </c>
      <c r="O27" s="104">
        <v>1</v>
      </c>
      <c r="P27" s="97">
        <f>(((G27/E27*10)+(40/(1+E27)*H27)+(7.5/(E27)*I27)+(7.5/(E27)*J27)+(10/E27*K27)+(10/E27*L27)+(5/E27*M27)+(5/E27*N27)+(5/E27*O27))/100)</f>
        <v>1</v>
      </c>
      <c r="Q27" s="97">
        <f>((((F27/E27)*20)+((G27/E27)*25)+(30/(E27+1)*H27)+(5/E27*I27)+(5/E27*J27)+(5/E27*K27)+(5/E27*L27)+(0/E27*M27)+(0/E27*N27)+(5/E27*O27))/100)</f>
        <v>1</v>
      </c>
      <c r="R27" s="98" t="str">
        <f>(IF(P27&gt;99%,"All work completed. Please provide OC.",IF(P27&gt;89.8%,"Plinth, RCC, Brick, Plaster, Flooring, Painting work Completed. Finishing work is in process.",(IF(F27=0,"Work not yet Started.",IF(F27=25%*E27,"Piling work in process",IF(F27=50%*E27,"Excavation work in process",IF(F27=E27,"Excavation work Completed. ","0")))&amp;(IF(G27=0%,"",IF(G27=25%*E27,"Footing work is process",IF(G27=50%*E27,"Footing work Completed",IF(G27=75%*E27,"Plinth work is process",IF(G27=E27,"Plinth work completed","0")))))))&amp;(IF(H27=(1+E27),", RCC Slab",IF(H27&gt;0,", RCC upto "&amp;H27&amp;" Slab",""))&amp;(IF(I27=E27,", Brickwork",IF(I27&gt;0,", Brickwork upto "&amp;I27&amp;" Floor",""))&amp;(IF(J27=E27,", Internal Plaster",IF(J27&gt;0,", Internal Plaster upto "&amp;J27&amp;" Floor",""))&amp;(IF(K27=E27,", External Plaster",IF(K27&gt;0,", External Plaster upto "&amp;K27&amp;" Floor",""))&amp;(IF(L27=E27,", Flooring",IF(L27&gt;0,", Flooring upto "&amp;L27&amp;" Floor",""))&amp;(IF(M27=E27,", Painting",IF(M27&gt;0,", Painting upto "&amp;M27&amp;" Floor",""))&amp;(IF(N27&gt;0,", Finishing upto "&amp;N27&amp;" Floor","")&amp;(IF(H27&gt;0.5," Completed","")))))))))))))</f>
        <v>All work completed. Please provide OC.</v>
      </c>
      <c r="XFC27" s="21"/>
    </row>
    <row r="28" spans="1:18 16383:16383" hidden="1" x14ac:dyDescent="0.3">
      <c r="A28" s="19" t="s">
        <v>203</v>
      </c>
      <c r="B28" s="25">
        <v>106.46599777034561</v>
      </c>
      <c r="C28" s="19">
        <v>1146</v>
      </c>
      <c r="D28" s="19"/>
      <c r="E28" s="19"/>
      <c r="F28" s="19"/>
      <c r="G28" s="19"/>
      <c r="H28" s="19"/>
      <c r="I28" s="19"/>
      <c r="J28" s="19"/>
      <c r="K28" s="19"/>
      <c r="L28" s="19"/>
      <c r="M28" s="29"/>
      <c r="N28" s="29"/>
      <c r="O28" s="29"/>
      <c r="P28" s="29"/>
      <c r="Q28" s="29"/>
    </row>
    <row r="29" spans="1:18 16383:16383" s="73" customFormat="1" ht="15.5" x14ac:dyDescent="0.35">
      <c r="A29" s="71" t="s">
        <v>204</v>
      </c>
      <c r="B29" s="23">
        <v>101.44927536231884</v>
      </c>
      <c r="C29" s="32">
        <v>1092</v>
      </c>
      <c r="D29" s="71" t="s">
        <v>238</v>
      </c>
      <c r="E29" s="87">
        <v>1</v>
      </c>
      <c r="F29" s="88">
        <v>1</v>
      </c>
      <c r="G29" s="87">
        <v>1</v>
      </c>
      <c r="H29" s="87">
        <v>2</v>
      </c>
      <c r="I29" s="87">
        <v>1</v>
      </c>
      <c r="J29" s="87">
        <v>1</v>
      </c>
      <c r="K29" s="87">
        <v>1</v>
      </c>
      <c r="L29" s="87">
        <v>1</v>
      </c>
      <c r="M29" s="87">
        <v>1</v>
      </c>
      <c r="N29" s="85">
        <v>1</v>
      </c>
      <c r="O29" s="85">
        <v>1</v>
      </c>
      <c r="P29" s="69">
        <f>(((G29/E29*10)+(40/(1+E29)*H29)+(7.5/(E29)*I29)+(7.5/(E29)*J29)+(10/E29*K29)+(10/E29*L29)+(5/E29*M29)+(5/E29*N29)+(5/E29*O29))/100)</f>
        <v>1</v>
      </c>
      <c r="Q29" s="69">
        <f>((((F29/E29)*20)+((G29/E29)*25)+(30/(E29+1)*H29)+(5/E29*I29)+(5/E29*J29)+(5/E29*K29)+(5/E29*L29)+(0/E29*M29)+(0/E29*N29)+(5/E29*O29))/100)</f>
        <v>1</v>
      </c>
      <c r="R29" s="72" t="str">
        <f>(IF(P29&gt;99%,"All work completed. Please provide OC.",IF(P29&gt;89.8%,"Plinth, RCC, Brick, Plaster, Flooring, Painting work Completed. Finishing work is in process.",(IF(F29=0,"Work not yet Started.",IF(F29=25%*E29,"Piling work in process",IF(F29=50%*E29,"Excavation work in process",IF(F29=E29,"Excavation work Completed. ","0")))&amp;(IF(G29=0%,"",IF(G29=25%*E29,"Footing work is process",IF(G29=50%*E29,"Footing work Completed",IF(G29=75%*E29,"Plinth work is process",IF(G29=E29,"Plinth work completed","0")))))))&amp;(IF(H29=(1+E29),", RCC Slab",IF(H29&gt;0,", RCC upto "&amp;H29&amp;" Slab",""))&amp;(IF(I29=E29,", Brickwork",IF(I29&gt;0,", Brickwork upto "&amp;I29&amp;" Floor",""))&amp;(IF(J29=E29,", Internal Plaster",IF(J29&gt;0,", Internal Plaster upto "&amp;J29&amp;" Floor",""))&amp;(IF(K29=E29,", External Plaster",IF(K29&gt;0,", External Plaster upto "&amp;K29&amp;" Floor",""))&amp;(IF(L29=E29,", Flooring",IF(L29&gt;0,", Flooring upto "&amp;L29&amp;" Floor",""))&amp;(IF(M29=E29,", Painting",IF(M29&gt;0,", Painting upto "&amp;M29&amp;" Floor",""))&amp;(IF(N29&gt;0,", Finishing upto "&amp;N29&amp;" Floor","")&amp;(IF(H29&gt;0.5," Completed","")))))))))))))</f>
        <v>All work completed. Please provide OC.</v>
      </c>
      <c r="XFC29" s="71"/>
    </row>
    <row r="30" spans="1:18 16383:16383" s="73" customFormat="1" ht="15.5" x14ac:dyDescent="0.35">
      <c r="A30" s="71" t="s">
        <v>149</v>
      </c>
      <c r="B30" s="24">
        <v>101.44927536231884</v>
      </c>
      <c r="C30" s="23">
        <v>1092</v>
      </c>
      <c r="D30" s="71" t="s">
        <v>238</v>
      </c>
      <c r="E30" s="86">
        <v>1</v>
      </c>
      <c r="F30" s="87">
        <v>1</v>
      </c>
      <c r="G30" s="87">
        <v>1</v>
      </c>
      <c r="H30" s="88">
        <v>2</v>
      </c>
      <c r="I30" s="87">
        <v>1</v>
      </c>
      <c r="J30" s="87">
        <v>1</v>
      </c>
      <c r="K30" s="87">
        <v>1</v>
      </c>
      <c r="L30" s="87">
        <v>1</v>
      </c>
      <c r="M30" s="87">
        <v>1</v>
      </c>
      <c r="N30" s="87">
        <v>1</v>
      </c>
      <c r="O30" s="87">
        <v>1</v>
      </c>
      <c r="P30" s="69">
        <f>(((G30/E30*10)+(40/(1+E30)*H30)+(7.5/(E30)*I30)+(7.5/(E30)*J30)+(10/E30*K30)+(10/E30*L30)+(5/E30*M30)+(5/E30*N30)+(5/E30*O30))/100)</f>
        <v>1</v>
      </c>
      <c r="Q30" s="69">
        <f>((((F30/E30)*20)+((G30/E30)*25)+(30/(E30+1)*H30)+(5/E30*I30)+(5/E30*J30)+(5/E30*K30)+(5/E30*L30)+(0/E30*M30)+(0/E30*N30)+(5/E30*O30))/100)</f>
        <v>1</v>
      </c>
      <c r="R30" s="72" t="str">
        <f>(IF(P30&gt;99%,"All work completed. Please provide OC.",IF(P30&gt;89.8%,"Plinth, RCC, Brick, Plaster, Flooring, Painting work Completed. Finishing work is in process.",(IF(F30=0,"Work not yet Started.",IF(F30=25%*E30,"Piling work in process",IF(F30=50%*E30,"Excavation work in process",IF(F30=E30,"Excavation work Completed. ","0")))&amp;(IF(G30=0%,"",IF(G30=25%*E30,"Footing work is process",IF(G30=50%*E30,"Footing work Completed",IF(G30=75%*E30,"Plinth work is process",IF(G30=E30,"Plinth work completed","0")))))))&amp;(IF(H30=(1+E30),", RCC Slab",IF(H30&gt;0,", RCC upto "&amp;H30&amp;" Slab",""))&amp;(IF(I30=E30,", Brickwork",IF(I30&gt;0,", Brickwork upto "&amp;I30&amp;" Floor",""))&amp;(IF(J30=E30,", Internal Plaster",IF(J30&gt;0,", Internal Plaster upto "&amp;J30&amp;" Floor",""))&amp;(IF(K30=E30,", External Plaster",IF(K30&gt;0,", External Plaster upto "&amp;K30&amp;" Floor",""))&amp;(IF(L30=E30,", Flooring",IF(L30&gt;0,", Flooring upto "&amp;L30&amp;" Floor",""))&amp;(IF(M30=E30,", Painting",IF(M30&gt;0,", Painting upto "&amp;M30&amp;" Floor",""))&amp;(IF(N30&gt;0,", Finishing upto "&amp;N30&amp;" Floor","")&amp;(IF(H30&gt;0.5," Completed","")))))))))))))</f>
        <v>All work completed. Please provide OC.</v>
      </c>
    </row>
    <row r="31" spans="1:18 16383:16383" s="27" customFormat="1" ht="15.5" x14ac:dyDescent="0.35">
      <c r="A31" s="23">
        <v>25</v>
      </c>
      <c r="B31" s="25">
        <v>193.79412857673728</v>
      </c>
      <c r="C31" s="19">
        <v>2086</v>
      </c>
      <c r="D31" s="23" t="s">
        <v>238</v>
      </c>
      <c r="E31" s="23">
        <v>1</v>
      </c>
      <c r="F31" s="45">
        <v>1</v>
      </c>
      <c r="G31" s="45">
        <v>1</v>
      </c>
      <c r="H31" s="45">
        <v>2</v>
      </c>
      <c r="I31" s="45">
        <v>1</v>
      </c>
      <c r="J31" s="45">
        <v>1</v>
      </c>
      <c r="K31" s="45">
        <v>1</v>
      </c>
      <c r="L31" s="45">
        <v>1</v>
      </c>
      <c r="M31" s="51">
        <v>1</v>
      </c>
      <c r="N31" s="51">
        <v>1</v>
      </c>
      <c r="O31" s="51">
        <v>1</v>
      </c>
      <c r="P31" s="31">
        <f>(((G31/E31*10)+(40/(1+E31)*H31)+(7.5/(E31)*I31)+(7.5/(E31)*J31)+(10/E31*K31)+(10/E31*L31)+(5/E31*M31)+(5/E31*N31)+(5/E31*O31))/100)</f>
        <v>1</v>
      </c>
      <c r="Q31" s="31">
        <f>((((F31/E31)*20)+((G31/E31)*25)+(30/(E31+1)*H31)+(5/E31*I31)+(5/E31*J31)+(5/E31*K31)+(5/E31*L31)+(0/E31*M31)+(0/E31*N31)+(5/E31*O31))/100)</f>
        <v>1</v>
      </c>
      <c r="R31" s="39" t="str">
        <f>(IF(P31&gt;99%,"All work completed. Please provide OC.",IF(P31&gt;89.8%,"Plinth, RCC, Brick, Plaster, Flooring, Painting work Completed. Finishing work is in process.",(IF(F31=0,"Work not yet Started.",IF(F31=25%*E31,"Piling work in process",IF(F31=50%*E31,"Excavation work in process",IF(F31=E31,"Excavation work Completed. ","0")))&amp;(IF(G31=0%,"",IF(G31=25%*E31,"Footing work is process",IF(G31=50%*E31,"Footing work Completed",IF(G31=75%*E31,"Plinth work is process",IF(G31=E31,"Plinth work completed","0")))))))&amp;(IF(H31=(1+E31),", RCC Slab",IF(H31&gt;0,", RCC upto "&amp;H31&amp;" Slab",""))&amp;(IF(I31=E31,", Brickwork",IF(I31&gt;0,", Brickwork upto "&amp;I31&amp;" Floor",""))&amp;(IF(J31=E31,", Internal Plaster",IF(J31&gt;0,", Internal Plaster upto "&amp;J31&amp;" Floor",""))&amp;(IF(K31=E31,", External Plaster",IF(K31&gt;0,", External Plaster upto "&amp;K31&amp;" Floor",""))&amp;(IF(L31=E31,", Flooring",IF(L31&gt;0,", Flooring upto "&amp;L31&amp;" Floor",""))&amp;(IF(M31=E31,", Painting",IF(M31&gt;0,", Painting upto "&amp;M31&amp;" Floor",""))&amp;(IF(N31&gt;0,", Finishing upto "&amp;N31&amp;" Floor","")&amp;(IF(H31&gt;0.5," Completed","")))))))))))))</f>
        <v>All work completed. Please provide OC.</v>
      </c>
    </row>
    <row r="32" spans="1:18 16383:16383" hidden="1" x14ac:dyDescent="0.3">
      <c r="A32" s="19" t="s">
        <v>205</v>
      </c>
      <c r="B32" s="25">
        <v>96.943515421776297</v>
      </c>
      <c r="C32" s="19">
        <v>1043.5</v>
      </c>
      <c r="D32" s="19"/>
      <c r="E32" s="19"/>
      <c r="F32" s="19"/>
      <c r="G32" s="19"/>
      <c r="H32" s="19"/>
      <c r="I32" s="19"/>
      <c r="J32" s="19"/>
      <c r="K32" s="19"/>
      <c r="L32" s="19"/>
      <c r="M32" s="29"/>
      <c r="N32" s="29"/>
      <c r="O32" s="29"/>
      <c r="P32" s="29"/>
      <c r="Q32" s="29"/>
    </row>
    <row r="33" spans="1:18 16383:16383" hidden="1" x14ac:dyDescent="0.3">
      <c r="A33" s="19" t="s">
        <v>206</v>
      </c>
      <c r="B33" s="25">
        <v>96.943515421776297</v>
      </c>
      <c r="C33" s="19">
        <v>1043.5</v>
      </c>
      <c r="D33" s="19"/>
      <c r="E33" s="19"/>
      <c r="F33" s="19"/>
      <c r="G33" s="19"/>
      <c r="H33" s="19"/>
      <c r="I33" s="19"/>
      <c r="J33" s="19"/>
      <c r="K33" s="19"/>
      <c r="L33" s="19"/>
      <c r="M33" s="29"/>
      <c r="N33" s="29"/>
      <c r="O33" s="29"/>
      <c r="P33" s="29"/>
      <c r="Q33" s="29"/>
    </row>
    <row r="34" spans="1:18 16383:16383" s="73" customFormat="1" ht="15.5" x14ac:dyDescent="0.35">
      <c r="A34" s="71" t="s">
        <v>207</v>
      </c>
      <c r="B34" s="25">
        <v>96.479004087699749</v>
      </c>
      <c r="C34" s="19">
        <v>1038.5</v>
      </c>
      <c r="D34" s="71" t="s">
        <v>238</v>
      </c>
      <c r="E34" s="71">
        <v>1</v>
      </c>
      <c r="F34" s="71">
        <v>1</v>
      </c>
      <c r="G34" s="71">
        <v>1</v>
      </c>
      <c r="H34" s="71">
        <v>2</v>
      </c>
      <c r="I34" s="71">
        <v>1</v>
      </c>
      <c r="J34" s="71">
        <v>1</v>
      </c>
      <c r="K34" s="71">
        <v>1</v>
      </c>
      <c r="L34" s="71">
        <v>1</v>
      </c>
      <c r="M34" s="76">
        <v>1</v>
      </c>
      <c r="N34" s="76">
        <v>1</v>
      </c>
      <c r="O34" s="76">
        <v>1</v>
      </c>
      <c r="P34" s="69">
        <f>(((G34/E34*10)+(40/(1+E34)*H34)+(7.5/(E34)*I34)+(7.5/(E34)*J34)+(10/E34*K34)+(10/E34*L34)+(5/E34*M34)+(5/E34*N34)+(5/E34*O34))/100)</f>
        <v>1</v>
      </c>
      <c r="Q34" s="69">
        <f>((((F34/E34)*20)+((G34/E34)*25)+(30/(E34+1)*H34)+(5/E34*I34)+(5/E34*J34)+(5/E34*K34)+(5/E34*L34)+(0/E34*M34)+(0/E34*N34)+(5/E34*O34))/100)</f>
        <v>1</v>
      </c>
      <c r="R34" s="72" t="str">
        <f>(IF(P34&gt;99%,"All work completed. Please provide OC.",IF(P34&gt;89.8%,"Plinth, RCC, Brick, Plaster, Flooring, Painting work Completed. Finishing work is in process.",(IF(F34=0,"Work not yet Started.",IF(F34=25%*E34,"Piling work in process",IF(F34=50%*E34,"Excavation work in process",IF(F34=E34,"Excavation work Completed. ","0")))&amp;(IF(G34=0%,"",IF(G34=25%*E34,"Footing work is process",IF(G34=50%*E34,"Footing work Completed",IF(G34=75%*E34,"Plinth work is process",IF(G34=E34,"Plinth work completed","0")))))))&amp;(IF(H34=(1+E34),", RCC Slab",IF(H34&gt;0,", RCC upto "&amp;H34&amp;" Slab",""))&amp;(IF(I34=E34,", Brickwork",IF(I34&gt;0,", Brickwork upto "&amp;I34&amp;" Floor",""))&amp;(IF(J34=E34,", Internal Plaster",IF(J34&gt;0,", Internal Plaster upto "&amp;J34&amp;" Floor",""))&amp;(IF(K34=E34,", External Plaster",IF(K34&gt;0,", External Plaster upto "&amp;K34&amp;" Floor",""))&amp;(IF(L34=E34,", Flooring",IF(L34&gt;0,", Flooring upto "&amp;L34&amp;" Floor",""))&amp;(IF(M34=E34,", Painting",IF(M34&gt;0,", Painting upto "&amp;M34&amp;" Floor",""))&amp;(IF(N34&gt;0,", Finishing upto "&amp;N34&amp;" Floor","")&amp;(IF(H34&gt;0.5," Completed","")))))))))))))</f>
        <v>All work completed. Please provide OC.</v>
      </c>
    </row>
    <row r="35" spans="1:18 16383:16383" s="73" customFormat="1" ht="15.5" x14ac:dyDescent="0.35">
      <c r="A35" s="71" t="s">
        <v>208</v>
      </c>
      <c r="B35" s="25">
        <v>96.479004087699749</v>
      </c>
      <c r="C35" s="19">
        <v>1038.5</v>
      </c>
      <c r="D35" s="71" t="s">
        <v>238</v>
      </c>
      <c r="E35" s="71">
        <v>1</v>
      </c>
      <c r="F35" s="71">
        <v>1</v>
      </c>
      <c r="G35" s="71">
        <v>1</v>
      </c>
      <c r="H35" s="71">
        <v>2</v>
      </c>
      <c r="I35" s="71">
        <v>1</v>
      </c>
      <c r="J35" s="71">
        <v>1</v>
      </c>
      <c r="K35" s="71">
        <v>1</v>
      </c>
      <c r="L35" s="71">
        <v>1</v>
      </c>
      <c r="M35" s="76">
        <v>1</v>
      </c>
      <c r="N35" s="76">
        <v>1</v>
      </c>
      <c r="O35" s="76">
        <v>1</v>
      </c>
      <c r="P35" s="69">
        <f>(((G35/E35*10)+(40/(1+E35)*H35)+(7.5/(E35)*I35)+(7.5/(E35)*J35)+(10/E35*K35)+(10/E35*L35)+(5/E35*M35)+(5/E35*N35)+(5/E35*O35))/100)</f>
        <v>1</v>
      </c>
      <c r="Q35" s="69">
        <f>((((F35/E35)*20)+((G35/E35)*25)+(30/(E35+1)*H35)+(5/E35*I35)+(5/E35*J35)+(5/E35*K35)+(5/E35*L35)+(0/E35*M35)+(0/E35*N35)+(5/E35*O35))/100)</f>
        <v>1</v>
      </c>
      <c r="R35" s="72" t="str">
        <f>(IF(P35&gt;99%,"All work completed. Please provide OC.",IF(P35&gt;89.8%,"Plinth, RCC, Brick, Plaster, Flooring, Painting work Completed. Finishing work is in process.",(IF(F35=0,"Work not yet Started.",IF(F35=25%*E35,"Piling work in process",IF(F35=50%*E35,"Excavation work in process",IF(F35=E35,"Excavation work Completed. ","0")))&amp;(IF(G35=0%,"",IF(G35=25%*E35,"Footing work is process",IF(G35=50%*E35,"Footing work Completed",IF(G35=75%*E35,"Plinth work is process",IF(G35=E35,"Plinth work completed","0")))))))&amp;(IF(H35=(1+E35),", RCC Slab",IF(H35&gt;0,", RCC upto "&amp;H35&amp;" Slab",""))&amp;(IF(I35=E35,", Brickwork",IF(I35&gt;0,", Brickwork upto "&amp;I35&amp;" Floor",""))&amp;(IF(J35=E35,", Internal Plaster",IF(J35&gt;0,", Internal Plaster upto "&amp;J35&amp;" Floor",""))&amp;(IF(K35=E35,", External Plaster",IF(K35&gt;0,", External Plaster upto "&amp;K35&amp;" Floor",""))&amp;(IF(L35=E35,", Flooring",IF(L35&gt;0,", Flooring upto "&amp;L35&amp;" Floor",""))&amp;(IF(M35=E35,", Painting",IF(M35&gt;0,", Painting upto "&amp;M35&amp;" Floor",""))&amp;(IF(N35&gt;0,", Finishing upto "&amp;N35&amp;" Floor","")&amp;(IF(H35&gt;0.5," Completed","")))))))))))))</f>
        <v>All work completed. Please provide OC.</v>
      </c>
    </row>
    <row r="36" spans="1:18 16383:16383" hidden="1" x14ac:dyDescent="0.3">
      <c r="A36" s="19">
        <v>28</v>
      </c>
      <c r="B36" s="25">
        <v>192.9580081753995</v>
      </c>
      <c r="C36" s="19">
        <v>2077</v>
      </c>
      <c r="D36" s="19"/>
      <c r="E36" s="19"/>
      <c r="F36" s="19"/>
      <c r="G36" s="19"/>
      <c r="H36" s="19"/>
      <c r="I36" s="19"/>
      <c r="J36" s="19"/>
      <c r="K36" s="19"/>
      <c r="L36" s="19"/>
      <c r="M36" s="29"/>
      <c r="N36" s="29"/>
      <c r="O36" s="29"/>
      <c r="P36" s="29"/>
      <c r="Q36" s="29"/>
    </row>
    <row r="37" spans="1:18 16383:16383" hidden="1" x14ac:dyDescent="0.3">
      <c r="A37" s="19">
        <v>29</v>
      </c>
      <c r="B37" s="25">
        <v>192.9580081753995</v>
      </c>
      <c r="C37" s="19">
        <v>2077</v>
      </c>
      <c r="D37" s="19"/>
      <c r="E37" s="19"/>
      <c r="F37" s="34"/>
      <c r="G37" s="34"/>
      <c r="H37" s="34"/>
      <c r="I37" s="34"/>
      <c r="J37" s="34"/>
      <c r="K37" s="34"/>
      <c r="L37" s="34"/>
      <c r="M37" s="35"/>
      <c r="N37" s="35"/>
      <c r="O37" s="35"/>
      <c r="P37" s="35"/>
      <c r="Q37" s="35"/>
    </row>
    <row r="38" spans="1:18 16383:16383" s="73" customFormat="1" ht="15.5" x14ac:dyDescent="0.35">
      <c r="A38" s="71" t="s">
        <v>209</v>
      </c>
      <c r="B38" s="24">
        <v>96.479004087699749</v>
      </c>
      <c r="C38" s="23">
        <v>1038.5</v>
      </c>
      <c r="D38" s="71" t="s">
        <v>156</v>
      </c>
      <c r="E38" s="86">
        <v>1</v>
      </c>
      <c r="F38" s="87">
        <v>1</v>
      </c>
      <c r="G38" s="87">
        <v>1</v>
      </c>
      <c r="H38" s="88">
        <v>1</v>
      </c>
      <c r="I38" s="87">
        <v>1</v>
      </c>
      <c r="J38" s="87">
        <v>1</v>
      </c>
      <c r="K38" s="87">
        <v>1</v>
      </c>
      <c r="L38" s="87">
        <v>1</v>
      </c>
      <c r="M38" s="87">
        <v>1</v>
      </c>
      <c r="N38" s="87">
        <v>1</v>
      </c>
      <c r="O38" s="87">
        <v>1</v>
      </c>
      <c r="P38" s="69">
        <f>(((G38/E38*10)+(40/(E38)*H38)+(7.5/(E38)*I38)+(7.5/(E38)*J38)+(10/E38*K38)+(10/E38*L38)+(5/E38*M38)+(5/E38*N38)+(5/E38*O38))/100)</f>
        <v>1</v>
      </c>
      <c r="Q38" s="69">
        <f>((((F38/E38)*20)+((G38/E38)*25)+(30/(E38)*H38)+(5/E38*I38)+(5/E38*J38)+(5/E38*K38)+(5/E38*L38)+(0/E38*M38)+(0/E38*N38)+(5/E38*O38))/100)</f>
        <v>1</v>
      </c>
      <c r="R38" s="72" t="str">
        <f t="shared" ref="R38:R40" si="0">(IF(P38&gt;99%,"All work completed. Please provide OC.",IF(P38&gt;89.8%,"Plinth, RCC, Brick, Plaster, Flooring, Painting work Completed. Finishing work is in process.",(IF(F38=0,"Work not yet Started.",IF(F38=25%*E38,"Piling work in process",IF(F38=50%*E38,"Excavation work in process",IF(F38=E38,"Excavation work Completed. ","0")))&amp;(IF(G38=0%,"",IF(G38=25%*E38,"Footing work is process",IF(G38=50%*E38,"Footing work Completed",IF(G38=75%*E38,"Plinth work is process",IF(G38=E38,"Plinth work completed","0")))))))&amp;(IF(H38=(1+E38),", RCC Slab",IF(H38&gt;0,", RCC upto "&amp;H38&amp;" Slab",""))&amp;(IF(I38=E38,", Brickwork",IF(I38&gt;0,", Brickwork upto "&amp;I38&amp;" Floor",""))&amp;(IF(J38=E38,", Internal Plaster",IF(J38&gt;0,", Internal Plaster upto "&amp;J38&amp;" Floor",""))&amp;(IF(K38=E38,", External Plaster",IF(K38&gt;0,", External Plaster upto "&amp;K38&amp;" Floor",""))&amp;(IF(L38=E38,", Flooring",IF(L38&gt;0,", Flooring upto "&amp;L38&amp;" Floor",""))&amp;(IF(M38=E38,", Painting",IF(M38&gt;0,", Painting upto "&amp;M38&amp;" Floor",""))&amp;(IF(N38&gt;0,", Finishing upto "&amp;N38&amp;" Floor","")&amp;(IF(H38&gt;0.5," Completed","")))))))))))))</f>
        <v>All work completed. Please provide OC.</v>
      </c>
    </row>
    <row r="39" spans="1:18 16383:16383" s="73" customFormat="1" ht="15.5" x14ac:dyDescent="0.35">
      <c r="A39" s="71" t="s">
        <v>210</v>
      </c>
      <c r="B39" s="24">
        <v>96.479004087699749</v>
      </c>
      <c r="C39" s="23">
        <v>1038.5</v>
      </c>
      <c r="D39" s="71" t="s">
        <v>238</v>
      </c>
      <c r="E39" s="86">
        <v>1</v>
      </c>
      <c r="F39" s="87">
        <v>1</v>
      </c>
      <c r="G39" s="87">
        <v>1</v>
      </c>
      <c r="H39" s="88">
        <v>2</v>
      </c>
      <c r="I39" s="87">
        <v>1</v>
      </c>
      <c r="J39" s="87">
        <v>1</v>
      </c>
      <c r="K39" s="87">
        <v>1</v>
      </c>
      <c r="L39" s="87">
        <v>1</v>
      </c>
      <c r="M39" s="87">
        <v>1</v>
      </c>
      <c r="N39" s="87">
        <v>1</v>
      </c>
      <c r="O39" s="87">
        <v>1</v>
      </c>
      <c r="P39" s="69">
        <f>(((G39/E39*10)+(40/(1+E39)*H39)+(7.5/(E39)*I39)+(7.5/(E39)*J39)+(10/E39*K39)+(10/E39*L39)+(5/E39*M39)+(5/E39*N39)+(5/E39*O39))/100)</f>
        <v>1</v>
      </c>
      <c r="Q39" s="69">
        <f>((((F39/E39)*20)+((G39/E39)*25)+(30/(E39+1)*H39)+(5/E39*I39)+(5/E39*J39)+(5/E39*K39)+(5/E39*L39)+(0/E39*M39)+(0/E39*N39)+(5/E39*O39))/100)</f>
        <v>1</v>
      </c>
      <c r="R39" s="72" t="str">
        <f t="shared" si="0"/>
        <v>All work completed. Please provide OC.</v>
      </c>
    </row>
    <row r="40" spans="1:18 16383:16383" s="99" customFormat="1" ht="15.5" x14ac:dyDescent="0.35">
      <c r="A40" s="21" t="s">
        <v>242</v>
      </c>
      <c r="B40" s="25">
        <v>96.479004087699749</v>
      </c>
      <c r="C40" s="19">
        <v>1038.5</v>
      </c>
      <c r="D40" s="21" t="s">
        <v>238</v>
      </c>
      <c r="E40" s="21">
        <v>1</v>
      </c>
      <c r="F40" s="95">
        <v>1</v>
      </c>
      <c r="G40" s="95">
        <v>1</v>
      </c>
      <c r="H40" s="95">
        <v>2</v>
      </c>
      <c r="I40" s="95">
        <v>1</v>
      </c>
      <c r="J40" s="102">
        <v>1</v>
      </c>
      <c r="K40" s="102">
        <v>1</v>
      </c>
      <c r="L40" s="102">
        <v>1</v>
      </c>
      <c r="M40" s="102">
        <v>1</v>
      </c>
      <c r="N40" s="102">
        <v>0.5</v>
      </c>
      <c r="O40" s="102">
        <v>0</v>
      </c>
      <c r="P40" s="97">
        <f>(((G40/E40*10)+(40/(1+E40)*H40)+(7.5/(E40)*I40)+(7.5/(E40)*J40)+(10/E40*K40)+(10/E40*L40)+(5/E40*M40)+(5/E40*N40)+(5/E40*O40))/100)</f>
        <v>0.92500000000000004</v>
      </c>
      <c r="Q40" s="97">
        <f>((((F40/E40)*20)+((G40/E40)*25)+(30/(E40+1)*H40)+(5/E40*I40)+(5/E40*J40)+(5/E40*K40)+(5/E40*L40)+(0/E40*M40)+(0/E40*N40)+(5/E40*O40))/100)</f>
        <v>0.95</v>
      </c>
      <c r="R40" s="98" t="str">
        <f t="shared" si="0"/>
        <v>Plinth, RCC, Brick, Plaster, Flooring, Painting work Completed. Finishing work is in process.</v>
      </c>
    </row>
    <row r="41" spans="1:18 16383:16383" hidden="1" x14ac:dyDescent="0.3">
      <c r="A41" s="19" t="s">
        <v>212</v>
      </c>
      <c r="B41" s="25">
        <v>96.479004087699749</v>
      </c>
      <c r="C41" s="19">
        <v>1038.5</v>
      </c>
      <c r="D41" s="19"/>
      <c r="E41" s="19"/>
      <c r="F41" s="19"/>
      <c r="G41" s="19"/>
      <c r="H41" s="19"/>
      <c r="I41" s="19"/>
      <c r="J41" s="19"/>
      <c r="K41" s="19"/>
      <c r="L41" s="19"/>
      <c r="M41" s="29"/>
      <c r="N41" s="29"/>
      <c r="O41" s="29"/>
      <c r="P41" s="29"/>
      <c r="Q41" s="29"/>
    </row>
    <row r="42" spans="1:18 16383:16383" hidden="1" x14ac:dyDescent="0.3">
      <c r="A42" s="19" t="s">
        <v>213</v>
      </c>
      <c r="B42" s="25">
        <v>96.479004087699749</v>
      </c>
      <c r="C42" s="19">
        <v>1038.5</v>
      </c>
      <c r="D42" s="19"/>
      <c r="E42" s="19"/>
      <c r="F42" s="19"/>
      <c r="G42" s="19"/>
      <c r="H42" s="19"/>
      <c r="I42" s="19"/>
      <c r="J42" s="19"/>
      <c r="K42" s="19"/>
      <c r="L42" s="19"/>
      <c r="M42" s="29"/>
      <c r="N42" s="29"/>
      <c r="O42" s="29"/>
      <c r="P42" s="29"/>
      <c r="Q42" s="29"/>
    </row>
    <row r="43" spans="1:18 16383:16383" s="99" customFormat="1" ht="16.5" customHeight="1" x14ac:dyDescent="0.35">
      <c r="A43" s="21" t="s">
        <v>214</v>
      </c>
      <c r="B43" s="23">
        <v>96.479004087699749</v>
      </c>
      <c r="C43" s="23">
        <v>1038.5</v>
      </c>
      <c r="D43" s="95" t="s">
        <v>238</v>
      </c>
      <c r="E43" s="95">
        <v>1</v>
      </c>
      <c r="F43" s="95">
        <v>1</v>
      </c>
      <c r="G43" s="95">
        <v>1</v>
      </c>
      <c r="H43" s="102">
        <v>2</v>
      </c>
      <c r="I43" s="102">
        <v>1</v>
      </c>
      <c r="J43" s="102">
        <v>1</v>
      </c>
      <c r="K43" s="102">
        <v>1</v>
      </c>
      <c r="L43" s="102">
        <v>1</v>
      </c>
      <c r="M43" s="102">
        <v>1</v>
      </c>
      <c r="N43" s="104">
        <v>1</v>
      </c>
      <c r="O43" s="104">
        <v>1</v>
      </c>
      <c r="P43" s="97">
        <f>(((G43/E43*10)+(40/(1+E43)*H43)+(7.5/(E43)*I43)+(7.5/(E43)*J43)+(10/E43*K43)+(10/E43*L43)+(5/E43*M43)+(5/E43*N43)+(5/E43*O43))/100)</f>
        <v>1</v>
      </c>
      <c r="Q43" s="97">
        <f>((((F43/E43)*20)+((G43/E43)*25)+(30/(E43+1)*H43)+(5/E43*I43)+(5/E43*J43)+(5/E43*K43)+(5/E43*L43)+(0/E43*M43)+(0/E43*N43)+(5/E43*O43))/100)</f>
        <v>1</v>
      </c>
      <c r="R43" s="98" t="str">
        <f t="shared" ref="R43" si="1">(IF(P43&gt;99%,"All work completed. Please provide OC.",IF(P43&gt;89.8%,"Plinth, RCC, Brick, Plaster, Flooring, Painting work Completed. Finishing work is in process.",(IF(F43=0,"Work not yet Started.",IF(F43=25%*E43,"Piling work in process",IF(F43=50%*E43,"Excavation work in process",IF(F43=E43,"Excavation work Completed. ","0")))&amp;(IF(G43=0%,"",IF(G43=25%*E43,"Footing work is process",IF(G43=50%*E43,"Footing work Completed",IF(G43=75%*E43,"Plinth work is process",IF(G43=E43,"Plinth work completed","0")))))))&amp;(IF(H43=(1+E43),", RCC Slab",IF(H43&gt;0,", RCC upto "&amp;H43&amp;" Slab",""))&amp;(IF(I43=E43,", Brickwork",IF(I43&gt;0,", Brickwork upto "&amp;I43&amp;" Floor",""))&amp;(IF(J43=E43,", Internal Plaster",IF(J43&gt;0,", Internal Plaster upto "&amp;J43&amp;" Floor",""))&amp;(IF(K43=E43,", External Plaster",IF(K43&gt;0,", External Plaster upto "&amp;K43&amp;" Floor",""))&amp;(IF(L43=E43,", Flooring",IF(L43&gt;0,", Flooring upto "&amp;L43&amp;" Floor",""))&amp;(IF(M43=E43,", Painting",IF(M43&gt;0,", Painting upto "&amp;M43&amp;" Floor",""))&amp;(IF(N43&gt;0,", Finishing upto "&amp;N43&amp;" Floor","")&amp;(IF(H43&gt;0.5," Completed","")))))))))))))</f>
        <v>All work completed. Please provide OC.</v>
      </c>
      <c r="XFC43" s="21"/>
    </row>
    <row r="44" spans="1:18 16383:16383" ht="36" hidden="1" customHeight="1" x14ac:dyDescent="0.3">
      <c r="A44" s="19" t="s">
        <v>215</v>
      </c>
      <c r="B44" s="25">
        <v>96.479004087699749</v>
      </c>
      <c r="C44" s="19">
        <v>1038.5</v>
      </c>
      <c r="D44" s="19"/>
      <c r="E44" s="19"/>
      <c r="F44" s="19"/>
      <c r="G44" s="19"/>
      <c r="H44" s="19"/>
      <c r="I44" s="19"/>
      <c r="J44" s="19"/>
      <c r="K44" s="19"/>
      <c r="L44" s="19"/>
      <c r="M44" s="29"/>
      <c r="N44" s="29"/>
      <c r="O44" s="29"/>
      <c r="P44" s="29"/>
      <c r="Q44" s="29"/>
    </row>
    <row r="45" spans="1:18 16383:16383" ht="0.75" customHeight="1" x14ac:dyDescent="0.3">
      <c r="A45" s="19" t="s">
        <v>216</v>
      </c>
      <c r="B45" s="25">
        <v>96.479004087699749</v>
      </c>
      <c r="C45" s="19">
        <v>1038.5</v>
      </c>
      <c r="D45" s="19"/>
      <c r="E45" s="19"/>
      <c r="F45" s="19">
        <v>2</v>
      </c>
      <c r="G45" s="19"/>
      <c r="H45" s="19"/>
      <c r="I45" s="19"/>
      <c r="J45" s="19"/>
      <c r="K45" s="19"/>
      <c r="L45" s="19"/>
      <c r="M45" s="29"/>
      <c r="N45" s="29"/>
      <c r="O45" s="29"/>
      <c r="P45" s="31" t="e">
        <f>(((G45/E45*10)+(40/(1+E45)*H45)+(7.5/(E45)*I45)+(7.5/(E45)*J45)+(10/E45*K45)+(10/E45*L45)+(5/E45*M45)+(5/E45*N45)+(5/E45*O45))/100)</f>
        <v>#DIV/0!</v>
      </c>
      <c r="Q45" s="29"/>
    </row>
    <row r="46" spans="1:18 16383:16383" ht="30.75" hidden="1" customHeight="1" x14ac:dyDescent="0.3">
      <c r="A46" s="19">
        <v>34</v>
      </c>
      <c r="B46" s="25">
        <v>175.9568933481977</v>
      </c>
      <c r="C46" s="19">
        <v>1894</v>
      </c>
      <c r="D46" s="19"/>
      <c r="E46" s="19"/>
      <c r="F46" s="19"/>
      <c r="G46" s="19"/>
      <c r="H46" s="19"/>
      <c r="I46" s="19"/>
      <c r="J46" s="19"/>
      <c r="K46" s="19"/>
      <c r="L46" s="19"/>
      <c r="M46" s="29"/>
      <c r="N46" s="29"/>
      <c r="O46" s="29"/>
      <c r="P46" s="29"/>
      <c r="Q46" s="29"/>
    </row>
    <row r="47" spans="1:18 16383:16383" ht="9" hidden="1" customHeight="1" x14ac:dyDescent="0.3">
      <c r="A47" s="19">
        <v>35</v>
      </c>
      <c r="B47" s="25">
        <v>258.91861761426981</v>
      </c>
      <c r="C47" s="19">
        <v>2787</v>
      </c>
      <c r="D47" s="19"/>
      <c r="E47" s="19"/>
      <c r="F47" s="34"/>
      <c r="G47" s="34"/>
      <c r="H47" s="34"/>
      <c r="I47" s="34"/>
      <c r="J47" s="34"/>
      <c r="K47" s="34"/>
      <c r="L47" s="34"/>
      <c r="M47" s="35"/>
      <c r="N47" s="35"/>
      <c r="O47" s="35"/>
      <c r="P47" s="35"/>
      <c r="Q47" s="35"/>
    </row>
    <row r="48" spans="1:18 16383:16383" s="99" customFormat="1" ht="15.5" x14ac:dyDescent="0.35">
      <c r="A48" s="21">
        <v>36</v>
      </c>
      <c r="B48" s="24">
        <v>351.91378669639539</v>
      </c>
      <c r="C48" s="23">
        <v>3788</v>
      </c>
      <c r="D48" s="21" t="s">
        <v>238</v>
      </c>
      <c r="E48" s="101">
        <v>1</v>
      </c>
      <c r="F48" s="102">
        <v>1</v>
      </c>
      <c r="G48" s="102">
        <v>1</v>
      </c>
      <c r="H48" s="103">
        <v>2</v>
      </c>
      <c r="I48" s="102">
        <v>1</v>
      </c>
      <c r="J48" s="102">
        <v>1</v>
      </c>
      <c r="K48" s="102">
        <v>1</v>
      </c>
      <c r="L48" s="102">
        <v>1</v>
      </c>
      <c r="M48" s="102">
        <v>1</v>
      </c>
      <c r="N48" s="102">
        <v>1</v>
      </c>
      <c r="O48" s="102">
        <v>1</v>
      </c>
      <c r="P48" s="97">
        <f>(((G48/E48*10)+(40/(1+E48)*H48)+(7.5/(E48)*I48)+(7.5/(E48)*J48)+(10/E48*K48)+(10/E48*L48)+(5/E48*M48)+(5/E48*N48)+(5/E48*O48))/100)</f>
        <v>1</v>
      </c>
      <c r="Q48" s="97">
        <f>((((F48/E48)*20)+((G48/E48)*25)+(30/(E48+1)*H48)+(5/E48*I48)+(5/E48*J48)+(5/E48*K48)+(5/E48*L48)+(0/E48*M48)+(0/E48*N48)+(5/E48*O48))/100)</f>
        <v>1</v>
      </c>
      <c r="R48" s="98" t="str">
        <f>(IF(P48&gt;99%,"All work completed. Please provide OC.",IF(P48&gt;89.8%,"Plinth, RCC, Brick, Plaster, Flooring, Painting work Completed. Finishing work is in process.",(IF(F48=0,"Work not yet Started.",IF(F48=25%*E48,"Piling work in process",IF(F48=50%*E48,"Excavation work in process",IF(F48=E48,"Excavation work Completed. ","0")))&amp;(IF(G48=0%,"",IF(G48=25%*E48,"Footing work is process",IF(G48=50%*E48,"Footing work Completed",IF(G48=75%*E48,"Plinth work is process",IF(G48=E48,"Plinth work completed","0")))))))&amp;(IF(H48=(1+E48),", RCC Slab",IF(H48&gt;0,", RCC upto "&amp;H48&amp;" Slab",""))&amp;(IF(I48=E48,", Brickwork",IF(I48&gt;0,", Brickwork upto "&amp;I48&amp;" Floor",""))&amp;(IF(J48=E48,", Internal Plaster",IF(J48&gt;0,", Internal Plaster upto "&amp;J48&amp;" Floor",""))&amp;(IF(K48=E48,", External Plaster",IF(K48&gt;0,", External Plaster upto "&amp;K48&amp;" Floor",""))&amp;(IF(L48=E48,", Flooring",IF(L48&gt;0,", Flooring upto "&amp;L48&amp;" Floor",""))&amp;(IF(M48=E48,", Painting",IF(M48&gt;0,", Painting upto "&amp;M48&amp;" Floor",""))&amp;(IF(N48&gt;0,", Finishing upto "&amp;N48&amp;" Floor","")&amp;(IF(H48&gt;0.5," Completed","")))))))))))))</f>
        <v>All work completed. Please provide OC.</v>
      </c>
    </row>
    <row r="49" spans="1:18 16383:16383" hidden="1" x14ac:dyDescent="0.3">
      <c r="A49" s="19">
        <v>37</v>
      </c>
      <c r="B49" s="25">
        <v>173.91304347826087</v>
      </c>
      <c r="C49" s="19">
        <v>1872</v>
      </c>
      <c r="D49" s="19"/>
      <c r="E49" s="19"/>
      <c r="F49" s="36"/>
      <c r="G49" s="36"/>
      <c r="H49" s="36"/>
      <c r="I49" s="36"/>
      <c r="J49" s="36"/>
      <c r="K49" s="36"/>
      <c r="L49" s="36"/>
      <c r="M49" s="30"/>
      <c r="N49" s="30"/>
      <c r="O49" s="30"/>
      <c r="P49" s="30"/>
      <c r="Q49" s="30"/>
    </row>
    <row r="50" spans="1:18 16383:16383" hidden="1" x14ac:dyDescent="0.3">
      <c r="A50" s="19" t="s">
        <v>217</v>
      </c>
      <c r="B50" s="25">
        <v>154.40356744704573</v>
      </c>
      <c r="C50" s="19">
        <v>1662</v>
      </c>
      <c r="D50" s="19"/>
      <c r="E50" s="19"/>
      <c r="F50" s="19"/>
      <c r="G50" s="19"/>
      <c r="H50" s="19"/>
      <c r="I50" s="19"/>
      <c r="J50" s="19"/>
      <c r="K50" s="19"/>
      <c r="L50" s="19"/>
      <c r="M50" s="29"/>
      <c r="N50" s="29"/>
      <c r="O50" s="29"/>
      <c r="P50" s="29"/>
      <c r="Q50" s="29"/>
    </row>
    <row r="51" spans="1:18 16383:16383" s="99" customFormat="1" ht="15.5" x14ac:dyDescent="0.35">
      <c r="A51" s="21" t="s">
        <v>218</v>
      </c>
      <c r="B51" s="23">
        <v>154.40356744704573</v>
      </c>
      <c r="C51" s="32">
        <v>1662</v>
      </c>
      <c r="D51" s="21" t="s">
        <v>238</v>
      </c>
      <c r="E51" s="102">
        <v>1</v>
      </c>
      <c r="F51" s="103">
        <v>1</v>
      </c>
      <c r="G51" s="102">
        <v>1</v>
      </c>
      <c r="H51" s="102">
        <v>2</v>
      </c>
      <c r="I51" s="102">
        <v>1</v>
      </c>
      <c r="J51" s="102">
        <v>1</v>
      </c>
      <c r="K51" s="102">
        <v>1</v>
      </c>
      <c r="L51" s="102">
        <v>0.5</v>
      </c>
      <c r="M51" s="102">
        <v>0.5</v>
      </c>
      <c r="N51" s="102">
        <v>0</v>
      </c>
      <c r="O51" s="102">
        <v>0</v>
      </c>
      <c r="P51" s="97">
        <f>(((G51/E51*10)+(40/(1+E51)*H51)+(7.5/(E51)*I51)+(7.5/(E51)*J51)+(10/E51*K51)+(10/E51*L51)+(5/E51*M51)+(5/E51*N51)+(5/E51*O51))/100)</f>
        <v>0.82499999999999996</v>
      </c>
      <c r="Q51" s="97">
        <f>((((F51/E51)*20)+((G51/E51)*25)+(30/(E51+1)*H51)+(5/E51*I51)+(5/E51*J51)+(5/E51*K51)+(5/E51*L51)+(0/E51*M51)+(0/E51*N51)+(5/E51*O51))/100)</f>
        <v>0.92500000000000004</v>
      </c>
      <c r="R51" s="39" t="str">
        <f>(IF(P51&gt;99%,"All work completed. Please provide OC.",IF(P51&gt;89.8%,"Plinth, RCC, Brick, Plaster, Flooring, Painting work Completed. Finishing work is in process.",(IF(F51=0,"Work not yet Started.",IF(F51=25%*E51,"Piling work in process",IF(F51=50%*E51,"Excavation work in process",IF(F51=E51,"Excavation work Completed. ","0")))&amp;(IF(G51=0%,"",IF(G51=25%*E51,"Footing work is process",IF(G51=50%*E51,"Footing work Completed",IF(G51=75%*E51,"Plinth work is process",IF(G51=E51,"Plinth work completed","0")))))))&amp;(IF(H51=(1+E51),", RCC Slab",IF(H51&gt;0,", RCC upto "&amp;H51&amp;" Slab",""))&amp;(IF(I51=E51,", Brickwork",IF(I51&gt;0,", Brickwork upto "&amp;I51&amp;" Floor",""))&amp;(IF(J51=E51,", Internal Plaster",IF(J51&gt;0,", Internal Plaster upto "&amp;J51&amp;" Floor",""))&amp;(IF(K51=E51,", External Plaster",IF(K51&gt;0,", External Plaster upto "&amp;K51&amp;" Floor",""))&amp;(IF(L51=E51,", Flooring",IF(L51&gt;0,", Flooring upto "&amp;L51&amp;" Floor",""))&amp;(IF(M51=E51,", Painting",IF(M51&gt;0,", Painting upto "&amp;M51&amp;" Floor",""))&amp;(IF(N51&gt;0,", Finishing upto "&amp;N51&amp;" Floor","")&amp;(IF(H51&gt;0.5," Completed","")))))))))))))</f>
        <v>Excavation work Completed. Plinth work completed, RCC Slab, Brickwork, Internal Plaster, External Plaster, Flooring upto 0.5 Floor, Painting upto 0.5 Floor Completed</v>
      </c>
      <c r="XFC51" s="21"/>
    </row>
    <row r="52" spans="1:18 16383:16383" hidden="1" x14ac:dyDescent="0.3">
      <c r="A52" s="19" t="s">
        <v>219</v>
      </c>
      <c r="B52" s="25">
        <v>110.9253065774805</v>
      </c>
      <c r="C52" s="19">
        <v>1194</v>
      </c>
      <c r="D52" s="19"/>
      <c r="E52" s="19"/>
      <c r="F52" s="19"/>
      <c r="G52" s="19"/>
      <c r="H52" s="19"/>
      <c r="I52" s="19"/>
      <c r="J52" s="19"/>
      <c r="K52" s="19"/>
      <c r="L52" s="19"/>
      <c r="M52" s="29"/>
      <c r="N52" s="29"/>
      <c r="O52" s="29"/>
      <c r="P52" s="29"/>
      <c r="Q52" s="29"/>
    </row>
    <row r="53" spans="1:18 16383:16383" hidden="1" x14ac:dyDescent="0.3">
      <c r="A53" s="19" t="s">
        <v>220</v>
      </c>
      <c r="B53" s="25">
        <v>110.9253065774805</v>
      </c>
      <c r="C53" s="19">
        <v>1194</v>
      </c>
      <c r="D53" s="19"/>
      <c r="E53" s="19"/>
      <c r="F53" s="19"/>
      <c r="G53" s="19"/>
      <c r="H53" s="19"/>
      <c r="I53" s="19"/>
      <c r="J53" s="19"/>
      <c r="K53" s="19"/>
      <c r="L53" s="19"/>
      <c r="M53" s="29"/>
      <c r="N53" s="29"/>
      <c r="O53" s="29"/>
      <c r="P53" s="29"/>
      <c r="Q53" s="29"/>
    </row>
    <row r="54" spans="1:18 16383:16383" hidden="1" x14ac:dyDescent="0.3">
      <c r="A54" s="19">
        <v>40</v>
      </c>
      <c r="B54" s="25">
        <v>503.80899293942775</v>
      </c>
      <c r="C54" s="19">
        <v>5423</v>
      </c>
      <c r="D54" s="19"/>
      <c r="E54" s="19"/>
      <c r="F54" s="19"/>
      <c r="G54" s="19"/>
      <c r="H54" s="19"/>
      <c r="I54" s="19"/>
      <c r="J54" s="19"/>
      <c r="K54" s="19"/>
      <c r="L54" s="19"/>
      <c r="M54" s="29"/>
      <c r="N54" s="29"/>
      <c r="O54" s="29"/>
      <c r="P54" s="29"/>
      <c r="Q54" s="29"/>
    </row>
    <row r="55" spans="1:18 16383:16383" hidden="1" x14ac:dyDescent="0.3">
      <c r="A55" s="19">
        <v>41</v>
      </c>
      <c r="B55" s="25">
        <v>154.96098104793757</v>
      </c>
      <c r="C55" s="19">
        <v>1668</v>
      </c>
      <c r="D55" s="19"/>
      <c r="E55" s="19"/>
      <c r="F55" s="19"/>
      <c r="G55" s="19"/>
      <c r="H55" s="19"/>
      <c r="I55" s="19"/>
      <c r="J55" s="19"/>
      <c r="K55" s="19"/>
      <c r="L55" s="19"/>
      <c r="M55" s="29"/>
      <c r="N55" s="29"/>
      <c r="O55" s="29"/>
      <c r="P55" s="29"/>
      <c r="Q55" s="29"/>
    </row>
    <row r="56" spans="1:18 16383:16383" hidden="1" x14ac:dyDescent="0.3">
      <c r="A56" s="19">
        <v>42</v>
      </c>
      <c r="B56" s="25">
        <v>99.962839093273885</v>
      </c>
      <c r="C56" s="19">
        <v>1076</v>
      </c>
      <c r="D56" s="19"/>
      <c r="E56" s="19"/>
      <c r="F56" s="19"/>
      <c r="G56" s="19"/>
      <c r="H56" s="19"/>
      <c r="I56" s="19"/>
      <c r="J56" s="19"/>
      <c r="K56" s="19"/>
      <c r="L56" s="19"/>
      <c r="M56" s="29"/>
      <c r="N56" s="29"/>
      <c r="O56" s="29"/>
      <c r="P56" s="29"/>
      <c r="Q56" s="29"/>
    </row>
    <row r="57" spans="1:18 16383:16383" hidden="1" x14ac:dyDescent="0.3">
      <c r="A57" s="19">
        <v>43</v>
      </c>
      <c r="B57" s="25">
        <v>99.962839093273885</v>
      </c>
      <c r="C57" s="19">
        <v>1076</v>
      </c>
      <c r="D57" s="19"/>
      <c r="E57" s="19"/>
      <c r="F57" s="19"/>
      <c r="G57" s="19"/>
      <c r="H57" s="19"/>
      <c r="I57" s="19"/>
      <c r="J57" s="19"/>
      <c r="K57" s="19"/>
      <c r="L57" s="19"/>
      <c r="M57" s="29"/>
      <c r="N57" s="29"/>
      <c r="O57" s="29"/>
      <c r="P57" s="29"/>
      <c r="Q57" s="29"/>
    </row>
    <row r="58" spans="1:18 16383:16383" s="27" customFormat="1" ht="15.5" x14ac:dyDescent="0.35">
      <c r="A58" s="23">
        <v>44</v>
      </c>
      <c r="B58" s="25">
        <v>99.962839093273885</v>
      </c>
      <c r="C58" s="19">
        <v>1076</v>
      </c>
      <c r="D58" s="23" t="s">
        <v>238</v>
      </c>
      <c r="E58" s="23">
        <v>1</v>
      </c>
      <c r="F58" s="48">
        <v>1</v>
      </c>
      <c r="G58" s="48">
        <v>1</v>
      </c>
      <c r="H58" s="48">
        <v>2</v>
      </c>
      <c r="I58" s="48">
        <v>1</v>
      </c>
      <c r="J58" s="89">
        <v>1</v>
      </c>
      <c r="K58" s="89">
        <v>1</v>
      </c>
      <c r="L58" s="89">
        <v>1</v>
      </c>
      <c r="M58" s="89">
        <v>1</v>
      </c>
      <c r="N58" s="89">
        <v>1</v>
      </c>
      <c r="O58" s="89">
        <v>1</v>
      </c>
      <c r="P58" s="31">
        <f>(((G58/E58*10)+(40/(1+E58)*H58)+(7.5/(E58)*I58)+(7.5/(E58)*J58)+(10/E58*K58)+(10/E58*L58)+(5/E58*M58)+(5/E58*N58)+(5/E58*O58))/100)</f>
        <v>1</v>
      </c>
      <c r="Q58" s="31">
        <f>((((F58/E58)*20)+((G58/E58)*25)+(30/(E58+1)*H58)+(5/E58*I58)+(5/E58*J58)+(5/E58*K58)+(5/E58*L58)+(0/E58*M58)+(0/E58*N58)+(5/E58*O58))/100)</f>
        <v>1</v>
      </c>
      <c r="R58" s="39" t="str">
        <f>(IF(P58&gt;99%,"All work completed. Please provide OC.",IF(P58&gt;89.8%,"Plinth, RCC, Brick, Plaster, Flooring, Painting work Completed. Finishing work is in process.",(IF(F58=0,"Work not yet Started.",IF(F58=25%*E58,"Piling work in process",IF(F58=50%*E58,"Excavation work in process",IF(F58=E58,"Excavation work Completed. ","0")))&amp;(IF(G58=0%,"",IF(G58=25%*E58,"Footing work is process",IF(G58=50%*E58,"Footing work Completed",IF(G58=75%*E58,"Plinth work is process",IF(G58=E58,"Plinth work completed","0")))))))&amp;(IF(H58=(1+E58),", RCC Slab",IF(H58&gt;0,", RCC upto "&amp;H58&amp;" Slab",""))&amp;(IF(I58=E58,", Brickwork",IF(I58&gt;0,", Brickwork upto "&amp;I58&amp;" Floor",""))&amp;(IF(J58=E58,", Internal Plaster",IF(J58&gt;0,", Internal Plaster upto "&amp;J58&amp;" Floor",""))&amp;(IF(K58=E58,", External Plaster",IF(K58&gt;0,", External Plaster upto "&amp;K58&amp;" Floor",""))&amp;(IF(L58=E58,", Flooring",IF(L58&gt;0,", Flooring upto "&amp;L58&amp;" Floor",""))&amp;(IF(M58=E58,", Painting",IF(M58&gt;0,", Painting upto "&amp;M58&amp;" Floor",""))&amp;(IF(N58&gt;0,", Finishing upto "&amp;N58&amp;" Floor","")&amp;(IF(H58&gt;0.5," Completed","")))))))))))))</f>
        <v>All work completed. Please provide OC.</v>
      </c>
    </row>
    <row r="59" spans="1:18 16383:16383" s="99" customFormat="1" ht="15" customHeight="1" x14ac:dyDescent="0.35">
      <c r="A59" s="21">
        <v>45</v>
      </c>
      <c r="B59" s="24">
        <v>99.962839093273885</v>
      </c>
      <c r="C59" s="23">
        <v>1076</v>
      </c>
      <c r="D59" s="21" t="s">
        <v>238</v>
      </c>
      <c r="E59" s="101">
        <v>1</v>
      </c>
      <c r="F59" s="102">
        <v>1</v>
      </c>
      <c r="G59" s="102">
        <v>1</v>
      </c>
      <c r="H59" s="103">
        <v>2</v>
      </c>
      <c r="I59" s="102">
        <v>1</v>
      </c>
      <c r="J59" s="102">
        <v>1</v>
      </c>
      <c r="K59" s="102">
        <v>1</v>
      </c>
      <c r="L59" s="102">
        <v>1</v>
      </c>
      <c r="M59" s="102">
        <v>1</v>
      </c>
      <c r="N59" s="102">
        <v>1</v>
      </c>
      <c r="O59" s="102">
        <v>1</v>
      </c>
      <c r="P59" s="97">
        <f>(((G59/E59*10)+(40/(1+E59)*H59)+(7.5/(E59)*I59)+(7.5/(E59)*J59)+(10/E59*K59)+(10/E59*L59)+(5/E59*M59)+(5/E59*N59)+(5/E59*O59))/100)</f>
        <v>1</v>
      </c>
      <c r="Q59" s="97">
        <f>((((F59/E59)*20)+((G59/E59)*25)+(30/(E59+1)*H59)+(5/E59*I59)+(5/E59*J59)+(5/E59*K59)+(5/E59*L59)+(0/E59*M59)+(0/E59*N59)+(5/E59*O59))/100)</f>
        <v>1</v>
      </c>
      <c r="R59" s="98" t="str">
        <f>(IF(P59&gt;99%,"All work completed. Please provide OC.",IF(P59&gt;89.8%,"Plinth, RCC, Brick, Plaster, Flooring, Painting work Completed. Finishing work is in process.",(IF(F59=0,"Work not yet Started.",IF(F59=25%*E59,"Piling work in process",IF(F59=50%*E59,"Excavation work in process",IF(F59=E59,"Excavation work Completed. ","0")))&amp;(IF(G59=0%,"",IF(G59=25%*E59,"Footing work is process",IF(G59=50%*E59,"Footing work Completed",IF(G59=75%*E59,"Plinth work is process",IF(G59=E59,"Plinth work completed","0")))))))&amp;(IF(H59=(1+E59),", RCC Slab",IF(H59&gt;0,", RCC upto "&amp;H59&amp;" Slab",""))&amp;(IF(I59=E59,", Brickwork",IF(I59&gt;0,", Brickwork upto "&amp;I59&amp;" Floor",""))&amp;(IF(J59=E59,", Internal Plaster",IF(J59&gt;0,", Internal Plaster upto "&amp;J59&amp;" Floor",""))&amp;(IF(K59=E59,", External Plaster",IF(K59&gt;0,", External Plaster upto "&amp;K59&amp;" Floor",""))&amp;(IF(L59=E59,", Flooring",IF(L59&gt;0,", Flooring upto "&amp;L59&amp;" Floor",""))&amp;(IF(M59=E59,", Painting",IF(M59&gt;0,", Painting upto "&amp;M59&amp;" Floor",""))&amp;(IF(N59&gt;0,", Finishing upto "&amp;N59&amp;" Floor","")&amp;(IF(H59&gt;0.5," Completed","")))))))))))))</f>
        <v>All work completed. Please provide OC.</v>
      </c>
    </row>
    <row r="60" spans="1:18 16383:16383" hidden="1" x14ac:dyDescent="0.3">
      <c r="A60" s="19">
        <v>46</v>
      </c>
      <c r="B60" s="25">
        <v>99.962839093273885</v>
      </c>
      <c r="C60" s="19">
        <v>1076</v>
      </c>
      <c r="D60" s="19"/>
      <c r="E60" s="19"/>
      <c r="F60" s="36"/>
      <c r="G60" s="36"/>
      <c r="H60" s="36"/>
      <c r="I60" s="36"/>
      <c r="J60" s="36"/>
      <c r="K60" s="36"/>
      <c r="L60" s="36"/>
      <c r="M60" s="30"/>
      <c r="N60" s="30"/>
      <c r="O60" s="30"/>
      <c r="P60" s="30"/>
      <c r="Q60" s="30"/>
    </row>
    <row r="61" spans="1:18 16383:16383" s="73" customFormat="1" ht="15.5" x14ac:dyDescent="0.35">
      <c r="A61" s="71">
        <v>47</v>
      </c>
      <c r="B61" s="25">
        <v>195.93088071348942</v>
      </c>
      <c r="C61" s="19">
        <v>2109</v>
      </c>
      <c r="D61" s="71" t="s">
        <v>238</v>
      </c>
      <c r="E61" s="71">
        <v>1</v>
      </c>
      <c r="F61" s="74">
        <v>1</v>
      </c>
      <c r="G61" s="74">
        <v>1</v>
      </c>
      <c r="H61" s="74">
        <v>2</v>
      </c>
      <c r="I61" s="74">
        <v>1</v>
      </c>
      <c r="J61" s="74">
        <v>1</v>
      </c>
      <c r="K61" s="74">
        <v>1</v>
      </c>
      <c r="L61" s="74">
        <v>1</v>
      </c>
      <c r="M61" s="75">
        <v>1</v>
      </c>
      <c r="N61" s="75">
        <v>1</v>
      </c>
      <c r="O61" s="75">
        <v>1</v>
      </c>
      <c r="P61" s="69">
        <f>(((G61/E61*10)+(40/(1+E61)*H61)+(7.5/(E61)*I61)+(7.5/(E61)*J61)+(10/E61*K61)+(10/E61*L61)+(5/E61*M61)+(5/E61*N61)+(5/E61*O61))/100)</f>
        <v>1</v>
      </c>
      <c r="Q61" s="69">
        <f>((((F61/E61)*20)+((G61/E61)*25)+(30/(E61+1)*H61)+(5/E61*I61)+(5/E61*J61)+(5/E61*K61)+(5/E61*L61)+(0/E61*M61)+(0/E61*N61)+(5/E61*O61))/100)</f>
        <v>1</v>
      </c>
      <c r="R61" s="72" t="str">
        <f>(IF(P61&gt;99%,"All work completed. Please provide OC.",IF(P61&gt;89.8%,"Plinth, RCC, Brick, Plaster, Flooring, Painting work Completed. Finishing work is in process.",(IF(F61=0,"Work not yet Started.",IF(F61=25%*E61,"Piling work in process",IF(F61=50%*E61,"Excavation work in process",IF(F61=E61,"Excavation work Completed. ","0")))&amp;(IF(G61=0%,"",IF(G61=25%*E61,"Footing work is process",IF(G61=50%*E61,"Footing work Completed",IF(G61=75%*E61,"Plinth work is process",IF(G61=E61,"Plinth work completed","0")))))))&amp;(IF(H61=(1+E61),", RCC Slab",IF(H61&gt;0,", RCC upto "&amp;H61&amp;" Slab",""))&amp;(IF(I61=E61,", Brickwork",IF(I61&gt;0,", Brickwork upto "&amp;I61&amp;" Floor",""))&amp;(IF(J61=E61,", Internal Plaster",IF(J61&gt;0,", Internal Plaster upto "&amp;J61&amp;" Floor",""))&amp;(IF(K61=E61,", External Plaster",IF(K61&gt;0,", External Plaster upto "&amp;K61&amp;" Floor",""))&amp;(IF(L61=E61,", Flooring",IF(L61&gt;0,", Flooring upto "&amp;L61&amp;" Floor",""))&amp;(IF(M61=E61,", Painting",IF(M61&gt;0,", Painting upto "&amp;M61&amp;" Floor",""))&amp;(IF(N61&gt;0,", Finishing upto "&amp;N61&amp;" Floor","")&amp;(IF(H61&gt;0.5," Completed","")))))))))))))</f>
        <v>All work completed. Please provide OC.</v>
      </c>
    </row>
    <row r="62" spans="1:18 16383:16383" s="73" customFormat="1" ht="15.5" x14ac:dyDescent="0.35">
      <c r="A62" s="71">
        <v>48</v>
      </c>
      <c r="B62" s="24">
        <v>150.96618357487924</v>
      </c>
      <c r="C62" s="23">
        <v>1625</v>
      </c>
      <c r="D62" s="71" t="s">
        <v>238</v>
      </c>
      <c r="E62" s="86">
        <v>1</v>
      </c>
      <c r="F62" s="87">
        <v>1</v>
      </c>
      <c r="G62" s="87">
        <v>1</v>
      </c>
      <c r="H62" s="88">
        <v>2</v>
      </c>
      <c r="I62" s="87">
        <v>1</v>
      </c>
      <c r="J62" s="87">
        <v>1</v>
      </c>
      <c r="K62" s="87">
        <v>1</v>
      </c>
      <c r="L62" s="87">
        <v>1</v>
      </c>
      <c r="M62" s="87">
        <v>1</v>
      </c>
      <c r="N62" s="87">
        <v>1</v>
      </c>
      <c r="O62" s="87">
        <v>1</v>
      </c>
      <c r="P62" s="69">
        <f>(((G62/E62*10)+(40/(1+E62)*H62)+(7.5/(E62)*I62)+(7.5/(E62)*J62)+(10/E62*K62)+(10/E62*L62)+(5/E62*M62)+(5/E62*N62)+(5/E62*O62))/100)</f>
        <v>1</v>
      </c>
      <c r="Q62" s="69">
        <f>((((F62/E62)*20)+((G62/E62)*25)+(30/(E62+1)*H62)+(5/E62*I62)+(5/E62*J62)+(5/E62*K62)+(5/E62*L62)+(0/E62*M62)+(0/E62*N62)+(5/E62*O62))/100)</f>
        <v>1</v>
      </c>
      <c r="R62" s="72" t="str">
        <f t="shared" ref="R62:R63" si="2">(IF(P62&gt;99%,"All work completed. Please provide OC.",IF(P62&gt;89.8%,"Plinth, RCC, Brick, Plaster, Flooring, Painting work Completed. Finishing work is in process.",(IF(F62=0,"Work not yet Started.",IF(F62=25%*E62,"Piling work in process",IF(F62=50%*E62,"Excavation work in process",IF(F62=E62,"Excavation work Completed. ","0")))&amp;(IF(G62=0%,"",IF(G62=25%*E62,"Footing work is process",IF(G62=50%*E62,"Footing work Completed",IF(G62=75%*E62,"Plinth work is process",IF(G62=E62,"Plinth work completed","0")))))))&amp;(IF(H62=(1+E62),", RCC Slab",IF(H62&gt;0,", RCC upto "&amp;H62&amp;" Slab",""))&amp;(IF(I62=E62,", Brickwork",IF(I62&gt;0,", Brickwork upto "&amp;I62&amp;" Floor",""))&amp;(IF(J62=E62,", Internal Plaster",IF(J62&gt;0,", Internal Plaster upto "&amp;J62&amp;" Floor",""))&amp;(IF(K62=E62,", External Plaster",IF(K62&gt;0,", External Plaster upto "&amp;K62&amp;" Floor",""))&amp;(IF(L62=E62,", Flooring",IF(L62&gt;0,", Flooring upto "&amp;L62&amp;" Floor",""))&amp;(IF(M62=E62,", Painting",IF(M62&gt;0,", Painting upto "&amp;M62&amp;" Floor",""))&amp;(IF(N62&gt;0,", Finishing upto "&amp;N62&amp;" Floor","")&amp;(IF(H62&gt;0.5," Completed","")))))))))))))</f>
        <v>All work completed. Please provide OC.</v>
      </c>
    </row>
    <row r="63" spans="1:18 16383:16383" s="73" customFormat="1" ht="15.5" x14ac:dyDescent="0.35">
      <c r="A63" s="71">
        <v>49</v>
      </c>
      <c r="B63" s="24">
        <v>99.962839093273885</v>
      </c>
      <c r="C63" s="23">
        <v>1076</v>
      </c>
      <c r="D63" s="71" t="s">
        <v>238</v>
      </c>
      <c r="E63" s="86">
        <v>1</v>
      </c>
      <c r="F63" s="87">
        <v>1</v>
      </c>
      <c r="G63" s="87">
        <v>1</v>
      </c>
      <c r="H63" s="88">
        <v>2</v>
      </c>
      <c r="I63" s="87">
        <v>1</v>
      </c>
      <c r="J63" s="87">
        <v>1</v>
      </c>
      <c r="K63" s="87">
        <v>1</v>
      </c>
      <c r="L63" s="87">
        <v>1</v>
      </c>
      <c r="M63" s="87">
        <v>1</v>
      </c>
      <c r="N63" s="87">
        <v>1</v>
      </c>
      <c r="O63" s="87">
        <v>1</v>
      </c>
      <c r="P63" s="69">
        <f>(((G63/E63*10)+(40/(1+E63)*H63)+(7.5/(E63)*I63)+(7.5/(E63)*J63)+(10/E63*K63)+(10/E63*L63)+(5/E63*M63)+(5/E63*N63)+(5/E63*O63))/100)</f>
        <v>1</v>
      </c>
      <c r="Q63" s="69">
        <f>((((F63/E63)*20)+((G63/E63)*25)+(30/(E63+1)*H63)+(5/E63*I63)+(5/E63*J63)+(5/E63*K63)+(5/E63*L63)+(0/E63*M63)+(0/E63*N63)+(5/E63*O63))/100)</f>
        <v>1</v>
      </c>
      <c r="R63" s="72" t="str">
        <f t="shared" si="2"/>
        <v>All work completed. Please provide OC.</v>
      </c>
    </row>
    <row r="64" spans="1:18 16383:16383" hidden="1" x14ac:dyDescent="0.3">
      <c r="A64" s="19">
        <v>50</v>
      </c>
      <c r="B64" s="25">
        <v>99.962839093273885</v>
      </c>
      <c r="C64" s="19">
        <v>1076</v>
      </c>
      <c r="D64" s="19"/>
      <c r="E64" s="19"/>
      <c r="F64" s="36"/>
      <c r="G64" s="36"/>
      <c r="H64" s="36"/>
      <c r="I64" s="36"/>
      <c r="J64" s="36"/>
      <c r="K64" s="36"/>
      <c r="L64" s="36"/>
      <c r="M64" s="30"/>
      <c r="N64" s="30"/>
      <c r="O64" s="30"/>
      <c r="P64" s="30"/>
      <c r="Q64" s="30"/>
    </row>
    <row r="65" spans="1:18 16383:16383" hidden="1" x14ac:dyDescent="0.3">
      <c r="A65" s="19">
        <v>51</v>
      </c>
      <c r="B65" s="25">
        <v>99.962839093273885</v>
      </c>
      <c r="C65" s="19">
        <v>1076</v>
      </c>
      <c r="D65" s="19"/>
      <c r="E65" s="19"/>
      <c r="F65" s="19"/>
      <c r="G65" s="19"/>
      <c r="H65" s="19"/>
      <c r="I65" s="19"/>
      <c r="J65" s="19"/>
      <c r="K65" s="19"/>
      <c r="L65" s="19"/>
      <c r="M65" s="29"/>
      <c r="N65" s="29"/>
      <c r="O65" s="29"/>
      <c r="P65" s="29"/>
      <c r="Q65" s="29"/>
    </row>
    <row r="66" spans="1:18 16383:16383" s="99" customFormat="1" ht="15.5" x14ac:dyDescent="0.35">
      <c r="A66" s="21">
        <v>52</v>
      </c>
      <c r="B66" s="25">
        <v>99.962839093273885</v>
      </c>
      <c r="C66" s="19">
        <v>1076</v>
      </c>
      <c r="D66" s="21" t="s">
        <v>238</v>
      </c>
      <c r="E66" s="21">
        <v>1</v>
      </c>
      <c r="F66" s="21">
        <v>1</v>
      </c>
      <c r="G66" s="21">
        <v>1</v>
      </c>
      <c r="H66" s="21">
        <v>2</v>
      </c>
      <c r="I66" s="21">
        <v>1</v>
      </c>
      <c r="J66" s="21">
        <v>1</v>
      </c>
      <c r="K66" s="21">
        <v>1</v>
      </c>
      <c r="L66" s="21">
        <v>1</v>
      </c>
      <c r="M66" s="100">
        <v>1</v>
      </c>
      <c r="N66" s="100">
        <v>1</v>
      </c>
      <c r="O66" s="100">
        <v>1</v>
      </c>
      <c r="P66" s="97">
        <f>(((G66/E66*10)+(40/(1+E66)*H66)+(7.5/(E66)*I66)+(7.5/(E66)*J66)+(10/E66*K66)+(10/E66*L66)+(5/E66*M66)+(5/E66*N66)+(5/E66*O66))/100)</f>
        <v>1</v>
      </c>
      <c r="Q66" s="97">
        <f>((((F66/E66)*20)+((G66/E66)*25)+(30/(E66+1)*H66)+(5/E66*I66)+(5/E66*J66)+(5/E66*K66)+(5/E66*L66)+(0/E66*M66)+(0/E66*N66)+(5/E66*O66))/100)</f>
        <v>1</v>
      </c>
      <c r="R66" s="98" t="str">
        <f t="shared" ref="R66" si="3">(IF(P66&gt;99%,"All work completed. Please provide OC.",IF(P66&gt;89.8%,"Plinth, RCC, Brick, Plaster, Flooring, Painting work Completed. Finishing work is in process.",(IF(F66=0,"Work not yet Started.",IF(F66=25%*E66,"Piling work in process",IF(F66=50%*E66,"Excavation work in process",IF(F66=E66,"Excavation work Completed. ","0")))&amp;(IF(G66=0%,"",IF(G66=25%*E66,"Footing work is process",IF(G66=50%*E66,"Footing work Completed",IF(G66=75%*E66,"Plinth work is process",IF(G66=E66,"Plinth work completed","0")))))))&amp;(IF(H66=(1+E66),", RCC Slab",IF(H66&gt;0,", RCC upto "&amp;H66&amp;" Slab",""))&amp;(IF(I66=E66,", Brickwork",IF(I66&gt;0,", Brickwork upto "&amp;I66&amp;" Floor",""))&amp;(IF(J66=E66,", Internal Plaster",IF(J66&gt;0,", Internal Plaster upto "&amp;J66&amp;" Floor",""))&amp;(IF(K66=E66,", External Plaster",IF(K66&gt;0,", External Plaster upto "&amp;K66&amp;" Floor",""))&amp;(IF(L66=E66,", Flooring",IF(L66&gt;0,", Flooring upto "&amp;L66&amp;" Floor",""))&amp;(IF(M66=E66,", Painting",IF(M66&gt;0,", Painting upto "&amp;M66&amp;" Floor",""))&amp;(IF(N66&gt;0,", Finishing upto "&amp;N66&amp;" Floor","")&amp;(IF(H66&gt;0.5," Completed","")))))))))))))</f>
        <v>All work completed. Please provide OC.</v>
      </c>
    </row>
    <row r="67" spans="1:18 16383:16383" hidden="1" x14ac:dyDescent="0.3">
      <c r="A67" s="19">
        <v>53</v>
      </c>
      <c r="B67" s="25">
        <v>99.962839093273885</v>
      </c>
      <c r="C67" s="19">
        <v>1076</v>
      </c>
      <c r="D67" s="19"/>
      <c r="E67" s="19"/>
      <c r="F67" s="19"/>
      <c r="G67" s="19"/>
      <c r="H67" s="19"/>
      <c r="I67" s="19"/>
      <c r="J67" s="19"/>
      <c r="K67" s="19"/>
      <c r="L67" s="19"/>
      <c r="M67" s="29"/>
      <c r="N67" s="29"/>
      <c r="O67" s="29"/>
      <c r="P67" s="29"/>
      <c r="Q67" s="29"/>
    </row>
    <row r="68" spans="1:18 16383:16383" hidden="1" x14ac:dyDescent="0.3">
      <c r="A68" s="19">
        <v>54</v>
      </c>
      <c r="B68" s="25">
        <v>99.962839093273885</v>
      </c>
      <c r="C68" s="19">
        <v>1076</v>
      </c>
      <c r="D68" s="19"/>
      <c r="E68" s="19"/>
      <c r="F68" s="19"/>
      <c r="G68" s="19"/>
      <c r="H68" s="19"/>
      <c r="I68" s="19"/>
      <c r="J68" s="19"/>
      <c r="K68" s="19"/>
      <c r="L68" s="19"/>
      <c r="M68" s="29"/>
      <c r="N68" s="29"/>
      <c r="O68" s="29"/>
      <c r="P68" s="29"/>
      <c r="Q68" s="29"/>
    </row>
    <row r="69" spans="1:18 16383:16383" hidden="1" x14ac:dyDescent="0.3">
      <c r="A69" s="19">
        <v>55</v>
      </c>
      <c r="B69" s="25">
        <v>99.962839093273885</v>
      </c>
      <c r="C69" s="19">
        <v>1076</v>
      </c>
      <c r="D69" s="19"/>
      <c r="E69" s="19"/>
      <c r="F69" s="19"/>
      <c r="G69" s="19"/>
      <c r="H69" s="19"/>
      <c r="I69" s="19"/>
      <c r="J69" s="19"/>
      <c r="K69" s="19"/>
      <c r="L69" s="19"/>
      <c r="M69" s="29"/>
      <c r="N69" s="29"/>
      <c r="O69" s="29"/>
      <c r="P69" s="29"/>
      <c r="Q69" s="29"/>
    </row>
    <row r="70" spans="1:18 16383:16383" hidden="1" x14ac:dyDescent="0.3">
      <c r="A70" s="19">
        <v>56</v>
      </c>
      <c r="B70" s="25">
        <v>99.962839093273885</v>
      </c>
      <c r="C70" s="19">
        <v>1076</v>
      </c>
      <c r="D70" s="19"/>
      <c r="E70" s="19"/>
      <c r="F70" s="19"/>
      <c r="G70" s="19"/>
      <c r="H70" s="19"/>
      <c r="I70" s="19"/>
      <c r="J70" s="19"/>
      <c r="K70" s="19"/>
      <c r="L70" s="19"/>
      <c r="M70" s="29"/>
      <c r="N70" s="29"/>
      <c r="O70" s="29"/>
      <c r="P70" s="29"/>
      <c r="Q70" s="29"/>
    </row>
    <row r="71" spans="1:18 16383:16383" hidden="1" x14ac:dyDescent="0.3">
      <c r="A71" s="19">
        <v>57</v>
      </c>
      <c r="B71" s="25">
        <v>149.94425863991083</v>
      </c>
      <c r="C71" s="19">
        <v>1614</v>
      </c>
      <c r="D71" s="19"/>
      <c r="E71" s="19"/>
      <c r="F71" s="19"/>
      <c r="G71" s="19"/>
      <c r="H71" s="19"/>
      <c r="I71" s="19"/>
      <c r="J71" s="19"/>
      <c r="K71" s="19"/>
      <c r="L71" s="19"/>
      <c r="M71" s="29"/>
      <c r="N71" s="29"/>
      <c r="O71" s="29"/>
      <c r="P71" s="29"/>
      <c r="Q71" s="29"/>
    </row>
    <row r="72" spans="1:18 16383:16383" s="73" customFormat="1" ht="15.5" x14ac:dyDescent="0.35">
      <c r="A72" s="71">
        <v>58</v>
      </c>
      <c r="B72" s="25">
        <v>175.9568933481977</v>
      </c>
      <c r="C72" s="19">
        <v>1894</v>
      </c>
      <c r="D72" s="71" t="s">
        <v>238</v>
      </c>
      <c r="E72" s="71">
        <v>1</v>
      </c>
      <c r="F72" s="71">
        <v>1</v>
      </c>
      <c r="G72" s="71">
        <v>1</v>
      </c>
      <c r="H72" s="71">
        <v>2</v>
      </c>
      <c r="I72" s="71">
        <v>1</v>
      </c>
      <c r="J72" s="71">
        <v>1</v>
      </c>
      <c r="K72" s="71">
        <v>1</v>
      </c>
      <c r="L72" s="71">
        <v>1</v>
      </c>
      <c r="M72" s="71">
        <v>1</v>
      </c>
      <c r="N72" s="71">
        <v>1</v>
      </c>
      <c r="O72" s="71">
        <v>1</v>
      </c>
      <c r="P72" s="69">
        <f>(((G72/E72*10)+(40/(1+E72)*H72)+(7.5/(E72)*I72)+(7.5/(E72)*J72)+(10/E72*K72)+(10/E72*L72)+(5/E72*M72)+(5/E72*N72)+(5/E72*O72))/100)</f>
        <v>1</v>
      </c>
      <c r="Q72" s="69">
        <f>((((F72/E72)*20)+((G72/E72)*25)+(30/(E72+1)*H72)+(5/E72*I72)+(5/E72*J72)+(5/E72*K72)+(5/E72*L72)+(0/E72*M72)+(0/E72*N72)+(5/E72*O72))/100)</f>
        <v>1</v>
      </c>
      <c r="R72" s="72" t="str">
        <f t="shared" ref="R72" si="4">(IF(P72&gt;99%,"All work completed. Please provide OC.",IF(P72&gt;89.8%,"Plinth, RCC, Brick, Plaster, Flooring, Painting work Completed. Finishing work is in process.",(IF(F72=0,"Work not yet Started.",IF(F72=25%*E72,"Piling work in process",IF(F72=50%*E72,"Excavation work in process",IF(F72=E72,"Excavation work Completed. ","0")))&amp;(IF(G72=0%,"",IF(G72=25%*E72,"Footing work is process",IF(G72=50%*E72,"Footing work Completed",IF(G72=75%*E72,"Plinth work is process",IF(G72=E72,"Plinth work completed","0")))))))&amp;(IF(H72=(1+E72),", RCC Slab",IF(H72&gt;0,", RCC upto "&amp;H72&amp;" Slab",""))&amp;(IF(I72=E72,", Brickwork",IF(I72&gt;0,", Brickwork upto "&amp;I72&amp;" Floor",""))&amp;(IF(J72=E72,", Internal Plaster",IF(J72&gt;0,", Internal Plaster upto "&amp;J72&amp;" Floor",""))&amp;(IF(K72=E72,", External Plaster",IF(K72&gt;0,", External Plaster upto "&amp;K72&amp;" Floor",""))&amp;(IF(L72=E72,", Flooring",IF(L72&gt;0,", Flooring upto "&amp;L72&amp;" Floor",""))&amp;(IF(M72=E72,", Painting",IF(M72&gt;0,", Painting upto "&amp;M72&amp;" Floor",""))&amp;(IF(N72&gt;0,", Finishing upto "&amp;N72&amp;" Floor","")&amp;(IF(H72&gt;0.5," Completed","")))))))))))))</f>
        <v>All work completed. Please provide OC.</v>
      </c>
    </row>
    <row r="73" spans="1:18 16383:16383" hidden="1" x14ac:dyDescent="0.3">
      <c r="A73" s="19">
        <v>59</v>
      </c>
      <c r="B73" s="25">
        <v>99.962839093273885</v>
      </c>
      <c r="C73" s="19">
        <v>1076</v>
      </c>
      <c r="D73" s="19"/>
      <c r="E73" s="19"/>
      <c r="F73" s="19"/>
      <c r="G73" s="19"/>
      <c r="H73" s="19"/>
      <c r="I73" s="19"/>
      <c r="J73" s="19"/>
      <c r="K73" s="19"/>
      <c r="L73" s="19"/>
      <c r="M73" s="29"/>
      <c r="N73" s="29"/>
      <c r="O73" s="29"/>
      <c r="P73" s="29"/>
      <c r="Q73" s="29"/>
    </row>
    <row r="74" spans="1:18 16383:16383" hidden="1" x14ac:dyDescent="0.3">
      <c r="A74" s="19">
        <v>60</v>
      </c>
      <c r="B74" s="25">
        <v>99.962839093273885</v>
      </c>
      <c r="C74" s="19">
        <v>1076</v>
      </c>
      <c r="D74" s="19"/>
      <c r="E74" s="19"/>
      <c r="F74" s="19"/>
      <c r="G74" s="19"/>
      <c r="H74" s="19"/>
      <c r="I74" s="19"/>
      <c r="J74" s="19"/>
      <c r="K74" s="19"/>
      <c r="L74" s="19"/>
      <c r="M74" s="29"/>
      <c r="N74" s="29"/>
      <c r="O74" s="29"/>
      <c r="P74" s="29"/>
      <c r="Q74" s="29"/>
    </row>
    <row r="75" spans="1:18 16383:16383" s="73" customFormat="1" ht="15.5" x14ac:dyDescent="0.35">
      <c r="A75" s="71">
        <v>61</v>
      </c>
      <c r="B75" s="23">
        <v>99.962839093273885</v>
      </c>
      <c r="C75" s="23">
        <v>1076</v>
      </c>
      <c r="D75" s="71" t="s">
        <v>305</v>
      </c>
      <c r="E75" s="71">
        <v>2</v>
      </c>
      <c r="F75" s="71">
        <v>2</v>
      </c>
      <c r="G75" s="71">
        <v>2</v>
      </c>
      <c r="H75" s="71">
        <v>3</v>
      </c>
      <c r="I75" s="71">
        <v>2</v>
      </c>
      <c r="J75" s="71">
        <v>2</v>
      </c>
      <c r="K75" s="76">
        <v>2</v>
      </c>
      <c r="L75" s="76">
        <v>2</v>
      </c>
      <c r="M75" s="76">
        <v>2</v>
      </c>
      <c r="N75" s="71">
        <v>2</v>
      </c>
      <c r="O75" s="71">
        <v>2</v>
      </c>
      <c r="P75" s="69">
        <f>(((G75/E75*10)+(40/(1+E75)*H75)+(7.5/(E75)*I75)+(7.5/(E75)*J75)+(10/E75*K75)+(10/E75*L75)+(5/E75*M75)+(5/E75*N75)+(5/E75*O75))/100)</f>
        <v>1</v>
      </c>
      <c r="Q75" s="69">
        <f>((((F75/E75)*20)+((G75/E75)*25)+(30/(E75+1)*H75)+(5/E75*I75)+(5/E75*J75)+(5/E75*K75)+(5/E75*L75)+(0/E75*M75)+(0/E75*N75)+(5/E75*O75))/100)</f>
        <v>1</v>
      </c>
      <c r="R75" s="72" t="str">
        <f t="shared" ref="R75" si="5">(IF(P75&gt;99%,"All work completed. Please provide OC.",IF(P75&gt;89.8%,"Plinth, RCC, Brick, Plaster, Flooring, Painting work Completed. Finishing work is in process.",(IF(F75=0,"Work not yet Started.",IF(F75=25%*E75,"Piling work in process",IF(F75=50%*E75,"Excavation work in process",IF(F75=E75,"Excavation work Completed. ","0")))&amp;(IF(G75=0%,"",IF(G75=25%*E75,"Footing work is process",IF(G75=50%*E75,"Footing work Completed",IF(G75=75%*E75,"Plinth work is process",IF(G75=E75,"Plinth work completed","0")))))))&amp;(IF(H75=(1+E75),", RCC Slab",IF(H75&gt;0,", RCC upto "&amp;H75&amp;" Slab",""))&amp;(IF(I75=E75,", Brickwork",IF(I75&gt;0,", Brickwork upto "&amp;I75&amp;" Floor",""))&amp;(IF(J75=E75,", Internal Plaster",IF(J75&gt;0,", Internal Plaster upto "&amp;J75&amp;" Floor",""))&amp;(IF(K75=E75,", External Plaster",IF(K75&gt;0,", External Plaster upto "&amp;K75&amp;" Floor",""))&amp;(IF(L75=E75,", Flooring",IF(L75&gt;0,", Flooring upto "&amp;L75&amp;" Floor",""))&amp;(IF(M75=E75,", Painting",IF(M75&gt;0,", Painting upto "&amp;M75&amp;" Floor",""))&amp;(IF(N75&gt;0,", Finishing upto "&amp;N75&amp;" Floor","")&amp;(IF(H75&gt;0.5," Completed","")))))))))))))</f>
        <v>All work completed. Please provide OC.</v>
      </c>
      <c r="XFC75" s="71"/>
    </row>
    <row r="76" spans="1:18 16383:16383" s="73" customFormat="1" ht="15.5" x14ac:dyDescent="0.35">
      <c r="A76" s="71">
        <v>62</v>
      </c>
      <c r="B76" s="25">
        <v>99.962839093273885</v>
      </c>
      <c r="C76" s="19">
        <v>1076</v>
      </c>
      <c r="D76" s="71" t="s">
        <v>238</v>
      </c>
      <c r="E76" s="71">
        <v>1</v>
      </c>
      <c r="F76" s="71">
        <v>1</v>
      </c>
      <c r="G76" s="71">
        <v>1</v>
      </c>
      <c r="H76" s="71">
        <v>2</v>
      </c>
      <c r="I76" s="71">
        <v>1</v>
      </c>
      <c r="J76" s="71">
        <v>1</v>
      </c>
      <c r="K76" s="71">
        <v>1</v>
      </c>
      <c r="L76" s="71">
        <v>1</v>
      </c>
      <c r="M76" s="76">
        <v>1</v>
      </c>
      <c r="N76" s="76">
        <v>1</v>
      </c>
      <c r="O76" s="76">
        <v>1</v>
      </c>
      <c r="P76" s="69">
        <f t="shared" ref="P76:P77" si="6">(((G76/E76*10)+(40/(1+E76)*H76)+(7.5/(E76)*I76)+(7.5/(E76)*J76)+(10/E76*K76)+(10/E76*L76)+(5/E76*M76)+(5/E76*N76)+(5/E76*O76))/100)</f>
        <v>1</v>
      </c>
      <c r="Q76" s="69">
        <f t="shared" ref="Q76:Q77" si="7">((((F76/E76)*20)+((G76/E76)*25)+(30/(E76+1)*H76)+(5/E76*I76)+(5/E76*J76)+(5/E76*K76)+(5/E76*L76)+(0/E76*M76)+(0/E76*N76)+(5/E76*O76))/100)</f>
        <v>1</v>
      </c>
      <c r="R76" s="72" t="str">
        <f t="shared" ref="R76:R77" si="8">(IF(P76&gt;99%,"All work completed. Please provide OC.",IF(P76&gt;89.8%,"Plinth, RCC, Brick, Plaster, Flooring, Painting work Completed. Finishing work is in process.",(IF(F76=0,"Work not yet Started.",IF(F76=25%*E76,"Piling work in process",IF(F76=50%*E76,"Excavation work in process",IF(F76=E76,"Excavation work Completed. ","0")))&amp;(IF(G76=0%,"",IF(G76=25%*E76,"Footing work is process",IF(G76=50%*E76,"Footing work Completed",IF(G76=75%*E76,"Plinth work is process",IF(G76=E76,"Plinth work completed","0")))))))&amp;(IF(H76=(1+E76),", RCC Slab",IF(H76&gt;0,", RCC upto "&amp;H76&amp;" Slab",""))&amp;(IF(I76=E76,", Brickwork",IF(I76&gt;0,", Brickwork upto "&amp;I76&amp;" Floor",""))&amp;(IF(J76=E76,", Internal Plaster",IF(J76&gt;0,", Internal Plaster upto "&amp;J76&amp;" Floor",""))&amp;(IF(K76=E76,", External Plaster",IF(K76&gt;0,", External Plaster upto "&amp;K76&amp;" Floor",""))&amp;(IF(L76=E76,", Flooring",IF(L76&gt;0,", Flooring upto "&amp;L76&amp;" Floor",""))&amp;(IF(M76=E76,", Painting",IF(M76&gt;0,", Painting upto "&amp;M76&amp;" Floor",""))&amp;(IF(N76&gt;0,", Finishing upto "&amp;N76&amp;" Floor","")&amp;(IF(H76&gt;0.5," Completed","")))))))))))))</f>
        <v>All work completed. Please provide OC.</v>
      </c>
    </row>
    <row r="77" spans="1:18 16383:16383" s="73" customFormat="1" ht="15.5" x14ac:dyDescent="0.35">
      <c r="A77" s="71">
        <v>63</v>
      </c>
      <c r="B77" s="25">
        <v>99.962839093273885</v>
      </c>
      <c r="C77" s="19">
        <v>1076</v>
      </c>
      <c r="D77" s="71" t="s">
        <v>238</v>
      </c>
      <c r="E77" s="71">
        <v>1</v>
      </c>
      <c r="F77" s="71">
        <v>1</v>
      </c>
      <c r="G77" s="71">
        <v>1</v>
      </c>
      <c r="H77" s="71">
        <v>2</v>
      </c>
      <c r="I77" s="71">
        <v>1</v>
      </c>
      <c r="J77" s="71">
        <v>1</v>
      </c>
      <c r="K77" s="71">
        <v>1</v>
      </c>
      <c r="L77" s="71">
        <v>1</v>
      </c>
      <c r="M77" s="76">
        <v>1</v>
      </c>
      <c r="N77" s="76">
        <v>1</v>
      </c>
      <c r="O77" s="76">
        <v>1</v>
      </c>
      <c r="P77" s="69">
        <f t="shared" si="6"/>
        <v>1</v>
      </c>
      <c r="Q77" s="69">
        <f t="shared" si="7"/>
        <v>1</v>
      </c>
      <c r="R77" s="72" t="str">
        <f t="shared" si="8"/>
        <v>All work completed. Please provide OC.</v>
      </c>
    </row>
    <row r="78" spans="1:18 16383:16383" s="73" customFormat="1" ht="15.5" x14ac:dyDescent="0.35">
      <c r="A78" s="71">
        <v>64</v>
      </c>
      <c r="B78" s="25">
        <v>99.962839093273885</v>
      </c>
      <c r="C78" s="19">
        <v>1076</v>
      </c>
      <c r="D78" s="71" t="s">
        <v>238</v>
      </c>
      <c r="E78" s="71">
        <v>1</v>
      </c>
      <c r="F78" s="71">
        <v>1</v>
      </c>
      <c r="G78" s="71">
        <v>1</v>
      </c>
      <c r="H78" s="71">
        <v>2</v>
      </c>
      <c r="I78" s="71">
        <v>1</v>
      </c>
      <c r="J78" s="71">
        <v>1</v>
      </c>
      <c r="K78" s="71">
        <v>1</v>
      </c>
      <c r="L78" s="71">
        <v>1</v>
      </c>
      <c r="M78" s="76">
        <v>1</v>
      </c>
      <c r="N78" s="76">
        <v>1</v>
      </c>
      <c r="O78" s="76">
        <v>1</v>
      </c>
      <c r="P78" s="69">
        <f>(((G78/E78*10)+(40/(1+E78)*H78)+(7.5/(E78)*I78)+(7.5/(E78)*J78)+(10/E78*K78)+(10/E78*L78)+(5/E78*M78)+(5/E78*N78)+(5/E78*O78))/100)</f>
        <v>1</v>
      </c>
      <c r="Q78" s="69">
        <f>((((F78/E78)*20)+((G78/E78)*25)+(30/(E78+1)*H78)+(5/E78*I78)+(5/E78*J78)+(5/E78*K78)+(5/E78*L78)+(0/E78*M78)+(0/E78*N78)+(5/E78*O78))/100)</f>
        <v>1</v>
      </c>
      <c r="R78" s="72" t="str">
        <f t="shared" ref="R78:R80" si="9">(IF(P78&gt;99%,"All work completed. Please provide OC.",IF(P78&gt;89.8%,"Plinth, RCC, Brick, Plaster, Flooring, Painting work Completed. Finishing work is in process.",(IF(F78=0,"Work not yet Started.",IF(F78=25%*E78,"Piling work in process",IF(F78=50%*E78,"Excavation work in process",IF(F78=E78,"Excavation work Completed. ","0")))&amp;(IF(G78=0%,"",IF(G78=25%*E78,"Footing work is process",IF(G78=50%*E78,"Footing work Completed",IF(G78=75%*E78,"Plinth work is process",IF(G78=E78,"Plinth work completed","0")))))))&amp;(IF(H78=(1+E78),", RCC Slab",IF(H78&gt;0,", RCC upto "&amp;H78&amp;" Slab",""))&amp;(IF(I78=E78,", Brickwork",IF(I78&gt;0,", Brickwork upto "&amp;I78&amp;" Floor",""))&amp;(IF(J78=E78,", Internal Plaster",IF(J78&gt;0,", Internal Plaster upto "&amp;J78&amp;" Floor",""))&amp;(IF(K78=E78,", External Plaster",IF(K78&gt;0,", External Plaster upto "&amp;K78&amp;" Floor",""))&amp;(IF(L78=E78,", Flooring",IF(L78&gt;0,", Flooring upto "&amp;L78&amp;" Floor",""))&amp;(IF(M78=E78,", Painting",IF(M78&gt;0,", Painting upto "&amp;M78&amp;" Floor",""))&amp;(IF(N78&gt;0,", Finishing upto "&amp;N78&amp;" Floor","")&amp;(IF(H78&gt;0.5," Completed","")))))))))))))</f>
        <v>All work completed. Please provide OC.</v>
      </c>
    </row>
    <row r="79" spans="1:18 16383:16383" hidden="1" x14ac:dyDescent="0.3">
      <c r="A79" s="19">
        <v>65</v>
      </c>
      <c r="B79" s="25">
        <v>99.962839093273885</v>
      </c>
      <c r="C79" s="19">
        <v>1076</v>
      </c>
      <c r="D79" s="19"/>
      <c r="E79" s="19"/>
      <c r="F79" s="19"/>
      <c r="G79" s="19"/>
      <c r="H79" s="19"/>
      <c r="I79" s="19"/>
      <c r="J79" s="19"/>
      <c r="K79" s="19"/>
      <c r="L79" s="19"/>
      <c r="M79" s="29"/>
      <c r="N79" s="29"/>
      <c r="O79" s="29"/>
      <c r="P79" s="29"/>
      <c r="Q79" s="29"/>
    </row>
    <row r="80" spans="1:18 16383:16383" s="99" customFormat="1" ht="23.25" customHeight="1" x14ac:dyDescent="0.35">
      <c r="A80" s="21">
        <v>66</v>
      </c>
      <c r="B80" s="25">
        <v>99.962839093273885</v>
      </c>
      <c r="C80" s="19">
        <v>1076</v>
      </c>
      <c r="D80" s="21" t="s">
        <v>238</v>
      </c>
      <c r="E80" s="21">
        <v>1</v>
      </c>
      <c r="F80" s="21">
        <v>1</v>
      </c>
      <c r="G80" s="21">
        <v>1</v>
      </c>
      <c r="H80" s="21">
        <v>2</v>
      </c>
      <c r="I80" s="21">
        <v>1</v>
      </c>
      <c r="J80" s="21">
        <v>1</v>
      </c>
      <c r="K80" s="21">
        <v>1</v>
      </c>
      <c r="L80" s="21">
        <v>1</v>
      </c>
      <c r="M80" s="100">
        <v>1</v>
      </c>
      <c r="N80" s="100">
        <v>1</v>
      </c>
      <c r="O80" s="100">
        <v>1</v>
      </c>
      <c r="P80" s="97">
        <f>(((G80/E80*10)+(40/(1+E80)*H80)+(7.5/(E80)*I80)+(7.5/(E80)*J80)+(10/E80*K80)+(10/E80*L80)+(5/E80*M80)+(5/E80*N80)+(5/E80*O80))/100)</f>
        <v>1</v>
      </c>
      <c r="Q80" s="97">
        <f>((((F80/E80)*20)+((G80/E80)*25)+(30/(E80+1)*H80)+(5/E80*I80)+(5/E80*J80)+(5/E80*K80)+(5/E80*L80)+(0/E80*M80)+(0/E80*N80)+(5/E80*O80))/100)</f>
        <v>1</v>
      </c>
      <c r="R80" s="98" t="str">
        <f t="shared" si="9"/>
        <v>All work completed. Please provide OC.</v>
      </c>
    </row>
    <row r="81" spans="1:18 16383:16383" ht="24.75" hidden="1" customHeight="1" x14ac:dyDescent="0.3">
      <c r="A81" s="19">
        <v>67</v>
      </c>
      <c r="B81" s="25">
        <v>99.962839093273885</v>
      </c>
      <c r="C81" s="19">
        <v>1076</v>
      </c>
      <c r="D81" s="19"/>
      <c r="E81" s="19"/>
      <c r="F81" s="19"/>
      <c r="G81" s="19"/>
      <c r="H81" s="19"/>
      <c r="I81" s="19"/>
      <c r="J81" s="19"/>
      <c r="K81" s="19"/>
      <c r="L81" s="19"/>
      <c r="M81" s="29"/>
      <c r="N81" s="29"/>
      <c r="O81" s="29"/>
      <c r="P81" s="29"/>
      <c r="Q81" s="29"/>
    </row>
    <row r="82" spans="1:18 16383:16383" ht="25.5" hidden="1" customHeight="1" x14ac:dyDescent="0.3">
      <c r="A82" s="19">
        <v>68</v>
      </c>
      <c r="B82" s="25">
        <v>99.962839093273885</v>
      </c>
      <c r="C82" s="19">
        <v>1076</v>
      </c>
      <c r="D82" s="19"/>
      <c r="E82" s="19"/>
      <c r="F82" s="19"/>
      <c r="G82" s="19"/>
      <c r="H82" s="19"/>
      <c r="I82" s="19"/>
      <c r="J82" s="19"/>
      <c r="K82" s="19"/>
      <c r="L82" s="19"/>
      <c r="M82" s="29"/>
      <c r="N82" s="29"/>
      <c r="O82" s="29"/>
      <c r="P82" s="29"/>
      <c r="Q82" s="29"/>
    </row>
    <row r="83" spans="1:18 16383:16383" ht="20.25" hidden="1" customHeight="1" x14ac:dyDescent="0.3">
      <c r="A83" s="19">
        <v>69</v>
      </c>
      <c r="B83" s="25">
        <v>184.96841322928282</v>
      </c>
      <c r="C83" s="19">
        <v>1991</v>
      </c>
      <c r="D83" s="19"/>
      <c r="E83" s="19"/>
      <c r="F83" s="19"/>
      <c r="G83" s="19"/>
      <c r="H83" s="19"/>
      <c r="I83" s="19"/>
      <c r="J83" s="19"/>
      <c r="K83" s="19"/>
      <c r="L83" s="19"/>
      <c r="M83" s="29"/>
      <c r="N83" s="29"/>
      <c r="O83" s="29"/>
      <c r="P83" s="29"/>
      <c r="Q83" s="29"/>
    </row>
    <row r="84" spans="1:18 16383:16383" ht="25.5" hidden="1" customHeight="1" x14ac:dyDescent="0.3">
      <c r="A84" s="19">
        <v>70</v>
      </c>
      <c r="B84" s="25">
        <v>184.96841322928282</v>
      </c>
      <c r="C84" s="19">
        <v>1991</v>
      </c>
      <c r="D84" s="19"/>
      <c r="E84" s="19"/>
      <c r="F84" s="19"/>
      <c r="G84" s="19"/>
      <c r="H84" s="19"/>
      <c r="I84" s="19"/>
      <c r="J84" s="19"/>
      <c r="K84" s="19"/>
      <c r="L84" s="19"/>
      <c r="M84" s="29"/>
      <c r="N84" s="29"/>
      <c r="O84" s="29"/>
      <c r="P84" s="29"/>
      <c r="Q84" s="29"/>
    </row>
    <row r="85" spans="1:18 16383:16383" ht="34.5" hidden="1" customHeight="1" x14ac:dyDescent="0.3">
      <c r="A85" s="19">
        <v>71</v>
      </c>
      <c r="B85" s="25">
        <v>99.962839093273885</v>
      </c>
      <c r="C85" s="19">
        <v>1076</v>
      </c>
      <c r="D85" s="19"/>
      <c r="E85" s="19"/>
      <c r="F85" s="19"/>
      <c r="G85" s="19"/>
      <c r="H85" s="19"/>
      <c r="I85" s="19"/>
      <c r="J85" s="19"/>
      <c r="K85" s="19"/>
      <c r="L85" s="19"/>
      <c r="M85" s="29"/>
      <c r="N85" s="29"/>
      <c r="O85" s="29"/>
      <c r="P85" s="29"/>
      <c r="Q85" s="29"/>
    </row>
    <row r="86" spans="1:18 16383:16383" s="99" customFormat="1" ht="15.5" x14ac:dyDescent="0.35">
      <c r="A86" s="21">
        <v>72</v>
      </c>
      <c r="B86" s="25">
        <v>99.962839093273885</v>
      </c>
      <c r="C86" s="19">
        <v>1076</v>
      </c>
      <c r="D86" s="21" t="s">
        <v>316</v>
      </c>
      <c r="E86" s="21">
        <v>1</v>
      </c>
      <c r="F86" s="21">
        <v>1</v>
      </c>
      <c r="G86" s="21">
        <v>1</v>
      </c>
      <c r="H86" s="21">
        <v>2</v>
      </c>
      <c r="I86" s="21">
        <v>1</v>
      </c>
      <c r="J86" s="21">
        <v>1</v>
      </c>
      <c r="K86" s="21">
        <v>1</v>
      </c>
      <c r="L86" s="21">
        <v>1</v>
      </c>
      <c r="M86" s="21">
        <v>1</v>
      </c>
      <c r="N86" s="21">
        <v>1</v>
      </c>
      <c r="O86" s="21">
        <v>1</v>
      </c>
      <c r="P86" s="97">
        <f>(((G86/E86*10)+(40/(1+E86)*H86)+(7.5/(E86)*I86)+(7.5/(E86)*J86)+(10/E86*K86)+(10/E86*L86)+(5/E86*M86)+(5/E86*N86)+(5/E86*O86))/100)</f>
        <v>1</v>
      </c>
      <c r="Q86" s="97">
        <f>((((F86/E86)*20)+((G86/E86)*25)+(30/(E86+1)*H86)+(5/E86*I86)+(5/E86*J86)+(5/E86*K86)+(5/E86*L86)+(0/E86*M86)+(0/E86*N86)+(5/E86*O86))/100)</f>
        <v>1</v>
      </c>
      <c r="R86" s="98" t="str">
        <f t="shared" ref="R86" si="10">(IF(P86&gt;99%,"All work completed. Please provide OC.",IF(P86&gt;89.8%,"Plinth, RCC, Brick, Plaster, Flooring, Painting work Completed. Finishing work is in process.",(IF(F86=0,"Work not yet Started.",IF(F86=25%*E86,"Piling work in process",IF(F86=50%*E86,"Excavation work in process",IF(F86=E86,"Excavation work Completed. ","0")))&amp;(IF(G86=0%,"",IF(G86=25%*E86,"Footing work is process",IF(G86=50%*E86,"Footing work Completed",IF(G86=75%*E86,"Plinth work is process",IF(G86=E86,"Plinth work completed","0")))))))&amp;(IF(H86=(1+E86),", RCC Slab",IF(H86&gt;0,", RCC upto "&amp;H86&amp;" Slab",""))&amp;(IF(I86=E86,", Brickwork",IF(I86&gt;0,", Brickwork upto "&amp;I86&amp;" Floor",""))&amp;(IF(J86=E86,", Internal Plaster",IF(J86&gt;0,", Internal Plaster upto "&amp;J86&amp;" Floor",""))&amp;(IF(K86=E86,", External Plaster",IF(K86&gt;0,", External Plaster upto "&amp;K86&amp;" Floor",""))&amp;(IF(L86=E86,", Flooring",IF(L86&gt;0,", Flooring upto "&amp;L86&amp;" Floor",""))&amp;(IF(M86=E86,", Painting",IF(M86&gt;0,", Painting upto "&amp;M86&amp;" Floor",""))&amp;(IF(N86&gt;0,", Finishing upto "&amp;N86&amp;" Floor","")&amp;(IF(H86&gt;0.5," Completed","")))))))))))))</f>
        <v>All work completed. Please provide OC.</v>
      </c>
    </row>
    <row r="87" spans="1:18 16383:16383" hidden="1" x14ac:dyDescent="0.3">
      <c r="A87" s="19">
        <v>73</v>
      </c>
      <c r="B87" s="25">
        <v>99.962839093273885</v>
      </c>
      <c r="C87" s="19">
        <v>1076</v>
      </c>
      <c r="D87" s="19"/>
      <c r="E87" s="19"/>
      <c r="F87" s="19"/>
      <c r="G87" s="19"/>
      <c r="H87" s="19"/>
      <c r="I87" s="19"/>
      <c r="J87" s="19"/>
      <c r="K87" s="19"/>
      <c r="L87" s="19"/>
      <c r="M87" s="29"/>
      <c r="N87" s="29"/>
      <c r="O87" s="29"/>
      <c r="P87" s="29"/>
      <c r="Q87" s="29"/>
    </row>
    <row r="88" spans="1:18 16383:16383" hidden="1" x14ac:dyDescent="0.3">
      <c r="A88" s="19">
        <v>74</v>
      </c>
      <c r="B88" s="25">
        <v>99.962839093273885</v>
      </c>
      <c r="C88" s="19">
        <v>1076</v>
      </c>
      <c r="D88" s="19"/>
      <c r="E88" s="19"/>
      <c r="F88" s="34"/>
      <c r="G88" s="34"/>
      <c r="H88" s="34"/>
      <c r="I88" s="34"/>
      <c r="J88" s="34"/>
      <c r="K88" s="34"/>
      <c r="L88" s="34"/>
      <c r="M88" s="35"/>
      <c r="N88" s="35"/>
      <c r="O88" s="35"/>
      <c r="P88" s="35"/>
      <c r="Q88" s="35"/>
    </row>
    <row r="89" spans="1:18 16383:16383" s="73" customFormat="1" ht="15" customHeight="1" x14ac:dyDescent="0.35">
      <c r="A89" s="71">
        <v>75</v>
      </c>
      <c r="B89" s="24">
        <v>99.962839093273885</v>
      </c>
      <c r="C89" s="23">
        <v>1076</v>
      </c>
      <c r="D89" s="71" t="s">
        <v>238</v>
      </c>
      <c r="E89" s="86">
        <v>1</v>
      </c>
      <c r="F89" s="87">
        <v>1</v>
      </c>
      <c r="G89" s="87">
        <v>1</v>
      </c>
      <c r="H89" s="88">
        <v>2</v>
      </c>
      <c r="I89" s="87">
        <v>1</v>
      </c>
      <c r="J89" s="87">
        <v>1</v>
      </c>
      <c r="K89" s="87">
        <v>1</v>
      </c>
      <c r="L89" s="87">
        <v>1</v>
      </c>
      <c r="M89" s="87">
        <v>1</v>
      </c>
      <c r="N89" s="87">
        <v>1</v>
      </c>
      <c r="O89" s="87">
        <v>1</v>
      </c>
      <c r="P89" s="69">
        <f>(((G89/E89*10)+(40/(1+E89)*H89)+(7.5/(E89)*I89)+(7.5/(E89)*J89)+(10/E89*K89)+(10/E89*L89)+(5/E89*M89)+(5/E89*N89)+(5/E89*O89))/100)</f>
        <v>1</v>
      </c>
      <c r="Q89" s="69">
        <f>((((F89/E89)*20)+((G89/E89)*25)+(30/(E89+1)*H89)+(5/E89*I89)+(5/E89*J89)+(5/E89*K89)+(5/E89*L89)+(0/E89*M89)+(0/E89*N89)+(5/E89*O89))/100)</f>
        <v>1</v>
      </c>
      <c r="R89" s="72" t="str">
        <f>(IF(P89&gt;99%,"All work completed. Please provide OC.",IF(P89&gt;89.8%,"Plinth, RCC, Brick, Plaster, Flooring, Painting work Completed. Finishing work is in process.",(IF(F89=0,"Work not yet Started.",IF(F89=25%*E89,"Piling work in process",IF(F89=50%*E89,"Excavation work in process",IF(F89=E89,"Excavation work Completed. ","0")))&amp;(IF(G89=0%,"",IF(G89=25%*E89,"Footing work is process",IF(G89=50%*E89,"Footing work Completed",IF(G89=75%*E89,"Plinth work is process",IF(G89=E89,"Plinth work completed","0")))))))&amp;(IF(H89=(1+E89),", RCC Slab",IF(H89&gt;0,", RCC upto "&amp;H89&amp;" Slab",""))&amp;(IF(I89=E89,", Brickwork",IF(I89&gt;0,", Brickwork upto "&amp;I89&amp;" Floor",""))&amp;(IF(J89=E89,", Internal Plaster",IF(J89&gt;0,", Internal Plaster upto "&amp;J89&amp;" Floor",""))&amp;(IF(K89=E89,", External Plaster",IF(K89&gt;0,", External Plaster upto "&amp;K89&amp;" Floor",""))&amp;(IF(L89=E89,", Flooring",IF(L89&gt;0,", Flooring upto "&amp;L89&amp;" Floor",""))&amp;(IF(M89=E89,", Painting",IF(M89&gt;0,", Painting upto "&amp;M89&amp;" Floor",""))&amp;(IF(N89&gt;0,", Finishing upto "&amp;N89&amp;" Floor","")&amp;(IF(H89&gt;0.5," Completed","")))))))))))))</f>
        <v>All work completed. Please provide OC.</v>
      </c>
    </row>
    <row r="90" spans="1:18 16383:16383" s="99" customFormat="1" ht="17.25" customHeight="1" x14ac:dyDescent="0.35">
      <c r="A90" s="21">
        <v>76</v>
      </c>
      <c r="B90" s="23">
        <v>99.962839093273885</v>
      </c>
      <c r="C90" s="32">
        <v>1076</v>
      </c>
      <c r="D90" s="102" t="s">
        <v>323</v>
      </c>
      <c r="E90" s="102">
        <v>1</v>
      </c>
      <c r="F90" s="103">
        <v>1</v>
      </c>
      <c r="G90" s="102">
        <v>1</v>
      </c>
      <c r="H90" s="102">
        <v>2</v>
      </c>
      <c r="I90" s="102">
        <v>1</v>
      </c>
      <c r="J90" s="102">
        <v>1</v>
      </c>
      <c r="K90" s="102">
        <v>1</v>
      </c>
      <c r="L90" s="87">
        <v>1</v>
      </c>
      <c r="M90" s="87">
        <v>1</v>
      </c>
      <c r="N90" s="87">
        <v>1</v>
      </c>
      <c r="O90" s="87">
        <v>1</v>
      </c>
      <c r="P90" s="97">
        <f>(((G90/E90*10)+(40/(1+E90)*H90)+(7.5/(E90)*I90)+(7.5/(E90)*J90)+(10/E90*K90)+(10/E90*L90)+(5/E90*M90)+(5/E90*N90)+(5/E90*O90))/100)</f>
        <v>1</v>
      </c>
      <c r="Q90" s="97">
        <f>((((F90/E90)*20)+((G90/E90)*25)+(30/(E90+1)*H90)+(5/E90*I90)+(5/E90*J90)+(5/E90*K90)+(5/E90*L90)+(0/E90*M90)+(0/E90*N90)+(5/E90*O90))/100)</f>
        <v>1</v>
      </c>
      <c r="R90" s="99" t="str">
        <f>(IF(P90&gt;99%,"All work completed. Please provide OC.",IF(P90&gt;89.8%,"Plinth, RCC, Brick, Plaster, Flooring, Painting work Completed. Finishing work is in process.",(IF(F90=0,"Work not yet Started.",IF(F90=25%*E90,"Piling work in process",IF(F90=50%*E90,"Excavation work in process",IF(F90=E90,"Excavation work Completed. ","0")))&amp;(IF(G90=0%,"",IF(G90=25%*E90,"Footing work is process",IF(G90=50%*E90,"Footing work Completed",IF(G90=75%*E90,"Plinth work is process",IF(G90=E90,"Plinth work completed","0")))))))&amp;(IF(H90=(1+E90),", RCC Slab",IF(H90&gt;0,", RCC upto "&amp;H90&amp;" Slab",""))&amp;(IF(I90=E90,", Brickwork",IF(I90&gt;0,", Brickwork upto "&amp;I90&amp;" Floor",""))&amp;(IF(J90=E90,", Internal Plaster",IF(J90&gt;0,", Internal Plaster upto "&amp;J90&amp;" Floor",""))&amp;(IF(K90=E90,", External Plaster",IF(K90&gt;0,", External Plaster upto "&amp;K90&amp;" Floor",""))&amp;(IF(L90=E90,", Flooring",IF(L90&gt;0,", Flooring upto "&amp;L90&amp;" Floor",""))&amp;(IF(M90=E90,", Painting",IF(M90&gt;0,", Painting upto "&amp;M90&amp;" Floor",""))&amp;(IF(N90&gt;0,", Finishing upto "&amp;N90&amp;" Floor","")&amp;(IF(H90&gt;0.5," Completed","")))))))))))))</f>
        <v>All work completed. Please provide OC.</v>
      </c>
      <c r="XFC90" s="21"/>
    </row>
    <row r="91" spans="1:18 16383:16383" ht="28.5" hidden="1" customHeight="1" x14ac:dyDescent="0.3">
      <c r="A91" s="19">
        <v>77</v>
      </c>
      <c r="B91" s="25">
        <v>99.962839093273885</v>
      </c>
      <c r="C91" s="19">
        <v>1076</v>
      </c>
      <c r="D91" s="19"/>
      <c r="E91" s="19"/>
      <c r="F91" s="19"/>
      <c r="G91" s="19"/>
      <c r="H91" s="19"/>
      <c r="I91" s="19"/>
      <c r="J91" s="19"/>
      <c r="K91" s="19"/>
      <c r="L91" s="19"/>
      <c r="M91" s="29"/>
      <c r="N91" s="29"/>
      <c r="O91" s="29"/>
      <c r="P91" s="29"/>
      <c r="Q91" s="29"/>
    </row>
    <row r="92" spans="1:18 16383:16383" ht="27" hidden="1" customHeight="1" x14ac:dyDescent="0.3">
      <c r="A92" s="19">
        <v>78</v>
      </c>
      <c r="B92" s="25">
        <v>99.962839093273885</v>
      </c>
      <c r="C92" s="19">
        <v>1076</v>
      </c>
      <c r="D92" s="19"/>
      <c r="E92" s="19"/>
      <c r="F92" s="19"/>
      <c r="G92" s="19"/>
      <c r="H92" s="19"/>
      <c r="I92" s="19"/>
      <c r="J92" s="19"/>
      <c r="K92" s="19"/>
      <c r="L92" s="19"/>
      <c r="M92" s="29"/>
      <c r="N92" s="29"/>
      <c r="O92" s="29"/>
      <c r="P92" s="29"/>
      <c r="Q92" s="29"/>
    </row>
    <row r="93" spans="1:18 16383:16383" ht="41.25" hidden="1" customHeight="1" x14ac:dyDescent="0.3">
      <c r="A93" s="19">
        <v>79</v>
      </c>
      <c r="B93" s="25">
        <v>99.962839093273885</v>
      </c>
      <c r="C93" s="19">
        <v>1076</v>
      </c>
      <c r="D93" s="19"/>
      <c r="E93" s="19"/>
      <c r="F93" s="19"/>
      <c r="G93" s="19"/>
      <c r="H93" s="19"/>
      <c r="I93" s="19"/>
      <c r="J93" s="19"/>
      <c r="K93" s="19"/>
      <c r="L93" s="19"/>
      <c r="M93" s="29"/>
      <c r="N93" s="29"/>
      <c r="O93" s="29"/>
      <c r="P93" s="29"/>
      <c r="Q93" s="29"/>
    </row>
    <row r="94" spans="1:18 16383:16383" ht="46.5" hidden="1" customHeight="1" x14ac:dyDescent="0.3">
      <c r="A94" s="19">
        <v>80</v>
      </c>
      <c r="B94" s="25">
        <v>99.962839093273885</v>
      </c>
      <c r="C94" s="19">
        <v>1076</v>
      </c>
      <c r="D94" s="19"/>
      <c r="E94" s="19"/>
      <c r="F94" s="34"/>
      <c r="G94" s="34"/>
      <c r="H94" s="34"/>
      <c r="I94" s="34"/>
      <c r="J94" s="34"/>
      <c r="K94" s="34"/>
      <c r="L94" s="34"/>
      <c r="M94" s="35"/>
      <c r="N94" s="35"/>
      <c r="O94" s="35"/>
      <c r="P94" s="35"/>
      <c r="Q94" s="35"/>
    </row>
    <row r="95" spans="1:18 16383:16383" s="27" customFormat="1" ht="15.5" x14ac:dyDescent="0.35">
      <c r="A95" s="23">
        <v>81</v>
      </c>
      <c r="B95" s="24">
        <v>99.962839093273885</v>
      </c>
      <c r="C95" s="23">
        <v>1076</v>
      </c>
      <c r="D95" s="23" t="s">
        <v>238</v>
      </c>
      <c r="E95" s="90">
        <v>1</v>
      </c>
      <c r="F95" s="89">
        <v>1</v>
      </c>
      <c r="G95" s="89">
        <v>1</v>
      </c>
      <c r="H95" s="91">
        <v>2</v>
      </c>
      <c r="I95" s="89">
        <v>1</v>
      </c>
      <c r="J95" s="89">
        <v>1</v>
      </c>
      <c r="K95" s="89">
        <v>1</v>
      </c>
      <c r="L95" s="89">
        <v>1</v>
      </c>
      <c r="M95" s="89">
        <v>1</v>
      </c>
      <c r="N95" s="89">
        <v>1</v>
      </c>
      <c r="O95" s="89">
        <v>1</v>
      </c>
      <c r="P95" s="31">
        <f>(((G95/E95*10)+(40/(1+E95)*H95)+(7.5/(E95)*I95)+(7.5/(E95)*J95)+(10/E95*K95)+(10/E95*L95)+(5/E95*M95)+(5/E95*N95)+(5/E95*O95))/100)</f>
        <v>1</v>
      </c>
      <c r="Q95" s="31">
        <f>((((F95/E95)*20)+((G95/E95)*25)+(30/(E95+1)*H95)+(5/E95*I95)+(5/E95*J95)+(5/E95*K95)+(5/E95*L95)+(0/E95*M95)+(0/E95*N95)+(5/E95*O95))/100)</f>
        <v>1</v>
      </c>
      <c r="R95" s="39" t="str">
        <f>(IF(P95&gt;99%,"All work completed. Please provide OC.",IF(P95&gt;89.8%,"Plinth, RCC, Brick, Plaster, Flooring, Painting work Completed. Finishing work is in process.",(IF(F95=0,"Work not yet Started.",IF(F95=25%*E95,"Piling work in process",IF(F95=50%*E95,"Excavation work in process",IF(F95=E95,"Excavation work Completed. ","0")))&amp;(IF(G95=0%,"",IF(G95=25%*E95,"Footing work is process",IF(G95=50%*E95,"Footing work Completed",IF(G95=75%*E95,"Plinth work is process",IF(G95=E95,"Plinth work completed","0")))))))&amp;(IF(H95=(1+E95),", RCC Slab",IF(H95&gt;0,", RCC upto "&amp;H95&amp;" Slab",""))&amp;(IF(I95=E95,", Brickwork",IF(I95&gt;0,", Brickwork upto "&amp;I95&amp;" Floor",""))&amp;(IF(J95=E95,", Internal Plaster",IF(J95&gt;0,", Internal Plaster upto "&amp;J95&amp;" Floor",""))&amp;(IF(K95=E95,", External Plaster",IF(K95&gt;0,", External Plaster upto "&amp;K95&amp;" Floor",""))&amp;(IF(L95=E95,", Flooring",IF(L95&gt;0,", Flooring upto "&amp;L95&amp;" Floor",""))&amp;(IF(M95=E95,", Painting",IF(M95&gt;0,", Painting upto "&amp;M95&amp;" Floor",""))&amp;(IF(N95&gt;0,", Finishing upto "&amp;N95&amp;" Floor","")&amp;(IF(H95&gt;0.5," Completed","")))))))))))))</f>
        <v>All work completed. Please provide OC.</v>
      </c>
    </row>
    <row r="96" spans="1:18 16383:16383" hidden="1" x14ac:dyDescent="0.3">
      <c r="A96" s="19">
        <v>82</v>
      </c>
      <c r="B96" s="25">
        <v>149.94425863991083</v>
      </c>
      <c r="C96" s="19">
        <v>1614</v>
      </c>
      <c r="D96" s="19"/>
      <c r="E96" s="19"/>
      <c r="F96" s="36"/>
      <c r="G96" s="36"/>
      <c r="H96" s="36"/>
      <c r="I96" s="36"/>
      <c r="J96" s="36"/>
      <c r="K96" s="36"/>
      <c r="L96" s="36"/>
      <c r="M96" s="30"/>
      <c r="N96" s="30"/>
      <c r="O96" s="30"/>
      <c r="P96" s="30"/>
      <c r="Q96" s="30"/>
    </row>
    <row r="97" spans="1:24 16383:16383" hidden="1" x14ac:dyDescent="0.3">
      <c r="A97" s="19">
        <v>83</v>
      </c>
      <c r="B97" s="25">
        <v>149.94425863991083</v>
      </c>
      <c r="C97" s="19">
        <v>1614</v>
      </c>
      <c r="D97" s="19"/>
      <c r="E97" s="19"/>
      <c r="F97" s="34"/>
      <c r="G97" s="34"/>
      <c r="H97" s="34"/>
      <c r="I97" s="34"/>
      <c r="J97" s="34"/>
      <c r="K97" s="34"/>
      <c r="L97" s="34"/>
      <c r="M97" s="35"/>
      <c r="N97" s="35"/>
      <c r="O97" s="35"/>
      <c r="P97" s="35"/>
      <c r="Q97" s="35"/>
    </row>
    <row r="98" spans="1:24 16383:16383" s="73" customFormat="1" ht="15.5" x14ac:dyDescent="0.35">
      <c r="A98" s="71">
        <v>84</v>
      </c>
      <c r="B98" s="24">
        <v>99.962839093273885</v>
      </c>
      <c r="C98" s="23">
        <v>1076</v>
      </c>
      <c r="D98" s="71" t="s">
        <v>238</v>
      </c>
      <c r="E98" s="86">
        <v>1</v>
      </c>
      <c r="F98" s="87">
        <v>1</v>
      </c>
      <c r="G98" s="87">
        <v>1</v>
      </c>
      <c r="H98" s="88">
        <v>2</v>
      </c>
      <c r="I98" s="87">
        <v>1</v>
      </c>
      <c r="J98" s="87">
        <v>1</v>
      </c>
      <c r="K98" s="87">
        <v>1</v>
      </c>
      <c r="L98" s="87">
        <v>1</v>
      </c>
      <c r="M98" s="87">
        <v>1</v>
      </c>
      <c r="N98" s="87">
        <v>1</v>
      </c>
      <c r="O98" s="87">
        <v>1</v>
      </c>
      <c r="P98" s="69">
        <f>(((G98/E98*10)+(40/(1+E98)*H98)+(7.5/(E98)*I98)+(7.5/(E98)*J98)+(10/E98*K98)+(10/E98*L98)+(5/E98*M98)+(5/E98*N98)+(5/E98*O98))/100)</f>
        <v>1</v>
      </c>
      <c r="Q98" s="69">
        <f>((((F98/E98)*20)+((G98/E98)*25)+(30/(E98+1)*H98)+(5/E98*I98)+(5/E98*J98)+(5/E98*K98)+(5/E98*L98)+(0/E98*M98)+(0/E98*N98)+(5/E98*O98))/100)</f>
        <v>1</v>
      </c>
      <c r="R98" s="72" t="str">
        <f>(IF(P98&gt;99%,"All work completed. Please provide OC.",IF(P98&gt;89.8%,"Plinth, RCC, Brick, Plaster, Flooring, Painting work Completed. Finishing work is in process.",(IF(F98=0,"Work not yet Started.",IF(F98=25%*E98,"Piling work in process",IF(F98=50%*E98,"Excavation work in process",IF(F98=E98,"Excavation work Completed. ","0")))&amp;(IF(G98=0%,"",IF(G98=25%*E98,"Footing work is process",IF(G98=50%*E98,"Footing work Completed",IF(G98=75%*E98,"Plinth work is process",IF(G98=E98,"Plinth work completed","0")))))))&amp;(IF(H98=(1+E98),", RCC Slab",IF(H98&gt;0,", RCC upto "&amp;H98&amp;" Slab",""))&amp;(IF(I98=E98,", Brickwork",IF(I98&gt;0,", Brickwork upto "&amp;I98&amp;" Floor",""))&amp;(IF(J98=E98,", Internal Plaster",IF(J98&gt;0,", Internal Plaster upto "&amp;J98&amp;" Floor",""))&amp;(IF(K98=E98,", External Plaster",IF(K98&gt;0,", External Plaster upto "&amp;K98&amp;" Floor",""))&amp;(IF(L98=E98,", Flooring",IF(L98&gt;0,", Flooring upto "&amp;L98&amp;" Floor",""))&amp;(IF(M98=E98,", Painting",IF(M98&gt;0,", Painting upto "&amp;M98&amp;" Floor",""))&amp;(IF(N98&gt;0,", Finishing upto "&amp;N98&amp;" Floor","")&amp;(IF(H98&gt;0.5," Completed","")))))))))))))</f>
        <v>All work completed. Please provide OC.</v>
      </c>
    </row>
    <row r="99" spans="1:24 16383:16383" hidden="1" x14ac:dyDescent="0.3">
      <c r="A99" s="19">
        <v>85</v>
      </c>
      <c r="B99" s="25">
        <v>99.962839093273885</v>
      </c>
      <c r="C99" s="19">
        <v>1076</v>
      </c>
      <c r="D99" s="19"/>
      <c r="E99" s="19"/>
      <c r="F99" s="37"/>
      <c r="G99" s="37"/>
      <c r="H99" s="37"/>
      <c r="I99" s="37"/>
      <c r="J99" s="37"/>
      <c r="K99" s="37"/>
      <c r="L99" s="37"/>
      <c r="M99" s="38"/>
      <c r="N99" s="38"/>
      <c r="O99" s="38"/>
      <c r="P99" s="38"/>
      <c r="Q99" s="38"/>
    </row>
    <row r="100" spans="1:24 16383:16383" s="99" customFormat="1" ht="15.5" x14ac:dyDescent="0.35">
      <c r="A100" s="21">
        <v>86</v>
      </c>
      <c r="B100" s="24">
        <v>99.962839093273885</v>
      </c>
      <c r="C100" s="23">
        <v>1076</v>
      </c>
      <c r="D100" s="21" t="s">
        <v>238</v>
      </c>
      <c r="E100" s="101">
        <v>1</v>
      </c>
      <c r="F100" s="102">
        <v>1</v>
      </c>
      <c r="G100" s="102">
        <v>1</v>
      </c>
      <c r="H100" s="103">
        <v>2</v>
      </c>
      <c r="I100" s="102">
        <v>1</v>
      </c>
      <c r="J100" s="102">
        <v>1</v>
      </c>
      <c r="K100" s="102">
        <v>1</v>
      </c>
      <c r="L100" s="102">
        <v>1</v>
      </c>
      <c r="M100" s="102">
        <v>1</v>
      </c>
      <c r="N100" s="104">
        <v>1</v>
      </c>
      <c r="O100" s="104">
        <v>1</v>
      </c>
      <c r="P100" s="97">
        <f>(((G100/E100*10)+(40/(1+E100)*H100)+(7.5/(E100)*I100)+(7.5/(E100)*J100)+(10/E100*K100)+(10/E100*L100)+(5/E100*M100)+(5/E100*N100)+(5/E100*O100))/100)</f>
        <v>1</v>
      </c>
      <c r="Q100" s="97">
        <f>((((F100/E100)*20)+((G100/E100)*25)+(30/(E100+1)*H100)+(5/E100*I100)+(5/E100*J100)+(5/E100*K100)+(5/E100*L100)+(0/E100*M100)+(0/E100*N100)+(5/E100*O100))/100)</f>
        <v>1</v>
      </c>
      <c r="R100" s="98" t="str">
        <f>(IF(P100&gt;99%,"All work completed. Please provide OC.",IF(P100&gt;89.8%,"Plinth, RCC, Brick, Plaster, Flooring, Painting work Completed. Finishing work is in process.",(IF(F100=0,"Work not yet Started.",IF(F100=25%*E100,"Piling work in process",IF(F100=50%*E100,"Excavation work in process",IF(F100=E100,"Excavation work Completed. ","0")))&amp;(IF(G100=0%,"",IF(G100=25%*E100,"Footing work is process",IF(G100=50%*E100,"Footing work Completed",IF(G100=75%*E100,"Plinth work is process",IF(G100=E100,"Plinth work completed","0")))))))&amp;(IF(H100=(1+E100),", RCC Slab",IF(H100&gt;0,", RCC upto "&amp;H100&amp;" Slab",""))&amp;(IF(I100=E100,", Brickwork",IF(I100&gt;0,", Brickwork upto "&amp;I100&amp;" Floor",""))&amp;(IF(J100=E100,", Internal Plaster",IF(J100&gt;0,", Internal Plaster upto "&amp;J100&amp;" Floor",""))&amp;(IF(K100=E100,", External Plaster",IF(K100&gt;0,", External Plaster upto "&amp;K100&amp;" Floor",""))&amp;(IF(L100=E100,", Flooring",IF(L100&gt;0,", Flooring upto "&amp;L100&amp;" Floor",""))&amp;(IF(M100=E100,", Painting",IF(M100&gt;0,", Painting upto "&amp;M100&amp;" Floor",""))&amp;(IF(N100&gt;0,", Finishing upto "&amp;N100&amp;" Floor","")&amp;(IF(H100&gt;0.5," Completed","")))))))))))))</f>
        <v>All work completed. Please provide OC.</v>
      </c>
    </row>
    <row r="101" spans="1:24 16383:16383" s="99" customFormat="1" ht="15.5" x14ac:dyDescent="0.35">
      <c r="A101" s="21">
        <v>87</v>
      </c>
      <c r="B101" s="23">
        <v>99.962839093273885</v>
      </c>
      <c r="C101" s="32">
        <v>1076</v>
      </c>
      <c r="D101" s="21" t="s">
        <v>238</v>
      </c>
      <c r="E101" s="102">
        <v>1</v>
      </c>
      <c r="F101" s="103">
        <v>1</v>
      </c>
      <c r="G101" s="102">
        <v>1</v>
      </c>
      <c r="H101" s="102">
        <v>2</v>
      </c>
      <c r="I101" s="102">
        <v>1</v>
      </c>
      <c r="J101" s="102">
        <v>1</v>
      </c>
      <c r="K101" s="102">
        <v>1</v>
      </c>
      <c r="L101" s="102">
        <v>1</v>
      </c>
      <c r="M101" s="102">
        <v>1</v>
      </c>
      <c r="N101" s="104">
        <v>1</v>
      </c>
      <c r="O101" s="104">
        <v>1</v>
      </c>
      <c r="P101" s="97">
        <f>(((G101/E101*10)+(40/(1+E101)*H101)+(7.5/(E101)*I101)+(7.5/(E101)*J101)+(10/E101*K101)+(10/E101*L101)+(5/E101*M101)+(5/E101*N101)+(5/E101*O101))/100)</f>
        <v>1</v>
      </c>
      <c r="Q101" s="97">
        <f>((((F101/E101)*20)+((G101/E101)*25)+(30/(E101+1)*H101)+(5/E101*I101)+(5/E101*J101)+(5/E101*K101)+(5/E101*L101)+(0/E101*M101)+(0/E101*N101)+(5/E101*O101))/100)</f>
        <v>1</v>
      </c>
      <c r="R101" s="98" t="str">
        <f>(IF(P101&gt;99%,"All work completed. Please provide OC.",IF(P101&gt;89.8%,"Plinth, RCC, Brick, Plaster, Flooring, Painting work Completed. Finishing work is in process.",(IF(F101=0,"Work not yet Started.",IF(F101=25%*E101,"Piling work in process",IF(F101=50%*E101,"Excavation work in process",IF(F101=E101,"Excavation work Completed. ","0")))&amp;(IF(G101=0%,"",IF(G101=25%*E101,"Footing work is process",IF(G101=50%*E101,"Footing work Completed",IF(G101=75%*E101,"Plinth work is process",IF(G101=E101,"Plinth work completed","0")))))))&amp;(IF(H101=(1+E101),", RCC Slab",IF(H101&gt;0,", RCC upto "&amp;H101&amp;" Slab",""))&amp;(IF(I101=E101,", Brickwork",IF(I101&gt;0,", Brickwork upto "&amp;I101&amp;" Floor",""))&amp;(IF(J101=E101,", Internal Plaster",IF(J101&gt;0,", Internal Plaster upto "&amp;J101&amp;" Floor",""))&amp;(IF(K101=E101,", External Plaster",IF(K101&gt;0,", External Plaster upto "&amp;K101&amp;" Floor",""))&amp;(IF(L101=E101,", Flooring",IF(L101&gt;0,", Flooring upto "&amp;L101&amp;" Floor",""))&amp;(IF(M101=E101,", Painting",IF(M101&gt;0,", Painting upto "&amp;M101&amp;" Floor",""))&amp;(IF(N101&gt;0,", Finishing upto "&amp;N101&amp;" Floor","")&amp;(IF(H101&gt;0.5," Completed","")))))))))))))</f>
        <v>All work completed. Please provide OC.</v>
      </c>
      <c r="XFC101" s="21"/>
    </row>
    <row r="102" spans="1:24 16383:16383" hidden="1" x14ac:dyDescent="0.3">
      <c r="A102" s="19">
        <v>88</v>
      </c>
      <c r="B102" s="25">
        <v>99.962839093273885</v>
      </c>
      <c r="C102" s="19">
        <v>1076</v>
      </c>
      <c r="D102" s="19"/>
      <c r="E102" s="19"/>
      <c r="F102" s="34"/>
      <c r="G102" s="34"/>
      <c r="H102" s="34"/>
      <c r="I102" s="34"/>
      <c r="J102" s="34"/>
      <c r="K102" s="34"/>
      <c r="L102" s="34"/>
      <c r="M102" s="35"/>
      <c r="N102" s="35"/>
      <c r="O102" s="35"/>
      <c r="P102" s="35"/>
      <c r="Q102" s="35"/>
    </row>
    <row r="103" spans="1:24 16383:16383" s="73" customFormat="1" ht="15.5" x14ac:dyDescent="0.35">
      <c r="A103" s="71">
        <v>89</v>
      </c>
      <c r="B103" s="24">
        <v>99.962839093273885</v>
      </c>
      <c r="C103" s="23">
        <v>1076</v>
      </c>
      <c r="D103" s="71" t="s">
        <v>238</v>
      </c>
      <c r="E103" s="86">
        <v>1</v>
      </c>
      <c r="F103" s="87">
        <v>1</v>
      </c>
      <c r="G103" s="87">
        <v>1</v>
      </c>
      <c r="H103" s="88">
        <v>2</v>
      </c>
      <c r="I103" s="87">
        <v>1</v>
      </c>
      <c r="J103" s="87">
        <v>1</v>
      </c>
      <c r="K103" s="87">
        <v>1</v>
      </c>
      <c r="L103" s="87">
        <v>1</v>
      </c>
      <c r="M103" s="87">
        <v>1</v>
      </c>
      <c r="N103" s="87">
        <v>1</v>
      </c>
      <c r="O103" s="87">
        <v>1</v>
      </c>
      <c r="P103" s="69">
        <f>(((G103/E103*10)+(40/(1+E103)*H103)+(7.5/(E103)*I103)+(7.5/(E103)*J103)+(10/E103*K103)+(10/E103*L103)+(5/E103*M103)+(5/E103*N103)+(5/E103*O103))/100)</f>
        <v>1</v>
      </c>
      <c r="Q103" s="69">
        <f>((((F103/E103)*20)+((G103/E103)*25)+(30/(E103+1)*H103)+(5/E103*I103)+(5/E103*J103)+(5/E103*K103)+(5/E103*L103)+(0/E103*M103)+(0/E103*N103)+(5/E103*O103))/100)</f>
        <v>1</v>
      </c>
      <c r="R103" s="72" t="str">
        <f>(IF(P103&gt;99%,"All work completed. Please provide OC.",IF(P103&gt;89.8%,"Plinth, RCC, Brick, Plaster, Flooring, Painting work Completed. Finishing work is in process.",(IF(F103=0,"Work not yet Started.",IF(F103=25%*E103,"Piling work in process",IF(F103=50%*E103,"Excavation work in process",IF(F103=E103,"Excavation work Completed. ","0")))&amp;(IF(G103=0%,"",IF(G103=25%*E103,"Footing work is process",IF(G103=50%*E103,"Footing work Completed",IF(G103=75%*E103,"Plinth work is process",IF(G103=E103,"Plinth work completed","0")))))))&amp;(IF(H103=(1+E103),", RCC Slab",IF(H103&gt;0,", RCC upto "&amp;H103&amp;" Slab",""))&amp;(IF(I103=E103,", Brickwork",IF(I103&gt;0,", Brickwork upto "&amp;I103&amp;" Floor",""))&amp;(IF(J103=E103,", Internal Plaster",IF(J103&gt;0,", Internal Plaster upto "&amp;J103&amp;" Floor",""))&amp;(IF(K103=E103,", External Plaster",IF(K103&gt;0,", External Plaster upto "&amp;K103&amp;" Floor",""))&amp;(IF(L103=E103,", Flooring",IF(L103&gt;0,", Flooring upto "&amp;L103&amp;" Floor",""))&amp;(IF(M103=E103,", Painting",IF(M103&gt;0,", Painting upto "&amp;M103&amp;" Floor",""))&amp;(IF(N103&gt;0,", Finishing upto "&amp;N103&amp;" Floor","")&amp;(IF(H103&gt;0.5," Completed","")))))))))))))</f>
        <v>All work completed. Please provide OC.</v>
      </c>
    </row>
    <row r="104" spans="1:24 16383:16383" hidden="1" x14ac:dyDescent="0.3">
      <c r="A104" s="19">
        <v>90</v>
      </c>
      <c r="B104" s="25">
        <v>99.962839093273885</v>
      </c>
      <c r="C104" s="19">
        <v>1076</v>
      </c>
      <c r="D104" s="19"/>
      <c r="E104" s="19"/>
      <c r="F104" s="37"/>
      <c r="G104" s="37"/>
      <c r="H104" s="37"/>
      <c r="I104" s="37"/>
      <c r="J104" s="37"/>
      <c r="K104" s="37"/>
      <c r="L104" s="37"/>
      <c r="M104" s="38"/>
      <c r="N104" s="38"/>
      <c r="O104" s="38"/>
      <c r="P104" s="38"/>
      <c r="Q104" s="38"/>
    </row>
    <row r="105" spans="1:24 16383:16383" s="27" customFormat="1" ht="15.5" x14ac:dyDescent="0.35">
      <c r="A105" s="23">
        <v>91</v>
      </c>
      <c r="B105" s="24">
        <v>99.962839093273885</v>
      </c>
      <c r="C105" s="23">
        <v>1076</v>
      </c>
      <c r="D105" s="23" t="s">
        <v>238</v>
      </c>
      <c r="E105" s="90">
        <v>1</v>
      </c>
      <c r="F105" s="89">
        <v>1</v>
      </c>
      <c r="G105" s="89">
        <v>1</v>
      </c>
      <c r="H105" s="91">
        <v>2</v>
      </c>
      <c r="I105" s="89">
        <v>1</v>
      </c>
      <c r="J105" s="89">
        <v>1</v>
      </c>
      <c r="K105" s="89">
        <v>1</v>
      </c>
      <c r="L105" s="89">
        <v>1</v>
      </c>
      <c r="M105" s="89">
        <v>1</v>
      </c>
      <c r="N105" s="89">
        <v>1</v>
      </c>
      <c r="O105" s="89">
        <v>1</v>
      </c>
      <c r="P105" s="31">
        <f>(((G105/E105*10)+(40/(1+E105)*H105)+(7.5/(E105)*I105)+(7.5/(E105)*J105)+(10/E105*K105)+(10/E105*L105)+(5/E105*M105)+(5/E105*N105)+(5/E105*O105))/100)</f>
        <v>1</v>
      </c>
      <c r="Q105" s="31">
        <f>((((F105/E105)*20)+((G105/E105)*25)+(30/(E105+1)*H105)+(5/E105*I105)+(5/E105*J105)+(5/E105*K105)+(5/E105*L105)+(0/E105*M105)+(0/E105*N105)+(5/E105*O105))/100)</f>
        <v>1</v>
      </c>
      <c r="R105" s="39" t="str">
        <f>(IF(P105&gt;99%,"All work completed. Please provide OC.",IF(P105&gt;89.8%,"Plinth, RCC, Brick, Plaster, Flooring, Painting work Completed. Finishing work is in process.",(IF(F105=0,"Work not yet Started.",IF(F105=25%*E105,"Piling work in process",IF(F105=50%*E105,"Excavation work in process",IF(F105=E105,"Excavation work Completed. ","0")))&amp;(IF(G105=0%,"",IF(G105=25%*E105,"Footing work is process",IF(G105=50%*E105,"Footing work Completed",IF(G105=75%*E105,"Plinth work is process",IF(G105=E105,"Plinth work completed","0")))))))&amp;(IF(H105=(1+E105),", RCC Slab",IF(H105&gt;0,", RCC upto "&amp;H105&amp;" Slab",""))&amp;(IF(I105=E105,", Brickwork",IF(I105&gt;0,", Brickwork upto "&amp;I105&amp;" Floor",""))&amp;(IF(J105=E105,", Internal Plaster",IF(J105&gt;0,", Internal Plaster upto "&amp;J105&amp;" Floor",""))&amp;(IF(K105=E105,", External Plaster",IF(K105&gt;0,", External Plaster upto "&amp;K105&amp;" Floor",""))&amp;(IF(L105=E105,", Flooring",IF(L105&gt;0,", Flooring upto "&amp;L105&amp;" Floor",""))&amp;(IF(M105=E105,", Painting",IF(M105&gt;0,", Painting upto "&amp;M105&amp;" Floor",""))&amp;(IF(N105&gt;0,", Finishing upto "&amp;N105&amp;" Floor","")&amp;(IF(H105&gt;0.5," Completed","")))))))))))))</f>
        <v>All work completed. Please provide OC.</v>
      </c>
    </row>
    <row r="106" spans="1:24 16383:16383" s="99" customFormat="1" ht="15.5" x14ac:dyDescent="0.35">
      <c r="A106" s="21">
        <v>92</v>
      </c>
      <c r="B106" s="25">
        <v>99.962839093273885</v>
      </c>
      <c r="C106" s="19">
        <v>1076</v>
      </c>
      <c r="D106" s="21" t="s">
        <v>238</v>
      </c>
      <c r="E106" s="101">
        <v>1</v>
      </c>
      <c r="F106" s="105">
        <v>1</v>
      </c>
      <c r="G106" s="105">
        <v>1</v>
      </c>
      <c r="H106" s="105">
        <v>2</v>
      </c>
      <c r="I106" s="105">
        <v>1</v>
      </c>
      <c r="J106" s="105">
        <v>1</v>
      </c>
      <c r="K106" s="105">
        <v>1</v>
      </c>
      <c r="L106" s="102">
        <v>1</v>
      </c>
      <c r="M106" s="106">
        <v>1</v>
      </c>
      <c r="N106" s="106">
        <v>1</v>
      </c>
      <c r="O106" s="106">
        <v>1</v>
      </c>
      <c r="P106" s="97">
        <f>(((G106/E106*10)+(40/(1+E106)*H106)+(7.5/(E106)*I106)+(7.5/(E106)*J106)+(10/E106*K106)+(10/E106*L106)+(5/E106*M106)+(5/E106*N106)+(5/E106*O106))/100)</f>
        <v>1</v>
      </c>
      <c r="Q106" s="97">
        <f>((((F106/E106)*20)+((G106/E106)*25)+(30/(E106+1)*H106)+(5/E106*I106)+(5/E106*J106)+(5/E106*K106)+(5/E106*L106)+(0/E106*M106)+(0/E106*N106)+(5/E106*O106))/100)</f>
        <v>1</v>
      </c>
      <c r="R106" s="98" t="str">
        <f>(IF(P106&gt;99%,"All work completed. Please provide OC.",IF(P106&gt;89.8%,"Plinth, RCC, Brick, Plaster, Flooring, Painting work Completed. Finishing work is in process.",(IF(F106=0,"Work not yet Started.",IF(F106=25%*E106,"Piling work in process",IF(F106=50%*E106,"Excavation work in process",IF(F106=E106,"Excavation work Completed. ","0")))&amp;(IF(G106=0%,"",IF(G106=25%*E106,"Footing work is process",IF(G106=50%*E106,"Footing work Completed",IF(G106=75%*E106,"Plinth work is process",IF(G106=E106,"Plinth work completed","0")))))))&amp;(IF(H106=(1+E106),", RCC Slab",IF(H106&gt;0,", RCC upto "&amp;H106&amp;" Slab",""))&amp;(IF(I106=E106,", Brickwork",IF(I106&gt;0,", Brickwork upto "&amp;I106&amp;" Floor",""))&amp;(IF(J106=E106,", Internal Plaster",IF(J106&gt;0,", Internal Plaster upto "&amp;J106&amp;" Floor",""))&amp;(IF(K106=E106,", External Plaster",IF(K106&gt;0,", External Plaster upto "&amp;K106&amp;" Floor",""))&amp;(IF(L106=E106,", Flooring",IF(L106&gt;0,", Flooring upto "&amp;L106&amp;" Floor",""))&amp;(IF(M106=E106,", Painting",IF(M106&gt;0,", Painting upto "&amp;M106&amp;" Floor",""))&amp;(IF(N106&gt;0,", Finishing upto "&amp;N106&amp;" Floor","")&amp;(IF(H106&gt;0.5," Completed","")))))))))))))</f>
        <v>All work completed. Please provide OC.</v>
      </c>
    </row>
    <row r="107" spans="1:24 16383:16383" s="73" customFormat="1" ht="15.5" x14ac:dyDescent="0.35">
      <c r="A107" s="71">
        <v>93</v>
      </c>
      <c r="B107" s="24">
        <v>99.962839093273885</v>
      </c>
      <c r="C107" s="23">
        <v>1076</v>
      </c>
      <c r="D107" s="71" t="s">
        <v>238</v>
      </c>
      <c r="E107" s="86">
        <v>1</v>
      </c>
      <c r="F107" s="87">
        <v>1</v>
      </c>
      <c r="G107" s="87">
        <v>1</v>
      </c>
      <c r="H107" s="88">
        <v>2</v>
      </c>
      <c r="I107" s="87">
        <v>1</v>
      </c>
      <c r="J107" s="87">
        <v>1</v>
      </c>
      <c r="K107" s="87">
        <v>1</v>
      </c>
      <c r="L107" s="87">
        <v>1</v>
      </c>
      <c r="M107" s="87">
        <v>1</v>
      </c>
      <c r="N107" s="87">
        <v>1</v>
      </c>
      <c r="O107" s="87">
        <v>1</v>
      </c>
      <c r="P107" s="69">
        <f>(((G107/E107*10)+(40/(1+E107)*H107)+(7.5/(E107)*I107)+(7.5/(E107)*J107)+(10/E107*K107)+(10/E107*L107)+(5/E107*M107)+(5/E107*N107)+(5/E107*O107))/100)</f>
        <v>1</v>
      </c>
      <c r="Q107" s="69">
        <f>((((F107/E107)*20)+((G107/E107)*25)+(30/(E107+1)*H107)+(5/E107*I107)+(5/E107*J107)+(5/E107*K107)+(5/E107*L107)+(0/E107*M107)+(0/E107*N107)+(5/E107*O107))/100)</f>
        <v>1</v>
      </c>
      <c r="R107" s="72" t="str">
        <f>(IF(P107&gt;99%,"All work completed. Please provide OC.",IF(P107&gt;89.8%,"Plinth, RCC, Brick, Plaster, Flooring, Painting work Completed. Finishing work is in process.",(IF(F107=0,"Work not yet Started.",IF(F107=25%*E107,"Piling work in process",IF(F107=50%*E107,"Excavation work in process",IF(F107=E107,"Excavation work Completed. ","0")))&amp;(IF(G107=0%,"",IF(G107=25%*E107,"Footing work is process",IF(G107=50%*E107,"Footing work Completed",IF(G107=75%*E107,"Plinth work is process",IF(G107=E107,"Plinth work completed","0")))))))&amp;(IF(H107=(1+E107),", RCC Slab",IF(H107&gt;0,", RCC upto "&amp;H107&amp;" Slab",""))&amp;(IF(I107=E107,", Brickwork",IF(I107&gt;0,", Brickwork upto "&amp;I107&amp;" Floor",""))&amp;(IF(J107=E107,", Internal Plaster",IF(J107&gt;0,", Internal Plaster upto "&amp;J107&amp;" Floor",""))&amp;(IF(K107=E107,", External Plaster",IF(K107&gt;0,", External Plaster upto "&amp;K107&amp;" Floor",""))&amp;(IF(L107=E107,", Flooring",IF(L107&gt;0,", Flooring upto "&amp;L107&amp;" Floor",""))&amp;(IF(M107=E107,", Painting",IF(M107&gt;0,", Painting upto "&amp;M107&amp;" Floor",""))&amp;(IF(N107&gt;0,", Finishing upto "&amp;N107&amp;" Floor","")&amp;(IF(H107&gt;0.5," Completed","")))))))))))))</f>
        <v>All work completed. Please provide OC.</v>
      </c>
    </row>
    <row r="108" spans="1:24 16383:16383" s="27" customFormat="1" ht="15.5" x14ac:dyDescent="0.35">
      <c r="A108" s="23">
        <v>94</v>
      </c>
      <c r="B108" s="25">
        <v>99.962839093273885</v>
      </c>
      <c r="C108" s="19">
        <v>1076</v>
      </c>
      <c r="D108" s="23" t="s">
        <v>238</v>
      </c>
      <c r="E108" s="23">
        <v>1</v>
      </c>
      <c r="F108" s="45">
        <v>1</v>
      </c>
      <c r="G108" s="45">
        <v>1</v>
      </c>
      <c r="H108" s="45">
        <v>2</v>
      </c>
      <c r="I108" s="45">
        <v>1</v>
      </c>
      <c r="J108" s="45">
        <v>1</v>
      </c>
      <c r="K108" s="45">
        <v>1</v>
      </c>
      <c r="L108" s="45">
        <v>1</v>
      </c>
      <c r="M108" s="51">
        <v>1</v>
      </c>
      <c r="N108" s="51">
        <v>1</v>
      </c>
      <c r="O108" s="51">
        <v>1</v>
      </c>
      <c r="P108" s="31">
        <f>(((G108/E108*10)+(40/(1+E108)*H108)+(7.5/(E108)*I108)+(7.5/(E108)*J108)+(10/E108*K108)+(10/E108*L108)+(5/E108*M108)+(5/E108*N108)+(5/E108*O108))/100)</f>
        <v>1</v>
      </c>
      <c r="Q108" s="31">
        <f>((((F108/E108)*20)+((G108/E108)*25)+(30/(E108+1)*H108)+(5/E108*I108)+(5/E108*J108)+(5/E108*K108)+(5/E108*L108)+(0/E108*M108)+(0/E108*N108)+(5/E108*O108))/100)</f>
        <v>1</v>
      </c>
      <c r="R108" s="39" t="str">
        <f>(IF(P108&gt;99%,"All work completed. Please provide OC.",IF(P108&gt;89.8%,"Plinth, RCC, Brick, Plaster, Flooring, Painting work Completed. Finishing work is in process.",(IF(F108=0,"Work not yet Started.",IF(F108=25%*E108,"Piling work in process",IF(F108=50%*E108,"Excavation work in process",IF(F108=E108,"Excavation work Completed. ","0")))&amp;(IF(G108=0%,"",IF(G108=25%*E108,"Footing work is process",IF(G108=50%*E108,"Footing work Completed",IF(G108=75%*E108,"Plinth work is process",IF(G108=E108,"Plinth work completed","0")))))))&amp;(IF(H108=(1+E108),", RCC Slab",IF(H108&gt;0,", RCC upto "&amp;H108&amp;" Slab",""))&amp;(IF(I108=E108,", Brickwork",IF(I108&gt;0,", Brickwork upto "&amp;I108&amp;" Floor",""))&amp;(IF(J108=E108,", Internal Plaster",IF(J108&gt;0,", Internal Plaster upto "&amp;J108&amp;" Floor",""))&amp;(IF(K108=E108,", External Plaster",IF(K108&gt;0,", External Plaster upto "&amp;K108&amp;" Floor",""))&amp;(IF(L108=E108,", Flooring",IF(L108&gt;0,", Flooring upto "&amp;L108&amp;" Floor",""))&amp;(IF(M108=E108,", Painting",IF(M108&gt;0,", Painting upto "&amp;M108&amp;" Floor",""))&amp;(IF(N108&gt;0,", Finishing upto "&amp;N108&amp;" Floor","")&amp;(IF(H108&gt;0.5," Completed","")))))))))))))</f>
        <v>All work completed. Please provide OC.</v>
      </c>
    </row>
    <row r="109" spans="1:24 16383:16383" hidden="1" x14ac:dyDescent="0.3">
      <c r="A109" s="19">
        <v>95</v>
      </c>
      <c r="B109" s="25">
        <v>149.94425863991083</v>
      </c>
      <c r="C109" s="19">
        <v>1614</v>
      </c>
      <c r="D109" s="19"/>
      <c r="E109" s="19"/>
      <c r="F109" s="34"/>
      <c r="G109" s="34"/>
      <c r="H109" s="34"/>
      <c r="I109" s="34"/>
      <c r="J109" s="34"/>
      <c r="K109" s="34"/>
      <c r="L109" s="34"/>
      <c r="M109" s="35"/>
      <c r="N109" s="35"/>
      <c r="O109" s="35"/>
      <c r="P109" s="35"/>
      <c r="Q109" s="35"/>
    </row>
    <row r="110" spans="1:24 16383:16383" s="27" customFormat="1" ht="15.5" x14ac:dyDescent="0.35">
      <c r="A110" s="71">
        <v>96</v>
      </c>
      <c r="B110" s="24">
        <v>174.93496841322929</v>
      </c>
      <c r="C110" s="23">
        <v>1883</v>
      </c>
      <c r="D110" s="71" t="s">
        <v>238</v>
      </c>
      <c r="E110" s="86">
        <v>1</v>
      </c>
      <c r="F110" s="87">
        <v>1</v>
      </c>
      <c r="G110" s="87">
        <v>1</v>
      </c>
      <c r="H110" s="88">
        <v>2</v>
      </c>
      <c r="I110" s="87">
        <v>1</v>
      </c>
      <c r="J110" s="87">
        <v>1</v>
      </c>
      <c r="K110" s="87">
        <v>1</v>
      </c>
      <c r="L110" s="87">
        <v>1</v>
      </c>
      <c r="M110" s="87">
        <v>1</v>
      </c>
      <c r="N110" s="87">
        <v>1</v>
      </c>
      <c r="O110" s="87">
        <v>1</v>
      </c>
      <c r="P110" s="69">
        <f>(((G110/E110*10)+(40/(1+E110)*H110)+(7.5/(E110)*I110)+(7.5/(E110)*J110)+(10/E110*K110)+(10/E110*L110)+(5/E110*M110)+(5/E110*N110)+(5/E110*O110))/100)</f>
        <v>1</v>
      </c>
      <c r="Q110" s="69">
        <f>((((F110/E110)*20)+((G110/E110)*25)+(30/(E110+1)*H110)+(5/E110*I110)+(5/E110*J110)+(5/E110*K110)+(5/E110*L110)+(0/E110*M110)+(0/E110*N110)+(5/E110*O110))/100)</f>
        <v>1</v>
      </c>
      <c r="R110" s="72" t="str">
        <f>(IF(P110&gt;99%,"All work completed. Please provide OC.",IF(P110&gt;89.8%,"Plinth, RCC, Brick, Plaster, Flooring, Painting work Completed. Finishing work is in process.",(IF(F110=0,"Work not yet Started.",IF(F110=25%*E110,"Piling work in process",IF(F110=50%*E110,"Excavation work in process",IF(F110=E110,"Excavation work Completed. ","0")))&amp;(IF(G110=0%,"",IF(G110=25%*E110,"Footing work is process",IF(G110=50%*E110,"Footing work Completed",IF(G110=75%*E110,"Plinth work is process",IF(G110=E110,"Plinth work completed","0")))))))&amp;(IF(H110=(1+E110),", RCC Slab",IF(H110&gt;0,", RCC upto "&amp;H110&amp;" Slab",""))&amp;(IF(I110=E110,", Brickwork",IF(I110&gt;0,", Brickwork upto "&amp;I110&amp;" Floor",""))&amp;(IF(J110=E110,", Internal Plaster",IF(J110&gt;0,", Internal Plaster upto "&amp;J110&amp;" Floor",""))&amp;(IF(K110=E110,", External Plaster",IF(K110&gt;0,", External Plaster upto "&amp;K110&amp;" Floor",""))&amp;(IF(L110=E110,", Flooring",IF(L110&gt;0,", Flooring upto "&amp;L110&amp;" Floor",""))&amp;(IF(M110=E110,", Painting",IF(M110&gt;0,", Painting upto "&amp;M110&amp;" Floor",""))&amp;(IF(N110&gt;0,", Finishing upto "&amp;N110&amp;" Floor","")&amp;(IF(H110&gt;0.5," Completed","")))))))))))))</f>
        <v>All work completed. Please provide OC.</v>
      </c>
      <c r="S110" s="73"/>
      <c r="T110" s="73"/>
      <c r="U110" s="73"/>
      <c r="V110" s="73"/>
      <c r="W110" s="73"/>
      <c r="X110" s="73"/>
    </row>
    <row r="111" spans="1:24 16383:16383" hidden="1" x14ac:dyDescent="0.3">
      <c r="A111" s="19">
        <v>97</v>
      </c>
      <c r="B111" s="25">
        <v>149.94425863991083</v>
      </c>
      <c r="C111" s="19">
        <v>1614</v>
      </c>
      <c r="D111" s="19"/>
      <c r="E111" s="19"/>
      <c r="F111" s="36"/>
      <c r="G111" s="36"/>
      <c r="H111" s="36"/>
      <c r="I111" s="36"/>
      <c r="J111" s="36"/>
      <c r="K111" s="36"/>
      <c r="L111" s="36"/>
      <c r="M111" s="30"/>
      <c r="N111" s="30"/>
      <c r="O111" s="30"/>
      <c r="P111" s="30"/>
      <c r="Q111" s="30"/>
    </row>
    <row r="112" spans="1:24 16383:16383" hidden="1" x14ac:dyDescent="0.3">
      <c r="A112" s="19">
        <v>98</v>
      </c>
      <c r="B112" s="25">
        <v>149.94425863991083</v>
      </c>
      <c r="C112" s="19">
        <v>1614</v>
      </c>
      <c r="D112" s="19"/>
      <c r="E112" s="19"/>
      <c r="F112" s="19"/>
      <c r="G112" s="19"/>
      <c r="H112" s="19"/>
      <c r="I112" s="19"/>
      <c r="J112" s="19"/>
      <c r="K112" s="19"/>
      <c r="L112" s="19"/>
      <c r="M112" s="29"/>
      <c r="N112" s="29"/>
      <c r="O112" s="29"/>
      <c r="P112" s="29"/>
      <c r="Q112" s="29"/>
    </row>
    <row r="113" spans="1:21" hidden="1" x14ac:dyDescent="0.3">
      <c r="A113" s="19">
        <v>99</v>
      </c>
      <c r="B113" s="25">
        <v>149.94425863991083</v>
      </c>
      <c r="C113" s="19">
        <v>1614</v>
      </c>
      <c r="D113" s="19"/>
      <c r="E113" s="19"/>
      <c r="F113" s="19"/>
      <c r="G113" s="19"/>
      <c r="H113" s="19"/>
      <c r="I113" s="19"/>
      <c r="J113" s="19"/>
      <c r="K113" s="19"/>
      <c r="L113" s="19"/>
      <c r="M113" s="29"/>
      <c r="N113" s="29"/>
      <c r="O113" s="29"/>
      <c r="P113" s="29"/>
      <c r="Q113" s="29"/>
    </row>
    <row r="114" spans="1:21" hidden="1" x14ac:dyDescent="0.3">
      <c r="A114" s="19">
        <v>100</v>
      </c>
      <c r="B114" s="25">
        <v>149.94425863991083</v>
      </c>
      <c r="C114" s="19">
        <v>1614</v>
      </c>
      <c r="D114" s="19"/>
      <c r="E114" s="19"/>
      <c r="F114" s="34"/>
      <c r="G114" s="34"/>
      <c r="H114" s="34"/>
      <c r="I114" s="34"/>
      <c r="J114" s="34"/>
      <c r="K114" s="34"/>
      <c r="L114" s="34"/>
      <c r="M114" s="35"/>
      <c r="N114" s="35"/>
      <c r="O114" s="35"/>
      <c r="P114" s="35"/>
      <c r="Q114" s="35"/>
    </row>
    <row r="115" spans="1:21" s="27" customFormat="1" ht="35.25" customHeight="1" x14ac:dyDescent="0.35">
      <c r="A115" s="23">
        <v>101</v>
      </c>
      <c r="B115" s="24">
        <v>149.94425863991083</v>
      </c>
      <c r="C115" s="23">
        <v>1614</v>
      </c>
      <c r="D115" s="23" t="s">
        <v>238</v>
      </c>
      <c r="E115" s="90">
        <v>1</v>
      </c>
      <c r="F115" s="89">
        <v>1</v>
      </c>
      <c r="G115" s="89">
        <v>1</v>
      </c>
      <c r="H115" s="91">
        <v>2</v>
      </c>
      <c r="I115" s="89">
        <v>1</v>
      </c>
      <c r="J115" s="89">
        <v>1</v>
      </c>
      <c r="K115" s="89">
        <v>1</v>
      </c>
      <c r="L115" s="89">
        <v>1</v>
      </c>
      <c r="M115" s="89">
        <v>1</v>
      </c>
      <c r="N115" s="89">
        <v>1</v>
      </c>
      <c r="O115" s="89">
        <v>1</v>
      </c>
      <c r="P115" s="31">
        <f>(((G115/E115*10)+(40/(1+E115)*H115)+(7.5/(E115)*I115)+(7.5/(E115)*J115)+(10/E115*K115)+(10/E115*L115)+(5/E115*M115)+(5/E115*N115)+(5/E115*O115))/100)</f>
        <v>1</v>
      </c>
      <c r="Q115" s="31">
        <f>((((F115/E115)*20)+((G115/E115)*25)+(30/(E115+1)*H115)+(5/E115*I115)+(5/E115*J115)+(5/E115*K115)+(5/E115*L115)+(0/E115*M115)+(0/E115*N115)+(5/E115*O115))/100)</f>
        <v>1</v>
      </c>
      <c r="R115" s="39" t="str">
        <f>(IF(P115&gt;99%,"All work completed. Please provide OC.",IF(P115&gt;89.8%,"Plinth, RCC, Brick, Plaster, Flooring, Painting work Completed. Finishing work is in process.",(IF(F115=0,"Work not yet Started.",IF(F115=25%*E115,"Piling work in process",IF(F115=50%*E115,"Excavation work in process",IF(F115=E115,"Excavation work Completed. ","0")))&amp;(IF(G115=0%,"",IF(G115=25%*E115,"Footing work is process",IF(G115=50%*E115,"Footing work Completed",IF(G115=75%*E115,"Plinth work is process",IF(G115=E115,"Plinth work completed","0")))))))&amp;(IF(H115=(1+E115),", RCC Slab",IF(H115&gt;0,", RCC upto "&amp;H115&amp;" Slab",""))&amp;(IF(I115=E115,", Brickwork",IF(I115&gt;0,", Brickwork upto "&amp;I115&amp;" Floor",""))&amp;(IF(J115=E115,", Internal Plaster",IF(J115&gt;0,", Internal Plaster upto "&amp;J115&amp;" Floor",""))&amp;(IF(K115=E115,", External Plaster",IF(K115&gt;0,", External Plaster upto "&amp;K115&amp;" Floor",""))&amp;(IF(L115=E115,", Flooring",IF(L115&gt;0,", Flooring upto "&amp;L115&amp;" Floor",""))&amp;(IF(M115=E115,", Painting",IF(M115&gt;0,", Painting upto "&amp;M115&amp;" Floor",""))&amp;(IF(N115&gt;0,", Finishing upto "&amp;N115&amp;" Floor","")&amp;(IF(H115&gt;0.5," Completed","")))))))))))))</f>
        <v>All work completed. Please provide OC.</v>
      </c>
    </row>
    <row r="116" spans="1:21" s="99" customFormat="1" ht="20.25" customHeight="1" x14ac:dyDescent="0.35">
      <c r="A116" s="21">
        <v>102</v>
      </c>
      <c r="B116" s="25">
        <v>149.94425863991083</v>
      </c>
      <c r="C116" s="19">
        <v>1614</v>
      </c>
      <c r="D116" s="21" t="s">
        <v>316</v>
      </c>
      <c r="E116" s="21">
        <v>1</v>
      </c>
      <c r="F116" s="95">
        <v>1</v>
      </c>
      <c r="G116" s="95">
        <v>1</v>
      </c>
      <c r="H116" s="95">
        <v>2</v>
      </c>
      <c r="I116" s="95">
        <v>1</v>
      </c>
      <c r="J116" s="95">
        <v>1</v>
      </c>
      <c r="K116" s="95">
        <v>1</v>
      </c>
      <c r="L116" s="95">
        <v>1</v>
      </c>
      <c r="M116" s="96">
        <v>1</v>
      </c>
      <c r="N116" s="96"/>
      <c r="O116" s="96"/>
      <c r="P116" s="97">
        <f>(((G116/E116*10)+(40/(1+E116)*H116)+(7.5/(E116)*I116)+(7.5/(E116)*J116)+(10/E116*K116)+(10/E116*L116)+(5/E116*M116)+(5/E116*N116)+(5/E116*O116))/100)</f>
        <v>0.9</v>
      </c>
      <c r="Q116" s="97">
        <f>((((F116/E116)*20)+((G116/E116)*25)+(30/(E116+1)*H116)+(5/E116*I116)+(5/E116*J116)+(5/E116*K116)+(5/E116*L116)+(0/E116*M116)+(0/E116*N116)+(5/E116*O116))/100)</f>
        <v>0.95</v>
      </c>
      <c r="R116" s="98" t="str">
        <f>(IF(P116&gt;99%,"All work completed. Please provide OC.",IF(P116&gt;89.8%,"Plinth, RCC, Brick, Plaster, Flooring, Painting work Completed. Finishing work is in process.",(IF(F116=0,"Work not yet Started.",IF(F116=25%*E116,"Piling work in process",IF(F116=50%*E116,"Excavation work in process",IF(F116=E116,"Excavation work Completed. ","0")))&amp;(IF(G116=0%,"",IF(G116=25%*E116,"Footing work is process",IF(G116=50%*E116,"Footing work Completed",IF(G116=75%*E116,"Plinth work is process",IF(G116=E116,"Plinth work completed","0")))))))&amp;(IF(H116=(1+E116),", RCC Slab",IF(H116&gt;0,", RCC upto "&amp;H116&amp;" Slab",""))&amp;(IF(I116=E116,", Brickwork",IF(I116&gt;0,", Brickwork upto "&amp;I116&amp;" Floor",""))&amp;(IF(J116=E116,", Internal Plaster",IF(J116&gt;0,", Internal Plaster upto "&amp;J116&amp;" Floor",""))&amp;(IF(K116=E116,", External Plaster",IF(K116&gt;0,", External Plaster upto "&amp;K116&amp;" Floor",""))&amp;(IF(L116=E116,", Flooring",IF(L116&gt;0,", Flooring upto "&amp;L116&amp;" Floor",""))&amp;(IF(M116=E116,", Painting",IF(M116&gt;0,", Painting upto "&amp;M116&amp;" Floor",""))&amp;(IF(N116&gt;0,", Finishing upto "&amp;N116&amp;" Floor","")&amp;(IF(H116&gt;0.5," Completed","")))))))))))))</f>
        <v>Plinth, RCC, Brick, Plaster, Flooring, Painting work Completed. Finishing work is in process.</v>
      </c>
    </row>
    <row r="117" spans="1:21" ht="16.5" hidden="1" customHeight="1" x14ac:dyDescent="0.3">
      <c r="A117" s="19">
        <v>103</v>
      </c>
      <c r="B117" s="25">
        <v>149.94425863991083</v>
      </c>
      <c r="C117" s="19">
        <v>1614</v>
      </c>
      <c r="D117" s="19"/>
      <c r="E117" s="19"/>
      <c r="F117" s="19"/>
      <c r="G117" s="19"/>
      <c r="H117" s="19"/>
      <c r="I117" s="19"/>
      <c r="J117" s="19"/>
      <c r="K117" s="19"/>
      <c r="L117" s="19"/>
      <c r="M117" s="29"/>
      <c r="N117" s="29"/>
      <c r="O117" s="29"/>
      <c r="P117" s="29"/>
      <c r="Q117" s="29"/>
    </row>
    <row r="118" spans="1:21" ht="21.75" hidden="1" customHeight="1" x14ac:dyDescent="0.3">
      <c r="A118" s="19">
        <v>104</v>
      </c>
      <c r="B118" s="25">
        <v>149.94425863991083</v>
      </c>
      <c r="C118" s="19">
        <v>1614</v>
      </c>
      <c r="D118" s="19"/>
      <c r="E118" s="19"/>
      <c r="F118" s="19"/>
      <c r="G118" s="19"/>
      <c r="H118" s="19"/>
      <c r="I118" s="19"/>
      <c r="J118" s="19"/>
      <c r="K118" s="19"/>
      <c r="L118" s="19"/>
      <c r="M118" s="29"/>
      <c r="N118" s="29"/>
      <c r="O118" s="29"/>
      <c r="P118" s="29"/>
      <c r="Q118" s="29"/>
    </row>
    <row r="119" spans="1:21" ht="21.75" hidden="1" customHeight="1" x14ac:dyDescent="0.3">
      <c r="A119" s="19">
        <v>105</v>
      </c>
      <c r="B119" s="25">
        <v>149.94425863991083</v>
      </c>
      <c r="C119" s="19">
        <v>1614</v>
      </c>
      <c r="D119" s="19"/>
      <c r="E119" s="19"/>
      <c r="F119" s="19"/>
      <c r="G119" s="19"/>
      <c r="H119" s="19"/>
      <c r="I119" s="19"/>
      <c r="J119" s="19"/>
      <c r="K119" s="19"/>
      <c r="L119" s="19"/>
      <c r="M119" s="29"/>
      <c r="N119" s="29"/>
      <c r="O119" s="29"/>
      <c r="P119" s="29"/>
      <c r="Q119" s="29"/>
    </row>
    <row r="120" spans="1:21" ht="14.25" hidden="1" customHeight="1" x14ac:dyDescent="0.3">
      <c r="A120" s="19">
        <v>106</v>
      </c>
      <c r="B120" s="25">
        <v>149.94425863991083</v>
      </c>
      <c r="C120" s="19">
        <v>1614</v>
      </c>
      <c r="D120" s="19"/>
      <c r="E120" s="19"/>
      <c r="F120" s="19"/>
      <c r="G120" s="19"/>
      <c r="H120" s="19"/>
      <c r="I120" s="19"/>
      <c r="J120" s="19"/>
      <c r="K120" s="19"/>
      <c r="L120" s="19"/>
      <c r="M120" s="29"/>
      <c r="N120" s="29"/>
      <c r="O120" s="29"/>
      <c r="P120" s="29"/>
      <c r="Q120" s="29"/>
    </row>
    <row r="121" spans="1:21" ht="21.75" hidden="1" customHeight="1" x14ac:dyDescent="0.3">
      <c r="A121" s="19">
        <v>107</v>
      </c>
      <c r="B121" s="25">
        <v>149.94425863991083</v>
      </c>
      <c r="C121" s="19">
        <v>1614</v>
      </c>
      <c r="D121" s="19"/>
      <c r="E121" s="19"/>
      <c r="F121" s="34"/>
      <c r="G121" s="34"/>
      <c r="H121" s="34"/>
      <c r="I121" s="34"/>
      <c r="J121" s="34"/>
      <c r="K121" s="34"/>
      <c r="L121" s="34"/>
      <c r="M121" s="35"/>
      <c r="N121" s="35"/>
      <c r="O121" s="35"/>
      <c r="P121" s="35"/>
      <c r="Q121" s="35"/>
    </row>
    <row r="122" spans="1:21" s="73" customFormat="1" ht="15" customHeight="1" x14ac:dyDescent="0.35">
      <c r="A122" s="71">
        <v>108</v>
      </c>
      <c r="B122" s="24">
        <v>149.94425863991083</v>
      </c>
      <c r="C122" s="23">
        <v>1614</v>
      </c>
      <c r="D122" s="71" t="s">
        <v>238</v>
      </c>
      <c r="E122" s="86">
        <v>1</v>
      </c>
      <c r="F122" s="87">
        <v>1</v>
      </c>
      <c r="G122" s="87">
        <v>1</v>
      </c>
      <c r="H122" s="88">
        <v>2</v>
      </c>
      <c r="I122" s="87">
        <v>1</v>
      </c>
      <c r="J122" s="87">
        <v>1</v>
      </c>
      <c r="K122" s="87">
        <v>1</v>
      </c>
      <c r="L122" s="87">
        <v>1</v>
      </c>
      <c r="M122" s="87">
        <v>1</v>
      </c>
      <c r="N122" s="87">
        <v>1</v>
      </c>
      <c r="O122" s="87">
        <v>1</v>
      </c>
      <c r="P122" s="69">
        <f>(((G122/E122*10)+(40/(1+E122)*H122)+(7.5/(E122)*I122)+(7.5/(E122)*J122)+(10/E122*K122)+(10/E122*L122)+(5/E122*M122)+(5/E122*N122)+(5/E122*O122))/100)</f>
        <v>1</v>
      </c>
      <c r="Q122" s="69">
        <f>((((F122/E122)*20)+((G122/E122)*25)+(30/(E122+1)*H122)+(5/E122*I122)+(5/E122*J122)+(5/E122*K122)+(5/E122*L122)+(0/E122*M122)+(0/E122*N122)+(5/E122*O122))/100)</f>
        <v>1</v>
      </c>
      <c r="R122" s="72" t="str">
        <f t="shared" ref="R122:R125" si="11">(IF(P122&gt;99%,"All work completed. Please provide OC.",IF(P122&gt;89.8%,"Plinth, RCC, Brick, Plaster, Flooring, Painting work Completed. Finishing work is in process.",(IF(F122=0,"Work not yet Started.",IF(F122=25%*E122,"Piling work in process",IF(F122=50%*E122,"Excavation work in process",IF(F122=E122,"Excavation work Completed. ","0")))&amp;(IF(G122=0%,"",IF(G122=25%*E122,"Footing work is process",IF(G122=50%*E122,"Footing work Completed",IF(G122=75%*E122,"Plinth work is process",IF(G122=E122,"Plinth work completed","0")))))))&amp;(IF(H122=(1+E122),", RCC Slab",IF(H122&gt;0,", RCC upto "&amp;H122&amp;" Slab",""))&amp;(IF(I122=E122,", Brickwork",IF(I122&gt;0,", Brickwork upto "&amp;I122&amp;" Floor",""))&amp;(IF(J122=E122,", Internal Plaster",IF(J122&gt;0,", Internal Plaster upto "&amp;J122&amp;" Floor",""))&amp;(IF(K122=E122,", External Plaster",IF(K122&gt;0,", External Plaster upto "&amp;K122&amp;" Floor",""))&amp;(IF(L122=E122,", Flooring",IF(L122&gt;0,", Flooring upto "&amp;L122&amp;" Floor",""))&amp;(IF(M122=E122,", Painting",IF(M122&gt;0,", Painting upto "&amp;M122&amp;" Floor",""))&amp;(IF(N122&gt;0,", Finishing upto "&amp;N122&amp;" Floor","")&amp;(IF(H122&gt;0.5," Completed","")))))))))))))</f>
        <v>All work completed. Please provide OC.</v>
      </c>
    </row>
    <row r="123" spans="1:21" s="73" customFormat="1" ht="15.5" x14ac:dyDescent="0.35">
      <c r="A123" s="71">
        <v>109</v>
      </c>
      <c r="B123" s="24">
        <v>149.94425863991083</v>
      </c>
      <c r="C123" s="23">
        <v>1614</v>
      </c>
      <c r="D123" s="71" t="s">
        <v>238</v>
      </c>
      <c r="E123" s="86">
        <v>1</v>
      </c>
      <c r="F123" s="87">
        <v>1</v>
      </c>
      <c r="G123" s="87">
        <v>1</v>
      </c>
      <c r="H123" s="88">
        <v>2</v>
      </c>
      <c r="I123" s="87">
        <v>1</v>
      </c>
      <c r="J123" s="87">
        <v>1</v>
      </c>
      <c r="K123" s="87">
        <v>1</v>
      </c>
      <c r="L123" s="87">
        <v>1</v>
      </c>
      <c r="M123" s="87">
        <v>1</v>
      </c>
      <c r="N123" s="87">
        <v>1</v>
      </c>
      <c r="O123" s="87">
        <v>1</v>
      </c>
      <c r="P123" s="69">
        <f>(((G123/E123*10)+(40/(1+E123)*H123)+(7.5/(E123)*I123)+(7.5/(E123)*J123)+(10/E123*K123)+(10/E123*L123)+(5/E123*M123)+(5/E123*N123)+(5/E123*O123))/100)</f>
        <v>1</v>
      </c>
      <c r="Q123" s="69">
        <f>((((F123/E123)*20)+((G123/E123)*25)+(30/(E123+1)*H123)+(5/E123*I123)+(5/E123*J123)+(5/E123*K123)+(5/E123*L123)+(0/E123*M123)+(0/E123*N123)+(5/E123*O123))/100)</f>
        <v>1</v>
      </c>
      <c r="R123" s="72" t="str">
        <f t="shared" si="11"/>
        <v>All work completed. Please provide OC.</v>
      </c>
    </row>
    <row r="124" spans="1:21" s="73" customFormat="1" ht="15.5" x14ac:dyDescent="0.35">
      <c r="A124" s="71">
        <v>110</v>
      </c>
      <c r="B124" s="24">
        <v>149.94425863991083</v>
      </c>
      <c r="C124" s="23">
        <v>1614</v>
      </c>
      <c r="D124" s="71" t="s">
        <v>238</v>
      </c>
      <c r="E124" s="86">
        <v>1</v>
      </c>
      <c r="F124" s="87">
        <v>1</v>
      </c>
      <c r="G124" s="87">
        <v>1</v>
      </c>
      <c r="H124" s="88">
        <v>2</v>
      </c>
      <c r="I124" s="87">
        <v>1</v>
      </c>
      <c r="J124" s="87">
        <v>1</v>
      </c>
      <c r="K124" s="87">
        <v>1</v>
      </c>
      <c r="L124" s="87">
        <v>1</v>
      </c>
      <c r="M124" s="87">
        <v>1</v>
      </c>
      <c r="N124" s="87">
        <v>1</v>
      </c>
      <c r="O124" s="87">
        <v>1</v>
      </c>
      <c r="P124" s="69">
        <f>(((G124/E124*10)+(40/(1+E124)*H124)+(7.5/(E124)*I124)+(7.5/(E124)*J124)+(10/E124*K124)+(10/E124*L124)+(5/E124*M124)+(5/E124*N124)+(5/E124*O124))/100)</f>
        <v>1</v>
      </c>
      <c r="Q124" s="69">
        <f>((((F124/E124)*20)+((G124/E124)*25)+(30/(E124+1)*H124)+(5/E124*I124)+(5/E124*J124)+(5/E124*K124)+(5/E124*L124)+(0/E124*M124)+(0/E124*N124)+(5/E124*O124))/100)</f>
        <v>1</v>
      </c>
      <c r="R124" s="72" t="str">
        <f t="shared" si="11"/>
        <v>All work completed. Please provide OC.</v>
      </c>
    </row>
    <row r="125" spans="1:21" s="73" customFormat="1" ht="15.5" x14ac:dyDescent="0.35">
      <c r="A125" s="71">
        <v>111</v>
      </c>
      <c r="B125" s="24">
        <v>149.94425863991083</v>
      </c>
      <c r="C125" s="23">
        <v>1614</v>
      </c>
      <c r="D125" s="71" t="s">
        <v>238</v>
      </c>
      <c r="E125" s="86">
        <v>1</v>
      </c>
      <c r="F125" s="87">
        <v>1</v>
      </c>
      <c r="G125" s="87">
        <v>1</v>
      </c>
      <c r="H125" s="88">
        <v>2</v>
      </c>
      <c r="I125" s="87">
        <v>1</v>
      </c>
      <c r="J125" s="87">
        <v>1</v>
      </c>
      <c r="K125" s="87">
        <v>1</v>
      </c>
      <c r="L125" s="87">
        <v>1</v>
      </c>
      <c r="M125" s="87">
        <v>1</v>
      </c>
      <c r="N125" s="87">
        <v>1</v>
      </c>
      <c r="O125" s="87">
        <v>1</v>
      </c>
      <c r="P125" s="69">
        <f>(((G125/E125*10)+(40/(1+E125)*H125)+(7.5/(E125)*I125)+(7.5/(E125)*J125)+(10/E125*K125)+(10/E125*L125)+(5/E125*M125)+(5/E125*N125)+(5/E125*O125))/100)</f>
        <v>1</v>
      </c>
      <c r="Q125" s="69">
        <f>((((F125/E125)*20)+((G125/E125)*25)+(30/(E125+1)*H125)+(5/E125*I125)+(5/E125*J125)+(5/E125*K125)+(5/E125*L125)+(0/E125*M125)+(0/E125*N125)+(5/E125*O125))/100)</f>
        <v>1</v>
      </c>
      <c r="R125" s="72" t="str">
        <f t="shared" si="11"/>
        <v>All work completed. Please provide OC.</v>
      </c>
    </row>
    <row r="126" spans="1:21" s="27" customFormat="1" ht="15.5" x14ac:dyDescent="0.35">
      <c r="A126" s="71">
        <v>112</v>
      </c>
      <c r="B126" s="25">
        <v>149.94425863991083</v>
      </c>
      <c r="C126" s="19">
        <v>1614</v>
      </c>
      <c r="D126" s="71" t="s">
        <v>238</v>
      </c>
      <c r="E126" s="71">
        <v>1</v>
      </c>
      <c r="F126" s="80">
        <v>1</v>
      </c>
      <c r="G126" s="80">
        <v>1</v>
      </c>
      <c r="H126" s="80">
        <v>2</v>
      </c>
      <c r="I126" s="80">
        <v>1</v>
      </c>
      <c r="J126" s="80">
        <v>1</v>
      </c>
      <c r="K126" s="80">
        <v>1</v>
      </c>
      <c r="L126" s="80">
        <v>1</v>
      </c>
      <c r="M126" s="81">
        <v>1</v>
      </c>
      <c r="N126" s="82">
        <v>1</v>
      </c>
      <c r="O126" s="82">
        <v>1</v>
      </c>
      <c r="P126" s="69">
        <f>(((G126/E126*10)+(40/(1+E126)*H126)+(7.5/(E126)*I126)+(7.5/(E126)*J126)+(10/E126*K126)+(10/E126*L126)+(5/E126*M126)+(5/E126*N126)+(5/E126*O126))/100)</f>
        <v>1</v>
      </c>
      <c r="Q126" s="69">
        <f>((((F126/E126)*20)+((G126/E126)*25)+(30/(E126+1)*H126)+(5/E126*I126)+(5/E126*J126)+(5/E126*K126)+(5/E126*L126)+(0/E126*M126)+(0/E126*N126)+(5/E126*O126))/100)</f>
        <v>1</v>
      </c>
      <c r="R126" s="72" t="str">
        <f t="shared" ref="R126" si="12">(IF(P126&gt;99%,"All work completed. Please provide OC.",IF(P126&gt;89.8%,"Plinth, RCC, Brick, Plaster, Flooring, Painting work Completed. Finishing work is in process.",(IF(F126=0,"Work not yet Started.",IF(F126=25%*E126,"Piling work in process",IF(F126=50%*E126,"Excavation work in process",IF(F126=E126,"Excavation work Completed. ","0")))&amp;(IF(G126=0%,"",IF(G126=25%*E126,"Footing work is process",IF(G126=50%*E126,"Footing work Completed",IF(G126=75%*E126,"Plinth work is process",IF(G126=E126,"Plinth work completed","0")))))))&amp;(IF(H126=(1+E126),", RCC Slab",IF(H126&gt;0,", RCC upto "&amp;H126&amp;" Slab",""))&amp;(IF(I126=E126,", Brickwork",IF(I126&gt;0,", Brickwork upto "&amp;I126&amp;" Floor",""))&amp;(IF(J126=E126,", Internal Plaster",IF(J126&gt;0,", Internal Plaster upto "&amp;J126&amp;" Floor",""))&amp;(IF(K126=E126,", External Plaster",IF(K126&gt;0,", External Plaster upto "&amp;K126&amp;" Floor",""))&amp;(IF(L126=E126,", Flooring",IF(L126&gt;0,", Flooring upto "&amp;L126&amp;" Floor",""))&amp;(IF(M126=E126,", Painting",IF(M126&gt;0,", Painting upto "&amp;M126&amp;" Floor",""))&amp;(IF(N126&gt;0,", Finishing upto "&amp;N126&amp;" Floor","")&amp;(IF(H126&gt;0.5," Completed","")))))))))))))</f>
        <v>All work completed. Please provide OC.</v>
      </c>
      <c r="S126" s="73"/>
      <c r="T126" s="73"/>
      <c r="U126" s="73"/>
    </row>
    <row r="127" spans="1:21" hidden="1" x14ac:dyDescent="0.3">
      <c r="A127" s="19">
        <v>113</v>
      </c>
      <c r="B127" s="25">
        <v>149.94425863991083</v>
      </c>
      <c r="C127" s="19">
        <v>1614</v>
      </c>
      <c r="D127" s="19"/>
      <c r="E127" s="19"/>
      <c r="F127" s="19"/>
      <c r="G127" s="19"/>
      <c r="H127" s="19"/>
      <c r="I127" s="19"/>
      <c r="J127" s="19"/>
      <c r="K127" s="19"/>
      <c r="L127" s="19"/>
      <c r="M127" s="29"/>
      <c r="N127" s="29"/>
      <c r="O127" s="29"/>
      <c r="P127" s="29"/>
      <c r="Q127" s="29"/>
    </row>
    <row r="128" spans="1:21" s="27" customFormat="1" ht="15.5" x14ac:dyDescent="0.35">
      <c r="A128" s="71">
        <v>114</v>
      </c>
      <c r="B128" s="25">
        <v>149.94425863991083</v>
      </c>
      <c r="C128" s="19">
        <v>1614</v>
      </c>
      <c r="D128" s="71" t="s">
        <v>238</v>
      </c>
      <c r="E128" s="71">
        <v>1</v>
      </c>
      <c r="F128" s="71">
        <v>1</v>
      </c>
      <c r="G128" s="71">
        <v>1</v>
      </c>
      <c r="H128" s="71">
        <v>2</v>
      </c>
      <c r="I128" s="71">
        <v>1</v>
      </c>
      <c r="J128" s="71">
        <v>1</v>
      </c>
      <c r="K128" s="71">
        <v>1</v>
      </c>
      <c r="L128" s="71">
        <v>1</v>
      </c>
      <c r="M128" s="83">
        <v>1</v>
      </c>
      <c r="N128" s="84">
        <v>1</v>
      </c>
      <c r="O128" s="84">
        <v>1</v>
      </c>
      <c r="P128" s="69">
        <f>(((G128/E128*10)+(40/(1+E128)*H128)+(7.5/(E128)*I128)+(7.5/(E128)*J128)+(10/E128*K128)+(10/E128*L128)+(5/E128*M128)+(5/E128*N128)+(5/E128*O128))/100)</f>
        <v>1</v>
      </c>
      <c r="Q128" s="69">
        <f>((((F128/E128)*20)+((G128/E128)*25)+(30/(E128+1)*H128)+(5/E128*I128)+(5/E128*J128)+(5/E128*K128)+(5/E128*L128)+(0/E128*M128)+(0/E128*N128)+(5/E128*O128))/100)</f>
        <v>1</v>
      </c>
      <c r="R128" s="72" t="str">
        <f t="shared" ref="R128" si="13">(IF(P128&gt;99%,"All work completed. Please provide OC.",IF(P128&gt;89.8%,"Plinth, RCC, Brick, Plaster, Flooring, Painting work Completed. Finishing work is in process.",(IF(F128=0,"Work not yet Started.",IF(F128=25%*E128,"Piling work in process",IF(F128=50%*E128,"Excavation work in process",IF(F128=E128,"Excavation work Completed. ","0")))&amp;(IF(G128=0%,"",IF(G128=25%*E128,"Footing work is process",IF(G128=50%*E128,"Footing work Completed",IF(G128=75%*E128,"Plinth work is process",IF(G128=E128,"Plinth work completed","0")))))))&amp;(IF(H128=(1+E128),", RCC Slab",IF(H128&gt;0,", RCC upto "&amp;H128&amp;" Slab",""))&amp;(IF(I128=E128,", Brickwork",IF(I128&gt;0,", Brickwork upto "&amp;I128&amp;" Floor",""))&amp;(IF(J128=E128,", Internal Plaster",IF(J128&gt;0,", Internal Plaster upto "&amp;J128&amp;" Floor",""))&amp;(IF(K128=E128,", External Plaster",IF(K128&gt;0,", External Plaster upto "&amp;K128&amp;" Floor",""))&amp;(IF(L128=E128,", Flooring",IF(L128&gt;0,", Flooring upto "&amp;L128&amp;" Floor",""))&amp;(IF(M128=E128,", Painting",IF(M128&gt;0,", Painting upto "&amp;M128&amp;" Floor",""))&amp;(IF(N128&gt;0,", Finishing upto "&amp;N128&amp;" Floor","")&amp;(IF(H128&gt;0.5," Completed","")))))))))))))</f>
        <v>All work completed. Please provide OC.</v>
      </c>
      <c r="S128" s="73"/>
      <c r="T128" s="73"/>
      <c r="U128" s="73"/>
    </row>
    <row r="129" spans="1:18" hidden="1" x14ac:dyDescent="0.3">
      <c r="A129" s="19">
        <v>115</v>
      </c>
      <c r="B129" s="25">
        <v>149.94425863991083</v>
      </c>
      <c r="C129" s="19">
        <v>1614</v>
      </c>
      <c r="D129" s="19"/>
      <c r="E129" s="19"/>
      <c r="F129" s="19"/>
      <c r="G129" s="19"/>
      <c r="H129" s="19"/>
      <c r="I129" s="19"/>
      <c r="J129" s="19"/>
      <c r="K129" s="19"/>
      <c r="L129" s="19"/>
      <c r="M129" s="29"/>
      <c r="N129" s="29"/>
      <c r="O129" s="29"/>
      <c r="P129" s="29"/>
      <c r="Q129" s="29"/>
    </row>
    <row r="130" spans="1:18" hidden="1" x14ac:dyDescent="0.3">
      <c r="A130" s="19">
        <v>116</v>
      </c>
      <c r="B130" s="25">
        <v>149.94425863991083</v>
      </c>
      <c r="C130" s="19">
        <v>1614</v>
      </c>
      <c r="D130" s="19"/>
      <c r="E130" s="19"/>
      <c r="F130" s="19"/>
      <c r="G130" s="19"/>
      <c r="H130" s="19"/>
      <c r="I130" s="19"/>
      <c r="J130" s="19"/>
      <c r="K130" s="19"/>
      <c r="L130" s="19"/>
      <c r="M130" s="29"/>
      <c r="N130" s="29"/>
      <c r="O130" s="29"/>
      <c r="P130" s="29"/>
      <c r="Q130" s="29"/>
    </row>
    <row r="131" spans="1:18" hidden="1" x14ac:dyDescent="0.3">
      <c r="A131" s="19">
        <v>117</v>
      </c>
      <c r="B131" s="25">
        <v>149.94425863991083</v>
      </c>
      <c r="C131" s="19">
        <v>1614</v>
      </c>
      <c r="D131" s="19"/>
      <c r="E131" s="19"/>
      <c r="F131" s="19"/>
      <c r="G131" s="19"/>
      <c r="H131" s="19"/>
      <c r="I131" s="19"/>
      <c r="J131" s="19"/>
      <c r="K131" s="19"/>
      <c r="L131" s="19"/>
      <c r="M131" s="29"/>
      <c r="N131" s="29"/>
      <c r="O131" s="29"/>
      <c r="P131" s="29"/>
      <c r="Q131" s="29"/>
    </row>
    <row r="132" spans="1:18" s="27" customFormat="1" ht="15.5" x14ac:dyDescent="0.35">
      <c r="A132" s="23">
        <v>118</v>
      </c>
      <c r="B132" s="25">
        <v>149.94425863991083</v>
      </c>
      <c r="C132" s="19">
        <v>1614</v>
      </c>
      <c r="D132" s="23" t="s">
        <v>238</v>
      </c>
      <c r="E132" s="23">
        <v>1</v>
      </c>
      <c r="F132" s="48">
        <v>1</v>
      </c>
      <c r="G132" s="48">
        <v>1</v>
      </c>
      <c r="H132" s="48">
        <v>2</v>
      </c>
      <c r="I132" s="89">
        <v>1</v>
      </c>
      <c r="J132" s="89">
        <v>1</v>
      </c>
      <c r="K132" s="89">
        <v>1</v>
      </c>
      <c r="L132" s="89">
        <v>1</v>
      </c>
      <c r="M132" s="89">
        <v>1</v>
      </c>
      <c r="N132" s="89">
        <v>1</v>
      </c>
      <c r="O132" s="89">
        <v>1</v>
      </c>
      <c r="P132" s="31">
        <f>(((G132/E132*10)+(40/(1+E132)*H132)+(7.5/(E132)*I132)+(7.5/(E132)*J132)+(10/E132*K132)+(10/E132*L132)+(5/E132*M132)+(5/E132*N132)+(5/E132*O132))/100)</f>
        <v>1</v>
      </c>
      <c r="Q132" s="31">
        <f>((((F132/E132)*20)+((G132/E132)*25)+(30/(E132+1)*H132)+(5/E132*I132)+(5/E132*J132)+(5/E132*K132)+(5/E132*L132)+(0/E132*M132)+(0/E132*N132)+(5/E132*O132))/100)</f>
        <v>1</v>
      </c>
      <c r="R132" s="39" t="str">
        <f t="shared" ref="R132" si="14">(IF(P132&gt;99%,"All work completed. Please provide OC.",IF(P132&gt;89.8%,"Plinth, RCC, Brick, Plaster, Flooring, Painting work Completed. Finishing work is in process.",(IF(F132=0,"Work not yet Started.",IF(F132=25%*E132,"Piling work in process",IF(F132=50%*E132,"Excavation work in process",IF(F132=E132,"Excavation work Completed. ","0")))&amp;(IF(G132=0%,"",IF(G132=25%*E132,"Footing work is process",IF(G132=50%*E132,"Footing work Completed",IF(G132=75%*E132,"Plinth work is process",IF(G132=E132,"Plinth work completed","0")))))))&amp;(IF(H132=(1+E132),", RCC Slab",IF(H132&gt;0,", RCC upto "&amp;H132&amp;" Slab",""))&amp;(IF(I132=E132,", Brickwork",IF(I132&gt;0,", Brickwork upto "&amp;I132&amp;" Floor",""))&amp;(IF(J132=E132,", Internal Plaster",IF(J132&gt;0,", Internal Plaster upto "&amp;J132&amp;" Floor",""))&amp;(IF(K132=E132,", External Plaster",IF(K132&gt;0,", External Plaster upto "&amp;K132&amp;" Floor",""))&amp;(IF(L132=E132,", Flooring",IF(L132&gt;0,", Flooring upto "&amp;L132&amp;" Floor",""))&amp;(IF(M132=E132,", Painting",IF(M132&gt;0,", Painting upto "&amp;M132&amp;" Floor",""))&amp;(IF(N132&gt;0,", Finishing upto "&amp;N132&amp;" Floor","")&amp;(IF(H132&gt;0.5," Completed","")))))))))))))</f>
        <v>All work completed. Please provide OC.</v>
      </c>
    </row>
    <row r="133" spans="1:18" s="73" customFormat="1" ht="15.5" x14ac:dyDescent="0.35">
      <c r="A133" s="71">
        <v>119</v>
      </c>
      <c r="B133" s="24">
        <v>149.94425863991083</v>
      </c>
      <c r="C133" s="23">
        <v>1614</v>
      </c>
      <c r="D133" s="71" t="s">
        <v>238</v>
      </c>
      <c r="E133" s="86">
        <v>1</v>
      </c>
      <c r="F133" s="87">
        <v>1</v>
      </c>
      <c r="G133" s="87">
        <v>1</v>
      </c>
      <c r="H133" s="88">
        <v>2</v>
      </c>
      <c r="I133" s="87">
        <v>1</v>
      </c>
      <c r="J133" s="87">
        <v>1</v>
      </c>
      <c r="K133" s="87">
        <v>1</v>
      </c>
      <c r="L133" s="87">
        <v>1</v>
      </c>
      <c r="M133" s="87">
        <v>1</v>
      </c>
      <c r="N133" s="87">
        <v>1</v>
      </c>
      <c r="O133" s="87">
        <v>1</v>
      </c>
      <c r="P133" s="69">
        <f>(((G133/E133*10)+(40/(1+E133)*H133)+(7.5/(E133)*I133)+(7.5/(E133)*J133)+(10/E133*K133)+(10/E133*L133)+(5/E133*M133)+(5/E133*N133)+(5/E133*O133))/100)</f>
        <v>1</v>
      </c>
      <c r="Q133" s="69">
        <f>((((F133/E133)*20)+((G133/E133)*25)+(30/(E133+1)*H133)+(5/E133*I133)+(5/E133*J133)+(5/E133*K133)+(5/E133*L133)+(0/E133*M133)+(0/E133*N133)+(5/E133*O133))/100)</f>
        <v>1</v>
      </c>
      <c r="R133" s="72" t="str">
        <f t="shared" ref="R133:R135" si="15">(IF(P133&gt;99%,"All work completed. Please provide OC.",IF(P133&gt;89.8%,"Plinth, RCC, Brick, Plaster, Flooring, Painting work Completed. Finishing work is in process.",(IF(F133=0,"Work not yet Started.",IF(F133=25%*E133,"Piling work in process",IF(F133=50%*E133,"Excavation work in process",IF(F133=E133,"Excavation work Completed. ","0")))&amp;(IF(G133=0%,"",IF(G133=25%*E133,"Footing work is process",IF(G133=50%*E133,"Footing work Completed",IF(G133=75%*E133,"Plinth work is process",IF(G133=E133,"Plinth work completed","0")))))))&amp;(IF(H133=(1+E133),", RCC Slab",IF(H133&gt;0,", RCC upto "&amp;H133&amp;" Slab",""))&amp;(IF(I133=E133,", Brickwork",IF(I133&gt;0,", Brickwork upto "&amp;I133&amp;" Floor",""))&amp;(IF(J133=E133,", Internal Plaster",IF(J133&gt;0,", Internal Plaster upto "&amp;J133&amp;" Floor",""))&amp;(IF(K133=E133,", External Plaster",IF(K133&gt;0,", External Plaster upto "&amp;K133&amp;" Floor",""))&amp;(IF(L133=E133,", Flooring",IF(L133&gt;0,", Flooring upto "&amp;L133&amp;" Floor",""))&amp;(IF(M133=E133,", Painting",IF(M133&gt;0,", Painting upto "&amp;M133&amp;" Floor",""))&amp;(IF(N133&gt;0,", Finishing upto "&amp;N133&amp;" Floor","")&amp;(IF(H133&gt;0.5," Completed","")))))))))))))</f>
        <v>All work completed. Please provide OC.</v>
      </c>
    </row>
    <row r="134" spans="1:18" s="73" customFormat="1" ht="15.5" x14ac:dyDescent="0.35">
      <c r="A134" s="71">
        <v>120</v>
      </c>
      <c r="B134" s="24">
        <v>171.96209587513937</v>
      </c>
      <c r="C134" s="23">
        <v>1851</v>
      </c>
      <c r="D134" s="71" t="s">
        <v>238</v>
      </c>
      <c r="E134" s="86">
        <v>1</v>
      </c>
      <c r="F134" s="87">
        <v>1</v>
      </c>
      <c r="G134" s="87">
        <v>1</v>
      </c>
      <c r="H134" s="88">
        <v>2</v>
      </c>
      <c r="I134" s="87">
        <v>1</v>
      </c>
      <c r="J134" s="87">
        <v>1</v>
      </c>
      <c r="K134" s="87">
        <v>1</v>
      </c>
      <c r="L134" s="87">
        <v>1</v>
      </c>
      <c r="M134" s="87">
        <v>1</v>
      </c>
      <c r="N134" s="87">
        <v>1</v>
      </c>
      <c r="O134" s="87">
        <v>1</v>
      </c>
      <c r="P134" s="69">
        <f>(((G134/E134*10)+(40/(1+E134)*H134)+(7.5/(E134)*I134)+(7.5/(E134)*J134)+(10/E134*K134)+(10/E134*L134)+(5/E134*M134)+(5/E134*N134)+(5/E134*O134))/100)</f>
        <v>1</v>
      </c>
      <c r="Q134" s="69">
        <f>((((F134/E134)*20)+((G134/E134)*25)+(30/(E134+1)*H134)+(5/E134*I134)+(5/E134*J134)+(5/E134*K134)+(5/E134*L134)+(0/E134*M134)+(0/E134*N134)+(5/E134*O134))/100)</f>
        <v>1</v>
      </c>
      <c r="R134" s="72" t="str">
        <f t="shared" si="15"/>
        <v>All work completed. Please provide OC.</v>
      </c>
    </row>
    <row r="135" spans="1:18" s="66" customFormat="1" ht="15.5" x14ac:dyDescent="0.3">
      <c r="A135" s="63" t="s">
        <v>221</v>
      </c>
      <c r="B135" s="25">
        <v>127.46191007060573</v>
      </c>
      <c r="C135" s="19">
        <v>1372</v>
      </c>
      <c r="D135" s="63" t="s">
        <v>238</v>
      </c>
      <c r="E135" s="63">
        <v>1</v>
      </c>
      <c r="F135" s="64">
        <v>1</v>
      </c>
      <c r="G135" s="64">
        <v>1</v>
      </c>
      <c r="H135" s="64">
        <v>2</v>
      </c>
      <c r="I135" s="64">
        <v>1</v>
      </c>
      <c r="J135" s="64">
        <v>1</v>
      </c>
      <c r="K135" s="64">
        <v>1</v>
      </c>
      <c r="L135" s="64">
        <v>1</v>
      </c>
      <c r="M135" s="65">
        <v>1</v>
      </c>
      <c r="N135" s="65">
        <v>1</v>
      </c>
      <c r="O135" s="65">
        <v>1</v>
      </c>
      <c r="P135" s="69">
        <f>(((G135/E135*10)+(40/(1+E135)*H135)+(7.5/(E135)*I135)+(7.5/(E135)*J135)+(10/E135*K135)+(10/E135*L135)+(5/E135*M135)+(5/E135*N135)+(5/E135*O135))/100)</f>
        <v>1</v>
      </c>
      <c r="Q135" s="69">
        <f>((((F135/E135)*20)+((G135/E135)*25)+(30/(E135+1)*H135)+(5/E135*I135)+(5/E135*J135)+(5/E135*K135)+(5/E135*L135)+(0/E135*M135)+(0/E135*N135)+(5/E135*O135))/100)</f>
        <v>1</v>
      </c>
      <c r="R135" s="66" t="str">
        <f t="shared" si="15"/>
        <v>All work completed. Please provide OC.</v>
      </c>
    </row>
    <row r="136" spans="1:18" hidden="1" x14ac:dyDescent="0.3">
      <c r="A136" s="19" t="s">
        <v>222</v>
      </c>
      <c r="B136" s="25">
        <v>127.46191007060573</v>
      </c>
      <c r="C136" s="19">
        <v>1372</v>
      </c>
      <c r="D136" s="19"/>
      <c r="E136" s="19"/>
      <c r="F136" s="34"/>
      <c r="G136" s="34"/>
      <c r="H136" s="34"/>
      <c r="I136" s="34"/>
      <c r="J136" s="34"/>
      <c r="K136" s="34"/>
      <c r="L136" s="34"/>
      <c r="M136" s="35"/>
      <c r="N136" s="35"/>
      <c r="O136" s="35"/>
      <c r="P136" s="35"/>
      <c r="Q136" s="35"/>
    </row>
    <row r="137" spans="1:18" s="73" customFormat="1" ht="15.5" x14ac:dyDescent="0.35">
      <c r="A137" s="71" t="s">
        <v>223</v>
      </c>
      <c r="B137" s="24">
        <v>127.46191007060573</v>
      </c>
      <c r="C137" s="23">
        <v>1372</v>
      </c>
      <c r="D137" s="71" t="s">
        <v>238</v>
      </c>
      <c r="E137" s="86">
        <v>1</v>
      </c>
      <c r="F137" s="87">
        <v>1</v>
      </c>
      <c r="G137" s="87">
        <v>1</v>
      </c>
      <c r="H137" s="88">
        <v>2</v>
      </c>
      <c r="I137" s="87">
        <v>1</v>
      </c>
      <c r="J137" s="87">
        <v>1</v>
      </c>
      <c r="K137" s="87">
        <v>1</v>
      </c>
      <c r="L137" s="87">
        <v>1</v>
      </c>
      <c r="M137" s="87">
        <v>1</v>
      </c>
      <c r="N137" s="87">
        <v>1</v>
      </c>
      <c r="O137" s="87">
        <v>1</v>
      </c>
      <c r="P137" s="69">
        <f>(((G137/E137*10)+(40/(1+E137)*H137)+(7.5/(E137)*I137)+(7.5/(E137)*J137)+(10/E137*K137)+(10/E137*L137)+(5/E137*M137)+(5/E137*N137)+(5/E137*O137))/100)</f>
        <v>1</v>
      </c>
      <c r="Q137" s="69">
        <f>((((F137/E137)*20)+((G137/E137)*25)+(30/(E137+1)*H137)+(5/E137*I137)+(5/E137*J137)+(5/E137*K137)+(5/E137*L137)+(0/E137*M137)+(0/E137*N137)+(5/E137*O137))/100)</f>
        <v>1</v>
      </c>
      <c r="R137" s="72" t="str">
        <f t="shared" ref="R137:R138" si="16">(IF(P137&gt;99%,"All work completed. Please provide OC.",IF(P137&gt;89.8%,"Plinth, RCC, Brick, Plaster, Flooring, Painting work Completed. Finishing work is in process.",(IF(F137=0,"Work not yet Started.",IF(F137=25%*E137,"Piling work in process",IF(F137=50%*E137,"Excavation work in process",IF(F137=E137,"Excavation work Completed. ","0")))&amp;(IF(G137=0%,"",IF(G137=25%*E137,"Footing work is process",IF(G137=50%*E137,"Footing work Completed",IF(G137=75%*E137,"Plinth work is process",IF(G137=E137,"Plinth work completed","0")))))))&amp;(IF(H137=(1+E137),", RCC Slab",IF(H137&gt;0,", RCC upto "&amp;H137&amp;" Slab",""))&amp;(IF(I137=E137,", Brickwork",IF(I137&gt;0,", Brickwork upto "&amp;I137&amp;" Floor",""))&amp;(IF(J137=E137,", Internal Plaster",IF(J137&gt;0,", Internal Plaster upto "&amp;J137&amp;" Floor",""))&amp;(IF(K137=E137,", External Plaster",IF(K137&gt;0,", External Plaster upto "&amp;K137&amp;" Floor",""))&amp;(IF(L137=E137,", Flooring",IF(L137&gt;0,", Flooring upto "&amp;L137&amp;" Floor",""))&amp;(IF(M137=E137,", Painting",IF(M137&gt;0,", Painting upto "&amp;M137&amp;" Floor",""))&amp;(IF(N137&gt;0,", Finishing upto "&amp;N137&amp;" Floor","")&amp;(IF(H137&gt;0.5," Completed","")))))))))))))</f>
        <v>All work completed. Please provide OC.</v>
      </c>
    </row>
    <row r="138" spans="1:18" s="73" customFormat="1" ht="15.5" x14ac:dyDescent="0.35">
      <c r="A138" s="71" t="s">
        <v>224</v>
      </c>
      <c r="B138" s="24">
        <v>127.46191007060573</v>
      </c>
      <c r="C138" s="23">
        <v>1372</v>
      </c>
      <c r="D138" s="71" t="s">
        <v>238</v>
      </c>
      <c r="E138" s="86">
        <v>1</v>
      </c>
      <c r="F138" s="87">
        <v>1</v>
      </c>
      <c r="G138" s="87">
        <v>1</v>
      </c>
      <c r="H138" s="88">
        <v>2</v>
      </c>
      <c r="I138" s="87">
        <v>1</v>
      </c>
      <c r="J138" s="87">
        <v>1</v>
      </c>
      <c r="K138" s="87">
        <v>1</v>
      </c>
      <c r="L138" s="87">
        <v>1</v>
      </c>
      <c r="M138" s="87">
        <v>1</v>
      </c>
      <c r="N138" s="87">
        <v>1</v>
      </c>
      <c r="O138" s="87">
        <v>1</v>
      </c>
      <c r="P138" s="69">
        <f>(((G138/E138*10)+(40/(1+E138)*H138)+(7.5/(E138)*I138)+(7.5/(E138)*J138)+(10/E138*K138)+(10/E138*L138)+(5/E138*M138)+(5/E138*N138)+(5/E138*O138))/100)</f>
        <v>1</v>
      </c>
      <c r="Q138" s="69">
        <f>((((F138/E138)*20)+((G138/E138)*25)+(30/(E138+1)*H138)+(5/E138*I138)+(5/E138*J138)+(5/E138*K138)+(5/E138*L138)+(0/E138*M138)+(0/E138*N138)+(5/E138*O138))/100)</f>
        <v>1</v>
      </c>
      <c r="R138" s="72" t="str">
        <f t="shared" si="16"/>
        <v>All work completed. Please provide OC.</v>
      </c>
    </row>
    <row r="139" spans="1:18" hidden="1" x14ac:dyDescent="0.3">
      <c r="A139" s="19" t="s">
        <v>225</v>
      </c>
      <c r="B139" s="25">
        <v>127.46191007060573</v>
      </c>
      <c r="C139" s="19">
        <v>1372</v>
      </c>
      <c r="D139" s="19"/>
      <c r="E139" s="19"/>
      <c r="F139" s="36"/>
      <c r="G139" s="36"/>
      <c r="H139" s="36"/>
      <c r="I139" s="36"/>
      <c r="J139" s="36"/>
      <c r="K139" s="36"/>
      <c r="L139" s="36"/>
      <c r="M139" s="30"/>
      <c r="N139" s="30"/>
      <c r="O139" s="30"/>
      <c r="P139" s="30"/>
      <c r="Q139" s="30"/>
    </row>
    <row r="140" spans="1:18" hidden="1" x14ac:dyDescent="0.3">
      <c r="A140" s="19" t="s">
        <v>226</v>
      </c>
      <c r="B140" s="25">
        <v>127.46191007060573</v>
      </c>
      <c r="C140" s="19">
        <v>1372</v>
      </c>
      <c r="D140" s="19"/>
      <c r="E140" s="19"/>
      <c r="F140" s="19"/>
      <c r="G140" s="19"/>
      <c r="H140" s="19"/>
      <c r="I140" s="19"/>
      <c r="J140" s="19"/>
      <c r="K140" s="19"/>
      <c r="L140" s="19"/>
      <c r="M140" s="29"/>
      <c r="N140" s="29"/>
      <c r="O140" s="29"/>
      <c r="P140" s="29"/>
      <c r="Q140" s="29"/>
    </row>
    <row r="141" spans="1:18" hidden="1" x14ac:dyDescent="0.3">
      <c r="A141" s="19" t="s">
        <v>227</v>
      </c>
      <c r="B141" s="25">
        <v>127.46191007060573</v>
      </c>
      <c r="C141" s="19">
        <v>1372</v>
      </c>
      <c r="D141" s="19"/>
      <c r="E141" s="19"/>
      <c r="F141" s="19"/>
      <c r="G141" s="19"/>
      <c r="H141" s="19"/>
      <c r="I141" s="19"/>
      <c r="J141" s="19"/>
      <c r="K141" s="19"/>
      <c r="L141" s="19"/>
      <c r="M141" s="29"/>
      <c r="N141" s="29"/>
      <c r="O141" s="29"/>
      <c r="P141" s="29"/>
      <c r="Q141" s="29"/>
    </row>
    <row r="142" spans="1:18" hidden="1" x14ac:dyDescent="0.3">
      <c r="A142" s="19" t="s">
        <v>228</v>
      </c>
      <c r="B142" s="25">
        <v>127.46191007060573</v>
      </c>
      <c r="C142" s="19">
        <v>1372</v>
      </c>
      <c r="D142" s="19"/>
      <c r="E142" s="19"/>
      <c r="F142" s="19"/>
      <c r="G142" s="19"/>
      <c r="H142" s="19"/>
      <c r="I142" s="19"/>
      <c r="J142" s="19"/>
      <c r="K142" s="19"/>
      <c r="L142" s="19"/>
      <c r="M142" s="29"/>
      <c r="N142" s="29"/>
      <c r="O142" s="29"/>
      <c r="P142" s="29"/>
      <c r="Q142" s="29"/>
    </row>
    <row r="143" spans="1:18" hidden="1" x14ac:dyDescent="0.3">
      <c r="A143" s="19" t="s">
        <v>229</v>
      </c>
      <c r="B143" s="25">
        <v>127.46191007060573</v>
      </c>
      <c r="C143" s="19">
        <v>1372</v>
      </c>
      <c r="D143" s="19"/>
      <c r="E143" s="19"/>
      <c r="F143" s="34"/>
      <c r="G143" s="34"/>
      <c r="H143" s="34"/>
      <c r="I143" s="34"/>
      <c r="J143" s="34"/>
      <c r="K143" s="34"/>
      <c r="L143" s="34"/>
      <c r="M143" s="35"/>
      <c r="N143" s="35"/>
      <c r="O143" s="35"/>
      <c r="P143" s="35"/>
      <c r="Q143" s="35"/>
    </row>
    <row r="144" spans="1:18" s="73" customFormat="1" ht="15.5" x14ac:dyDescent="0.35">
      <c r="A144" s="71" t="s">
        <v>181</v>
      </c>
      <c r="B144" s="24">
        <v>127.46191007060573</v>
      </c>
      <c r="C144" s="23">
        <v>1372</v>
      </c>
      <c r="D144" s="71" t="s">
        <v>238</v>
      </c>
      <c r="E144" s="86">
        <v>1</v>
      </c>
      <c r="F144" s="87">
        <v>1</v>
      </c>
      <c r="G144" s="87">
        <v>1</v>
      </c>
      <c r="H144" s="88">
        <v>2</v>
      </c>
      <c r="I144" s="87">
        <v>1</v>
      </c>
      <c r="J144" s="87">
        <v>1</v>
      </c>
      <c r="K144" s="87">
        <v>1</v>
      </c>
      <c r="L144" s="87">
        <v>1</v>
      </c>
      <c r="M144" s="87">
        <v>1</v>
      </c>
      <c r="N144" s="87">
        <v>1</v>
      </c>
      <c r="O144" s="87">
        <v>1</v>
      </c>
      <c r="P144" s="69">
        <f>(((G144/E144*10)+(40/(1+E144)*H144)+(7.5/(E144)*I144)+(7.5/(E144)*J144)+(10/E144*K144)+(10/E144*L144)+(5/E144*M144)+(5/E144*N144)+(5/E144*O144))/100)</f>
        <v>1</v>
      </c>
      <c r="Q144" s="69">
        <f>((((F144/E144)*20)+((G144/E144)*25)+(30/(E144+1)*H144)+(5/E144*I144)+(5/E144*J144)+(5/E144*K144)+(5/E144*L144)+(0/E144*M144)+(0/E144*N144)+(5/E144*O144))/100)</f>
        <v>1</v>
      </c>
      <c r="R144" s="72" t="str">
        <f>(IF(P144&gt;99%,"All work completed. Please provide OC.",IF(P144&gt;89.8%,"Plinth, RCC, Brick, Plaster, Flooring, Painting work Completed. Finishing work is in process.",(IF(F144=0,"Work not yet Started.",IF(F144=25%*E144,"Piling work in process",IF(F144=50%*E144,"Excavation work in process",IF(F144=E144,"Excavation work Completed. ","0")))&amp;(IF(G144=0%,"",IF(G144=25%*E144,"Footing work is process",IF(G144=50%*E144,"Footing work Completed",IF(G144=75%*E144,"Plinth work is process",IF(G144=E144,"Plinth work completed","0")))))))&amp;(IF(H144=(1+E144),", RCC Slab",IF(H144&gt;0,", RCC upto "&amp;H144&amp;" Slab",""))&amp;(IF(I144=E144,", Brickwork",IF(I144&gt;0,", Brickwork upto "&amp;I144&amp;" Floor",""))&amp;(IF(J144=E144,", Internal Plaster",IF(J144&gt;0,", Internal Plaster upto "&amp;J144&amp;" Floor",""))&amp;(IF(K144=E144,", External Plaster",IF(K144&gt;0,", External Plaster upto "&amp;K144&amp;" Floor",""))&amp;(IF(L144=E144,", Flooring",IF(L144&gt;0,", Flooring upto "&amp;L144&amp;" Floor",""))&amp;(IF(M144=E144,", Painting",IF(M144&gt;0,", Painting upto "&amp;M144&amp;" Floor",""))&amp;(IF(N144&gt;0,", Finishing upto "&amp;N144&amp;" Floor","")&amp;(IF(H144&gt;0.5," Completed","")))))))))))))</f>
        <v>All work completed. Please provide OC.</v>
      </c>
    </row>
    <row r="145" spans="1:16383" hidden="1" x14ac:dyDescent="0.3">
      <c r="A145" s="19" t="s">
        <v>230</v>
      </c>
      <c r="B145" s="25">
        <v>127.46191007060573</v>
      </c>
      <c r="C145" s="19">
        <v>1372</v>
      </c>
      <c r="D145" s="19"/>
      <c r="E145" s="19"/>
      <c r="F145" s="36"/>
      <c r="G145" s="36"/>
      <c r="H145" s="36"/>
      <c r="I145" s="36"/>
      <c r="J145" s="36"/>
      <c r="K145" s="36"/>
      <c r="L145" s="36"/>
      <c r="M145" s="30"/>
      <c r="N145" s="30"/>
      <c r="O145" s="30"/>
      <c r="P145" s="30"/>
      <c r="Q145" s="30"/>
    </row>
    <row r="146" spans="1:16383" ht="14.25" customHeight="1" x14ac:dyDescent="0.35">
      <c r="A146" s="23" t="s">
        <v>231</v>
      </c>
      <c r="B146" s="62">
        <v>127.46191007060573</v>
      </c>
      <c r="C146" s="32">
        <v>1372</v>
      </c>
      <c r="D146" s="89" t="s">
        <v>238</v>
      </c>
      <c r="E146" s="89">
        <v>1</v>
      </c>
      <c r="F146" s="91">
        <v>1</v>
      </c>
      <c r="G146" s="89">
        <v>1</v>
      </c>
      <c r="H146" s="89">
        <v>2</v>
      </c>
      <c r="I146" s="89">
        <v>1</v>
      </c>
      <c r="J146" s="89">
        <v>1</v>
      </c>
      <c r="K146" s="89">
        <v>1</v>
      </c>
      <c r="L146" s="89">
        <v>1</v>
      </c>
      <c r="M146" s="89">
        <v>1</v>
      </c>
      <c r="N146" s="92">
        <v>1</v>
      </c>
      <c r="O146" s="94">
        <v>1</v>
      </c>
      <c r="P146" s="31">
        <f>(((G146/E146*10)+(40/(1+E146)*H146)+(7.5/(E146)*I146)+(7.5/(E146)*J146)+(10/E146*K146)+(10/E146*L146)+(5/E146*M146)+(5/E146*N146)+(5/E146*O146))/100)</f>
        <v>1</v>
      </c>
      <c r="Q146" s="31">
        <f>((((F146/E146)*20)+((G146/E146)*25)+(30/(E146+1)*H146)+(5/E146*I146)+(5/E146*J146)+(5/E146*K146)+(5/E146*L146)+(0/E146*M146)+(0/E146*N146)+(5/E146*O146))/100)</f>
        <v>1</v>
      </c>
      <c r="R146" s="39" t="str">
        <f>(IF(P146&gt;99%,"All work completed. Please provide OC.",IF(P146&gt;89.8%,"Plinth, RCC, Brick, Plaster, Flooring, Painting work Completed. Finishing work is in process.",(IF(F146=0,"Work not yet Started.",IF(F146=25%*E146,"Piling work in process",IF(F146=50%*E146,"Excavation work in process",IF(F146=E146,"Excavation work Completed. ","0")))&amp;(IF(G146=0%,"",IF(G146=25%*E146,"Footing work is process",IF(G146=50%*E146,"Footing work Completed",IF(G146=75%*E146,"Plinth work is process",IF(G146=E146,"Plinth work completed","0")))))))&amp;(IF(H146=(1+E146),", RCC Slab",IF(H146&gt;0,", RCC upto "&amp;H146&amp;" Slab",""))&amp;(IF(I146=E146,", Brickwork",IF(I146&gt;0,", Brickwork upto "&amp;I146&amp;" Floor",""))&amp;(IF(J146=E146,", Internal Plaster",IF(J146&gt;0,", Internal Plaster upto "&amp;J146&amp;" Floor",""))&amp;(IF(K146=E146,", External Plaster",IF(K146&gt;0,", External Plaster upto "&amp;K146&amp;" Floor",""))&amp;(IF(L146=E146,", Flooring",IF(L146&gt;0,", Flooring upto "&amp;L146&amp;" Floor",""))&amp;(IF(M146=E146,", Painting",IF(M146&gt;0,", Painting upto "&amp;M146&amp;" Floor",""))&amp;(IF(N146&gt;0,", Finishing upto "&amp;N146&amp;" Floor","")&amp;(IF(H146&gt;0.5," Completed","")))))))))))))</f>
        <v>All work completed. Please provide OC.</v>
      </c>
      <c r="S146" s="27"/>
      <c r="T146" s="27"/>
      <c r="U146" s="27"/>
      <c r="V146" s="27"/>
      <c r="W146" s="27"/>
      <c r="X146" s="27"/>
      <c r="Y146" s="27"/>
      <c r="Z146" s="27"/>
      <c r="AA146" s="27"/>
      <c r="AB146" s="27"/>
      <c r="AC146" s="27"/>
      <c r="AD146" s="27"/>
      <c r="AE146" s="27"/>
      <c r="AF146" s="27"/>
      <c r="AG146" s="27"/>
      <c r="AH146" s="27"/>
      <c r="AI146" s="27"/>
      <c r="AJ146" s="27"/>
      <c r="AK146" s="27"/>
      <c r="AL146" s="27"/>
      <c r="AM146" s="27"/>
      <c r="AN146" s="27"/>
      <c r="AO146" s="27"/>
      <c r="AP146" s="27"/>
      <c r="AQ146" s="27"/>
      <c r="AR146" s="27"/>
      <c r="AS146" s="27"/>
      <c r="AT146" s="27"/>
      <c r="AU146" s="27"/>
      <c r="AV146" s="27"/>
      <c r="AW146" s="27"/>
      <c r="AX146" s="27"/>
      <c r="AY146" s="27"/>
      <c r="AZ146" s="27"/>
      <c r="BA146" s="27"/>
      <c r="BB146" s="27"/>
      <c r="BC146" s="27"/>
      <c r="BD146" s="27"/>
      <c r="BE146" s="27"/>
      <c r="BF146" s="27"/>
      <c r="BG146" s="27"/>
      <c r="BH146" s="27"/>
      <c r="BI146" s="27"/>
      <c r="BJ146" s="27"/>
      <c r="BK146" s="27"/>
      <c r="BL146" s="27"/>
      <c r="BM146" s="27"/>
      <c r="BN146" s="27"/>
      <c r="BO146" s="27"/>
      <c r="BP146" s="27"/>
      <c r="BQ146" s="27"/>
      <c r="BR146" s="27"/>
      <c r="BS146" s="27"/>
      <c r="BT146" s="27"/>
      <c r="BU146" s="27"/>
      <c r="BV146" s="27"/>
      <c r="BW146" s="27"/>
      <c r="BX146" s="27"/>
      <c r="BY146" s="27"/>
      <c r="BZ146" s="27"/>
      <c r="CA146" s="27"/>
      <c r="CB146" s="27"/>
      <c r="CC146" s="27"/>
      <c r="CD146" s="27"/>
      <c r="CE146" s="27"/>
      <c r="CF146" s="27"/>
      <c r="CG146" s="27"/>
      <c r="CH146" s="27"/>
      <c r="CI146" s="27"/>
      <c r="CJ146" s="27"/>
      <c r="CK146" s="27"/>
      <c r="CL146" s="27"/>
      <c r="CM146" s="27"/>
      <c r="CN146" s="27"/>
      <c r="CO146" s="27"/>
      <c r="CP146" s="27"/>
      <c r="CQ146" s="27"/>
      <c r="CR146" s="27"/>
      <c r="CS146" s="27"/>
      <c r="CT146" s="27"/>
      <c r="CU146" s="27"/>
      <c r="CV146" s="27"/>
      <c r="CW146" s="27"/>
      <c r="CX146" s="27"/>
      <c r="CY146" s="27"/>
      <c r="CZ146" s="27"/>
      <c r="DA146" s="27"/>
      <c r="DB146" s="27"/>
      <c r="DC146" s="27"/>
      <c r="DD146" s="27"/>
      <c r="DE146" s="27"/>
      <c r="DF146" s="27"/>
      <c r="DG146" s="27"/>
      <c r="DH146" s="27"/>
      <c r="DI146" s="27"/>
      <c r="DJ146" s="27"/>
      <c r="DK146" s="27"/>
      <c r="DL146" s="27"/>
      <c r="DM146" s="27"/>
      <c r="DN146" s="27"/>
      <c r="DO146" s="27"/>
      <c r="DP146" s="27"/>
      <c r="DQ146" s="27"/>
      <c r="DR146" s="27"/>
      <c r="DS146" s="27"/>
      <c r="DT146" s="27"/>
      <c r="DU146" s="27"/>
      <c r="DV146" s="27"/>
      <c r="DW146" s="27"/>
      <c r="DX146" s="27"/>
      <c r="DY146" s="27"/>
      <c r="DZ146" s="27"/>
      <c r="EA146" s="27"/>
      <c r="EB146" s="27"/>
      <c r="EC146" s="27"/>
      <c r="ED146" s="27"/>
      <c r="EE146" s="27"/>
      <c r="EF146" s="27"/>
      <c r="EG146" s="27"/>
      <c r="EH146" s="27"/>
      <c r="EI146" s="27"/>
      <c r="EJ146" s="27"/>
      <c r="EK146" s="27"/>
      <c r="EL146" s="27"/>
      <c r="EM146" s="27"/>
      <c r="EN146" s="27"/>
      <c r="EO146" s="27"/>
      <c r="EP146" s="27"/>
      <c r="EQ146" s="27"/>
      <c r="ER146" s="27"/>
      <c r="ES146" s="27"/>
      <c r="ET146" s="27"/>
      <c r="EU146" s="27"/>
      <c r="EV146" s="27"/>
      <c r="EW146" s="27"/>
      <c r="EX146" s="27"/>
      <c r="EY146" s="27"/>
      <c r="EZ146" s="27"/>
      <c r="FA146" s="27"/>
      <c r="FB146" s="27"/>
      <c r="FC146" s="27"/>
      <c r="FD146" s="27"/>
      <c r="FE146" s="27"/>
      <c r="FF146" s="27"/>
      <c r="FG146" s="27"/>
      <c r="FH146" s="27"/>
      <c r="FI146" s="27"/>
      <c r="FJ146" s="27"/>
      <c r="FK146" s="27"/>
      <c r="FL146" s="27"/>
      <c r="FM146" s="27"/>
      <c r="FN146" s="27"/>
      <c r="FO146" s="27"/>
      <c r="FP146" s="27"/>
      <c r="FQ146" s="27"/>
      <c r="FR146" s="27"/>
      <c r="FS146" s="27"/>
      <c r="FT146" s="27"/>
      <c r="FU146" s="27"/>
      <c r="FV146" s="27"/>
      <c r="FW146" s="27"/>
      <c r="FX146" s="27"/>
      <c r="FY146" s="27"/>
      <c r="FZ146" s="27"/>
      <c r="GA146" s="27"/>
      <c r="GB146" s="27"/>
      <c r="GC146" s="27"/>
      <c r="GD146" s="27"/>
      <c r="GE146" s="27"/>
      <c r="GF146" s="27"/>
      <c r="GG146" s="27"/>
      <c r="GH146" s="27"/>
      <c r="GI146" s="27"/>
      <c r="GJ146" s="27"/>
      <c r="GK146" s="27"/>
      <c r="GL146" s="27"/>
      <c r="GM146" s="27"/>
      <c r="GN146" s="27"/>
      <c r="GO146" s="27"/>
      <c r="GP146" s="27"/>
      <c r="GQ146" s="27"/>
      <c r="GR146" s="27"/>
      <c r="GS146" s="27"/>
      <c r="GT146" s="27"/>
      <c r="GU146" s="27"/>
      <c r="GV146" s="27"/>
      <c r="GW146" s="27"/>
      <c r="GX146" s="27"/>
      <c r="GY146" s="27"/>
      <c r="GZ146" s="27"/>
      <c r="HA146" s="27"/>
      <c r="HB146" s="27"/>
      <c r="HC146" s="27"/>
      <c r="HD146" s="27"/>
      <c r="HE146" s="27"/>
      <c r="HF146" s="27"/>
      <c r="HG146" s="27"/>
      <c r="HH146" s="27"/>
      <c r="HI146" s="27"/>
      <c r="HJ146" s="27"/>
      <c r="HK146" s="27"/>
      <c r="HL146" s="27"/>
      <c r="HM146" s="27"/>
      <c r="HN146" s="27"/>
      <c r="HO146" s="27"/>
      <c r="HP146" s="27"/>
      <c r="HQ146" s="27"/>
      <c r="HR146" s="27"/>
      <c r="HS146" s="27"/>
      <c r="HT146" s="27"/>
      <c r="HU146" s="27"/>
      <c r="HV146" s="27"/>
      <c r="HW146" s="27"/>
      <c r="HX146" s="27"/>
      <c r="HY146" s="27"/>
      <c r="HZ146" s="27"/>
      <c r="IA146" s="27"/>
      <c r="IB146" s="27"/>
      <c r="IC146" s="27"/>
      <c r="ID146" s="27"/>
      <c r="IE146" s="27"/>
      <c r="IF146" s="27"/>
      <c r="IG146" s="27"/>
      <c r="IH146" s="27"/>
      <c r="II146" s="27"/>
      <c r="IJ146" s="27"/>
      <c r="IK146" s="27"/>
      <c r="IL146" s="27"/>
      <c r="IM146" s="27"/>
      <c r="IN146" s="27"/>
      <c r="IO146" s="27"/>
      <c r="IP146" s="27"/>
      <c r="IQ146" s="27"/>
      <c r="IR146" s="27"/>
      <c r="IS146" s="27"/>
      <c r="IT146" s="27"/>
      <c r="IU146" s="27"/>
      <c r="IV146" s="27"/>
      <c r="IW146" s="27"/>
      <c r="IX146" s="27"/>
      <c r="IY146" s="27"/>
      <c r="IZ146" s="27"/>
      <c r="JA146" s="27"/>
      <c r="JB146" s="27"/>
      <c r="JC146" s="27"/>
      <c r="JD146" s="27"/>
      <c r="JE146" s="27"/>
      <c r="JF146" s="27"/>
      <c r="JG146" s="27"/>
      <c r="JH146" s="27"/>
      <c r="JI146" s="27"/>
      <c r="JJ146" s="27"/>
      <c r="JK146" s="27"/>
      <c r="JL146" s="27"/>
      <c r="JM146" s="27"/>
      <c r="JN146" s="27"/>
      <c r="JO146" s="27"/>
      <c r="JP146" s="27"/>
      <c r="JQ146" s="27"/>
      <c r="JR146" s="27"/>
      <c r="JS146" s="27"/>
      <c r="JT146" s="27"/>
      <c r="JU146" s="27"/>
      <c r="JV146" s="27"/>
      <c r="JW146" s="27"/>
      <c r="JX146" s="27"/>
      <c r="JY146" s="27"/>
      <c r="JZ146" s="27"/>
      <c r="KA146" s="27"/>
      <c r="KB146" s="27"/>
      <c r="KC146" s="27"/>
      <c r="KD146" s="27"/>
      <c r="KE146" s="27"/>
      <c r="KF146" s="27"/>
      <c r="KG146" s="27"/>
      <c r="KH146" s="27"/>
      <c r="KI146" s="27"/>
      <c r="KJ146" s="27"/>
      <c r="KK146" s="27"/>
      <c r="KL146" s="27"/>
      <c r="KM146" s="27"/>
      <c r="KN146" s="27"/>
      <c r="KO146" s="27"/>
      <c r="KP146" s="27"/>
      <c r="KQ146" s="27"/>
      <c r="KR146" s="27"/>
      <c r="KS146" s="27"/>
      <c r="KT146" s="27"/>
      <c r="KU146" s="27"/>
      <c r="KV146" s="27"/>
      <c r="KW146" s="27"/>
      <c r="KX146" s="27"/>
      <c r="KY146" s="27"/>
      <c r="KZ146" s="27"/>
      <c r="LA146" s="27"/>
      <c r="LB146" s="27"/>
      <c r="LC146" s="27"/>
      <c r="LD146" s="27"/>
      <c r="LE146" s="27"/>
      <c r="LF146" s="27"/>
      <c r="LG146" s="27"/>
      <c r="LH146" s="27"/>
      <c r="LI146" s="27"/>
      <c r="LJ146" s="27"/>
      <c r="LK146" s="27"/>
      <c r="LL146" s="27"/>
      <c r="LM146" s="27"/>
      <c r="LN146" s="27"/>
      <c r="LO146" s="27"/>
      <c r="LP146" s="27"/>
      <c r="LQ146" s="27"/>
      <c r="LR146" s="27"/>
      <c r="LS146" s="27"/>
      <c r="LT146" s="27"/>
      <c r="LU146" s="27"/>
      <c r="LV146" s="27"/>
      <c r="LW146" s="27"/>
      <c r="LX146" s="27"/>
      <c r="LY146" s="27"/>
      <c r="LZ146" s="27"/>
      <c r="MA146" s="27"/>
      <c r="MB146" s="27"/>
      <c r="MC146" s="27"/>
      <c r="MD146" s="27"/>
      <c r="ME146" s="27"/>
      <c r="MF146" s="27"/>
      <c r="MG146" s="27"/>
      <c r="MH146" s="27"/>
      <c r="MI146" s="27"/>
      <c r="MJ146" s="27"/>
      <c r="MK146" s="27"/>
      <c r="ML146" s="27"/>
      <c r="MM146" s="27"/>
      <c r="MN146" s="27"/>
      <c r="MO146" s="27"/>
      <c r="MP146" s="27"/>
      <c r="MQ146" s="27"/>
      <c r="MR146" s="27"/>
      <c r="MS146" s="27"/>
      <c r="MT146" s="27"/>
      <c r="MU146" s="27"/>
      <c r="MV146" s="27"/>
      <c r="MW146" s="27"/>
      <c r="MX146" s="27"/>
      <c r="MY146" s="27"/>
      <c r="MZ146" s="27"/>
      <c r="NA146" s="27"/>
      <c r="NB146" s="27"/>
      <c r="NC146" s="27"/>
      <c r="ND146" s="27"/>
      <c r="NE146" s="27"/>
      <c r="NF146" s="27"/>
      <c r="NG146" s="27"/>
      <c r="NH146" s="27"/>
      <c r="NI146" s="27"/>
      <c r="NJ146" s="27"/>
      <c r="NK146" s="27"/>
      <c r="NL146" s="27"/>
      <c r="NM146" s="27"/>
      <c r="NN146" s="27"/>
      <c r="NO146" s="27"/>
      <c r="NP146" s="27"/>
      <c r="NQ146" s="27"/>
      <c r="NR146" s="27"/>
      <c r="NS146" s="27"/>
      <c r="NT146" s="27"/>
      <c r="NU146" s="27"/>
      <c r="NV146" s="27"/>
      <c r="NW146" s="27"/>
      <c r="NX146" s="27"/>
      <c r="NY146" s="27"/>
      <c r="NZ146" s="27"/>
      <c r="OA146" s="27"/>
      <c r="OB146" s="27"/>
      <c r="OC146" s="27"/>
      <c r="OD146" s="27"/>
      <c r="OE146" s="27"/>
      <c r="OF146" s="27"/>
      <c r="OG146" s="27"/>
      <c r="OH146" s="27"/>
      <c r="OI146" s="27"/>
      <c r="OJ146" s="27"/>
      <c r="OK146" s="27"/>
      <c r="OL146" s="27"/>
      <c r="OM146" s="27"/>
      <c r="ON146" s="27"/>
      <c r="OO146" s="27"/>
      <c r="OP146" s="27"/>
      <c r="OQ146" s="27"/>
      <c r="OR146" s="27"/>
      <c r="OS146" s="27"/>
      <c r="OT146" s="27"/>
      <c r="OU146" s="27"/>
      <c r="OV146" s="27"/>
      <c r="OW146" s="27"/>
      <c r="OX146" s="27"/>
      <c r="OY146" s="27"/>
      <c r="OZ146" s="27"/>
      <c r="PA146" s="27"/>
      <c r="PB146" s="27"/>
      <c r="PC146" s="27"/>
      <c r="PD146" s="27"/>
      <c r="PE146" s="27"/>
      <c r="PF146" s="27"/>
      <c r="PG146" s="27"/>
      <c r="PH146" s="27"/>
      <c r="PI146" s="27"/>
      <c r="PJ146" s="27"/>
      <c r="PK146" s="27"/>
      <c r="PL146" s="27"/>
      <c r="PM146" s="27"/>
      <c r="PN146" s="27"/>
      <c r="PO146" s="27"/>
      <c r="PP146" s="27"/>
      <c r="PQ146" s="27"/>
      <c r="PR146" s="27"/>
      <c r="PS146" s="27"/>
      <c r="PT146" s="27"/>
      <c r="PU146" s="27"/>
      <c r="PV146" s="27"/>
      <c r="PW146" s="27"/>
      <c r="PX146" s="27"/>
      <c r="PY146" s="27"/>
      <c r="PZ146" s="27"/>
      <c r="QA146" s="27"/>
      <c r="QB146" s="27"/>
      <c r="QC146" s="27"/>
      <c r="QD146" s="27"/>
      <c r="QE146" s="27"/>
      <c r="QF146" s="27"/>
      <c r="QG146" s="27"/>
      <c r="QH146" s="27"/>
      <c r="QI146" s="27"/>
      <c r="QJ146" s="27"/>
      <c r="QK146" s="27"/>
      <c r="QL146" s="27"/>
      <c r="QM146" s="27"/>
      <c r="QN146" s="27"/>
      <c r="QO146" s="27"/>
      <c r="QP146" s="27"/>
      <c r="QQ146" s="27"/>
      <c r="QR146" s="27"/>
      <c r="QS146" s="27"/>
      <c r="QT146" s="27"/>
      <c r="QU146" s="27"/>
      <c r="QV146" s="27"/>
      <c r="QW146" s="27"/>
      <c r="QX146" s="27"/>
      <c r="QY146" s="27"/>
      <c r="QZ146" s="27"/>
      <c r="RA146" s="27"/>
      <c r="RB146" s="27"/>
      <c r="RC146" s="27"/>
      <c r="RD146" s="27"/>
      <c r="RE146" s="27"/>
      <c r="RF146" s="27"/>
      <c r="RG146" s="27"/>
      <c r="RH146" s="27"/>
      <c r="RI146" s="27"/>
      <c r="RJ146" s="27"/>
      <c r="RK146" s="27"/>
      <c r="RL146" s="27"/>
      <c r="RM146" s="27"/>
      <c r="RN146" s="27"/>
      <c r="RO146" s="27"/>
      <c r="RP146" s="27"/>
      <c r="RQ146" s="27"/>
      <c r="RR146" s="27"/>
      <c r="RS146" s="27"/>
      <c r="RT146" s="27"/>
      <c r="RU146" s="27"/>
      <c r="RV146" s="27"/>
      <c r="RW146" s="27"/>
      <c r="RX146" s="27"/>
      <c r="RY146" s="27"/>
      <c r="RZ146" s="27"/>
      <c r="SA146" s="27"/>
      <c r="SB146" s="27"/>
      <c r="SC146" s="27"/>
      <c r="SD146" s="27"/>
      <c r="SE146" s="27"/>
      <c r="SF146" s="27"/>
      <c r="SG146" s="27"/>
      <c r="SH146" s="27"/>
      <c r="SI146" s="27"/>
      <c r="SJ146" s="27"/>
      <c r="SK146" s="27"/>
      <c r="SL146" s="27"/>
      <c r="SM146" s="27"/>
      <c r="SN146" s="27"/>
      <c r="SO146" s="27"/>
      <c r="SP146" s="27"/>
      <c r="SQ146" s="27"/>
      <c r="SR146" s="27"/>
      <c r="SS146" s="27"/>
      <c r="ST146" s="27"/>
      <c r="SU146" s="27"/>
      <c r="SV146" s="27"/>
      <c r="SW146" s="27"/>
      <c r="SX146" s="27"/>
      <c r="SY146" s="27"/>
      <c r="SZ146" s="27"/>
      <c r="TA146" s="27"/>
      <c r="TB146" s="27"/>
      <c r="TC146" s="27"/>
      <c r="TD146" s="27"/>
      <c r="TE146" s="27"/>
      <c r="TF146" s="27"/>
      <c r="TG146" s="27"/>
      <c r="TH146" s="27"/>
      <c r="TI146" s="27"/>
      <c r="TJ146" s="27"/>
      <c r="TK146" s="27"/>
      <c r="TL146" s="27"/>
      <c r="TM146" s="27"/>
      <c r="TN146" s="27"/>
      <c r="TO146" s="27"/>
      <c r="TP146" s="27"/>
      <c r="TQ146" s="27"/>
      <c r="TR146" s="27"/>
      <c r="TS146" s="27"/>
      <c r="TT146" s="27"/>
      <c r="TU146" s="27"/>
      <c r="TV146" s="27"/>
      <c r="TW146" s="27"/>
      <c r="TX146" s="27"/>
      <c r="TY146" s="27"/>
      <c r="TZ146" s="27"/>
      <c r="UA146" s="27"/>
      <c r="UB146" s="27"/>
      <c r="UC146" s="27"/>
      <c r="UD146" s="27"/>
      <c r="UE146" s="27"/>
      <c r="UF146" s="27"/>
      <c r="UG146" s="27"/>
      <c r="UH146" s="27"/>
      <c r="UI146" s="27"/>
      <c r="UJ146" s="27"/>
      <c r="UK146" s="27"/>
      <c r="UL146" s="27"/>
      <c r="UM146" s="27"/>
      <c r="UN146" s="27"/>
      <c r="UO146" s="27"/>
      <c r="UP146" s="27"/>
      <c r="UQ146" s="27"/>
      <c r="UR146" s="27"/>
      <c r="US146" s="27"/>
      <c r="UT146" s="27"/>
      <c r="UU146" s="27"/>
      <c r="UV146" s="27"/>
      <c r="UW146" s="27"/>
      <c r="UX146" s="27"/>
      <c r="UY146" s="27"/>
      <c r="UZ146" s="27"/>
      <c r="VA146" s="27"/>
      <c r="VB146" s="27"/>
      <c r="VC146" s="27"/>
      <c r="VD146" s="27"/>
      <c r="VE146" s="27"/>
      <c r="VF146" s="27"/>
      <c r="VG146" s="27"/>
      <c r="VH146" s="27"/>
      <c r="VI146" s="27"/>
      <c r="VJ146" s="27"/>
      <c r="VK146" s="27"/>
      <c r="VL146" s="27"/>
      <c r="VM146" s="27"/>
      <c r="VN146" s="27"/>
      <c r="VO146" s="27"/>
      <c r="VP146" s="27"/>
      <c r="VQ146" s="27"/>
      <c r="VR146" s="27"/>
      <c r="VS146" s="27"/>
      <c r="VT146" s="27"/>
      <c r="VU146" s="27"/>
      <c r="VV146" s="27"/>
      <c r="VW146" s="27"/>
      <c r="VX146" s="27"/>
      <c r="VY146" s="27"/>
      <c r="VZ146" s="27"/>
      <c r="WA146" s="27"/>
      <c r="WB146" s="27"/>
      <c r="WC146" s="27"/>
      <c r="WD146" s="27"/>
      <c r="WE146" s="27"/>
      <c r="WF146" s="27"/>
      <c r="WG146" s="27"/>
      <c r="WH146" s="27"/>
      <c r="WI146" s="27"/>
      <c r="WJ146" s="27"/>
      <c r="WK146" s="27"/>
      <c r="WL146" s="27"/>
      <c r="WM146" s="27"/>
      <c r="WN146" s="27"/>
      <c r="WO146" s="27"/>
      <c r="WP146" s="27"/>
      <c r="WQ146" s="27"/>
      <c r="WR146" s="27"/>
      <c r="WS146" s="27"/>
      <c r="WT146" s="27"/>
      <c r="WU146" s="27"/>
      <c r="WV146" s="27"/>
      <c r="WW146" s="27"/>
      <c r="WX146" s="27"/>
      <c r="WY146" s="27"/>
      <c r="WZ146" s="27"/>
      <c r="XA146" s="27"/>
      <c r="XB146" s="27"/>
      <c r="XC146" s="27"/>
      <c r="XD146" s="27"/>
      <c r="XE146" s="27"/>
      <c r="XF146" s="27"/>
      <c r="XG146" s="27"/>
      <c r="XH146" s="27"/>
      <c r="XI146" s="27"/>
      <c r="XJ146" s="27"/>
      <c r="XK146" s="27"/>
      <c r="XL146" s="27"/>
      <c r="XM146" s="27"/>
      <c r="XN146" s="27"/>
      <c r="XO146" s="27"/>
      <c r="XP146" s="27"/>
      <c r="XQ146" s="27"/>
      <c r="XR146" s="27"/>
      <c r="XS146" s="27"/>
      <c r="XT146" s="27"/>
      <c r="XU146" s="27"/>
      <c r="XV146" s="27"/>
      <c r="XW146" s="27"/>
      <c r="XX146" s="27"/>
      <c r="XY146" s="27"/>
      <c r="XZ146" s="27"/>
      <c r="YA146" s="27"/>
      <c r="YB146" s="27"/>
      <c r="YC146" s="27"/>
      <c r="YD146" s="27"/>
      <c r="YE146" s="27"/>
      <c r="YF146" s="27"/>
      <c r="YG146" s="27"/>
      <c r="YH146" s="27"/>
      <c r="YI146" s="27"/>
      <c r="YJ146" s="27"/>
      <c r="YK146" s="27"/>
      <c r="YL146" s="27"/>
      <c r="YM146" s="27"/>
      <c r="YN146" s="27"/>
      <c r="YO146" s="27"/>
      <c r="YP146" s="27"/>
      <c r="YQ146" s="27"/>
      <c r="YR146" s="27"/>
      <c r="YS146" s="27"/>
      <c r="YT146" s="27"/>
      <c r="YU146" s="27"/>
      <c r="YV146" s="27"/>
      <c r="YW146" s="27"/>
      <c r="YX146" s="27"/>
      <c r="YY146" s="27"/>
      <c r="YZ146" s="27"/>
      <c r="ZA146" s="27"/>
      <c r="ZB146" s="27"/>
      <c r="ZC146" s="27"/>
      <c r="ZD146" s="27"/>
      <c r="ZE146" s="27"/>
      <c r="ZF146" s="27"/>
      <c r="ZG146" s="27"/>
      <c r="ZH146" s="27"/>
      <c r="ZI146" s="27"/>
      <c r="ZJ146" s="27"/>
      <c r="ZK146" s="27"/>
      <c r="ZL146" s="27"/>
      <c r="ZM146" s="27"/>
      <c r="ZN146" s="27"/>
      <c r="ZO146" s="27"/>
      <c r="ZP146" s="27"/>
      <c r="ZQ146" s="27"/>
      <c r="ZR146" s="27"/>
      <c r="ZS146" s="27"/>
      <c r="ZT146" s="27"/>
      <c r="ZU146" s="27"/>
      <c r="ZV146" s="27"/>
      <c r="ZW146" s="27"/>
      <c r="ZX146" s="27"/>
      <c r="ZY146" s="27"/>
      <c r="ZZ146" s="27"/>
      <c r="AAA146" s="27"/>
      <c r="AAB146" s="27"/>
      <c r="AAC146" s="27"/>
      <c r="AAD146" s="27"/>
      <c r="AAE146" s="27"/>
      <c r="AAF146" s="27"/>
      <c r="AAG146" s="27"/>
      <c r="AAH146" s="27"/>
      <c r="AAI146" s="27"/>
      <c r="AAJ146" s="27"/>
      <c r="AAK146" s="27"/>
      <c r="AAL146" s="27"/>
      <c r="AAM146" s="27"/>
      <c r="AAN146" s="27"/>
      <c r="AAO146" s="27"/>
      <c r="AAP146" s="27"/>
      <c r="AAQ146" s="27"/>
      <c r="AAR146" s="27"/>
      <c r="AAS146" s="27"/>
      <c r="AAT146" s="27"/>
      <c r="AAU146" s="27"/>
      <c r="AAV146" s="27"/>
      <c r="AAW146" s="27"/>
      <c r="AAX146" s="27"/>
      <c r="AAY146" s="27"/>
      <c r="AAZ146" s="27"/>
      <c r="ABA146" s="27"/>
      <c r="ABB146" s="27"/>
      <c r="ABC146" s="27"/>
      <c r="ABD146" s="27"/>
      <c r="ABE146" s="27"/>
      <c r="ABF146" s="27"/>
      <c r="ABG146" s="27"/>
      <c r="ABH146" s="27"/>
      <c r="ABI146" s="27"/>
      <c r="ABJ146" s="27"/>
      <c r="ABK146" s="27"/>
      <c r="ABL146" s="27"/>
      <c r="ABM146" s="27"/>
      <c r="ABN146" s="27"/>
      <c r="ABO146" s="27"/>
      <c r="ABP146" s="27"/>
      <c r="ABQ146" s="27"/>
      <c r="ABR146" s="27"/>
      <c r="ABS146" s="27"/>
      <c r="ABT146" s="27"/>
      <c r="ABU146" s="27"/>
      <c r="ABV146" s="27"/>
      <c r="ABW146" s="27"/>
      <c r="ABX146" s="27"/>
      <c r="ABY146" s="27"/>
      <c r="ABZ146" s="27"/>
      <c r="ACA146" s="27"/>
      <c r="ACB146" s="27"/>
      <c r="ACC146" s="27"/>
      <c r="ACD146" s="27"/>
      <c r="ACE146" s="27"/>
      <c r="ACF146" s="27"/>
      <c r="ACG146" s="27"/>
      <c r="ACH146" s="27"/>
      <c r="ACI146" s="27"/>
      <c r="ACJ146" s="27"/>
      <c r="ACK146" s="27"/>
      <c r="ACL146" s="27"/>
      <c r="ACM146" s="27"/>
      <c r="ACN146" s="27"/>
      <c r="ACO146" s="27"/>
      <c r="ACP146" s="27"/>
      <c r="ACQ146" s="27"/>
      <c r="ACR146" s="27"/>
      <c r="ACS146" s="27"/>
      <c r="ACT146" s="27"/>
      <c r="ACU146" s="27"/>
      <c r="ACV146" s="27"/>
      <c r="ACW146" s="27"/>
      <c r="ACX146" s="27"/>
      <c r="ACY146" s="27"/>
      <c r="ACZ146" s="27"/>
      <c r="ADA146" s="27"/>
      <c r="ADB146" s="27"/>
      <c r="ADC146" s="27"/>
      <c r="ADD146" s="27"/>
      <c r="ADE146" s="27"/>
      <c r="ADF146" s="27"/>
      <c r="ADG146" s="27"/>
      <c r="ADH146" s="27"/>
      <c r="ADI146" s="27"/>
      <c r="ADJ146" s="27"/>
      <c r="ADK146" s="27"/>
      <c r="ADL146" s="27"/>
      <c r="ADM146" s="27"/>
      <c r="ADN146" s="27"/>
      <c r="ADO146" s="27"/>
      <c r="ADP146" s="27"/>
      <c r="ADQ146" s="27"/>
      <c r="ADR146" s="27"/>
      <c r="ADS146" s="27"/>
      <c r="ADT146" s="27"/>
      <c r="ADU146" s="27"/>
      <c r="ADV146" s="27"/>
      <c r="ADW146" s="27"/>
      <c r="ADX146" s="27"/>
      <c r="ADY146" s="27"/>
      <c r="ADZ146" s="27"/>
      <c r="AEA146" s="27"/>
      <c r="AEB146" s="27"/>
      <c r="AEC146" s="27"/>
      <c r="AED146" s="27"/>
      <c r="AEE146" s="27"/>
      <c r="AEF146" s="27"/>
      <c r="AEG146" s="27"/>
      <c r="AEH146" s="27"/>
      <c r="AEI146" s="27"/>
      <c r="AEJ146" s="27"/>
      <c r="AEK146" s="27"/>
      <c r="AEL146" s="27"/>
      <c r="AEM146" s="27"/>
      <c r="AEN146" s="27"/>
      <c r="AEO146" s="27"/>
      <c r="AEP146" s="27"/>
      <c r="AEQ146" s="27"/>
      <c r="AER146" s="27"/>
      <c r="AES146" s="27"/>
      <c r="AET146" s="27"/>
      <c r="AEU146" s="27"/>
      <c r="AEV146" s="27"/>
      <c r="AEW146" s="27"/>
      <c r="AEX146" s="27"/>
      <c r="AEY146" s="27"/>
      <c r="AEZ146" s="27"/>
      <c r="AFA146" s="27"/>
      <c r="AFB146" s="27"/>
      <c r="AFC146" s="27"/>
      <c r="AFD146" s="27"/>
      <c r="AFE146" s="27"/>
      <c r="AFF146" s="27"/>
      <c r="AFG146" s="27"/>
      <c r="AFH146" s="27"/>
      <c r="AFI146" s="27"/>
      <c r="AFJ146" s="27"/>
      <c r="AFK146" s="27"/>
      <c r="AFL146" s="27"/>
      <c r="AFM146" s="27"/>
      <c r="AFN146" s="27"/>
      <c r="AFO146" s="27"/>
      <c r="AFP146" s="27"/>
      <c r="AFQ146" s="27"/>
      <c r="AFR146" s="27"/>
      <c r="AFS146" s="27"/>
      <c r="AFT146" s="27"/>
      <c r="AFU146" s="27"/>
      <c r="AFV146" s="27"/>
      <c r="AFW146" s="27"/>
      <c r="AFX146" s="27"/>
      <c r="AFY146" s="27"/>
      <c r="AFZ146" s="27"/>
      <c r="AGA146" s="27"/>
      <c r="AGB146" s="27"/>
      <c r="AGC146" s="27"/>
      <c r="AGD146" s="27"/>
      <c r="AGE146" s="27"/>
      <c r="AGF146" s="27"/>
      <c r="AGG146" s="27"/>
      <c r="AGH146" s="27"/>
      <c r="AGI146" s="27"/>
      <c r="AGJ146" s="27"/>
      <c r="AGK146" s="27"/>
      <c r="AGL146" s="27"/>
      <c r="AGM146" s="27"/>
      <c r="AGN146" s="27"/>
      <c r="AGO146" s="27"/>
      <c r="AGP146" s="27"/>
      <c r="AGQ146" s="27"/>
      <c r="AGR146" s="27"/>
      <c r="AGS146" s="27"/>
      <c r="AGT146" s="27"/>
      <c r="AGU146" s="27"/>
      <c r="AGV146" s="27"/>
      <c r="AGW146" s="27"/>
      <c r="AGX146" s="27"/>
      <c r="AGY146" s="27"/>
      <c r="AGZ146" s="27"/>
      <c r="AHA146" s="27"/>
      <c r="AHB146" s="27"/>
      <c r="AHC146" s="27"/>
      <c r="AHD146" s="27"/>
      <c r="AHE146" s="27"/>
      <c r="AHF146" s="27"/>
      <c r="AHG146" s="27"/>
      <c r="AHH146" s="27"/>
      <c r="AHI146" s="27"/>
      <c r="AHJ146" s="27"/>
      <c r="AHK146" s="27"/>
      <c r="AHL146" s="27"/>
      <c r="AHM146" s="27"/>
      <c r="AHN146" s="27"/>
      <c r="AHO146" s="27"/>
      <c r="AHP146" s="27"/>
      <c r="AHQ146" s="27"/>
      <c r="AHR146" s="27"/>
      <c r="AHS146" s="27"/>
      <c r="AHT146" s="27"/>
      <c r="AHU146" s="27"/>
      <c r="AHV146" s="27"/>
      <c r="AHW146" s="27"/>
      <c r="AHX146" s="27"/>
      <c r="AHY146" s="27"/>
      <c r="AHZ146" s="27"/>
      <c r="AIA146" s="27"/>
      <c r="AIB146" s="27"/>
      <c r="AIC146" s="27"/>
      <c r="AID146" s="27"/>
      <c r="AIE146" s="27"/>
      <c r="AIF146" s="27"/>
      <c r="AIG146" s="27"/>
      <c r="AIH146" s="27"/>
      <c r="AII146" s="27"/>
      <c r="AIJ146" s="27"/>
      <c r="AIK146" s="27"/>
      <c r="AIL146" s="27"/>
      <c r="AIM146" s="27"/>
      <c r="AIN146" s="27"/>
      <c r="AIO146" s="27"/>
      <c r="AIP146" s="27"/>
      <c r="AIQ146" s="27"/>
      <c r="AIR146" s="27"/>
      <c r="AIS146" s="27"/>
      <c r="AIT146" s="27"/>
      <c r="AIU146" s="27"/>
      <c r="AIV146" s="27"/>
      <c r="AIW146" s="27"/>
      <c r="AIX146" s="27"/>
      <c r="AIY146" s="27"/>
      <c r="AIZ146" s="27"/>
      <c r="AJA146" s="27"/>
      <c r="AJB146" s="27"/>
      <c r="AJC146" s="27"/>
      <c r="AJD146" s="27"/>
      <c r="AJE146" s="27"/>
      <c r="AJF146" s="27"/>
      <c r="AJG146" s="27"/>
      <c r="AJH146" s="27"/>
      <c r="AJI146" s="27"/>
      <c r="AJJ146" s="27"/>
      <c r="AJK146" s="27"/>
      <c r="AJL146" s="27"/>
      <c r="AJM146" s="27"/>
      <c r="AJN146" s="27"/>
      <c r="AJO146" s="27"/>
      <c r="AJP146" s="27"/>
      <c r="AJQ146" s="27"/>
      <c r="AJR146" s="27"/>
      <c r="AJS146" s="27"/>
      <c r="AJT146" s="27"/>
      <c r="AJU146" s="27"/>
      <c r="AJV146" s="27"/>
      <c r="AJW146" s="27"/>
      <c r="AJX146" s="27"/>
      <c r="AJY146" s="27"/>
      <c r="AJZ146" s="27"/>
      <c r="AKA146" s="27"/>
      <c r="AKB146" s="27"/>
      <c r="AKC146" s="27"/>
      <c r="AKD146" s="27"/>
      <c r="AKE146" s="27"/>
      <c r="AKF146" s="27"/>
      <c r="AKG146" s="27"/>
      <c r="AKH146" s="27"/>
      <c r="AKI146" s="27"/>
      <c r="AKJ146" s="27"/>
      <c r="AKK146" s="27"/>
      <c r="AKL146" s="27"/>
      <c r="AKM146" s="27"/>
      <c r="AKN146" s="27"/>
      <c r="AKO146" s="27"/>
      <c r="AKP146" s="27"/>
      <c r="AKQ146" s="27"/>
      <c r="AKR146" s="27"/>
      <c r="AKS146" s="27"/>
      <c r="AKT146" s="27"/>
      <c r="AKU146" s="27"/>
      <c r="AKV146" s="27"/>
      <c r="AKW146" s="27"/>
      <c r="AKX146" s="27"/>
      <c r="AKY146" s="27"/>
      <c r="AKZ146" s="27"/>
      <c r="ALA146" s="27"/>
      <c r="ALB146" s="27"/>
      <c r="ALC146" s="27"/>
      <c r="ALD146" s="27"/>
      <c r="ALE146" s="27"/>
      <c r="ALF146" s="27"/>
      <c r="ALG146" s="27"/>
      <c r="ALH146" s="27"/>
      <c r="ALI146" s="27"/>
      <c r="ALJ146" s="27"/>
      <c r="ALK146" s="27"/>
      <c r="ALL146" s="27"/>
      <c r="ALM146" s="27"/>
      <c r="ALN146" s="27"/>
      <c r="ALO146" s="27"/>
      <c r="ALP146" s="27"/>
      <c r="ALQ146" s="27"/>
      <c r="ALR146" s="27"/>
      <c r="ALS146" s="27"/>
      <c r="ALT146" s="27"/>
      <c r="ALU146" s="27"/>
      <c r="ALV146" s="27"/>
      <c r="ALW146" s="27"/>
      <c r="ALX146" s="27"/>
      <c r="ALY146" s="27"/>
      <c r="ALZ146" s="27"/>
      <c r="AMA146" s="27"/>
      <c r="AMB146" s="27"/>
      <c r="AMC146" s="27"/>
      <c r="AMD146" s="27"/>
      <c r="AME146" s="27"/>
      <c r="AMF146" s="27"/>
      <c r="AMG146" s="27"/>
      <c r="AMH146" s="27"/>
      <c r="AMI146" s="27"/>
      <c r="AMJ146" s="27"/>
      <c r="AMK146" s="27"/>
      <c r="AML146" s="27"/>
      <c r="AMM146" s="27"/>
      <c r="AMN146" s="27"/>
      <c r="AMO146" s="27"/>
      <c r="AMP146" s="27"/>
      <c r="AMQ146" s="27"/>
      <c r="AMR146" s="27"/>
      <c r="AMS146" s="27"/>
      <c r="AMT146" s="27"/>
      <c r="AMU146" s="27"/>
      <c r="AMV146" s="27"/>
      <c r="AMW146" s="27"/>
      <c r="AMX146" s="27"/>
      <c r="AMY146" s="27"/>
      <c r="AMZ146" s="27"/>
      <c r="ANA146" s="27"/>
      <c r="ANB146" s="27"/>
      <c r="ANC146" s="27"/>
      <c r="AND146" s="27"/>
      <c r="ANE146" s="27"/>
      <c r="ANF146" s="27"/>
      <c r="ANG146" s="27"/>
      <c r="ANH146" s="27"/>
      <c r="ANI146" s="27"/>
      <c r="ANJ146" s="27"/>
      <c r="ANK146" s="27"/>
      <c r="ANL146" s="27"/>
      <c r="ANM146" s="27"/>
      <c r="ANN146" s="27"/>
      <c r="ANO146" s="27"/>
      <c r="ANP146" s="27"/>
      <c r="ANQ146" s="27"/>
      <c r="ANR146" s="27"/>
      <c r="ANS146" s="27"/>
      <c r="ANT146" s="27"/>
      <c r="ANU146" s="27"/>
      <c r="ANV146" s="27"/>
      <c r="ANW146" s="27"/>
      <c r="ANX146" s="27"/>
      <c r="ANY146" s="27"/>
      <c r="ANZ146" s="27"/>
      <c r="AOA146" s="27"/>
      <c r="AOB146" s="27"/>
      <c r="AOC146" s="27"/>
      <c r="AOD146" s="27"/>
      <c r="AOE146" s="27"/>
      <c r="AOF146" s="27"/>
      <c r="AOG146" s="27"/>
      <c r="AOH146" s="27"/>
      <c r="AOI146" s="27"/>
      <c r="AOJ146" s="27"/>
      <c r="AOK146" s="27"/>
      <c r="AOL146" s="27"/>
      <c r="AOM146" s="27"/>
      <c r="AON146" s="27"/>
      <c r="AOO146" s="27"/>
      <c r="AOP146" s="27"/>
      <c r="AOQ146" s="27"/>
      <c r="AOR146" s="27"/>
      <c r="AOS146" s="27"/>
      <c r="AOT146" s="27"/>
      <c r="AOU146" s="27"/>
      <c r="AOV146" s="27"/>
      <c r="AOW146" s="27"/>
      <c r="AOX146" s="27"/>
      <c r="AOY146" s="27"/>
      <c r="AOZ146" s="27"/>
      <c r="APA146" s="27"/>
      <c r="APB146" s="27"/>
      <c r="APC146" s="27"/>
      <c r="APD146" s="27"/>
      <c r="APE146" s="27"/>
      <c r="APF146" s="27"/>
      <c r="APG146" s="27"/>
      <c r="APH146" s="27"/>
      <c r="API146" s="27"/>
      <c r="APJ146" s="27"/>
      <c r="APK146" s="27"/>
      <c r="APL146" s="27"/>
      <c r="APM146" s="27"/>
      <c r="APN146" s="27"/>
      <c r="APO146" s="27"/>
      <c r="APP146" s="27"/>
      <c r="APQ146" s="27"/>
      <c r="APR146" s="27"/>
      <c r="APS146" s="27"/>
      <c r="APT146" s="27"/>
      <c r="APU146" s="27"/>
      <c r="APV146" s="27"/>
      <c r="APW146" s="27"/>
      <c r="APX146" s="27"/>
      <c r="APY146" s="27"/>
      <c r="APZ146" s="27"/>
      <c r="AQA146" s="27"/>
      <c r="AQB146" s="27"/>
      <c r="AQC146" s="27"/>
      <c r="AQD146" s="27"/>
      <c r="AQE146" s="27"/>
      <c r="AQF146" s="27"/>
      <c r="AQG146" s="27"/>
      <c r="AQH146" s="27"/>
      <c r="AQI146" s="27"/>
      <c r="AQJ146" s="27"/>
      <c r="AQK146" s="27"/>
      <c r="AQL146" s="27"/>
      <c r="AQM146" s="27"/>
      <c r="AQN146" s="27"/>
      <c r="AQO146" s="27"/>
      <c r="AQP146" s="27"/>
      <c r="AQQ146" s="27"/>
      <c r="AQR146" s="27"/>
      <c r="AQS146" s="27"/>
      <c r="AQT146" s="27"/>
      <c r="AQU146" s="27"/>
      <c r="AQV146" s="27"/>
      <c r="AQW146" s="27"/>
      <c r="AQX146" s="27"/>
      <c r="AQY146" s="27"/>
      <c r="AQZ146" s="27"/>
      <c r="ARA146" s="27"/>
      <c r="ARB146" s="27"/>
      <c r="ARC146" s="27"/>
      <c r="ARD146" s="27"/>
      <c r="ARE146" s="27"/>
      <c r="ARF146" s="27"/>
      <c r="ARG146" s="27"/>
      <c r="ARH146" s="27"/>
      <c r="ARI146" s="27"/>
      <c r="ARJ146" s="27"/>
      <c r="ARK146" s="27"/>
      <c r="ARL146" s="27"/>
      <c r="ARM146" s="27"/>
      <c r="ARN146" s="27"/>
      <c r="ARO146" s="27"/>
      <c r="ARP146" s="27"/>
      <c r="ARQ146" s="27"/>
      <c r="ARR146" s="27"/>
      <c r="ARS146" s="27"/>
      <c r="ART146" s="27"/>
      <c r="ARU146" s="27"/>
      <c r="ARV146" s="27"/>
      <c r="ARW146" s="27"/>
      <c r="ARX146" s="27"/>
      <c r="ARY146" s="27"/>
      <c r="ARZ146" s="27"/>
      <c r="ASA146" s="27"/>
      <c r="ASB146" s="27"/>
      <c r="ASC146" s="27"/>
      <c r="ASD146" s="27"/>
      <c r="ASE146" s="27"/>
      <c r="ASF146" s="27"/>
      <c r="ASG146" s="27"/>
      <c r="ASH146" s="27"/>
      <c r="ASI146" s="27"/>
      <c r="ASJ146" s="27"/>
      <c r="ASK146" s="27"/>
      <c r="ASL146" s="27"/>
      <c r="ASM146" s="27"/>
      <c r="ASN146" s="27"/>
      <c r="ASO146" s="27"/>
      <c r="ASP146" s="27"/>
      <c r="ASQ146" s="27"/>
      <c r="ASR146" s="27"/>
      <c r="ASS146" s="27"/>
      <c r="AST146" s="27"/>
      <c r="ASU146" s="27"/>
      <c r="ASV146" s="27"/>
      <c r="ASW146" s="27"/>
      <c r="ASX146" s="27"/>
      <c r="ASY146" s="27"/>
      <c r="ASZ146" s="27"/>
      <c r="ATA146" s="27"/>
      <c r="ATB146" s="27"/>
      <c r="ATC146" s="27"/>
      <c r="ATD146" s="27"/>
      <c r="ATE146" s="27"/>
      <c r="ATF146" s="27"/>
      <c r="ATG146" s="27"/>
      <c r="ATH146" s="27"/>
      <c r="ATI146" s="27"/>
      <c r="ATJ146" s="27"/>
      <c r="ATK146" s="27"/>
      <c r="ATL146" s="27"/>
      <c r="ATM146" s="27"/>
      <c r="ATN146" s="27"/>
      <c r="ATO146" s="27"/>
      <c r="ATP146" s="27"/>
      <c r="ATQ146" s="27"/>
      <c r="ATR146" s="27"/>
      <c r="ATS146" s="27"/>
      <c r="ATT146" s="27"/>
      <c r="ATU146" s="27"/>
      <c r="ATV146" s="27"/>
      <c r="ATW146" s="27"/>
      <c r="ATX146" s="27"/>
      <c r="ATY146" s="27"/>
      <c r="ATZ146" s="27"/>
      <c r="AUA146" s="27"/>
      <c r="AUB146" s="27"/>
      <c r="AUC146" s="27"/>
      <c r="AUD146" s="27"/>
      <c r="AUE146" s="27"/>
      <c r="AUF146" s="27"/>
      <c r="AUG146" s="27"/>
      <c r="AUH146" s="27"/>
      <c r="AUI146" s="27"/>
      <c r="AUJ146" s="27"/>
      <c r="AUK146" s="27"/>
      <c r="AUL146" s="27"/>
      <c r="AUM146" s="27"/>
      <c r="AUN146" s="27"/>
      <c r="AUO146" s="27"/>
      <c r="AUP146" s="27"/>
      <c r="AUQ146" s="27"/>
      <c r="AUR146" s="27"/>
      <c r="AUS146" s="27"/>
      <c r="AUT146" s="27"/>
      <c r="AUU146" s="27"/>
      <c r="AUV146" s="27"/>
      <c r="AUW146" s="27"/>
      <c r="AUX146" s="27"/>
      <c r="AUY146" s="27"/>
      <c r="AUZ146" s="27"/>
      <c r="AVA146" s="27"/>
      <c r="AVB146" s="27"/>
      <c r="AVC146" s="27"/>
      <c r="AVD146" s="27"/>
      <c r="AVE146" s="27"/>
      <c r="AVF146" s="27"/>
      <c r="AVG146" s="27"/>
      <c r="AVH146" s="27"/>
      <c r="AVI146" s="27"/>
      <c r="AVJ146" s="27"/>
      <c r="AVK146" s="27"/>
      <c r="AVL146" s="27"/>
      <c r="AVM146" s="27"/>
      <c r="AVN146" s="27"/>
      <c r="AVO146" s="27"/>
      <c r="AVP146" s="27"/>
      <c r="AVQ146" s="27"/>
      <c r="AVR146" s="27"/>
      <c r="AVS146" s="27"/>
      <c r="AVT146" s="27"/>
      <c r="AVU146" s="27"/>
      <c r="AVV146" s="27"/>
      <c r="AVW146" s="27"/>
      <c r="AVX146" s="27"/>
      <c r="AVY146" s="27"/>
      <c r="AVZ146" s="27"/>
      <c r="AWA146" s="27"/>
      <c r="AWB146" s="27"/>
      <c r="AWC146" s="27"/>
      <c r="AWD146" s="27"/>
      <c r="AWE146" s="27"/>
      <c r="AWF146" s="27"/>
      <c r="AWG146" s="27"/>
      <c r="AWH146" s="27"/>
      <c r="AWI146" s="27"/>
      <c r="AWJ146" s="27"/>
      <c r="AWK146" s="27"/>
      <c r="AWL146" s="27"/>
      <c r="AWM146" s="27"/>
      <c r="AWN146" s="27"/>
      <c r="AWO146" s="27"/>
      <c r="AWP146" s="27"/>
      <c r="AWQ146" s="27"/>
      <c r="AWR146" s="27"/>
      <c r="AWS146" s="27"/>
      <c r="AWT146" s="27"/>
      <c r="AWU146" s="27"/>
      <c r="AWV146" s="27"/>
      <c r="AWW146" s="27"/>
      <c r="AWX146" s="27"/>
      <c r="AWY146" s="27"/>
      <c r="AWZ146" s="27"/>
      <c r="AXA146" s="27"/>
      <c r="AXB146" s="27"/>
      <c r="AXC146" s="27"/>
      <c r="AXD146" s="27"/>
      <c r="AXE146" s="27"/>
      <c r="AXF146" s="27"/>
      <c r="AXG146" s="27"/>
      <c r="AXH146" s="27"/>
      <c r="AXI146" s="27"/>
      <c r="AXJ146" s="27"/>
      <c r="AXK146" s="27"/>
      <c r="AXL146" s="27"/>
      <c r="AXM146" s="27"/>
      <c r="AXN146" s="27"/>
      <c r="AXO146" s="27"/>
      <c r="AXP146" s="27"/>
      <c r="AXQ146" s="27"/>
      <c r="AXR146" s="27"/>
      <c r="AXS146" s="27"/>
      <c r="AXT146" s="27"/>
      <c r="AXU146" s="27"/>
      <c r="AXV146" s="27"/>
      <c r="AXW146" s="27"/>
      <c r="AXX146" s="27"/>
      <c r="AXY146" s="27"/>
      <c r="AXZ146" s="27"/>
      <c r="AYA146" s="27"/>
      <c r="AYB146" s="27"/>
      <c r="AYC146" s="27"/>
      <c r="AYD146" s="27"/>
      <c r="AYE146" s="27"/>
      <c r="AYF146" s="27"/>
      <c r="AYG146" s="27"/>
      <c r="AYH146" s="27"/>
      <c r="AYI146" s="27"/>
      <c r="AYJ146" s="27"/>
      <c r="AYK146" s="27"/>
      <c r="AYL146" s="27"/>
      <c r="AYM146" s="27"/>
      <c r="AYN146" s="27"/>
      <c r="AYO146" s="27"/>
      <c r="AYP146" s="27"/>
      <c r="AYQ146" s="27"/>
      <c r="AYR146" s="27"/>
      <c r="AYS146" s="27"/>
      <c r="AYT146" s="27"/>
      <c r="AYU146" s="27"/>
      <c r="AYV146" s="27"/>
      <c r="AYW146" s="27"/>
      <c r="AYX146" s="27"/>
      <c r="AYY146" s="27"/>
      <c r="AYZ146" s="27"/>
      <c r="AZA146" s="27"/>
      <c r="AZB146" s="27"/>
      <c r="AZC146" s="27"/>
      <c r="AZD146" s="27"/>
      <c r="AZE146" s="27"/>
      <c r="AZF146" s="27"/>
      <c r="AZG146" s="27"/>
      <c r="AZH146" s="27"/>
      <c r="AZI146" s="27"/>
      <c r="AZJ146" s="27"/>
      <c r="AZK146" s="27"/>
      <c r="AZL146" s="27"/>
      <c r="AZM146" s="27"/>
      <c r="AZN146" s="27"/>
      <c r="AZO146" s="27"/>
      <c r="AZP146" s="27"/>
      <c r="AZQ146" s="27"/>
      <c r="AZR146" s="27"/>
      <c r="AZS146" s="27"/>
      <c r="AZT146" s="27"/>
      <c r="AZU146" s="27"/>
      <c r="AZV146" s="27"/>
      <c r="AZW146" s="27"/>
      <c r="AZX146" s="27"/>
      <c r="AZY146" s="27"/>
      <c r="AZZ146" s="27"/>
      <c r="BAA146" s="27"/>
      <c r="BAB146" s="27"/>
      <c r="BAC146" s="27"/>
      <c r="BAD146" s="27"/>
      <c r="BAE146" s="27"/>
      <c r="BAF146" s="27"/>
      <c r="BAG146" s="27"/>
      <c r="BAH146" s="27"/>
      <c r="BAI146" s="27"/>
      <c r="BAJ146" s="27"/>
      <c r="BAK146" s="27"/>
      <c r="BAL146" s="27"/>
      <c r="BAM146" s="27"/>
      <c r="BAN146" s="27"/>
      <c r="BAO146" s="27"/>
      <c r="BAP146" s="27"/>
      <c r="BAQ146" s="27"/>
      <c r="BAR146" s="27"/>
      <c r="BAS146" s="27"/>
      <c r="BAT146" s="27"/>
      <c r="BAU146" s="27"/>
      <c r="BAV146" s="27"/>
      <c r="BAW146" s="27"/>
      <c r="BAX146" s="27"/>
      <c r="BAY146" s="27"/>
      <c r="BAZ146" s="27"/>
      <c r="BBA146" s="27"/>
      <c r="BBB146" s="27"/>
      <c r="BBC146" s="27"/>
      <c r="BBD146" s="27"/>
      <c r="BBE146" s="27"/>
      <c r="BBF146" s="27"/>
      <c r="BBG146" s="27"/>
      <c r="BBH146" s="27"/>
      <c r="BBI146" s="27"/>
      <c r="BBJ146" s="27"/>
      <c r="BBK146" s="27"/>
      <c r="BBL146" s="27"/>
      <c r="BBM146" s="27"/>
      <c r="BBN146" s="27"/>
      <c r="BBO146" s="27"/>
      <c r="BBP146" s="27"/>
      <c r="BBQ146" s="27"/>
      <c r="BBR146" s="27"/>
      <c r="BBS146" s="27"/>
      <c r="BBT146" s="27"/>
      <c r="BBU146" s="27"/>
      <c r="BBV146" s="27"/>
      <c r="BBW146" s="27"/>
      <c r="BBX146" s="27"/>
      <c r="BBY146" s="27"/>
      <c r="BBZ146" s="27"/>
      <c r="BCA146" s="27"/>
      <c r="BCB146" s="27"/>
      <c r="BCC146" s="27"/>
      <c r="BCD146" s="27"/>
      <c r="BCE146" s="27"/>
      <c r="BCF146" s="27"/>
      <c r="BCG146" s="27"/>
      <c r="BCH146" s="27"/>
      <c r="BCI146" s="27"/>
      <c r="BCJ146" s="27"/>
      <c r="BCK146" s="27"/>
      <c r="BCL146" s="27"/>
      <c r="BCM146" s="27"/>
      <c r="BCN146" s="27"/>
      <c r="BCO146" s="27"/>
      <c r="BCP146" s="27"/>
      <c r="BCQ146" s="27"/>
      <c r="BCR146" s="27"/>
      <c r="BCS146" s="27"/>
      <c r="BCT146" s="27"/>
      <c r="BCU146" s="27"/>
      <c r="BCV146" s="27"/>
      <c r="BCW146" s="27"/>
      <c r="BCX146" s="27"/>
      <c r="BCY146" s="27"/>
      <c r="BCZ146" s="27"/>
      <c r="BDA146" s="27"/>
      <c r="BDB146" s="27"/>
      <c r="BDC146" s="27"/>
      <c r="BDD146" s="27"/>
      <c r="BDE146" s="27"/>
      <c r="BDF146" s="27"/>
      <c r="BDG146" s="27"/>
      <c r="BDH146" s="27"/>
      <c r="BDI146" s="27"/>
      <c r="BDJ146" s="27"/>
      <c r="BDK146" s="27"/>
      <c r="BDL146" s="27"/>
      <c r="BDM146" s="27"/>
      <c r="BDN146" s="27"/>
      <c r="BDO146" s="27"/>
      <c r="BDP146" s="27"/>
      <c r="BDQ146" s="27"/>
      <c r="BDR146" s="27"/>
      <c r="BDS146" s="27"/>
      <c r="BDT146" s="27"/>
      <c r="BDU146" s="27"/>
      <c r="BDV146" s="27"/>
      <c r="BDW146" s="27"/>
      <c r="BDX146" s="27"/>
      <c r="BDY146" s="27"/>
      <c r="BDZ146" s="27"/>
      <c r="BEA146" s="27"/>
      <c r="BEB146" s="27"/>
      <c r="BEC146" s="27"/>
      <c r="BED146" s="27"/>
      <c r="BEE146" s="27"/>
      <c r="BEF146" s="27"/>
      <c r="BEG146" s="27"/>
      <c r="BEH146" s="27"/>
      <c r="BEI146" s="27"/>
      <c r="BEJ146" s="27"/>
      <c r="BEK146" s="27"/>
      <c r="BEL146" s="27"/>
      <c r="BEM146" s="27"/>
      <c r="BEN146" s="27"/>
      <c r="BEO146" s="27"/>
      <c r="BEP146" s="27"/>
      <c r="BEQ146" s="27"/>
      <c r="BER146" s="27"/>
      <c r="BES146" s="27"/>
      <c r="BET146" s="27"/>
      <c r="BEU146" s="27"/>
      <c r="BEV146" s="27"/>
      <c r="BEW146" s="27"/>
      <c r="BEX146" s="27"/>
      <c r="BEY146" s="27"/>
      <c r="BEZ146" s="27"/>
      <c r="BFA146" s="27"/>
      <c r="BFB146" s="27"/>
      <c r="BFC146" s="27"/>
      <c r="BFD146" s="27"/>
      <c r="BFE146" s="27"/>
      <c r="BFF146" s="27"/>
      <c r="BFG146" s="27"/>
      <c r="BFH146" s="27"/>
      <c r="BFI146" s="27"/>
      <c r="BFJ146" s="27"/>
      <c r="BFK146" s="27"/>
      <c r="BFL146" s="27"/>
      <c r="BFM146" s="27"/>
      <c r="BFN146" s="27"/>
      <c r="BFO146" s="27"/>
      <c r="BFP146" s="27"/>
      <c r="BFQ146" s="27"/>
      <c r="BFR146" s="27"/>
      <c r="BFS146" s="27"/>
      <c r="BFT146" s="27"/>
      <c r="BFU146" s="27"/>
      <c r="BFV146" s="27"/>
      <c r="BFW146" s="27"/>
      <c r="BFX146" s="27"/>
      <c r="BFY146" s="27"/>
      <c r="BFZ146" s="27"/>
      <c r="BGA146" s="27"/>
      <c r="BGB146" s="27"/>
      <c r="BGC146" s="27"/>
      <c r="BGD146" s="27"/>
      <c r="BGE146" s="27"/>
      <c r="BGF146" s="27"/>
      <c r="BGG146" s="27"/>
      <c r="BGH146" s="27"/>
      <c r="BGI146" s="27"/>
      <c r="BGJ146" s="27"/>
      <c r="BGK146" s="27"/>
      <c r="BGL146" s="27"/>
      <c r="BGM146" s="27"/>
      <c r="BGN146" s="27"/>
      <c r="BGO146" s="27"/>
      <c r="BGP146" s="27"/>
      <c r="BGQ146" s="27"/>
      <c r="BGR146" s="27"/>
      <c r="BGS146" s="27"/>
      <c r="BGT146" s="27"/>
      <c r="BGU146" s="27"/>
      <c r="BGV146" s="27"/>
      <c r="BGW146" s="27"/>
      <c r="BGX146" s="27"/>
      <c r="BGY146" s="27"/>
      <c r="BGZ146" s="27"/>
      <c r="BHA146" s="27"/>
      <c r="BHB146" s="27"/>
      <c r="BHC146" s="27"/>
      <c r="BHD146" s="27"/>
      <c r="BHE146" s="27"/>
      <c r="BHF146" s="27"/>
      <c r="BHG146" s="27"/>
      <c r="BHH146" s="27"/>
      <c r="BHI146" s="27"/>
      <c r="BHJ146" s="27"/>
      <c r="BHK146" s="27"/>
      <c r="BHL146" s="27"/>
      <c r="BHM146" s="27"/>
      <c r="BHN146" s="27"/>
      <c r="BHO146" s="27"/>
      <c r="BHP146" s="27"/>
      <c r="BHQ146" s="27"/>
      <c r="BHR146" s="27"/>
      <c r="BHS146" s="27"/>
      <c r="BHT146" s="27"/>
      <c r="BHU146" s="27"/>
      <c r="BHV146" s="27"/>
      <c r="BHW146" s="27"/>
      <c r="BHX146" s="27"/>
      <c r="BHY146" s="27"/>
      <c r="BHZ146" s="27"/>
      <c r="BIA146" s="27"/>
      <c r="BIB146" s="27"/>
      <c r="BIC146" s="27"/>
      <c r="BID146" s="27"/>
      <c r="BIE146" s="27"/>
      <c r="BIF146" s="27"/>
      <c r="BIG146" s="27"/>
      <c r="BIH146" s="27"/>
      <c r="BII146" s="27"/>
      <c r="BIJ146" s="27"/>
      <c r="BIK146" s="27"/>
      <c r="BIL146" s="27"/>
      <c r="BIM146" s="27"/>
      <c r="BIN146" s="27"/>
      <c r="BIO146" s="27"/>
      <c r="BIP146" s="27"/>
      <c r="BIQ146" s="27"/>
      <c r="BIR146" s="27"/>
      <c r="BIS146" s="27"/>
      <c r="BIT146" s="27"/>
      <c r="BIU146" s="27"/>
      <c r="BIV146" s="27"/>
      <c r="BIW146" s="27"/>
      <c r="BIX146" s="27"/>
      <c r="BIY146" s="27"/>
      <c r="BIZ146" s="27"/>
      <c r="BJA146" s="27"/>
      <c r="BJB146" s="27"/>
      <c r="BJC146" s="27"/>
      <c r="BJD146" s="27"/>
      <c r="BJE146" s="27"/>
      <c r="BJF146" s="27"/>
      <c r="BJG146" s="27"/>
      <c r="BJH146" s="27"/>
      <c r="BJI146" s="27"/>
      <c r="BJJ146" s="27"/>
      <c r="BJK146" s="27"/>
      <c r="BJL146" s="27"/>
      <c r="BJM146" s="27"/>
      <c r="BJN146" s="27"/>
      <c r="BJO146" s="27"/>
      <c r="BJP146" s="27"/>
      <c r="BJQ146" s="27"/>
      <c r="BJR146" s="27"/>
      <c r="BJS146" s="27"/>
      <c r="BJT146" s="27"/>
      <c r="BJU146" s="27"/>
      <c r="BJV146" s="27"/>
      <c r="BJW146" s="27"/>
      <c r="BJX146" s="27"/>
      <c r="BJY146" s="27"/>
      <c r="BJZ146" s="27"/>
      <c r="BKA146" s="27"/>
      <c r="BKB146" s="27"/>
      <c r="BKC146" s="27"/>
      <c r="BKD146" s="27"/>
      <c r="BKE146" s="27"/>
      <c r="BKF146" s="27"/>
      <c r="BKG146" s="27"/>
      <c r="BKH146" s="27"/>
      <c r="BKI146" s="27"/>
      <c r="BKJ146" s="27"/>
      <c r="BKK146" s="27"/>
      <c r="BKL146" s="27"/>
      <c r="BKM146" s="27"/>
      <c r="BKN146" s="27"/>
      <c r="BKO146" s="27"/>
      <c r="BKP146" s="27"/>
      <c r="BKQ146" s="27"/>
      <c r="BKR146" s="27"/>
      <c r="BKS146" s="27"/>
      <c r="BKT146" s="27"/>
      <c r="BKU146" s="27"/>
      <c r="BKV146" s="27"/>
      <c r="BKW146" s="27"/>
      <c r="BKX146" s="27"/>
      <c r="BKY146" s="27"/>
      <c r="BKZ146" s="27"/>
      <c r="BLA146" s="27"/>
      <c r="BLB146" s="27"/>
      <c r="BLC146" s="27"/>
      <c r="BLD146" s="27"/>
      <c r="BLE146" s="27"/>
      <c r="BLF146" s="27"/>
      <c r="BLG146" s="27"/>
      <c r="BLH146" s="27"/>
      <c r="BLI146" s="27"/>
      <c r="BLJ146" s="27"/>
      <c r="BLK146" s="27"/>
      <c r="BLL146" s="27"/>
      <c r="BLM146" s="27"/>
      <c r="BLN146" s="27"/>
      <c r="BLO146" s="27"/>
      <c r="BLP146" s="27"/>
      <c r="BLQ146" s="27"/>
      <c r="BLR146" s="27"/>
      <c r="BLS146" s="27"/>
      <c r="BLT146" s="27"/>
      <c r="BLU146" s="27"/>
      <c r="BLV146" s="27"/>
      <c r="BLW146" s="27"/>
      <c r="BLX146" s="27"/>
      <c r="BLY146" s="27"/>
      <c r="BLZ146" s="27"/>
      <c r="BMA146" s="27"/>
      <c r="BMB146" s="27"/>
      <c r="BMC146" s="27"/>
      <c r="BMD146" s="27"/>
      <c r="BME146" s="27"/>
      <c r="BMF146" s="27"/>
      <c r="BMG146" s="27"/>
      <c r="BMH146" s="27"/>
      <c r="BMI146" s="27"/>
      <c r="BMJ146" s="27"/>
      <c r="BMK146" s="27"/>
      <c r="BML146" s="27"/>
      <c r="BMM146" s="27"/>
      <c r="BMN146" s="27"/>
      <c r="BMO146" s="27"/>
      <c r="BMP146" s="27"/>
      <c r="BMQ146" s="27"/>
      <c r="BMR146" s="27"/>
      <c r="BMS146" s="27"/>
      <c r="BMT146" s="27"/>
      <c r="BMU146" s="27"/>
      <c r="BMV146" s="27"/>
      <c r="BMW146" s="27"/>
      <c r="BMX146" s="27"/>
      <c r="BMY146" s="27"/>
      <c r="BMZ146" s="27"/>
      <c r="BNA146" s="27"/>
      <c r="BNB146" s="27"/>
      <c r="BNC146" s="27"/>
      <c r="BND146" s="27"/>
      <c r="BNE146" s="27"/>
      <c r="BNF146" s="27"/>
      <c r="BNG146" s="27"/>
      <c r="BNH146" s="27"/>
      <c r="BNI146" s="27"/>
      <c r="BNJ146" s="27"/>
      <c r="BNK146" s="27"/>
      <c r="BNL146" s="27"/>
      <c r="BNM146" s="27"/>
      <c r="BNN146" s="27"/>
      <c r="BNO146" s="27"/>
      <c r="BNP146" s="27"/>
      <c r="BNQ146" s="27"/>
      <c r="BNR146" s="27"/>
      <c r="BNS146" s="27"/>
      <c r="BNT146" s="27"/>
      <c r="BNU146" s="27"/>
      <c r="BNV146" s="27"/>
      <c r="BNW146" s="27"/>
      <c r="BNX146" s="27"/>
      <c r="BNY146" s="27"/>
      <c r="BNZ146" s="27"/>
      <c r="BOA146" s="27"/>
      <c r="BOB146" s="27"/>
      <c r="BOC146" s="27"/>
      <c r="BOD146" s="27"/>
      <c r="BOE146" s="27"/>
      <c r="BOF146" s="27"/>
      <c r="BOG146" s="27"/>
      <c r="BOH146" s="27"/>
      <c r="BOI146" s="27"/>
      <c r="BOJ146" s="27"/>
      <c r="BOK146" s="27"/>
      <c r="BOL146" s="27"/>
      <c r="BOM146" s="27"/>
      <c r="BON146" s="27"/>
      <c r="BOO146" s="27"/>
      <c r="BOP146" s="27"/>
      <c r="BOQ146" s="27"/>
      <c r="BOR146" s="27"/>
      <c r="BOS146" s="27"/>
      <c r="BOT146" s="27"/>
      <c r="BOU146" s="27"/>
      <c r="BOV146" s="27"/>
      <c r="BOW146" s="27"/>
      <c r="BOX146" s="27"/>
      <c r="BOY146" s="27"/>
      <c r="BOZ146" s="27"/>
      <c r="BPA146" s="27"/>
      <c r="BPB146" s="27"/>
      <c r="BPC146" s="27"/>
      <c r="BPD146" s="27"/>
      <c r="BPE146" s="27"/>
      <c r="BPF146" s="27"/>
      <c r="BPG146" s="27"/>
      <c r="BPH146" s="27"/>
      <c r="BPI146" s="27"/>
      <c r="BPJ146" s="27"/>
      <c r="BPK146" s="27"/>
      <c r="BPL146" s="27"/>
      <c r="BPM146" s="27"/>
      <c r="BPN146" s="27"/>
      <c r="BPO146" s="27"/>
      <c r="BPP146" s="27"/>
      <c r="BPQ146" s="27"/>
      <c r="BPR146" s="27"/>
      <c r="BPS146" s="27"/>
      <c r="BPT146" s="27"/>
      <c r="BPU146" s="27"/>
      <c r="BPV146" s="27"/>
      <c r="BPW146" s="27"/>
      <c r="BPX146" s="27"/>
      <c r="BPY146" s="27"/>
      <c r="BPZ146" s="27"/>
      <c r="BQA146" s="27"/>
      <c r="BQB146" s="27"/>
      <c r="BQC146" s="27"/>
      <c r="BQD146" s="27"/>
      <c r="BQE146" s="27"/>
      <c r="BQF146" s="27"/>
      <c r="BQG146" s="27"/>
      <c r="BQH146" s="27"/>
      <c r="BQI146" s="27"/>
      <c r="BQJ146" s="27"/>
      <c r="BQK146" s="27"/>
      <c r="BQL146" s="27"/>
      <c r="BQM146" s="27"/>
      <c r="BQN146" s="27"/>
      <c r="BQO146" s="27"/>
      <c r="BQP146" s="27"/>
      <c r="BQQ146" s="27"/>
      <c r="BQR146" s="27"/>
      <c r="BQS146" s="27"/>
      <c r="BQT146" s="27"/>
      <c r="BQU146" s="27"/>
      <c r="BQV146" s="27"/>
      <c r="BQW146" s="27"/>
      <c r="BQX146" s="27"/>
      <c r="BQY146" s="27"/>
      <c r="BQZ146" s="27"/>
      <c r="BRA146" s="27"/>
      <c r="BRB146" s="27"/>
      <c r="BRC146" s="27"/>
      <c r="BRD146" s="27"/>
      <c r="BRE146" s="27"/>
      <c r="BRF146" s="27"/>
      <c r="BRG146" s="27"/>
      <c r="BRH146" s="27"/>
      <c r="BRI146" s="27"/>
      <c r="BRJ146" s="27"/>
      <c r="BRK146" s="27"/>
      <c r="BRL146" s="27"/>
      <c r="BRM146" s="27"/>
      <c r="BRN146" s="27"/>
      <c r="BRO146" s="27"/>
      <c r="BRP146" s="27"/>
      <c r="BRQ146" s="27"/>
      <c r="BRR146" s="27"/>
      <c r="BRS146" s="27"/>
      <c r="BRT146" s="27"/>
      <c r="BRU146" s="27"/>
      <c r="BRV146" s="27"/>
      <c r="BRW146" s="27"/>
      <c r="BRX146" s="27"/>
      <c r="BRY146" s="27"/>
      <c r="BRZ146" s="27"/>
      <c r="BSA146" s="27"/>
      <c r="BSB146" s="27"/>
      <c r="BSC146" s="27"/>
      <c r="BSD146" s="27"/>
      <c r="BSE146" s="27"/>
      <c r="BSF146" s="27"/>
      <c r="BSG146" s="27"/>
      <c r="BSH146" s="27"/>
      <c r="BSI146" s="27"/>
      <c r="BSJ146" s="27"/>
      <c r="BSK146" s="27"/>
      <c r="BSL146" s="27"/>
      <c r="BSM146" s="27"/>
      <c r="BSN146" s="27"/>
      <c r="BSO146" s="27"/>
      <c r="BSP146" s="27"/>
      <c r="BSQ146" s="27"/>
      <c r="BSR146" s="27"/>
      <c r="BSS146" s="27"/>
      <c r="BST146" s="27"/>
      <c r="BSU146" s="27"/>
      <c r="BSV146" s="27"/>
      <c r="BSW146" s="27"/>
      <c r="BSX146" s="27"/>
      <c r="BSY146" s="27"/>
      <c r="BSZ146" s="27"/>
      <c r="BTA146" s="27"/>
      <c r="BTB146" s="27"/>
      <c r="BTC146" s="27"/>
      <c r="BTD146" s="27"/>
      <c r="BTE146" s="27"/>
      <c r="BTF146" s="27"/>
      <c r="BTG146" s="27"/>
      <c r="BTH146" s="27"/>
      <c r="BTI146" s="27"/>
      <c r="BTJ146" s="27"/>
      <c r="BTK146" s="27"/>
      <c r="BTL146" s="27"/>
      <c r="BTM146" s="27"/>
      <c r="BTN146" s="27"/>
      <c r="BTO146" s="27"/>
      <c r="BTP146" s="27"/>
      <c r="BTQ146" s="27"/>
      <c r="BTR146" s="27"/>
      <c r="BTS146" s="27"/>
      <c r="BTT146" s="27"/>
      <c r="BTU146" s="27"/>
      <c r="BTV146" s="27"/>
      <c r="BTW146" s="27"/>
      <c r="BTX146" s="27"/>
      <c r="BTY146" s="27"/>
      <c r="BTZ146" s="27"/>
      <c r="BUA146" s="27"/>
      <c r="BUB146" s="27"/>
      <c r="BUC146" s="27"/>
      <c r="BUD146" s="27"/>
      <c r="BUE146" s="27"/>
      <c r="BUF146" s="27"/>
      <c r="BUG146" s="27"/>
      <c r="BUH146" s="27"/>
      <c r="BUI146" s="27"/>
      <c r="BUJ146" s="27"/>
      <c r="BUK146" s="27"/>
      <c r="BUL146" s="27"/>
      <c r="BUM146" s="27"/>
      <c r="BUN146" s="27"/>
      <c r="BUO146" s="27"/>
      <c r="BUP146" s="27"/>
      <c r="BUQ146" s="27"/>
      <c r="BUR146" s="27"/>
      <c r="BUS146" s="27"/>
      <c r="BUT146" s="27"/>
      <c r="BUU146" s="27"/>
      <c r="BUV146" s="27"/>
      <c r="BUW146" s="27"/>
      <c r="BUX146" s="27"/>
      <c r="BUY146" s="27"/>
      <c r="BUZ146" s="27"/>
      <c r="BVA146" s="27"/>
      <c r="BVB146" s="27"/>
      <c r="BVC146" s="27"/>
      <c r="BVD146" s="27"/>
      <c r="BVE146" s="27"/>
      <c r="BVF146" s="27"/>
      <c r="BVG146" s="27"/>
      <c r="BVH146" s="27"/>
      <c r="BVI146" s="27"/>
      <c r="BVJ146" s="27"/>
      <c r="BVK146" s="27"/>
      <c r="BVL146" s="27"/>
      <c r="BVM146" s="27"/>
      <c r="BVN146" s="27"/>
      <c r="BVO146" s="27"/>
      <c r="BVP146" s="27"/>
      <c r="BVQ146" s="27"/>
      <c r="BVR146" s="27"/>
      <c r="BVS146" s="27"/>
      <c r="BVT146" s="27"/>
      <c r="BVU146" s="27"/>
      <c r="BVV146" s="27"/>
      <c r="BVW146" s="27"/>
      <c r="BVX146" s="27"/>
      <c r="BVY146" s="27"/>
      <c r="BVZ146" s="27"/>
      <c r="BWA146" s="27"/>
      <c r="BWB146" s="27"/>
      <c r="BWC146" s="27"/>
      <c r="BWD146" s="27"/>
      <c r="BWE146" s="27"/>
      <c r="BWF146" s="27"/>
      <c r="BWG146" s="27"/>
      <c r="BWH146" s="27"/>
      <c r="BWI146" s="27"/>
      <c r="BWJ146" s="27"/>
      <c r="BWK146" s="27"/>
      <c r="BWL146" s="27"/>
      <c r="BWM146" s="27"/>
      <c r="BWN146" s="27"/>
      <c r="BWO146" s="27"/>
      <c r="BWP146" s="27"/>
      <c r="BWQ146" s="27"/>
      <c r="BWR146" s="27"/>
      <c r="BWS146" s="27"/>
      <c r="BWT146" s="27"/>
      <c r="BWU146" s="27"/>
      <c r="BWV146" s="27"/>
      <c r="BWW146" s="27"/>
      <c r="BWX146" s="27"/>
      <c r="BWY146" s="27"/>
      <c r="BWZ146" s="27"/>
      <c r="BXA146" s="27"/>
      <c r="BXB146" s="27"/>
      <c r="BXC146" s="27"/>
      <c r="BXD146" s="27"/>
      <c r="BXE146" s="27"/>
      <c r="BXF146" s="27"/>
      <c r="BXG146" s="27"/>
      <c r="BXH146" s="27"/>
      <c r="BXI146" s="27"/>
      <c r="BXJ146" s="27"/>
      <c r="BXK146" s="27"/>
      <c r="BXL146" s="27"/>
      <c r="BXM146" s="27"/>
      <c r="BXN146" s="27"/>
      <c r="BXO146" s="27"/>
      <c r="BXP146" s="27"/>
      <c r="BXQ146" s="27"/>
      <c r="BXR146" s="27"/>
      <c r="BXS146" s="27"/>
      <c r="BXT146" s="27"/>
      <c r="BXU146" s="27"/>
      <c r="BXV146" s="27"/>
      <c r="BXW146" s="27"/>
      <c r="BXX146" s="27"/>
      <c r="BXY146" s="27"/>
      <c r="BXZ146" s="27"/>
      <c r="BYA146" s="27"/>
      <c r="BYB146" s="27"/>
      <c r="BYC146" s="27"/>
      <c r="BYD146" s="27"/>
      <c r="BYE146" s="27"/>
      <c r="BYF146" s="27"/>
      <c r="BYG146" s="27"/>
      <c r="BYH146" s="27"/>
      <c r="BYI146" s="27"/>
      <c r="BYJ146" s="27"/>
      <c r="BYK146" s="27"/>
      <c r="BYL146" s="27"/>
      <c r="BYM146" s="27"/>
      <c r="BYN146" s="27"/>
      <c r="BYO146" s="27"/>
      <c r="BYP146" s="27"/>
      <c r="BYQ146" s="27"/>
      <c r="BYR146" s="27"/>
      <c r="BYS146" s="27"/>
      <c r="BYT146" s="27"/>
      <c r="BYU146" s="27"/>
      <c r="BYV146" s="27"/>
      <c r="BYW146" s="27"/>
      <c r="BYX146" s="27"/>
      <c r="BYY146" s="27"/>
      <c r="BYZ146" s="27"/>
      <c r="BZA146" s="27"/>
      <c r="BZB146" s="27"/>
      <c r="BZC146" s="27"/>
      <c r="BZD146" s="27"/>
      <c r="BZE146" s="27"/>
      <c r="BZF146" s="27"/>
      <c r="BZG146" s="27"/>
      <c r="BZH146" s="27"/>
      <c r="BZI146" s="27"/>
      <c r="BZJ146" s="27"/>
      <c r="BZK146" s="27"/>
      <c r="BZL146" s="27"/>
      <c r="BZM146" s="27"/>
      <c r="BZN146" s="27"/>
      <c r="BZO146" s="27"/>
      <c r="BZP146" s="27"/>
      <c r="BZQ146" s="27"/>
      <c r="BZR146" s="27"/>
      <c r="BZS146" s="27"/>
      <c r="BZT146" s="27"/>
      <c r="BZU146" s="27"/>
      <c r="BZV146" s="27"/>
      <c r="BZW146" s="27"/>
      <c r="BZX146" s="27"/>
      <c r="BZY146" s="27"/>
      <c r="BZZ146" s="27"/>
      <c r="CAA146" s="27"/>
      <c r="CAB146" s="27"/>
      <c r="CAC146" s="27"/>
      <c r="CAD146" s="27"/>
      <c r="CAE146" s="27"/>
      <c r="CAF146" s="27"/>
      <c r="CAG146" s="27"/>
      <c r="CAH146" s="27"/>
      <c r="CAI146" s="27"/>
      <c r="CAJ146" s="27"/>
      <c r="CAK146" s="27"/>
      <c r="CAL146" s="27"/>
      <c r="CAM146" s="27"/>
      <c r="CAN146" s="27"/>
      <c r="CAO146" s="27"/>
      <c r="CAP146" s="27"/>
      <c r="CAQ146" s="27"/>
      <c r="CAR146" s="27"/>
      <c r="CAS146" s="27"/>
      <c r="CAT146" s="27"/>
      <c r="CAU146" s="27"/>
      <c r="CAV146" s="27"/>
      <c r="CAW146" s="27"/>
      <c r="CAX146" s="27"/>
      <c r="CAY146" s="27"/>
      <c r="CAZ146" s="27"/>
      <c r="CBA146" s="27"/>
      <c r="CBB146" s="27"/>
      <c r="CBC146" s="27"/>
      <c r="CBD146" s="27"/>
      <c r="CBE146" s="27"/>
      <c r="CBF146" s="27"/>
      <c r="CBG146" s="27"/>
      <c r="CBH146" s="27"/>
      <c r="CBI146" s="27"/>
      <c r="CBJ146" s="27"/>
      <c r="CBK146" s="27"/>
      <c r="CBL146" s="27"/>
      <c r="CBM146" s="27"/>
      <c r="CBN146" s="27"/>
      <c r="CBO146" s="27"/>
      <c r="CBP146" s="27"/>
      <c r="CBQ146" s="27"/>
      <c r="CBR146" s="27"/>
      <c r="CBS146" s="27"/>
      <c r="CBT146" s="27"/>
      <c r="CBU146" s="27"/>
      <c r="CBV146" s="27"/>
      <c r="CBW146" s="27"/>
      <c r="CBX146" s="27"/>
      <c r="CBY146" s="27"/>
      <c r="CBZ146" s="27"/>
      <c r="CCA146" s="27"/>
      <c r="CCB146" s="27"/>
      <c r="CCC146" s="27"/>
      <c r="CCD146" s="27"/>
      <c r="CCE146" s="27"/>
      <c r="CCF146" s="27"/>
      <c r="CCG146" s="27"/>
      <c r="CCH146" s="27"/>
      <c r="CCI146" s="27"/>
      <c r="CCJ146" s="27"/>
      <c r="CCK146" s="27"/>
      <c r="CCL146" s="27"/>
      <c r="CCM146" s="27"/>
      <c r="CCN146" s="27"/>
      <c r="CCO146" s="27"/>
      <c r="CCP146" s="27"/>
      <c r="CCQ146" s="27"/>
      <c r="CCR146" s="27"/>
      <c r="CCS146" s="27"/>
      <c r="CCT146" s="27"/>
      <c r="CCU146" s="27"/>
      <c r="CCV146" s="27"/>
      <c r="CCW146" s="27"/>
      <c r="CCX146" s="27"/>
      <c r="CCY146" s="27"/>
      <c r="CCZ146" s="27"/>
      <c r="CDA146" s="27"/>
      <c r="CDB146" s="27"/>
      <c r="CDC146" s="27"/>
      <c r="CDD146" s="27"/>
      <c r="CDE146" s="27"/>
      <c r="CDF146" s="27"/>
      <c r="CDG146" s="27"/>
      <c r="CDH146" s="27"/>
      <c r="CDI146" s="27"/>
      <c r="CDJ146" s="27"/>
      <c r="CDK146" s="27"/>
      <c r="CDL146" s="27"/>
      <c r="CDM146" s="27"/>
      <c r="CDN146" s="27"/>
      <c r="CDO146" s="27"/>
      <c r="CDP146" s="27"/>
      <c r="CDQ146" s="27"/>
      <c r="CDR146" s="27"/>
      <c r="CDS146" s="27"/>
      <c r="CDT146" s="27"/>
      <c r="CDU146" s="27"/>
      <c r="CDV146" s="27"/>
      <c r="CDW146" s="27"/>
      <c r="CDX146" s="27"/>
      <c r="CDY146" s="27"/>
      <c r="CDZ146" s="27"/>
      <c r="CEA146" s="27"/>
      <c r="CEB146" s="27"/>
      <c r="CEC146" s="27"/>
      <c r="CED146" s="27"/>
      <c r="CEE146" s="27"/>
      <c r="CEF146" s="27"/>
      <c r="CEG146" s="27"/>
      <c r="CEH146" s="27"/>
      <c r="CEI146" s="27"/>
      <c r="CEJ146" s="27"/>
      <c r="CEK146" s="27"/>
      <c r="CEL146" s="27"/>
      <c r="CEM146" s="27"/>
      <c r="CEN146" s="27"/>
      <c r="CEO146" s="27"/>
      <c r="CEP146" s="27"/>
      <c r="CEQ146" s="27"/>
      <c r="CER146" s="27"/>
      <c r="CES146" s="27"/>
      <c r="CET146" s="27"/>
      <c r="CEU146" s="27"/>
      <c r="CEV146" s="27"/>
      <c r="CEW146" s="27"/>
      <c r="CEX146" s="27"/>
      <c r="CEY146" s="27"/>
      <c r="CEZ146" s="27"/>
      <c r="CFA146" s="27"/>
      <c r="CFB146" s="27"/>
      <c r="CFC146" s="27"/>
      <c r="CFD146" s="27"/>
      <c r="CFE146" s="27"/>
      <c r="CFF146" s="27"/>
      <c r="CFG146" s="27"/>
      <c r="CFH146" s="27"/>
      <c r="CFI146" s="27"/>
      <c r="CFJ146" s="27"/>
      <c r="CFK146" s="27"/>
      <c r="CFL146" s="27"/>
      <c r="CFM146" s="27"/>
      <c r="CFN146" s="27"/>
      <c r="CFO146" s="27"/>
      <c r="CFP146" s="27"/>
      <c r="CFQ146" s="27"/>
      <c r="CFR146" s="27"/>
      <c r="CFS146" s="27"/>
      <c r="CFT146" s="27"/>
      <c r="CFU146" s="27"/>
      <c r="CFV146" s="27"/>
      <c r="CFW146" s="27"/>
      <c r="CFX146" s="27"/>
      <c r="CFY146" s="27"/>
      <c r="CFZ146" s="27"/>
      <c r="CGA146" s="27"/>
      <c r="CGB146" s="27"/>
      <c r="CGC146" s="27"/>
      <c r="CGD146" s="27"/>
      <c r="CGE146" s="27"/>
      <c r="CGF146" s="27"/>
      <c r="CGG146" s="27"/>
      <c r="CGH146" s="27"/>
      <c r="CGI146" s="27"/>
      <c r="CGJ146" s="27"/>
      <c r="CGK146" s="27"/>
      <c r="CGL146" s="27"/>
      <c r="CGM146" s="27"/>
      <c r="CGN146" s="27"/>
      <c r="CGO146" s="27"/>
      <c r="CGP146" s="27"/>
      <c r="CGQ146" s="27"/>
      <c r="CGR146" s="27"/>
      <c r="CGS146" s="27"/>
      <c r="CGT146" s="27"/>
      <c r="CGU146" s="27"/>
      <c r="CGV146" s="27"/>
      <c r="CGW146" s="27"/>
      <c r="CGX146" s="27"/>
      <c r="CGY146" s="27"/>
      <c r="CGZ146" s="27"/>
      <c r="CHA146" s="27"/>
      <c r="CHB146" s="27"/>
      <c r="CHC146" s="27"/>
      <c r="CHD146" s="27"/>
      <c r="CHE146" s="27"/>
      <c r="CHF146" s="27"/>
      <c r="CHG146" s="27"/>
      <c r="CHH146" s="27"/>
      <c r="CHI146" s="27"/>
      <c r="CHJ146" s="27"/>
      <c r="CHK146" s="27"/>
      <c r="CHL146" s="27"/>
      <c r="CHM146" s="27"/>
      <c r="CHN146" s="27"/>
      <c r="CHO146" s="27"/>
      <c r="CHP146" s="27"/>
      <c r="CHQ146" s="27"/>
      <c r="CHR146" s="27"/>
      <c r="CHS146" s="27"/>
      <c r="CHT146" s="27"/>
      <c r="CHU146" s="27"/>
      <c r="CHV146" s="27"/>
      <c r="CHW146" s="27"/>
      <c r="CHX146" s="27"/>
      <c r="CHY146" s="27"/>
      <c r="CHZ146" s="27"/>
      <c r="CIA146" s="27"/>
      <c r="CIB146" s="27"/>
      <c r="CIC146" s="27"/>
      <c r="CID146" s="27"/>
      <c r="CIE146" s="27"/>
      <c r="CIF146" s="27"/>
      <c r="CIG146" s="27"/>
      <c r="CIH146" s="27"/>
      <c r="CII146" s="27"/>
      <c r="CIJ146" s="27"/>
      <c r="CIK146" s="27"/>
      <c r="CIL146" s="27"/>
      <c r="CIM146" s="27"/>
      <c r="CIN146" s="27"/>
      <c r="CIO146" s="27"/>
      <c r="CIP146" s="27"/>
      <c r="CIQ146" s="27"/>
      <c r="CIR146" s="27"/>
      <c r="CIS146" s="27"/>
      <c r="CIT146" s="27"/>
      <c r="CIU146" s="27"/>
      <c r="CIV146" s="27"/>
      <c r="CIW146" s="27"/>
      <c r="CIX146" s="27"/>
      <c r="CIY146" s="27"/>
      <c r="CIZ146" s="27"/>
      <c r="CJA146" s="27"/>
      <c r="CJB146" s="27"/>
      <c r="CJC146" s="27"/>
      <c r="CJD146" s="27"/>
      <c r="CJE146" s="27"/>
      <c r="CJF146" s="27"/>
      <c r="CJG146" s="27"/>
      <c r="CJH146" s="27"/>
      <c r="CJI146" s="27"/>
      <c r="CJJ146" s="27"/>
      <c r="CJK146" s="27"/>
      <c r="CJL146" s="27"/>
      <c r="CJM146" s="27"/>
      <c r="CJN146" s="27"/>
      <c r="CJO146" s="27"/>
      <c r="CJP146" s="27"/>
      <c r="CJQ146" s="27"/>
      <c r="CJR146" s="27"/>
      <c r="CJS146" s="27"/>
      <c r="CJT146" s="27"/>
      <c r="CJU146" s="27"/>
      <c r="CJV146" s="27"/>
      <c r="CJW146" s="27"/>
      <c r="CJX146" s="27"/>
      <c r="CJY146" s="27"/>
      <c r="CJZ146" s="27"/>
      <c r="CKA146" s="27"/>
      <c r="CKB146" s="27"/>
      <c r="CKC146" s="27"/>
      <c r="CKD146" s="27"/>
      <c r="CKE146" s="27"/>
      <c r="CKF146" s="27"/>
      <c r="CKG146" s="27"/>
      <c r="CKH146" s="27"/>
      <c r="CKI146" s="27"/>
      <c r="CKJ146" s="27"/>
      <c r="CKK146" s="27"/>
      <c r="CKL146" s="27"/>
      <c r="CKM146" s="27"/>
      <c r="CKN146" s="27"/>
      <c r="CKO146" s="27"/>
      <c r="CKP146" s="27"/>
      <c r="CKQ146" s="27"/>
      <c r="CKR146" s="27"/>
      <c r="CKS146" s="27"/>
      <c r="CKT146" s="27"/>
      <c r="CKU146" s="27"/>
      <c r="CKV146" s="27"/>
      <c r="CKW146" s="27"/>
      <c r="CKX146" s="27"/>
      <c r="CKY146" s="27"/>
      <c r="CKZ146" s="27"/>
      <c r="CLA146" s="27"/>
      <c r="CLB146" s="27"/>
      <c r="CLC146" s="27"/>
      <c r="CLD146" s="27"/>
      <c r="CLE146" s="27"/>
      <c r="CLF146" s="27"/>
      <c r="CLG146" s="27"/>
      <c r="CLH146" s="27"/>
      <c r="CLI146" s="27"/>
      <c r="CLJ146" s="27"/>
      <c r="CLK146" s="27"/>
      <c r="CLL146" s="27"/>
      <c r="CLM146" s="27"/>
      <c r="CLN146" s="27"/>
      <c r="CLO146" s="27"/>
      <c r="CLP146" s="27"/>
      <c r="CLQ146" s="27"/>
      <c r="CLR146" s="27"/>
      <c r="CLS146" s="27"/>
      <c r="CLT146" s="27"/>
      <c r="CLU146" s="27"/>
      <c r="CLV146" s="27"/>
      <c r="CLW146" s="27"/>
      <c r="CLX146" s="27"/>
      <c r="CLY146" s="27"/>
      <c r="CLZ146" s="27"/>
      <c r="CMA146" s="27"/>
      <c r="CMB146" s="27"/>
      <c r="CMC146" s="27"/>
      <c r="CMD146" s="27"/>
      <c r="CME146" s="27"/>
      <c r="CMF146" s="27"/>
      <c r="CMG146" s="27"/>
      <c r="CMH146" s="27"/>
      <c r="CMI146" s="27"/>
      <c r="CMJ146" s="27"/>
      <c r="CMK146" s="27"/>
      <c r="CML146" s="27"/>
      <c r="CMM146" s="27"/>
      <c r="CMN146" s="27"/>
      <c r="CMO146" s="27"/>
      <c r="CMP146" s="27"/>
      <c r="CMQ146" s="27"/>
      <c r="CMR146" s="27"/>
      <c r="CMS146" s="27"/>
      <c r="CMT146" s="27"/>
      <c r="CMU146" s="27"/>
      <c r="CMV146" s="27"/>
      <c r="CMW146" s="27"/>
      <c r="CMX146" s="27"/>
      <c r="CMY146" s="27"/>
      <c r="CMZ146" s="27"/>
      <c r="CNA146" s="27"/>
      <c r="CNB146" s="27"/>
      <c r="CNC146" s="27"/>
      <c r="CND146" s="27"/>
      <c r="CNE146" s="27"/>
      <c r="CNF146" s="27"/>
      <c r="CNG146" s="27"/>
      <c r="CNH146" s="27"/>
      <c r="CNI146" s="27"/>
      <c r="CNJ146" s="27"/>
      <c r="CNK146" s="27"/>
      <c r="CNL146" s="27"/>
      <c r="CNM146" s="27"/>
      <c r="CNN146" s="27"/>
      <c r="CNO146" s="27"/>
      <c r="CNP146" s="27"/>
      <c r="CNQ146" s="27"/>
      <c r="CNR146" s="27"/>
      <c r="CNS146" s="27"/>
      <c r="CNT146" s="27"/>
      <c r="CNU146" s="27"/>
      <c r="CNV146" s="27"/>
      <c r="CNW146" s="27"/>
      <c r="CNX146" s="27"/>
      <c r="CNY146" s="27"/>
      <c r="CNZ146" s="27"/>
      <c r="COA146" s="27"/>
      <c r="COB146" s="27"/>
      <c r="COC146" s="27"/>
      <c r="COD146" s="27"/>
      <c r="COE146" s="27"/>
      <c r="COF146" s="27"/>
      <c r="COG146" s="27"/>
      <c r="COH146" s="27"/>
      <c r="COI146" s="27"/>
      <c r="COJ146" s="27"/>
      <c r="COK146" s="27"/>
      <c r="COL146" s="27"/>
      <c r="COM146" s="27"/>
      <c r="CON146" s="27"/>
      <c r="COO146" s="27"/>
      <c r="COP146" s="27"/>
      <c r="COQ146" s="27"/>
      <c r="COR146" s="27"/>
      <c r="COS146" s="27"/>
      <c r="COT146" s="27"/>
      <c r="COU146" s="27"/>
      <c r="COV146" s="27"/>
      <c r="COW146" s="27"/>
      <c r="COX146" s="27"/>
      <c r="COY146" s="27"/>
      <c r="COZ146" s="27"/>
      <c r="CPA146" s="27"/>
      <c r="CPB146" s="27"/>
      <c r="CPC146" s="27"/>
      <c r="CPD146" s="27"/>
      <c r="CPE146" s="27"/>
      <c r="CPF146" s="27"/>
      <c r="CPG146" s="27"/>
      <c r="CPH146" s="27"/>
      <c r="CPI146" s="27"/>
      <c r="CPJ146" s="27"/>
      <c r="CPK146" s="27"/>
      <c r="CPL146" s="27"/>
      <c r="CPM146" s="27"/>
      <c r="CPN146" s="27"/>
      <c r="CPO146" s="27"/>
      <c r="CPP146" s="27"/>
      <c r="CPQ146" s="27"/>
      <c r="CPR146" s="27"/>
      <c r="CPS146" s="27"/>
      <c r="CPT146" s="27"/>
      <c r="CPU146" s="27"/>
      <c r="CPV146" s="27"/>
      <c r="CPW146" s="27"/>
      <c r="CPX146" s="27"/>
      <c r="CPY146" s="27"/>
      <c r="CPZ146" s="27"/>
      <c r="CQA146" s="27"/>
      <c r="CQB146" s="27"/>
      <c r="CQC146" s="27"/>
      <c r="CQD146" s="27"/>
      <c r="CQE146" s="27"/>
      <c r="CQF146" s="27"/>
      <c r="CQG146" s="27"/>
      <c r="CQH146" s="27"/>
      <c r="CQI146" s="27"/>
      <c r="CQJ146" s="27"/>
      <c r="CQK146" s="27"/>
      <c r="CQL146" s="27"/>
      <c r="CQM146" s="27"/>
      <c r="CQN146" s="27"/>
      <c r="CQO146" s="27"/>
      <c r="CQP146" s="27"/>
      <c r="CQQ146" s="27"/>
      <c r="CQR146" s="27"/>
      <c r="CQS146" s="27"/>
      <c r="CQT146" s="27"/>
      <c r="CQU146" s="27"/>
      <c r="CQV146" s="27"/>
      <c r="CQW146" s="27"/>
      <c r="CQX146" s="27"/>
      <c r="CQY146" s="27"/>
      <c r="CQZ146" s="27"/>
      <c r="CRA146" s="27"/>
      <c r="CRB146" s="27"/>
      <c r="CRC146" s="27"/>
      <c r="CRD146" s="27"/>
      <c r="CRE146" s="27"/>
      <c r="CRF146" s="27"/>
      <c r="CRG146" s="27"/>
      <c r="CRH146" s="27"/>
      <c r="CRI146" s="27"/>
      <c r="CRJ146" s="27"/>
      <c r="CRK146" s="27"/>
      <c r="CRL146" s="27"/>
      <c r="CRM146" s="27"/>
      <c r="CRN146" s="27"/>
      <c r="CRO146" s="27"/>
      <c r="CRP146" s="27"/>
      <c r="CRQ146" s="27"/>
      <c r="CRR146" s="27"/>
      <c r="CRS146" s="27"/>
      <c r="CRT146" s="27"/>
      <c r="CRU146" s="27"/>
      <c r="CRV146" s="27"/>
      <c r="CRW146" s="27"/>
      <c r="CRX146" s="27"/>
      <c r="CRY146" s="27"/>
      <c r="CRZ146" s="27"/>
      <c r="CSA146" s="27"/>
      <c r="CSB146" s="27"/>
      <c r="CSC146" s="27"/>
      <c r="CSD146" s="27"/>
      <c r="CSE146" s="27"/>
      <c r="CSF146" s="27"/>
      <c r="CSG146" s="27"/>
      <c r="CSH146" s="27"/>
      <c r="CSI146" s="27"/>
      <c r="CSJ146" s="27"/>
      <c r="CSK146" s="27"/>
      <c r="CSL146" s="27"/>
      <c r="CSM146" s="27"/>
      <c r="CSN146" s="27"/>
      <c r="CSO146" s="27"/>
      <c r="CSP146" s="27"/>
      <c r="CSQ146" s="27"/>
      <c r="CSR146" s="27"/>
      <c r="CSS146" s="27"/>
      <c r="CST146" s="27"/>
      <c r="CSU146" s="27"/>
      <c r="CSV146" s="27"/>
      <c r="CSW146" s="27"/>
      <c r="CSX146" s="27"/>
      <c r="CSY146" s="27"/>
      <c r="CSZ146" s="27"/>
      <c r="CTA146" s="27"/>
      <c r="CTB146" s="27"/>
      <c r="CTC146" s="27"/>
      <c r="CTD146" s="27"/>
      <c r="CTE146" s="27"/>
      <c r="CTF146" s="27"/>
      <c r="CTG146" s="27"/>
      <c r="CTH146" s="27"/>
      <c r="CTI146" s="27"/>
      <c r="CTJ146" s="27"/>
      <c r="CTK146" s="27"/>
      <c r="CTL146" s="27"/>
      <c r="CTM146" s="27"/>
      <c r="CTN146" s="27"/>
      <c r="CTO146" s="27"/>
      <c r="CTP146" s="27"/>
      <c r="CTQ146" s="27"/>
      <c r="CTR146" s="27"/>
      <c r="CTS146" s="27"/>
      <c r="CTT146" s="27"/>
      <c r="CTU146" s="27"/>
      <c r="CTV146" s="27"/>
      <c r="CTW146" s="27"/>
      <c r="CTX146" s="27"/>
      <c r="CTY146" s="27"/>
      <c r="CTZ146" s="27"/>
      <c r="CUA146" s="27"/>
      <c r="CUB146" s="27"/>
      <c r="CUC146" s="27"/>
      <c r="CUD146" s="27"/>
      <c r="CUE146" s="27"/>
      <c r="CUF146" s="27"/>
      <c r="CUG146" s="27"/>
      <c r="CUH146" s="27"/>
      <c r="CUI146" s="27"/>
      <c r="CUJ146" s="27"/>
      <c r="CUK146" s="27"/>
      <c r="CUL146" s="27"/>
      <c r="CUM146" s="27"/>
      <c r="CUN146" s="27"/>
      <c r="CUO146" s="27"/>
      <c r="CUP146" s="27"/>
      <c r="CUQ146" s="27"/>
      <c r="CUR146" s="27"/>
      <c r="CUS146" s="27"/>
      <c r="CUT146" s="27"/>
      <c r="CUU146" s="27"/>
      <c r="CUV146" s="27"/>
      <c r="CUW146" s="27"/>
      <c r="CUX146" s="27"/>
      <c r="CUY146" s="27"/>
      <c r="CUZ146" s="27"/>
      <c r="CVA146" s="27"/>
      <c r="CVB146" s="27"/>
      <c r="CVC146" s="27"/>
      <c r="CVD146" s="27"/>
      <c r="CVE146" s="27"/>
      <c r="CVF146" s="27"/>
      <c r="CVG146" s="27"/>
      <c r="CVH146" s="27"/>
      <c r="CVI146" s="27"/>
      <c r="CVJ146" s="27"/>
      <c r="CVK146" s="27"/>
      <c r="CVL146" s="27"/>
      <c r="CVM146" s="27"/>
      <c r="CVN146" s="27"/>
      <c r="CVO146" s="27"/>
      <c r="CVP146" s="27"/>
      <c r="CVQ146" s="27"/>
      <c r="CVR146" s="27"/>
      <c r="CVS146" s="27"/>
      <c r="CVT146" s="27"/>
      <c r="CVU146" s="27"/>
      <c r="CVV146" s="27"/>
      <c r="CVW146" s="27"/>
      <c r="CVX146" s="27"/>
      <c r="CVY146" s="27"/>
      <c r="CVZ146" s="27"/>
      <c r="CWA146" s="27"/>
      <c r="CWB146" s="27"/>
      <c r="CWC146" s="27"/>
      <c r="CWD146" s="27"/>
      <c r="CWE146" s="27"/>
      <c r="CWF146" s="27"/>
      <c r="CWG146" s="27"/>
      <c r="CWH146" s="27"/>
      <c r="CWI146" s="27"/>
      <c r="CWJ146" s="27"/>
      <c r="CWK146" s="27"/>
      <c r="CWL146" s="27"/>
      <c r="CWM146" s="27"/>
      <c r="CWN146" s="27"/>
      <c r="CWO146" s="27"/>
      <c r="CWP146" s="27"/>
      <c r="CWQ146" s="27"/>
      <c r="CWR146" s="27"/>
      <c r="CWS146" s="27"/>
      <c r="CWT146" s="27"/>
      <c r="CWU146" s="27"/>
      <c r="CWV146" s="27"/>
      <c r="CWW146" s="27"/>
      <c r="CWX146" s="27"/>
      <c r="CWY146" s="27"/>
      <c r="CWZ146" s="27"/>
      <c r="CXA146" s="27"/>
      <c r="CXB146" s="27"/>
      <c r="CXC146" s="27"/>
      <c r="CXD146" s="27"/>
      <c r="CXE146" s="27"/>
      <c r="CXF146" s="27"/>
      <c r="CXG146" s="27"/>
      <c r="CXH146" s="27"/>
      <c r="CXI146" s="27"/>
      <c r="CXJ146" s="27"/>
      <c r="CXK146" s="27"/>
      <c r="CXL146" s="27"/>
      <c r="CXM146" s="27"/>
      <c r="CXN146" s="27"/>
      <c r="CXO146" s="27"/>
      <c r="CXP146" s="27"/>
      <c r="CXQ146" s="27"/>
      <c r="CXR146" s="27"/>
      <c r="CXS146" s="27"/>
      <c r="CXT146" s="27"/>
      <c r="CXU146" s="27"/>
      <c r="CXV146" s="27"/>
      <c r="CXW146" s="27"/>
      <c r="CXX146" s="27"/>
      <c r="CXY146" s="27"/>
      <c r="CXZ146" s="27"/>
      <c r="CYA146" s="27"/>
      <c r="CYB146" s="27"/>
      <c r="CYC146" s="27"/>
      <c r="CYD146" s="27"/>
      <c r="CYE146" s="27"/>
      <c r="CYF146" s="27"/>
      <c r="CYG146" s="27"/>
      <c r="CYH146" s="27"/>
      <c r="CYI146" s="27"/>
      <c r="CYJ146" s="27"/>
      <c r="CYK146" s="27"/>
      <c r="CYL146" s="27"/>
      <c r="CYM146" s="27"/>
      <c r="CYN146" s="27"/>
      <c r="CYO146" s="27"/>
      <c r="CYP146" s="27"/>
      <c r="CYQ146" s="27"/>
      <c r="CYR146" s="27"/>
      <c r="CYS146" s="27"/>
      <c r="CYT146" s="27"/>
      <c r="CYU146" s="27"/>
      <c r="CYV146" s="27"/>
      <c r="CYW146" s="27"/>
      <c r="CYX146" s="27"/>
      <c r="CYY146" s="27"/>
      <c r="CYZ146" s="27"/>
      <c r="CZA146" s="27"/>
      <c r="CZB146" s="27"/>
      <c r="CZC146" s="27"/>
      <c r="CZD146" s="27"/>
      <c r="CZE146" s="27"/>
      <c r="CZF146" s="27"/>
      <c r="CZG146" s="27"/>
      <c r="CZH146" s="27"/>
      <c r="CZI146" s="27"/>
      <c r="CZJ146" s="27"/>
      <c r="CZK146" s="27"/>
      <c r="CZL146" s="27"/>
      <c r="CZM146" s="27"/>
      <c r="CZN146" s="27"/>
      <c r="CZO146" s="27"/>
      <c r="CZP146" s="27"/>
      <c r="CZQ146" s="27"/>
      <c r="CZR146" s="27"/>
      <c r="CZS146" s="27"/>
      <c r="CZT146" s="27"/>
      <c r="CZU146" s="27"/>
      <c r="CZV146" s="27"/>
      <c r="CZW146" s="27"/>
      <c r="CZX146" s="27"/>
      <c r="CZY146" s="27"/>
      <c r="CZZ146" s="27"/>
      <c r="DAA146" s="27"/>
      <c r="DAB146" s="27"/>
      <c r="DAC146" s="27"/>
      <c r="DAD146" s="27"/>
      <c r="DAE146" s="27"/>
      <c r="DAF146" s="27"/>
      <c r="DAG146" s="27"/>
      <c r="DAH146" s="27"/>
      <c r="DAI146" s="27"/>
      <c r="DAJ146" s="27"/>
      <c r="DAK146" s="27"/>
      <c r="DAL146" s="27"/>
      <c r="DAM146" s="27"/>
      <c r="DAN146" s="27"/>
      <c r="DAO146" s="27"/>
      <c r="DAP146" s="27"/>
      <c r="DAQ146" s="27"/>
      <c r="DAR146" s="27"/>
      <c r="DAS146" s="27"/>
      <c r="DAT146" s="27"/>
      <c r="DAU146" s="27"/>
      <c r="DAV146" s="27"/>
      <c r="DAW146" s="27"/>
      <c r="DAX146" s="27"/>
      <c r="DAY146" s="27"/>
      <c r="DAZ146" s="27"/>
      <c r="DBA146" s="27"/>
      <c r="DBB146" s="27"/>
      <c r="DBC146" s="27"/>
      <c r="DBD146" s="27"/>
      <c r="DBE146" s="27"/>
      <c r="DBF146" s="27"/>
      <c r="DBG146" s="27"/>
      <c r="DBH146" s="27"/>
      <c r="DBI146" s="27"/>
      <c r="DBJ146" s="27"/>
      <c r="DBK146" s="27"/>
      <c r="DBL146" s="27"/>
      <c r="DBM146" s="27"/>
      <c r="DBN146" s="27"/>
      <c r="DBO146" s="27"/>
      <c r="DBP146" s="27"/>
      <c r="DBQ146" s="27"/>
      <c r="DBR146" s="27"/>
      <c r="DBS146" s="27"/>
      <c r="DBT146" s="27"/>
      <c r="DBU146" s="27"/>
      <c r="DBV146" s="27"/>
      <c r="DBW146" s="27"/>
      <c r="DBX146" s="27"/>
      <c r="DBY146" s="27"/>
      <c r="DBZ146" s="27"/>
      <c r="DCA146" s="27"/>
      <c r="DCB146" s="27"/>
      <c r="DCC146" s="27"/>
      <c r="DCD146" s="27"/>
      <c r="DCE146" s="27"/>
      <c r="DCF146" s="27"/>
      <c r="DCG146" s="27"/>
      <c r="DCH146" s="27"/>
      <c r="DCI146" s="27"/>
      <c r="DCJ146" s="27"/>
      <c r="DCK146" s="27"/>
      <c r="DCL146" s="27"/>
      <c r="DCM146" s="27"/>
      <c r="DCN146" s="27"/>
      <c r="DCO146" s="27"/>
      <c r="DCP146" s="27"/>
      <c r="DCQ146" s="27"/>
      <c r="DCR146" s="27"/>
      <c r="DCS146" s="27"/>
      <c r="DCT146" s="27"/>
      <c r="DCU146" s="27"/>
      <c r="DCV146" s="27"/>
      <c r="DCW146" s="27"/>
      <c r="DCX146" s="27"/>
      <c r="DCY146" s="27"/>
      <c r="DCZ146" s="27"/>
      <c r="DDA146" s="27"/>
      <c r="DDB146" s="27"/>
      <c r="DDC146" s="27"/>
      <c r="DDD146" s="27"/>
      <c r="DDE146" s="27"/>
      <c r="DDF146" s="27"/>
      <c r="DDG146" s="27"/>
      <c r="DDH146" s="27"/>
      <c r="DDI146" s="27"/>
      <c r="DDJ146" s="27"/>
      <c r="DDK146" s="27"/>
      <c r="DDL146" s="27"/>
      <c r="DDM146" s="27"/>
      <c r="DDN146" s="27"/>
      <c r="DDO146" s="27"/>
      <c r="DDP146" s="27"/>
      <c r="DDQ146" s="27"/>
      <c r="DDR146" s="27"/>
      <c r="DDS146" s="27"/>
      <c r="DDT146" s="27"/>
      <c r="DDU146" s="27"/>
      <c r="DDV146" s="27"/>
      <c r="DDW146" s="27"/>
      <c r="DDX146" s="27"/>
      <c r="DDY146" s="27"/>
      <c r="DDZ146" s="27"/>
      <c r="DEA146" s="27"/>
      <c r="DEB146" s="27"/>
      <c r="DEC146" s="27"/>
      <c r="DED146" s="27"/>
      <c r="DEE146" s="27"/>
      <c r="DEF146" s="27"/>
      <c r="DEG146" s="27"/>
      <c r="DEH146" s="27"/>
      <c r="DEI146" s="27"/>
      <c r="DEJ146" s="27"/>
      <c r="DEK146" s="27"/>
      <c r="DEL146" s="27"/>
      <c r="DEM146" s="27"/>
      <c r="DEN146" s="27"/>
      <c r="DEO146" s="27"/>
      <c r="DEP146" s="27"/>
      <c r="DEQ146" s="27"/>
      <c r="DER146" s="27"/>
      <c r="DES146" s="27"/>
      <c r="DET146" s="27"/>
      <c r="DEU146" s="27"/>
      <c r="DEV146" s="27"/>
      <c r="DEW146" s="27"/>
      <c r="DEX146" s="27"/>
      <c r="DEY146" s="27"/>
      <c r="DEZ146" s="27"/>
      <c r="DFA146" s="27"/>
      <c r="DFB146" s="27"/>
      <c r="DFC146" s="27"/>
      <c r="DFD146" s="27"/>
      <c r="DFE146" s="27"/>
      <c r="DFF146" s="27"/>
      <c r="DFG146" s="27"/>
      <c r="DFH146" s="27"/>
      <c r="DFI146" s="27"/>
      <c r="DFJ146" s="27"/>
      <c r="DFK146" s="27"/>
      <c r="DFL146" s="27"/>
      <c r="DFM146" s="27"/>
      <c r="DFN146" s="27"/>
      <c r="DFO146" s="27"/>
      <c r="DFP146" s="27"/>
      <c r="DFQ146" s="27"/>
      <c r="DFR146" s="27"/>
      <c r="DFS146" s="27"/>
      <c r="DFT146" s="27"/>
      <c r="DFU146" s="27"/>
      <c r="DFV146" s="27"/>
      <c r="DFW146" s="27"/>
      <c r="DFX146" s="27"/>
      <c r="DFY146" s="27"/>
      <c r="DFZ146" s="27"/>
      <c r="DGA146" s="27"/>
      <c r="DGB146" s="27"/>
      <c r="DGC146" s="27"/>
      <c r="DGD146" s="27"/>
      <c r="DGE146" s="27"/>
      <c r="DGF146" s="27"/>
      <c r="DGG146" s="27"/>
      <c r="DGH146" s="27"/>
      <c r="DGI146" s="27"/>
      <c r="DGJ146" s="27"/>
      <c r="DGK146" s="27"/>
      <c r="DGL146" s="27"/>
      <c r="DGM146" s="27"/>
      <c r="DGN146" s="27"/>
      <c r="DGO146" s="27"/>
      <c r="DGP146" s="27"/>
      <c r="DGQ146" s="27"/>
      <c r="DGR146" s="27"/>
      <c r="DGS146" s="27"/>
      <c r="DGT146" s="27"/>
      <c r="DGU146" s="27"/>
      <c r="DGV146" s="27"/>
      <c r="DGW146" s="27"/>
      <c r="DGX146" s="27"/>
      <c r="DGY146" s="27"/>
      <c r="DGZ146" s="27"/>
      <c r="DHA146" s="27"/>
      <c r="DHB146" s="27"/>
      <c r="DHC146" s="27"/>
      <c r="DHD146" s="27"/>
      <c r="DHE146" s="27"/>
      <c r="DHF146" s="27"/>
      <c r="DHG146" s="27"/>
      <c r="DHH146" s="27"/>
      <c r="DHI146" s="27"/>
      <c r="DHJ146" s="27"/>
      <c r="DHK146" s="27"/>
      <c r="DHL146" s="27"/>
      <c r="DHM146" s="27"/>
      <c r="DHN146" s="27"/>
      <c r="DHO146" s="27"/>
      <c r="DHP146" s="27"/>
      <c r="DHQ146" s="27"/>
      <c r="DHR146" s="27"/>
      <c r="DHS146" s="27"/>
      <c r="DHT146" s="27"/>
      <c r="DHU146" s="27"/>
      <c r="DHV146" s="27"/>
      <c r="DHW146" s="27"/>
      <c r="DHX146" s="27"/>
      <c r="DHY146" s="27"/>
      <c r="DHZ146" s="27"/>
      <c r="DIA146" s="27"/>
      <c r="DIB146" s="27"/>
      <c r="DIC146" s="27"/>
      <c r="DID146" s="27"/>
      <c r="DIE146" s="27"/>
      <c r="DIF146" s="27"/>
      <c r="DIG146" s="27"/>
      <c r="DIH146" s="27"/>
      <c r="DII146" s="27"/>
      <c r="DIJ146" s="27"/>
      <c r="DIK146" s="27"/>
      <c r="DIL146" s="27"/>
      <c r="DIM146" s="27"/>
      <c r="DIN146" s="27"/>
      <c r="DIO146" s="27"/>
      <c r="DIP146" s="27"/>
      <c r="DIQ146" s="27"/>
      <c r="DIR146" s="27"/>
      <c r="DIS146" s="27"/>
      <c r="DIT146" s="27"/>
      <c r="DIU146" s="27"/>
      <c r="DIV146" s="27"/>
      <c r="DIW146" s="27"/>
      <c r="DIX146" s="27"/>
      <c r="DIY146" s="27"/>
      <c r="DIZ146" s="27"/>
      <c r="DJA146" s="27"/>
      <c r="DJB146" s="27"/>
      <c r="DJC146" s="27"/>
      <c r="DJD146" s="27"/>
      <c r="DJE146" s="27"/>
      <c r="DJF146" s="27"/>
      <c r="DJG146" s="27"/>
      <c r="DJH146" s="27"/>
      <c r="DJI146" s="27"/>
      <c r="DJJ146" s="27"/>
      <c r="DJK146" s="27"/>
      <c r="DJL146" s="27"/>
      <c r="DJM146" s="27"/>
      <c r="DJN146" s="27"/>
      <c r="DJO146" s="27"/>
      <c r="DJP146" s="27"/>
      <c r="DJQ146" s="27"/>
      <c r="DJR146" s="27"/>
      <c r="DJS146" s="27"/>
      <c r="DJT146" s="27"/>
      <c r="DJU146" s="27"/>
      <c r="DJV146" s="27"/>
      <c r="DJW146" s="27"/>
      <c r="DJX146" s="27"/>
      <c r="DJY146" s="27"/>
      <c r="DJZ146" s="27"/>
      <c r="DKA146" s="27"/>
      <c r="DKB146" s="27"/>
      <c r="DKC146" s="27"/>
      <c r="DKD146" s="27"/>
      <c r="DKE146" s="27"/>
      <c r="DKF146" s="27"/>
      <c r="DKG146" s="27"/>
      <c r="DKH146" s="27"/>
      <c r="DKI146" s="27"/>
      <c r="DKJ146" s="27"/>
      <c r="DKK146" s="27"/>
      <c r="DKL146" s="27"/>
      <c r="DKM146" s="27"/>
      <c r="DKN146" s="27"/>
      <c r="DKO146" s="27"/>
      <c r="DKP146" s="27"/>
      <c r="DKQ146" s="27"/>
      <c r="DKR146" s="27"/>
      <c r="DKS146" s="27"/>
      <c r="DKT146" s="27"/>
      <c r="DKU146" s="27"/>
      <c r="DKV146" s="27"/>
      <c r="DKW146" s="27"/>
      <c r="DKX146" s="27"/>
      <c r="DKY146" s="27"/>
      <c r="DKZ146" s="27"/>
      <c r="DLA146" s="27"/>
      <c r="DLB146" s="27"/>
      <c r="DLC146" s="27"/>
      <c r="DLD146" s="27"/>
      <c r="DLE146" s="27"/>
      <c r="DLF146" s="27"/>
      <c r="DLG146" s="27"/>
      <c r="DLH146" s="27"/>
      <c r="DLI146" s="27"/>
      <c r="DLJ146" s="27"/>
      <c r="DLK146" s="27"/>
      <c r="DLL146" s="27"/>
      <c r="DLM146" s="27"/>
      <c r="DLN146" s="27"/>
      <c r="DLO146" s="27"/>
      <c r="DLP146" s="27"/>
      <c r="DLQ146" s="27"/>
      <c r="DLR146" s="27"/>
      <c r="DLS146" s="27"/>
      <c r="DLT146" s="27"/>
      <c r="DLU146" s="27"/>
      <c r="DLV146" s="27"/>
      <c r="DLW146" s="27"/>
      <c r="DLX146" s="27"/>
      <c r="DLY146" s="27"/>
      <c r="DLZ146" s="27"/>
      <c r="DMA146" s="27"/>
      <c r="DMB146" s="27"/>
      <c r="DMC146" s="27"/>
      <c r="DMD146" s="27"/>
      <c r="DME146" s="27"/>
      <c r="DMF146" s="27"/>
      <c r="DMG146" s="27"/>
      <c r="DMH146" s="27"/>
      <c r="DMI146" s="27"/>
      <c r="DMJ146" s="27"/>
      <c r="DMK146" s="27"/>
      <c r="DML146" s="27"/>
      <c r="DMM146" s="27"/>
      <c r="DMN146" s="27"/>
      <c r="DMO146" s="27"/>
      <c r="DMP146" s="27"/>
      <c r="DMQ146" s="27"/>
      <c r="DMR146" s="27"/>
      <c r="DMS146" s="27"/>
      <c r="DMT146" s="27"/>
      <c r="DMU146" s="27"/>
      <c r="DMV146" s="27"/>
      <c r="DMW146" s="27"/>
      <c r="DMX146" s="27"/>
      <c r="DMY146" s="27"/>
      <c r="DMZ146" s="27"/>
      <c r="DNA146" s="27"/>
      <c r="DNB146" s="27"/>
      <c r="DNC146" s="27"/>
      <c r="DND146" s="27"/>
      <c r="DNE146" s="27"/>
      <c r="DNF146" s="27"/>
      <c r="DNG146" s="27"/>
      <c r="DNH146" s="27"/>
      <c r="DNI146" s="27"/>
      <c r="DNJ146" s="27"/>
      <c r="DNK146" s="27"/>
      <c r="DNL146" s="27"/>
      <c r="DNM146" s="27"/>
      <c r="DNN146" s="27"/>
      <c r="DNO146" s="27"/>
      <c r="DNP146" s="27"/>
      <c r="DNQ146" s="27"/>
      <c r="DNR146" s="27"/>
      <c r="DNS146" s="27"/>
      <c r="DNT146" s="27"/>
      <c r="DNU146" s="27"/>
      <c r="DNV146" s="27"/>
      <c r="DNW146" s="27"/>
      <c r="DNX146" s="27"/>
      <c r="DNY146" s="27"/>
      <c r="DNZ146" s="27"/>
      <c r="DOA146" s="27"/>
      <c r="DOB146" s="27"/>
      <c r="DOC146" s="27"/>
      <c r="DOD146" s="27"/>
      <c r="DOE146" s="27"/>
      <c r="DOF146" s="27"/>
      <c r="DOG146" s="27"/>
      <c r="DOH146" s="27"/>
      <c r="DOI146" s="27"/>
      <c r="DOJ146" s="27"/>
      <c r="DOK146" s="27"/>
      <c r="DOL146" s="27"/>
      <c r="DOM146" s="27"/>
      <c r="DON146" s="27"/>
      <c r="DOO146" s="27"/>
      <c r="DOP146" s="27"/>
      <c r="DOQ146" s="27"/>
      <c r="DOR146" s="27"/>
      <c r="DOS146" s="27"/>
      <c r="DOT146" s="27"/>
      <c r="DOU146" s="27"/>
      <c r="DOV146" s="27"/>
      <c r="DOW146" s="27"/>
      <c r="DOX146" s="27"/>
      <c r="DOY146" s="27"/>
      <c r="DOZ146" s="27"/>
      <c r="DPA146" s="27"/>
      <c r="DPB146" s="27"/>
      <c r="DPC146" s="27"/>
      <c r="DPD146" s="27"/>
      <c r="DPE146" s="27"/>
      <c r="DPF146" s="27"/>
      <c r="DPG146" s="27"/>
      <c r="DPH146" s="27"/>
      <c r="DPI146" s="27"/>
      <c r="DPJ146" s="27"/>
      <c r="DPK146" s="27"/>
      <c r="DPL146" s="27"/>
      <c r="DPM146" s="27"/>
      <c r="DPN146" s="27"/>
      <c r="DPO146" s="27"/>
      <c r="DPP146" s="27"/>
      <c r="DPQ146" s="27"/>
      <c r="DPR146" s="27"/>
      <c r="DPS146" s="27"/>
      <c r="DPT146" s="27"/>
      <c r="DPU146" s="27"/>
      <c r="DPV146" s="27"/>
      <c r="DPW146" s="27"/>
      <c r="DPX146" s="27"/>
      <c r="DPY146" s="27"/>
      <c r="DPZ146" s="27"/>
      <c r="DQA146" s="27"/>
      <c r="DQB146" s="27"/>
      <c r="DQC146" s="27"/>
      <c r="DQD146" s="27"/>
      <c r="DQE146" s="27"/>
      <c r="DQF146" s="27"/>
      <c r="DQG146" s="27"/>
      <c r="DQH146" s="27"/>
      <c r="DQI146" s="27"/>
      <c r="DQJ146" s="27"/>
      <c r="DQK146" s="27"/>
      <c r="DQL146" s="27"/>
      <c r="DQM146" s="27"/>
      <c r="DQN146" s="27"/>
      <c r="DQO146" s="27"/>
      <c r="DQP146" s="27"/>
      <c r="DQQ146" s="27"/>
      <c r="DQR146" s="27"/>
      <c r="DQS146" s="27"/>
      <c r="DQT146" s="27"/>
      <c r="DQU146" s="27"/>
      <c r="DQV146" s="27"/>
      <c r="DQW146" s="27"/>
      <c r="DQX146" s="27"/>
      <c r="DQY146" s="27"/>
      <c r="DQZ146" s="27"/>
      <c r="DRA146" s="27"/>
      <c r="DRB146" s="27"/>
      <c r="DRC146" s="27"/>
      <c r="DRD146" s="27"/>
      <c r="DRE146" s="27"/>
      <c r="DRF146" s="27"/>
      <c r="DRG146" s="27"/>
      <c r="DRH146" s="27"/>
      <c r="DRI146" s="27"/>
      <c r="DRJ146" s="27"/>
      <c r="DRK146" s="27"/>
      <c r="DRL146" s="27"/>
      <c r="DRM146" s="27"/>
      <c r="DRN146" s="27"/>
      <c r="DRO146" s="27"/>
      <c r="DRP146" s="27"/>
      <c r="DRQ146" s="27"/>
      <c r="DRR146" s="27"/>
      <c r="DRS146" s="27"/>
      <c r="DRT146" s="27"/>
      <c r="DRU146" s="27"/>
      <c r="DRV146" s="27"/>
      <c r="DRW146" s="27"/>
      <c r="DRX146" s="27"/>
      <c r="DRY146" s="27"/>
      <c r="DRZ146" s="27"/>
      <c r="DSA146" s="27"/>
      <c r="DSB146" s="27"/>
      <c r="DSC146" s="27"/>
      <c r="DSD146" s="27"/>
      <c r="DSE146" s="27"/>
      <c r="DSF146" s="27"/>
      <c r="DSG146" s="27"/>
      <c r="DSH146" s="27"/>
      <c r="DSI146" s="27"/>
      <c r="DSJ146" s="27"/>
      <c r="DSK146" s="27"/>
      <c r="DSL146" s="27"/>
      <c r="DSM146" s="27"/>
      <c r="DSN146" s="27"/>
      <c r="DSO146" s="27"/>
      <c r="DSP146" s="27"/>
      <c r="DSQ146" s="27"/>
      <c r="DSR146" s="27"/>
      <c r="DSS146" s="27"/>
      <c r="DST146" s="27"/>
      <c r="DSU146" s="27"/>
      <c r="DSV146" s="27"/>
      <c r="DSW146" s="27"/>
      <c r="DSX146" s="27"/>
      <c r="DSY146" s="27"/>
      <c r="DSZ146" s="27"/>
      <c r="DTA146" s="27"/>
      <c r="DTB146" s="27"/>
      <c r="DTC146" s="27"/>
      <c r="DTD146" s="27"/>
      <c r="DTE146" s="27"/>
      <c r="DTF146" s="27"/>
      <c r="DTG146" s="27"/>
      <c r="DTH146" s="27"/>
      <c r="DTI146" s="27"/>
      <c r="DTJ146" s="27"/>
      <c r="DTK146" s="27"/>
      <c r="DTL146" s="27"/>
      <c r="DTM146" s="27"/>
      <c r="DTN146" s="27"/>
      <c r="DTO146" s="27"/>
      <c r="DTP146" s="27"/>
      <c r="DTQ146" s="27"/>
      <c r="DTR146" s="27"/>
      <c r="DTS146" s="27"/>
      <c r="DTT146" s="27"/>
      <c r="DTU146" s="27"/>
      <c r="DTV146" s="27"/>
      <c r="DTW146" s="27"/>
      <c r="DTX146" s="27"/>
      <c r="DTY146" s="27"/>
      <c r="DTZ146" s="27"/>
      <c r="DUA146" s="27"/>
      <c r="DUB146" s="27"/>
      <c r="DUC146" s="27"/>
      <c r="DUD146" s="27"/>
      <c r="DUE146" s="27"/>
      <c r="DUF146" s="27"/>
      <c r="DUG146" s="27"/>
      <c r="DUH146" s="27"/>
      <c r="DUI146" s="27"/>
      <c r="DUJ146" s="27"/>
      <c r="DUK146" s="27"/>
      <c r="DUL146" s="27"/>
      <c r="DUM146" s="27"/>
      <c r="DUN146" s="27"/>
      <c r="DUO146" s="27"/>
      <c r="DUP146" s="27"/>
      <c r="DUQ146" s="27"/>
      <c r="DUR146" s="27"/>
      <c r="DUS146" s="27"/>
      <c r="DUT146" s="27"/>
      <c r="DUU146" s="27"/>
      <c r="DUV146" s="27"/>
      <c r="DUW146" s="27"/>
      <c r="DUX146" s="27"/>
      <c r="DUY146" s="27"/>
      <c r="DUZ146" s="27"/>
      <c r="DVA146" s="27"/>
      <c r="DVB146" s="27"/>
      <c r="DVC146" s="27"/>
      <c r="DVD146" s="27"/>
      <c r="DVE146" s="27"/>
      <c r="DVF146" s="27"/>
      <c r="DVG146" s="27"/>
      <c r="DVH146" s="27"/>
      <c r="DVI146" s="27"/>
      <c r="DVJ146" s="27"/>
      <c r="DVK146" s="27"/>
      <c r="DVL146" s="27"/>
      <c r="DVM146" s="27"/>
      <c r="DVN146" s="27"/>
      <c r="DVO146" s="27"/>
      <c r="DVP146" s="27"/>
      <c r="DVQ146" s="27"/>
      <c r="DVR146" s="27"/>
      <c r="DVS146" s="27"/>
      <c r="DVT146" s="27"/>
      <c r="DVU146" s="27"/>
      <c r="DVV146" s="27"/>
      <c r="DVW146" s="27"/>
      <c r="DVX146" s="27"/>
      <c r="DVY146" s="27"/>
      <c r="DVZ146" s="27"/>
      <c r="DWA146" s="27"/>
      <c r="DWB146" s="27"/>
      <c r="DWC146" s="27"/>
      <c r="DWD146" s="27"/>
      <c r="DWE146" s="27"/>
      <c r="DWF146" s="27"/>
      <c r="DWG146" s="27"/>
      <c r="DWH146" s="27"/>
      <c r="DWI146" s="27"/>
      <c r="DWJ146" s="27"/>
      <c r="DWK146" s="27"/>
      <c r="DWL146" s="27"/>
      <c r="DWM146" s="27"/>
      <c r="DWN146" s="27"/>
      <c r="DWO146" s="27"/>
      <c r="DWP146" s="27"/>
      <c r="DWQ146" s="27"/>
      <c r="DWR146" s="27"/>
      <c r="DWS146" s="27"/>
      <c r="DWT146" s="27"/>
      <c r="DWU146" s="27"/>
      <c r="DWV146" s="27"/>
      <c r="DWW146" s="27"/>
      <c r="DWX146" s="27"/>
      <c r="DWY146" s="27"/>
      <c r="DWZ146" s="27"/>
      <c r="DXA146" s="27"/>
      <c r="DXB146" s="27"/>
      <c r="DXC146" s="27"/>
      <c r="DXD146" s="27"/>
      <c r="DXE146" s="27"/>
      <c r="DXF146" s="27"/>
      <c r="DXG146" s="27"/>
      <c r="DXH146" s="27"/>
      <c r="DXI146" s="27"/>
      <c r="DXJ146" s="27"/>
      <c r="DXK146" s="27"/>
      <c r="DXL146" s="27"/>
      <c r="DXM146" s="27"/>
      <c r="DXN146" s="27"/>
      <c r="DXO146" s="27"/>
      <c r="DXP146" s="27"/>
      <c r="DXQ146" s="27"/>
      <c r="DXR146" s="27"/>
      <c r="DXS146" s="27"/>
      <c r="DXT146" s="27"/>
      <c r="DXU146" s="27"/>
      <c r="DXV146" s="27"/>
      <c r="DXW146" s="27"/>
      <c r="DXX146" s="27"/>
      <c r="DXY146" s="27"/>
      <c r="DXZ146" s="27"/>
      <c r="DYA146" s="27"/>
      <c r="DYB146" s="27"/>
      <c r="DYC146" s="27"/>
      <c r="DYD146" s="27"/>
      <c r="DYE146" s="27"/>
      <c r="DYF146" s="27"/>
      <c r="DYG146" s="27"/>
      <c r="DYH146" s="27"/>
      <c r="DYI146" s="27"/>
      <c r="DYJ146" s="27"/>
      <c r="DYK146" s="27"/>
      <c r="DYL146" s="27"/>
      <c r="DYM146" s="27"/>
      <c r="DYN146" s="27"/>
      <c r="DYO146" s="27"/>
      <c r="DYP146" s="27"/>
      <c r="DYQ146" s="27"/>
      <c r="DYR146" s="27"/>
      <c r="DYS146" s="27"/>
      <c r="DYT146" s="27"/>
      <c r="DYU146" s="27"/>
      <c r="DYV146" s="27"/>
      <c r="DYW146" s="27"/>
      <c r="DYX146" s="27"/>
      <c r="DYY146" s="27"/>
      <c r="DYZ146" s="27"/>
      <c r="DZA146" s="27"/>
      <c r="DZB146" s="27"/>
      <c r="DZC146" s="27"/>
      <c r="DZD146" s="27"/>
      <c r="DZE146" s="27"/>
      <c r="DZF146" s="27"/>
      <c r="DZG146" s="27"/>
      <c r="DZH146" s="27"/>
      <c r="DZI146" s="27"/>
      <c r="DZJ146" s="27"/>
      <c r="DZK146" s="27"/>
      <c r="DZL146" s="27"/>
      <c r="DZM146" s="27"/>
      <c r="DZN146" s="27"/>
      <c r="DZO146" s="27"/>
      <c r="DZP146" s="27"/>
      <c r="DZQ146" s="27"/>
      <c r="DZR146" s="27"/>
      <c r="DZS146" s="27"/>
      <c r="DZT146" s="27"/>
      <c r="DZU146" s="27"/>
      <c r="DZV146" s="27"/>
      <c r="DZW146" s="27"/>
      <c r="DZX146" s="27"/>
      <c r="DZY146" s="27"/>
      <c r="DZZ146" s="27"/>
      <c r="EAA146" s="27"/>
      <c r="EAB146" s="27"/>
      <c r="EAC146" s="27"/>
      <c r="EAD146" s="27"/>
      <c r="EAE146" s="27"/>
      <c r="EAF146" s="27"/>
      <c r="EAG146" s="27"/>
      <c r="EAH146" s="27"/>
      <c r="EAI146" s="27"/>
      <c r="EAJ146" s="27"/>
      <c r="EAK146" s="27"/>
      <c r="EAL146" s="27"/>
      <c r="EAM146" s="27"/>
      <c r="EAN146" s="27"/>
      <c r="EAO146" s="27"/>
      <c r="EAP146" s="27"/>
      <c r="EAQ146" s="27"/>
      <c r="EAR146" s="27"/>
      <c r="EAS146" s="27"/>
      <c r="EAT146" s="27"/>
      <c r="EAU146" s="27"/>
      <c r="EAV146" s="27"/>
      <c r="EAW146" s="27"/>
      <c r="EAX146" s="27"/>
      <c r="EAY146" s="27"/>
      <c r="EAZ146" s="27"/>
      <c r="EBA146" s="27"/>
      <c r="EBB146" s="27"/>
      <c r="EBC146" s="27"/>
      <c r="EBD146" s="27"/>
      <c r="EBE146" s="27"/>
      <c r="EBF146" s="27"/>
      <c r="EBG146" s="27"/>
      <c r="EBH146" s="27"/>
      <c r="EBI146" s="27"/>
      <c r="EBJ146" s="27"/>
      <c r="EBK146" s="27"/>
      <c r="EBL146" s="27"/>
      <c r="EBM146" s="27"/>
      <c r="EBN146" s="27"/>
      <c r="EBO146" s="27"/>
      <c r="EBP146" s="27"/>
      <c r="EBQ146" s="27"/>
      <c r="EBR146" s="27"/>
      <c r="EBS146" s="27"/>
      <c r="EBT146" s="27"/>
      <c r="EBU146" s="27"/>
      <c r="EBV146" s="27"/>
      <c r="EBW146" s="27"/>
      <c r="EBX146" s="27"/>
      <c r="EBY146" s="27"/>
      <c r="EBZ146" s="27"/>
      <c r="ECA146" s="27"/>
      <c r="ECB146" s="27"/>
      <c r="ECC146" s="27"/>
      <c r="ECD146" s="27"/>
      <c r="ECE146" s="27"/>
      <c r="ECF146" s="27"/>
      <c r="ECG146" s="27"/>
      <c r="ECH146" s="27"/>
      <c r="ECI146" s="27"/>
      <c r="ECJ146" s="27"/>
      <c r="ECK146" s="27"/>
      <c r="ECL146" s="27"/>
      <c r="ECM146" s="27"/>
      <c r="ECN146" s="27"/>
      <c r="ECO146" s="27"/>
      <c r="ECP146" s="27"/>
      <c r="ECQ146" s="27"/>
      <c r="ECR146" s="27"/>
      <c r="ECS146" s="27"/>
      <c r="ECT146" s="27"/>
      <c r="ECU146" s="27"/>
      <c r="ECV146" s="27"/>
      <c r="ECW146" s="27"/>
      <c r="ECX146" s="27"/>
      <c r="ECY146" s="27"/>
      <c r="ECZ146" s="27"/>
      <c r="EDA146" s="27"/>
      <c r="EDB146" s="27"/>
      <c r="EDC146" s="27"/>
      <c r="EDD146" s="27"/>
      <c r="EDE146" s="27"/>
      <c r="EDF146" s="27"/>
      <c r="EDG146" s="27"/>
      <c r="EDH146" s="27"/>
      <c r="EDI146" s="27"/>
      <c r="EDJ146" s="27"/>
      <c r="EDK146" s="27"/>
      <c r="EDL146" s="27"/>
      <c r="EDM146" s="27"/>
      <c r="EDN146" s="27"/>
      <c r="EDO146" s="27"/>
      <c r="EDP146" s="27"/>
      <c r="EDQ146" s="27"/>
      <c r="EDR146" s="27"/>
      <c r="EDS146" s="27"/>
      <c r="EDT146" s="27"/>
      <c r="EDU146" s="27"/>
      <c r="EDV146" s="27"/>
      <c r="EDW146" s="27"/>
      <c r="EDX146" s="27"/>
      <c r="EDY146" s="27"/>
      <c r="EDZ146" s="27"/>
      <c r="EEA146" s="27"/>
      <c r="EEB146" s="27"/>
      <c r="EEC146" s="27"/>
      <c r="EED146" s="27"/>
      <c r="EEE146" s="27"/>
      <c r="EEF146" s="27"/>
      <c r="EEG146" s="27"/>
      <c r="EEH146" s="27"/>
      <c r="EEI146" s="27"/>
      <c r="EEJ146" s="27"/>
      <c r="EEK146" s="27"/>
      <c r="EEL146" s="27"/>
      <c r="EEM146" s="27"/>
      <c r="EEN146" s="27"/>
      <c r="EEO146" s="27"/>
      <c r="EEP146" s="27"/>
      <c r="EEQ146" s="27"/>
      <c r="EER146" s="27"/>
      <c r="EES146" s="27"/>
      <c r="EET146" s="27"/>
      <c r="EEU146" s="27"/>
      <c r="EEV146" s="27"/>
      <c r="EEW146" s="27"/>
      <c r="EEX146" s="27"/>
      <c r="EEY146" s="27"/>
      <c r="EEZ146" s="27"/>
      <c r="EFA146" s="27"/>
      <c r="EFB146" s="27"/>
      <c r="EFC146" s="27"/>
      <c r="EFD146" s="27"/>
      <c r="EFE146" s="27"/>
      <c r="EFF146" s="27"/>
      <c r="EFG146" s="27"/>
      <c r="EFH146" s="27"/>
      <c r="EFI146" s="27"/>
      <c r="EFJ146" s="27"/>
      <c r="EFK146" s="27"/>
      <c r="EFL146" s="27"/>
      <c r="EFM146" s="27"/>
      <c r="EFN146" s="27"/>
      <c r="EFO146" s="27"/>
      <c r="EFP146" s="27"/>
      <c r="EFQ146" s="27"/>
      <c r="EFR146" s="27"/>
      <c r="EFS146" s="27"/>
      <c r="EFT146" s="27"/>
      <c r="EFU146" s="27"/>
      <c r="EFV146" s="27"/>
      <c r="EFW146" s="27"/>
      <c r="EFX146" s="27"/>
      <c r="EFY146" s="27"/>
      <c r="EFZ146" s="27"/>
      <c r="EGA146" s="27"/>
      <c r="EGB146" s="27"/>
      <c r="EGC146" s="27"/>
      <c r="EGD146" s="27"/>
      <c r="EGE146" s="27"/>
      <c r="EGF146" s="27"/>
      <c r="EGG146" s="27"/>
      <c r="EGH146" s="27"/>
      <c r="EGI146" s="27"/>
      <c r="EGJ146" s="27"/>
      <c r="EGK146" s="27"/>
      <c r="EGL146" s="27"/>
      <c r="EGM146" s="27"/>
      <c r="EGN146" s="27"/>
      <c r="EGO146" s="27"/>
      <c r="EGP146" s="27"/>
      <c r="EGQ146" s="27"/>
      <c r="EGR146" s="27"/>
      <c r="EGS146" s="27"/>
      <c r="EGT146" s="27"/>
      <c r="EGU146" s="27"/>
      <c r="EGV146" s="27"/>
      <c r="EGW146" s="27"/>
      <c r="EGX146" s="27"/>
      <c r="EGY146" s="27"/>
      <c r="EGZ146" s="27"/>
      <c r="EHA146" s="27"/>
      <c r="EHB146" s="27"/>
      <c r="EHC146" s="27"/>
      <c r="EHD146" s="27"/>
      <c r="EHE146" s="27"/>
      <c r="EHF146" s="27"/>
      <c r="EHG146" s="27"/>
      <c r="EHH146" s="27"/>
      <c r="EHI146" s="27"/>
      <c r="EHJ146" s="27"/>
      <c r="EHK146" s="27"/>
      <c r="EHL146" s="27"/>
      <c r="EHM146" s="27"/>
      <c r="EHN146" s="27"/>
      <c r="EHO146" s="27"/>
      <c r="EHP146" s="27"/>
      <c r="EHQ146" s="27"/>
      <c r="EHR146" s="27"/>
      <c r="EHS146" s="27"/>
      <c r="EHT146" s="27"/>
      <c r="EHU146" s="27"/>
      <c r="EHV146" s="27"/>
      <c r="EHW146" s="27"/>
      <c r="EHX146" s="27"/>
      <c r="EHY146" s="27"/>
      <c r="EHZ146" s="27"/>
      <c r="EIA146" s="27"/>
      <c r="EIB146" s="27"/>
      <c r="EIC146" s="27"/>
      <c r="EID146" s="27"/>
      <c r="EIE146" s="27"/>
      <c r="EIF146" s="27"/>
      <c r="EIG146" s="27"/>
      <c r="EIH146" s="27"/>
      <c r="EII146" s="27"/>
      <c r="EIJ146" s="27"/>
      <c r="EIK146" s="27"/>
      <c r="EIL146" s="27"/>
      <c r="EIM146" s="27"/>
      <c r="EIN146" s="27"/>
      <c r="EIO146" s="27"/>
      <c r="EIP146" s="27"/>
      <c r="EIQ146" s="27"/>
      <c r="EIR146" s="27"/>
      <c r="EIS146" s="27"/>
      <c r="EIT146" s="27"/>
      <c r="EIU146" s="27"/>
      <c r="EIV146" s="27"/>
      <c r="EIW146" s="27"/>
      <c r="EIX146" s="27"/>
      <c r="EIY146" s="27"/>
      <c r="EIZ146" s="27"/>
      <c r="EJA146" s="27"/>
      <c r="EJB146" s="27"/>
      <c r="EJC146" s="27"/>
      <c r="EJD146" s="27"/>
      <c r="EJE146" s="27"/>
      <c r="EJF146" s="27"/>
      <c r="EJG146" s="27"/>
      <c r="EJH146" s="27"/>
      <c r="EJI146" s="27"/>
      <c r="EJJ146" s="27"/>
      <c r="EJK146" s="27"/>
      <c r="EJL146" s="27"/>
      <c r="EJM146" s="27"/>
      <c r="EJN146" s="27"/>
      <c r="EJO146" s="27"/>
      <c r="EJP146" s="27"/>
      <c r="EJQ146" s="27"/>
      <c r="EJR146" s="27"/>
      <c r="EJS146" s="27"/>
      <c r="EJT146" s="27"/>
      <c r="EJU146" s="27"/>
      <c r="EJV146" s="27"/>
      <c r="EJW146" s="27"/>
      <c r="EJX146" s="27"/>
      <c r="EJY146" s="27"/>
      <c r="EJZ146" s="27"/>
      <c r="EKA146" s="27"/>
      <c r="EKB146" s="27"/>
      <c r="EKC146" s="27"/>
      <c r="EKD146" s="27"/>
      <c r="EKE146" s="27"/>
      <c r="EKF146" s="27"/>
      <c r="EKG146" s="27"/>
      <c r="EKH146" s="27"/>
      <c r="EKI146" s="27"/>
      <c r="EKJ146" s="27"/>
      <c r="EKK146" s="27"/>
      <c r="EKL146" s="27"/>
      <c r="EKM146" s="27"/>
      <c r="EKN146" s="27"/>
      <c r="EKO146" s="27"/>
      <c r="EKP146" s="27"/>
      <c r="EKQ146" s="27"/>
      <c r="EKR146" s="27"/>
      <c r="EKS146" s="27"/>
      <c r="EKT146" s="27"/>
      <c r="EKU146" s="27"/>
      <c r="EKV146" s="27"/>
      <c r="EKW146" s="27"/>
      <c r="EKX146" s="27"/>
      <c r="EKY146" s="27"/>
      <c r="EKZ146" s="27"/>
      <c r="ELA146" s="27"/>
      <c r="ELB146" s="27"/>
      <c r="ELC146" s="27"/>
      <c r="ELD146" s="27"/>
      <c r="ELE146" s="27"/>
      <c r="ELF146" s="27"/>
      <c r="ELG146" s="27"/>
      <c r="ELH146" s="27"/>
      <c r="ELI146" s="27"/>
      <c r="ELJ146" s="27"/>
      <c r="ELK146" s="27"/>
      <c r="ELL146" s="27"/>
      <c r="ELM146" s="27"/>
      <c r="ELN146" s="27"/>
      <c r="ELO146" s="27"/>
      <c r="ELP146" s="27"/>
      <c r="ELQ146" s="27"/>
      <c r="ELR146" s="27"/>
      <c r="ELS146" s="27"/>
      <c r="ELT146" s="27"/>
      <c r="ELU146" s="27"/>
      <c r="ELV146" s="27"/>
      <c r="ELW146" s="27"/>
      <c r="ELX146" s="27"/>
      <c r="ELY146" s="27"/>
      <c r="ELZ146" s="27"/>
      <c r="EMA146" s="27"/>
      <c r="EMB146" s="27"/>
      <c r="EMC146" s="27"/>
      <c r="EMD146" s="27"/>
      <c r="EME146" s="27"/>
      <c r="EMF146" s="27"/>
      <c r="EMG146" s="27"/>
      <c r="EMH146" s="27"/>
      <c r="EMI146" s="27"/>
      <c r="EMJ146" s="27"/>
      <c r="EMK146" s="27"/>
      <c r="EML146" s="27"/>
      <c r="EMM146" s="27"/>
      <c r="EMN146" s="27"/>
      <c r="EMO146" s="27"/>
      <c r="EMP146" s="27"/>
      <c r="EMQ146" s="27"/>
      <c r="EMR146" s="27"/>
      <c r="EMS146" s="27"/>
      <c r="EMT146" s="27"/>
      <c r="EMU146" s="27"/>
      <c r="EMV146" s="27"/>
      <c r="EMW146" s="27"/>
      <c r="EMX146" s="27"/>
      <c r="EMY146" s="27"/>
      <c r="EMZ146" s="27"/>
      <c r="ENA146" s="27"/>
      <c r="ENB146" s="27"/>
      <c r="ENC146" s="27"/>
      <c r="END146" s="27"/>
      <c r="ENE146" s="27"/>
      <c r="ENF146" s="27"/>
      <c r="ENG146" s="27"/>
      <c r="ENH146" s="27"/>
      <c r="ENI146" s="27"/>
      <c r="ENJ146" s="27"/>
      <c r="ENK146" s="27"/>
      <c r="ENL146" s="27"/>
      <c r="ENM146" s="27"/>
      <c r="ENN146" s="27"/>
      <c r="ENO146" s="27"/>
      <c r="ENP146" s="27"/>
      <c r="ENQ146" s="27"/>
      <c r="ENR146" s="27"/>
      <c r="ENS146" s="27"/>
      <c r="ENT146" s="27"/>
      <c r="ENU146" s="27"/>
      <c r="ENV146" s="27"/>
      <c r="ENW146" s="27"/>
      <c r="ENX146" s="27"/>
      <c r="ENY146" s="27"/>
      <c r="ENZ146" s="27"/>
      <c r="EOA146" s="27"/>
      <c r="EOB146" s="27"/>
      <c r="EOC146" s="27"/>
      <c r="EOD146" s="27"/>
      <c r="EOE146" s="27"/>
      <c r="EOF146" s="27"/>
      <c r="EOG146" s="27"/>
      <c r="EOH146" s="27"/>
      <c r="EOI146" s="27"/>
      <c r="EOJ146" s="27"/>
      <c r="EOK146" s="27"/>
      <c r="EOL146" s="27"/>
      <c r="EOM146" s="27"/>
      <c r="EON146" s="27"/>
      <c r="EOO146" s="27"/>
      <c r="EOP146" s="27"/>
      <c r="EOQ146" s="27"/>
      <c r="EOR146" s="27"/>
      <c r="EOS146" s="27"/>
      <c r="EOT146" s="27"/>
      <c r="EOU146" s="27"/>
      <c r="EOV146" s="27"/>
      <c r="EOW146" s="27"/>
      <c r="EOX146" s="27"/>
      <c r="EOY146" s="27"/>
      <c r="EOZ146" s="27"/>
      <c r="EPA146" s="27"/>
      <c r="EPB146" s="27"/>
      <c r="EPC146" s="27"/>
      <c r="EPD146" s="27"/>
      <c r="EPE146" s="27"/>
      <c r="EPF146" s="27"/>
      <c r="EPG146" s="27"/>
      <c r="EPH146" s="27"/>
      <c r="EPI146" s="27"/>
      <c r="EPJ146" s="27"/>
      <c r="EPK146" s="27"/>
      <c r="EPL146" s="27"/>
      <c r="EPM146" s="27"/>
      <c r="EPN146" s="27"/>
      <c r="EPO146" s="27"/>
      <c r="EPP146" s="27"/>
      <c r="EPQ146" s="27"/>
      <c r="EPR146" s="27"/>
      <c r="EPS146" s="27"/>
      <c r="EPT146" s="27"/>
      <c r="EPU146" s="27"/>
      <c r="EPV146" s="27"/>
      <c r="EPW146" s="27"/>
      <c r="EPX146" s="27"/>
      <c r="EPY146" s="27"/>
      <c r="EPZ146" s="27"/>
      <c r="EQA146" s="27"/>
      <c r="EQB146" s="27"/>
      <c r="EQC146" s="27"/>
      <c r="EQD146" s="27"/>
      <c r="EQE146" s="27"/>
      <c r="EQF146" s="27"/>
      <c r="EQG146" s="27"/>
      <c r="EQH146" s="27"/>
      <c r="EQI146" s="27"/>
      <c r="EQJ146" s="27"/>
      <c r="EQK146" s="27"/>
      <c r="EQL146" s="27"/>
      <c r="EQM146" s="27"/>
      <c r="EQN146" s="27"/>
      <c r="EQO146" s="27"/>
      <c r="EQP146" s="27"/>
      <c r="EQQ146" s="27"/>
      <c r="EQR146" s="27"/>
      <c r="EQS146" s="27"/>
      <c r="EQT146" s="27"/>
      <c r="EQU146" s="27"/>
      <c r="EQV146" s="27"/>
      <c r="EQW146" s="27"/>
      <c r="EQX146" s="27"/>
      <c r="EQY146" s="27"/>
      <c r="EQZ146" s="27"/>
      <c r="ERA146" s="27"/>
      <c r="ERB146" s="27"/>
      <c r="ERC146" s="27"/>
      <c r="ERD146" s="27"/>
      <c r="ERE146" s="27"/>
      <c r="ERF146" s="27"/>
      <c r="ERG146" s="27"/>
      <c r="ERH146" s="27"/>
      <c r="ERI146" s="27"/>
      <c r="ERJ146" s="27"/>
      <c r="ERK146" s="27"/>
      <c r="ERL146" s="27"/>
      <c r="ERM146" s="27"/>
      <c r="ERN146" s="27"/>
      <c r="ERO146" s="27"/>
      <c r="ERP146" s="27"/>
      <c r="ERQ146" s="27"/>
      <c r="ERR146" s="27"/>
      <c r="ERS146" s="27"/>
      <c r="ERT146" s="27"/>
      <c r="ERU146" s="27"/>
      <c r="ERV146" s="27"/>
      <c r="ERW146" s="27"/>
      <c r="ERX146" s="27"/>
      <c r="ERY146" s="27"/>
      <c r="ERZ146" s="27"/>
      <c r="ESA146" s="27"/>
      <c r="ESB146" s="27"/>
      <c r="ESC146" s="27"/>
      <c r="ESD146" s="27"/>
      <c r="ESE146" s="27"/>
      <c r="ESF146" s="27"/>
      <c r="ESG146" s="27"/>
      <c r="ESH146" s="27"/>
      <c r="ESI146" s="27"/>
      <c r="ESJ146" s="27"/>
      <c r="ESK146" s="27"/>
      <c r="ESL146" s="27"/>
      <c r="ESM146" s="27"/>
      <c r="ESN146" s="27"/>
      <c r="ESO146" s="27"/>
      <c r="ESP146" s="27"/>
      <c r="ESQ146" s="27"/>
      <c r="ESR146" s="27"/>
      <c r="ESS146" s="27"/>
      <c r="EST146" s="27"/>
      <c r="ESU146" s="27"/>
      <c r="ESV146" s="27"/>
      <c r="ESW146" s="27"/>
      <c r="ESX146" s="27"/>
      <c r="ESY146" s="27"/>
      <c r="ESZ146" s="27"/>
      <c r="ETA146" s="27"/>
      <c r="ETB146" s="27"/>
      <c r="ETC146" s="27"/>
      <c r="ETD146" s="27"/>
      <c r="ETE146" s="27"/>
      <c r="ETF146" s="27"/>
      <c r="ETG146" s="27"/>
      <c r="ETH146" s="27"/>
      <c r="ETI146" s="27"/>
      <c r="ETJ146" s="27"/>
      <c r="ETK146" s="27"/>
      <c r="ETL146" s="27"/>
      <c r="ETM146" s="27"/>
      <c r="ETN146" s="27"/>
      <c r="ETO146" s="27"/>
      <c r="ETP146" s="27"/>
      <c r="ETQ146" s="27"/>
      <c r="ETR146" s="27"/>
      <c r="ETS146" s="27"/>
      <c r="ETT146" s="27"/>
      <c r="ETU146" s="27"/>
      <c r="ETV146" s="27"/>
      <c r="ETW146" s="27"/>
      <c r="ETX146" s="27"/>
      <c r="ETY146" s="27"/>
      <c r="ETZ146" s="27"/>
      <c r="EUA146" s="27"/>
      <c r="EUB146" s="27"/>
      <c r="EUC146" s="27"/>
      <c r="EUD146" s="27"/>
      <c r="EUE146" s="27"/>
      <c r="EUF146" s="27"/>
      <c r="EUG146" s="27"/>
      <c r="EUH146" s="27"/>
      <c r="EUI146" s="27"/>
      <c r="EUJ146" s="27"/>
      <c r="EUK146" s="27"/>
      <c r="EUL146" s="27"/>
      <c r="EUM146" s="27"/>
      <c r="EUN146" s="27"/>
      <c r="EUO146" s="27"/>
      <c r="EUP146" s="27"/>
      <c r="EUQ146" s="27"/>
      <c r="EUR146" s="27"/>
      <c r="EUS146" s="27"/>
      <c r="EUT146" s="27"/>
      <c r="EUU146" s="27"/>
      <c r="EUV146" s="27"/>
      <c r="EUW146" s="27"/>
      <c r="EUX146" s="27"/>
      <c r="EUY146" s="27"/>
      <c r="EUZ146" s="27"/>
      <c r="EVA146" s="27"/>
      <c r="EVB146" s="27"/>
      <c r="EVC146" s="27"/>
      <c r="EVD146" s="27"/>
      <c r="EVE146" s="27"/>
      <c r="EVF146" s="27"/>
      <c r="EVG146" s="27"/>
      <c r="EVH146" s="27"/>
      <c r="EVI146" s="27"/>
      <c r="EVJ146" s="27"/>
      <c r="EVK146" s="27"/>
      <c r="EVL146" s="27"/>
      <c r="EVM146" s="27"/>
      <c r="EVN146" s="27"/>
      <c r="EVO146" s="27"/>
      <c r="EVP146" s="27"/>
      <c r="EVQ146" s="27"/>
      <c r="EVR146" s="27"/>
      <c r="EVS146" s="27"/>
      <c r="EVT146" s="27"/>
      <c r="EVU146" s="27"/>
      <c r="EVV146" s="27"/>
      <c r="EVW146" s="27"/>
      <c r="EVX146" s="27"/>
      <c r="EVY146" s="27"/>
      <c r="EVZ146" s="27"/>
      <c r="EWA146" s="27"/>
      <c r="EWB146" s="27"/>
      <c r="EWC146" s="27"/>
      <c r="EWD146" s="27"/>
      <c r="EWE146" s="27"/>
      <c r="EWF146" s="27"/>
      <c r="EWG146" s="27"/>
      <c r="EWH146" s="27"/>
      <c r="EWI146" s="27"/>
      <c r="EWJ146" s="27"/>
      <c r="EWK146" s="27"/>
      <c r="EWL146" s="27"/>
      <c r="EWM146" s="27"/>
      <c r="EWN146" s="27"/>
      <c r="EWO146" s="27"/>
      <c r="EWP146" s="27"/>
      <c r="EWQ146" s="27"/>
      <c r="EWR146" s="27"/>
      <c r="EWS146" s="27"/>
      <c r="EWT146" s="27"/>
      <c r="EWU146" s="27"/>
      <c r="EWV146" s="27"/>
      <c r="EWW146" s="27"/>
      <c r="EWX146" s="27"/>
      <c r="EWY146" s="27"/>
      <c r="EWZ146" s="27"/>
      <c r="EXA146" s="27"/>
      <c r="EXB146" s="27"/>
      <c r="EXC146" s="27"/>
      <c r="EXD146" s="27"/>
      <c r="EXE146" s="27"/>
      <c r="EXF146" s="27"/>
      <c r="EXG146" s="27"/>
      <c r="EXH146" s="27"/>
      <c r="EXI146" s="27"/>
      <c r="EXJ146" s="27"/>
      <c r="EXK146" s="27"/>
      <c r="EXL146" s="27"/>
      <c r="EXM146" s="27"/>
      <c r="EXN146" s="27"/>
      <c r="EXO146" s="27"/>
      <c r="EXP146" s="27"/>
      <c r="EXQ146" s="27"/>
      <c r="EXR146" s="27"/>
      <c r="EXS146" s="27"/>
      <c r="EXT146" s="27"/>
      <c r="EXU146" s="27"/>
      <c r="EXV146" s="27"/>
      <c r="EXW146" s="27"/>
      <c r="EXX146" s="27"/>
      <c r="EXY146" s="27"/>
      <c r="EXZ146" s="27"/>
      <c r="EYA146" s="27"/>
      <c r="EYB146" s="27"/>
      <c r="EYC146" s="27"/>
      <c r="EYD146" s="27"/>
      <c r="EYE146" s="27"/>
      <c r="EYF146" s="27"/>
      <c r="EYG146" s="27"/>
      <c r="EYH146" s="27"/>
      <c r="EYI146" s="27"/>
      <c r="EYJ146" s="27"/>
      <c r="EYK146" s="27"/>
      <c r="EYL146" s="27"/>
      <c r="EYM146" s="27"/>
      <c r="EYN146" s="27"/>
      <c r="EYO146" s="27"/>
      <c r="EYP146" s="27"/>
      <c r="EYQ146" s="27"/>
      <c r="EYR146" s="27"/>
      <c r="EYS146" s="27"/>
      <c r="EYT146" s="27"/>
      <c r="EYU146" s="27"/>
      <c r="EYV146" s="27"/>
      <c r="EYW146" s="27"/>
      <c r="EYX146" s="27"/>
      <c r="EYY146" s="27"/>
      <c r="EYZ146" s="27"/>
      <c r="EZA146" s="27"/>
      <c r="EZB146" s="27"/>
      <c r="EZC146" s="27"/>
      <c r="EZD146" s="27"/>
      <c r="EZE146" s="27"/>
      <c r="EZF146" s="27"/>
      <c r="EZG146" s="27"/>
      <c r="EZH146" s="27"/>
      <c r="EZI146" s="27"/>
      <c r="EZJ146" s="27"/>
      <c r="EZK146" s="27"/>
      <c r="EZL146" s="27"/>
      <c r="EZM146" s="27"/>
      <c r="EZN146" s="27"/>
      <c r="EZO146" s="27"/>
      <c r="EZP146" s="27"/>
      <c r="EZQ146" s="27"/>
      <c r="EZR146" s="27"/>
      <c r="EZS146" s="27"/>
      <c r="EZT146" s="27"/>
      <c r="EZU146" s="27"/>
      <c r="EZV146" s="27"/>
      <c r="EZW146" s="27"/>
      <c r="EZX146" s="27"/>
      <c r="EZY146" s="27"/>
      <c r="EZZ146" s="27"/>
      <c r="FAA146" s="27"/>
      <c r="FAB146" s="27"/>
      <c r="FAC146" s="27"/>
      <c r="FAD146" s="27"/>
      <c r="FAE146" s="27"/>
      <c r="FAF146" s="27"/>
      <c r="FAG146" s="27"/>
      <c r="FAH146" s="27"/>
      <c r="FAI146" s="27"/>
      <c r="FAJ146" s="27"/>
      <c r="FAK146" s="27"/>
      <c r="FAL146" s="27"/>
      <c r="FAM146" s="27"/>
      <c r="FAN146" s="27"/>
      <c r="FAO146" s="27"/>
      <c r="FAP146" s="27"/>
      <c r="FAQ146" s="27"/>
      <c r="FAR146" s="27"/>
      <c r="FAS146" s="27"/>
      <c r="FAT146" s="27"/>
      <c r="FAU146" s="27"/>
      <c r="FAV146" s="27"/>
      <c r="FAW146" s="27"/>
      <c r="FAX146" s="27"/>
      <c r="FAY146" s="27"/>
      <c r="FAZ146" s="27"/>
      <c r="FBA146" s="27"/>
      <c r="FBB146" s="27"/>
      <c r="FBC146" s="27"/>
      <c r="FBD146" s="27"/>
      <c r="FBE146" s="27"/>
      <c r="FBF146" s="27"/>
      <c r="FBG146" s="27"/>
      <c r="FBH146" s="27"/>
      <c r="FBI146" s="27"/>
      <c r="FBJ146" s="27"/>
      <c r="FBK146" s="27"/>
      <c r="FBL146" s="27"/>
      <c r="FBM146" s="27"/>
      <c r="FBN146" s="27"/>
      <c r="FBO146" s="27"/>
      <c r="FBP146" s="27"/>
      <c r="FBQ146" s="27"/>
      <c r="FBR146" s="27"/>
      <c r="FBS146" s="27"/>
      <c r="FBT146" s="27"/>
      <c r="FBU146" s="27"/>
      <c r="FBV146" s="27"/>
      <c r="FBW146" s="27"/>
      <c r="FBX146" s="27"/>
      <c r="FBY146" s="27"/>
      <c r="FBZ146" s="27"/>
      <c r="FCA146" s="27"/>
      <c r="FCB146" s="27"/>
      <c r="FCC146" s="27"/>
      <c r="FCD146" s="27"/>
      <c r="FCE146" s="27"/>
      <c r="FCF146" s="27"/>
      <c r="FCG146" s="27"/>
      <c r="FCH146" s="27"/>
      <c r="FCI146" s="27"/>
      <c r="FCJ146" s="27"/>
      <c r="FCK146" s="27"/>
      <c r="FCL146" s="27"/>
      <c r="FCM146" s="27"/>
      <c r="FCN146" s="27"/>
      <c r="FCO146" s="27"/>
      <c r="FCP146" s="27"/>
      <c r="FCQ146" s="27"/>
      <c r="FCR146" s="27"/>
      <c r="FCS146" s="27"/>
      <c r="FCT146" s="27"/>
      <c r="FCU146" s="27"/>
      <c r="FCV146" s="27"/>
      <c r="FCW146" s="27"/>
      <c r="FCX146" s="27"/>
      <c r="FCY146" s="27"/>
      <c r="FCZ146" s="27"/>
      <c r="FDA146" s="27"/>
      <c r="FDB146" s="27"/>
      <c r="FDC146" s="27"/>
      <c r="FDD146" s="27"/>
      <c r="FDE146" s="27"/>
      <c r="FDF146" s="27"/>
      <c r="FDG146" s="27"/>
      <c r="FDH146" s="27"/>
      <c r="FDI146" s="27"/>
      <c r="FDJ146" s="27"/>
      <c r="FDK146" s="27"/>
      <c r="FDL146" s="27"/>
      <c r="FDM146" s="27"/>
      <c r="FDN146" s="27"/>
      <c r="FDO146" s="27"/>
      <c r="FDP146" s="27"/>
      <c r="FDQ146" s="27"/>
      <c r="FDR146" s="27"/>
      <c r="FDS146" s="27"/>
      <c r="FDT146" s="27"/>
      <c r="FDU146" s="27"/>
      <c r="FDV146" s="27"/>
      <c r="FDW146" s="27"/>
      <c r="FDX146" s="27"/>
      <c r="FDY146" s="27"/>
      <c r="FDZ146" s="27"/>
      <c r="FEA146" s="27"/>
      <c r="FEB146" s="27"/>
      <c r="FEC146" s="27"/>
      <c r="FED146" s="27"/>
      <c r="FEE146" s="27"/>
      <c r="FEF146" s="27"/>
      <c r="FEG146" s="27"/>
      <c r="FEH146" s="27"/>
      <c r="FEI146" s="27"/>
      <c r="FEJ146" s="27"/>
      <c r="FEK146" s="27"/>
      <c r="FEL146" s="27"/>
      <c r="FEM146" s="27"/>
      <c r="FEN146" s="27"/>
      <c r="FEO146" s="27"/>
      <c r="FEP146" s="27"/>
      <c r="FEQ146" s="27"/>
      <c r="FER146" s="27"/>
      <c r="FES146" s="27"/>
      <c r="FET146" s="27"/>
      <c r="FEU146" s="27"/>
      <c r="FEV146" s="27"/>
      <c r="FEW146" s="27"/>
      <c r="FEX146" s="27"/>
      <c r="FEY146" s="27"/>
      <c r="FEZ146" s="27"/>
      <c r="FFA146" s="27"/>
      <c r="FFB146" s="27"/>
      <c r="FFC146" s="27"/>
      <c r="FFD146" s="27"/>
      <c r="FFE146" s="27"/>
      <c r="FFF146" s="27"/>
      <c r="FFG146" s="27"/>
      <c r="FFH146" s="27"/>
      <c r="FFI146" s="27"/>
      <c r="FFJ146" s="27"/>
      <c r="FFK146" s="27"/>
      <c r="FFL146" s="27"/>
      <c r="FFM146" s="27"/>
      <c r="FFN146" s="27"/>
      <c r="FFO146" s="27"/>
      <c r="FFP146" s="27"/>
      <c r="FFQ146" s="27"/>
      <c r="FFR146" s="27"/>
      <c r="FFS146" s="27"/>
      <c r="FFT146" s="27"/>
      <c r="FFU146" s="27"/>
      <c r="FFV146" s="27"/>
      <c r="FFW146" s="27"/>
      <c r="FFX146" s="27"/>
      <c r="FFY146" s="27"/>
      <c r="FFZ146" s="27"/>
      <c r="FGA146" s="27"/>
      <c r="FGB146" s="27"/>
      <c r="FGC146" s="27"/>
      <c r="FGD146" s="27"/>
      <c r="FGE146" s="27"/>
      <c r="FGF146" s="27"/>
      <c r="FGG146" s="27"/>
      <c r="FGH146" s="27"/>
      <c r="FGI146" s="27"/>
      <c r="FGJ146" s="27"/>
      <c r="FGK146" s="27"/>
      <c r="FGL146" s="27"/>
      <c r="FGM146" s="27"/>
      <c r="FGN146" s="27"/>
      <c r="FGO146" s="27"/>
      <c r="FGP146" s="27"/>
      <c r="FGQ146" s="27"/>
      <c r="FGR146" s="27"/>
      <c r="FGS146" s="27"/>
      <c r="FGT146" s="27"/>
      <c r="FGU146" s="27"/>
      <c r="FGV146" s="27"/>
      <c r="FGW146" s="27"/>
      <c r="FGX146" s="27"/>
      <c r="FGY146" s="27"/>
      <c r="FGZ146" s="27"/>
      <c r="FHA146" s="27"/>
      <c r="FHB146" s="27"/>
      <c r="FHC146" s="27"/>
      <c r="FHD146" s="27"/>
      <c r="FHE146" s="27"/>
      <c r="FHF146" s="27"/>
      <c r="FHG146" s="27"/>
      <c r="FHH146" s="27"/>
      <c r="FHI146" s="27"/>
      <c r="FHJ146" s="27"/>
      <c r="FHK146" s="27"/>
      <c r="FHL146" s="27"/>
      <c r="FHM146" s="27"/>
      <c r="FHN146" s="27"/>
      <c r="FHO146" s="27"/>
      <c r="FHP146" s="27"/>
      <c r="FHQ146" s="27"/>
      <c r="FHR146" s="27"/>
      <c r="FHS146" s="27"/>
      <c r="FHT146" s="27"/>
      <c r="FHU146" s="27"/>
      <c r="FHV146" s="27"/>
      <c r="FHW146" s="27"/>
      <c r="FHX146" s="27"/>
      <c r="FHY146" s="27"/>
      <c r="FHZ146" s="27"/>
      <c r="FIA146" s="27"/>
      <c r="FIB146" s="27"/>
      <c r="FIC146" s="27"/>
      <c r="FID146" s="27"/>
      <c r="FIE146" s="27"/>
      <c r="FIF146" s="27"/>
      <c r="FIG146" s="27"/>
      <c r="FIH146" s="27"/>
      <c r="FII146" s="27"/>
      <c r="FIJ146" s="27"/>
      <c r="FIK146" s="27"/>
      <c r="FIL146" s="27"/>
      <c r="FIM146" s="27"/>
      <c r="FIN146" s="27"/>
      <c r="FIO146" s="27"/>
      <c r="FIP146" s="27"/>
      <c r="FIQ146" s="27"/>
      <c r="FIR146" s="27"/>
      <c r="FIS146" s="27"/>
      <c r="FIT146" s="27"/>
      <c r="FIU146" s="27"/>
      <c r="FIV146" s="27"/>
      <c r="FIW146" s="27"/>
      <c r="FIX146" s="27"/>
      <c r="FIY146" s="27"/>
      <c r="FIZ146" s="27"/>
      <c r="FJA146" s="27"/>
      <c r="FJB146" s="27"/>
      <c r="FJC146" s="27"/>
      <c r="FJD146" s="27"/>
      <c r="FJE146" s="27"/>
      <c r="FJF146" s="27"/>
      <c r="FJG146" s="27"/>
      <c r="FJH146" s="27"/>
      <c r="FJI146" s="27"/>
      <c r="FJJ146" s="27"/>
      <c r="FJK146" s="27"/>
      <c r="FJL146" s="27"/>
      <c r="FJM146" s="27"/>
      <c r="FJN146" s="27"/>
      <c r="FJO146" s="27"/>
      <c r="FJP146" s="27"/>
      <c r="FJQ146" s="27"/>
      <c r="FJR146" s="27"/>
      <c r="FJS146" s="27"/>
      <c r="FJT146" s="27"/>
      <c r="FJU146" s="27"/>
      <c r="FJV146" s="27"/>
      <c r="FJW146" s="27"/>
      <c r="FJX146" s="27"/>
      <c r="FJY146" s="27"/>
      <c r="FJZ146" s="27"/>
      <c r="FKA146" s="27"/>
      <c r="FKB146" s="27"/>
      <c r="FKC146" s="27"/>
      <c r="FKD146" s="27"/>
      <c r="FKE146" s="27"/>
      <c r="FKF146" s="27"/>
      <c r="FKG146" s="27"/>
      <c r="FKH146" s="27"/>
      <c r="FKI146" s="27"/>
      <c r="FKJ146" s="27"/>
      <c r="FKK146" s="27"/>
      <c r="FKL146" s="27"/>
      <c r="FKM146" s="27"/>
      <c r="FKN146" s="27"/>
      <c r="FKO146" s="27"/>
      <c r="FKP146" s="27"/>
      <c r="FKQ146" s="27"/>
      <c r="FKR146" s="27"/>
      <c r="FKS146" s="27"/>
      <c r="FKT146" s="27"/>
      <c r="FKU146" s="27"/>
      <c r="FKV146" s="27"/>
      <c r="FKW146" s="27"/>
      <c r="FKX146" s="27"/>
      <c r="FKY146" s="27"/>
      <c r="FKZ146" s="27"/>
      <c r="FLA146" s="27"/>
      <c r="FLB146" s="27"/>
      <c r="FLC146" s="27"/>
      <c r="FLD146" s="27"/>
      <c r="FLE146" s="27"/>
      <c r="FLF146" s="27"/>
      <c r="FLG146" s="27"/>
      <c r="FLH146" s="27"/>
      <c r="FLI146" s="27"/>
      <c r="FLJ146" s="27"/>
      <c r="FLK146" s="27"/>
      <c r="FLL146" s="27"/>
      <c r="FLM146" s="27"/>
      <c r="FLN146" s="27"/>
      <c r="FLO146" s="27"/>
      <c r="FLP146" s="27"/>
      <c r="FLQ146" s="27"/>
      <c r="FLR146" s="27"/>
      <c r="FLS146" s="27"/>
      <c r="FLT146" s="27"/>
      <c r="FLU146" s="27"/>
      <c r="FLV146" s="27"/>
      <c r="FLW146" s="27"/>
      <c r="FLX146" s="27"/>
      <c r="FLY146" s="27"/>
      <c r="FLZ146" s="27"/>
      <c r="FMA146" s="27"/>
      <c r="FMB146" s="27"/>
      <c r="FMC146" s="27"/>
      <c r="FMD146" s="27"/>
      <c r="FME146" s="27"/>
      <c r="FMF146" s="27"/>
      <c r="FMG146" s="27"/>
      <c r="FMH146" s="27"/>
      <c r="FMI146" s="27"/>
      <c r="FMJ146" s="27"/>
      <c r="FMK146" s="27"/>
      <c r="FML146" s="27"/>
      <c r="FMM146" s="27"/>
      <c r="FMN146" s="27"/>
      <c r="FMO146" s="27"/>
      <c r="FMP146" s="27"/>
      <c r="FMQ146" s="27"/>
      <c r="FMR146" s="27"/>
      <c r="FMS146" s="27"/>
      <c r="FMT146" s="27"/>
      <c r="FMU146" s="27"/>
      <c r="FMV146" s="27"/>
      <c r="FMW146" s="27"/>
      <c r="FMX146" s="27"/>
      <c r="FMY146" s="27"/>
      <c r="FMZ146" s="27"/>
      <c r="FNA146" s="27"/>
      <c r="FNB146" s="27"/>
      <c r="FNC146" s="27"/>
      <c r="FND146" s="27"/>
      <c r="FNE146" s="27"/>
      <c r="FNF146" s="27"/>
      <c r="FNG146" s="27"/>
      <c r="FNH146" s="27"/>
      <c r="FNI146" s="27"/>
      <c r="FNJ146" s="27"/>
      <c r="FNK146" s="27"/>
      <c r="FNL146" s="27"/>
      <c r="FNM146" s="27"/>
      <c r="FNN146" s="27"/>
      <c r="FNO146" s="27"/>
      <c r="FNP146" s="27"/>
      <c r="FNQ146" s="27"/>
      <c r="FNR146" s="27"/>
      <c r="FNS146" s="27"/>
      <c r="FNT146" s="27"/>
      <c r="FNU146" s="27"/>
      <c r="FNV146" s="27"/>
      <c r="FNW146" s="27"/>
      <c r="FNX146" s="27"/>
      <c r="FNY146" s="27"/>
      <c r="FNZ146" s="27"/>
      <c r="FOA146" s="27"/>
      <c r="FOB146" s="27"/>
      <c r="FOC146" s="27"/>
      <c r="FOD146" s="27"/>
      <c r="FOE146" s="27"/>
      <c r="FOF146" s="27"/>
      <c r="FOG146" s="27"/>
      <c r="FOH146" s="27"/>
      <c r="FOI146" s="27"/>
      <c r="FOJ146" s="27"/>
      <c r="FOK146" s="27"/>
      <c r="FOL146" s="27"/>
      <c r="FOM146" s="27"/>
      <c r="FON146" s="27"/>
      <c r="FOO146" s="27"/>
      <c r="FOP146" s="27"/>
      <c r="FOQ146" s="27"/>
      <c r="FOR146" s="27"/>
      <c r="FOS146" s="27"/>
      <c r="FOT146" s="27"/>
      <c r="FOU146" s="27"/>
      <c r="FOV146" s="27"/>
      <c r="FOW146" s="27"/>
      <c r="FOX146" s="27"/>
      <c r="FOY146" s="27"/>
      <c r="FOZ146" s="27"/>
      <c r="FPA146" s="27"/>
      <c r="FPB146" s="27"/>
      <c r="FPC146" s="27"/>
      <c r="FPD146" s="27"/>
      <c r="FPE146" s="27"/>
      <c r="FPF146" s="27"/>
      <c r="FPG146" s="27"/>
      <c r="FPH146" s="27"/>
      <c r="FPI146" s="27"/>
      <c r="FPJ146" s="27"/>
      <c r="FPK146" s="27"/>
      <c r="FPL146" s="27"/>
      <c r="FPM146" s="27"/>
      <c r="FPN146" s="27"/>
      <c r="FPO146" s="27"/>
      <c r="FPP146" s="27"/>
      <c r="FPQ146" s="27"/>
      <c r="FPR146" s="27"/>
      <c r="FPS146" s="27"/>
      <c r="FPT146" s="27"/>
      <c r="FPU146" s="27"/>
      <c r="FPV146" s="27"/>
      <c r="FPW146" s="27"/>
      <c r="FPX146" s="27"/>
      <c r="FPY146" s="27"/>
      <c r="FPZ146" s="27"/>
      <c r="FQA146" s="27"/>
      <c r="FQB146" s="27"/>
      <c r="FQC146" s="27"/>
      <c r="FQD146" s="27"/>
      <c r="FQE146" s="27"/>
      <c r="FQF146" s="27"/>
      <c r="FQG146" s="27"/>
      <c r="FQH146" s="27"/>
      <c r="FQI146" s="27"/>
      <c r="FQJ146" s="27"/>
      <c r="FQK146" s="27"/>
      <c r="FQL146" s="27"/>
      <c r="FQM146" s="27"/>
      <c r="FQN146" s="27"/>
      <c r="FQO146" s="27"/>
      <c r="FQP146" s="27"/>
      <c r="FQQ146" s="27"/>
      <c r="FQR146" s="27"/>
      <c r="FQS146" s="27"/>
      <c r="FQT146" s="27"/>
      <c r="FQU146" s="27"/>
      <c r="FQV146" s="27"/>
      <c r="FQW146" s="27"/>
      <c r="FQX146" s="27"/>
      <c r="FQY146" s="27"/>
      <c r="FQZ146" s="27"/>
      <c r="FRA146" s="27"/>
      <c r="FRB146" s="27"/>
      <c r="FRC146" s="27"/>
      <c r="FRD146" s="27"/>
      <c r="FRE146" s="27"/>
      <c r="FRF146" s="27"/>
      <c r="FRG146" s="27"/>
      <c r="FRH146" s="27"/>
      <c r="FRI146" s="27"/>
      <c r="FRJ146" s="27"/>
      <c r="FRK146" s="27"/>
      <c r="FRL146" s="27"/>
      <c r="FRM146" s="27"/>
      <c r="FRN146" s="27"/>
      <c r="FRO146" s="27"/>
      <c r="FRP146" s="27"/>
      <c r="FRQ146" s="27"/>
      <c r="FRR146" s="27"/>
      <c r="FRS146" s="27"/>
      <c r="FRT146" s="27"/>
      <c r="FRU146" s="27"/>
      <c r="FRV146" s="27"/>
      <c r="FRW146" s="27"/>
      <c r="FRX146" s="27"/>
      <c r="FRY146" s="27"/>
      <c r="FRZ146" s="27"/>
      <c r="FSA146" s="27"/>
      <c r="FSB146" s="27"/>
      <c r="FSC146" s="27"/>
      <c r="FSD146" s="27"/>
      <c r="FSE146" s="27"/>
      <c r="FSF146" s="27"/>
      <c r="FSG146" s="27"/>
      <c r="FSH146" s="27"/>
      <c r="FSI146" s="27"/>
      <c r="FSJ146" s="27"/>
      <c r="FSK146" s="27"/>
      <c r="FSL146" s="27"/>
      <c r="FSM146" s="27"/>
      <c r="FSN146" s="27"/>
      <c r="FSO146" s="27"/>
      <c r="FSP146" s="27"/>
      <c r="FSQ146" s="27"/>
      <c r="FSR146" s="27"/>
      <c r="FSS146" s="27"/>
      <c r="FST146" s="27"/>
      <c r="FSU146" s="27"/>
      <c r="FSV146" s="27"/>
      <c r="FSW146" s="27"/>
      <c r="FSX146" s="27"/>
      <c r="FSY146" s="27"/>
      <c r="FSZ146" s="27"/>
      <c r="FTA146" s="27"/>
      <c r="FTB146" s="27"/>
      <c r="FTC146" s="27"/>
      <c r="FTD146" s="27"/>
      <c r="FTE146" s="27"/>
      <c r="FTF146" s="27"/>
      <c r="FTG146" s="27"/>
      <c r="FTH146" s="27"/>
      <c r="FTI146" s="27"/>
      <c r="FTJ146" s="27"/>
      <c r="FTK146" s="27"/>
      <c r="FTL146" s="27"/>
      <c r="FTM146" s="27"/>
      <c r="FTN146" s="27"/>
      <c r="FTO146" s="27"/>
      <c r="FTP146" s="27"/>
      <c r="FTQ146" s="27"/>
      <c r="FTR146" s="27"/>
      <c r="FTS146" s="27"/>
      <c r="FTT146" s="27"/>
      <c r="FTU146" s="27"/>
      <c r="FTV146" s="27"/>
      <c r="FTW146" s="27"/>
      <c r="FTX146" s="27"/>
      <c r="FTY146" s="27"/>
      <c r="FTZ146" s="27"/>
      <c r="FUA146" s="27"/>
      <c r="FUB146" s="27"/>
      <c r="FUC146" s="27"/>
      <c r="FUD146" s="27"/>
      <c r="FUE146" s="27"/>
      <c r="FUF146" s="27"/>
      <c r="FUG146" s="27"/>
      <c r="FUH146" s="27"/>
      <c r="FUI146" s="27"/>
      <c r="FUJ146" s="27"/>
      <c r="FUK146" s="27"/>
      <c r="FUL146" s="27"/>
      <c r="FUM146" s="27"/>
      <c r="FUN146" s="27"/>
      <c r="FUO146" s="27"/>
      <c r="FUP146" s="27"/>
      <c r="FUQ146" s="27"/>
      <c r="FUR146" s="27"/>
      <c r="FUS146" s="27"/>
      <c r="FUT146" s="27"/>
      <c r="FUU146" s="27"/>
      <c r="FUV146" s="27"/>
      <c r="FUW146" s="27"/>
      <c r="FUX146" s="27"/>
      <c r="FUY146" s="27"/>
      <c r="FUZ146" s="27"/>
      <c r="FVA146" s="27"/>
      <c r="FVB146" s="27"/>
      <c r="FVC146" s="27"/>
      <c r="FVD146" s="27"/>
      <c r="FVE146" s="27"/>
      <c r="FVF146" s="27"/>
      <c r="FVG146" s="27"/>
      <c r="FVH146" s="27"/>
      <c r="FVI146" s="27"/>
      <c r="FVJ146" s="27"/>
      <c r="FVK146" s="27"/>
      <c r="FVL146" s="27"/>
      <c r="FVM146" s="27"/>
      <c r="FVN146" s="27"/>
      <c r="FVO146" s="27"/>
      <c r="FVP146" s="27"/>
      <c r="FVQ146" s="27"/>
      <c r="FVR146" s="27"/>
      <c r="FVS146" s="27"/>
      <c r="FVT146" s="27"/>
      <c r="FVU146" s="27"/>
      <c r="FVV146" s="27"/>
      <c r="FVW146" s="27"/>
      <c r="FVX146" s="27"/>
      <c r="FVY146" s="27"/>
      <c r="FVZ146" s="27"/>
      <c r="FWA146" s="27"/>
      <c r="FWB146" s="27"/>
      <c r="FWC146" s="27"/>
      <c r="FWD146" s="27"/>
      <c r="FWE146" s="27"/>
      <c r="FWF146" s="27"/>
      <c r="FWG146" s="27"/>
      <c r="FWH146" s="27"/>
      <c r="FWI146" s="27"/>
      <c r="FWJ146" s="27"/>
      <c r="FWK146" s="27"/>
      <c r="FWL146" s="27"/>
      <c r="FWM146" s="27"/>
      <c r="FWN146" s="27"/>
      <c r="FWO146" s="27"/>
      <c r="FWP146" s="27"/>
      <c r="FWQ146" s="27"/>
      <c r="FWR146" s="27"/>
      <c r="FWS146" s="27"/>
      <c r="FWT146" s="27"/>
      <c r="FWU146" s="27"/>
      <c r="FWV146" s="27"/>
      <c r="FWW146" s="27"/>
      <c r="FWX146" s="27"/>
      <c r="FWY146" s="27"/>
      <c r="FWZ146" s="27"/>
      <c r="FXA146" s="27"/>
      <c r="FXB146" s="27"/>
      <c r="FXC146" s="27"/>
      <c r="FXD146" s="27"/>
      <c r="FXE146" s="27"/>
      <c r="FXF146" s="27"/>
      <c r="FXG146" s="27"/>
      <c r="FXH146" s="27"/>
      <c r="FXI146" s="27"/>
      <c r="FXJ146" s="27"/>
      <c r="FXK146" s="27"/>
      <c r="FXL146" s="27"/>
      <c r="FXM146" s="27"/>
      <c r="FXN146" s="27"/>
      <c r="FXO146" s="27"/>
      <c r="FXP146" s="27"/>
      <c r="FXQ146" s="27"/>
      <c r="FXR146" s="27"/>
      <c r="FXS146" s="27"/>
      <c r="FXT146" s="27"/>
      <c r="FXU146" s="27"/>
      <c r="FXV146" s="27"/>
      <c r="FXW146" s="27"/>
      <c r="FXX146" s="27"/>
      <c r="FXY146" s="27"/>
      <c r="FXZ146" s="27"/>
      <c r="FYA146" s="27"/>
      <c r="FYB146" s="27"/>
      <c r="FYC146" s="27"/>
      <c r="FYD146" s="27"/>
      <c r="FYE146" s="27"/>
      <c r="FYF146" s="27"/>
      <c r="FYG146" s="27"/>
      <c r="FYH146" s="27"/>
      <c r="FYI146" s="27"/>
      <c r="FYJ146" s="27"/>
      <c r="FYK146" s="27"/>
      <c r="FYL146" s="27"/>
      <c r="FYM146" s="27"/>
      <c r="FYN146" s="27"/>
      <c r="FYO146" s="27"/>
      <c r="FYP146" s="27"/>
      <c r="FYQ146" s="27"/>
      <c r="FYR146" s="27"/>
      <c r="FYS146" s="27"/>
      <c r="FYT146" s="27"/>
      <c r="FYU146" s="27"/>
      <c r="FYV146" s="27"/>
      <c r="FYW146" s="27"/>
      <c r="FYX146" s="27"/>
      <c r="FYY146" s="27"/>
      <c r="FYZ146" s="27"/>
      <c r="FZA146" s="27"/>
      <c r="FZB146" s="27"/>
      <c r="FZC146" s="27"/>
      <c r="FZD146" s="27"/>
      <c r="FZE146" s="27"/>
      <c r="FZF146" s="27"/>
      <c r="FZG146" s="27"/>
      <c r="FZH146" s="27"/>
      <c r="FZI146" s="27"/>
      <c r="FZJ146" s="27"/>
      <c r="FZK146" s="27"/>
      <c r="FZL146" s="27"/>
      <c r="FZM146" s="27"/>
      <c r="FZN146" s="27"/>
      <c r="FZO146" s="27"/>
      <c r="FZP146" s="27"/>
      <c r="FZQ146" s="27"/>
      <c r="FZR146" s="27"/>
      <c r="FZS146" s="27"/>
      <c r="FZT146" s="27"/>
      <c r="FZU146" s="27"/>
      <c r="FZV146" s="27"/>
      <c r="FZW146" s="27"/>
      <c r="FZX146" s="27"/>
      <c r="FZY146" s="27"/>
      <c r="FZZ146" s="27"/>
      <c r="GAA146" s="27"/>
      <c r="GAB146" s="27"/>
      <c r="GAC146" s="27"/>
      <c r="GAD146" s="27"/>
      <c r="GAE146" s="27"/>
      <c r="GAF146" s="27"/>
      <c r="GAG146" s="27"/>
      <c r="GAH146" s="27"/>
      <c r="GAI146" s="27"/>
      <c r="GAJ146" s="27"/>
      <c r="GAK146" s="27"/>
      <c r="GAL146" s="27"/>
      <c r="GAM146" s="27"/>
      <c r="GAN146" s="27"/>
      <c r="GAO146" s="27"/>
      <c r="GAP146" s="27"/>
      <c r="GAQ146" s="27"/>
      <c r="GAR146" s="27"/>
      <c r="GAS146" s="27"/>
      <c r="GAT146" s="27"/>
      <c r="GAU146" s="27"/>
      <c r="GAV146" s="27"/>
      <c r="GAW146" s="27"/>
      <c r="GAX146" s="27"/>
      <c r="GAY146" s="27"/>
      <c r="GAZ146" s="27"/>
      <c r="GBA146" s="27"/>
      <c r="GBB146" s="27"/>
      <c r="GBC146" s="27"/>
      <c r="GBD146" s="27"/>
      <c r="GBE146" s="27"/>
      <c r="GBF146" s="27"/>
      <c r="GBG146" s="27"/>
      <c r="GBH146" s="27"/>
      <c r="GBI146" s="27"/>
      <c r="GBJ146" s="27"/>
      <c r="GBK146" s="27"/>
      <c r="GBL146" s="27"/>
      <c r="GBM146" s="27"/>
      <c r="GBN146" s="27"/>
      <c r="GBO146" s="27"/>
      <c r="GBP146" s="27"/>
      <c r="GBQ146" s="27"/>
      <c r="GBR146" s="27"/>
      <c r="GBS146" s="27"/>
      <c r="GBT146" s="27"/>
      <c r="GBU146" s="27"/>
      <c r="GBV146" s="27"/>
      <c r="GBW146" s="27"/>
      <c r="GBX146" s="27"/>
      <c r="GBY146" s="27"/>
      <c r="GBZ146" s="27"/>
      <c r="GCA146" s="27"/>
      <c r="GCB146" s="27"/>
      <c r="GCC146" s="27"/>
      <c r="GCD146" s="27"/>
      <c r="GCE146" s="27"/>
      <c r="GCF146" s="27"/>
      <c r="GCG146" s="27"/>
      <c r="GCH146" s="27"/>
      <c r="GCI146" s="27"/>
      <c r="GCJ146" s="27"/>
      <c r="GCK146" s="27"/>
      <c r="GCL146" s="27"/>
      <c r="GCM146" s="27"/>
      <c r="GCN146" s="27"/>
      <c r="GCO146" s="27"/>
      <c r="GCP146" s="27"/>
      <c r="GCQ146" s="27"/>
      <c r="GCR146" s="27"/>
      <c r="GCS146" s="27"/>
      <c r="GCT146" s="27"/>
      <c r="GCU146" s="27"/>
      <c r="GCV146" s="27"/>
      <c r="GCW146" s="27"/>
      <c r="GCX146" s="27"/>
      <c r="GCY146" s="27"/>
      <c r="GCZ146" s="27"/>
      <c r="GDA146" s="27"/>
      <c r="GDB146" s="27"/>
      <c r="GDC146" s="27"/>
      <c r="GDD146" s="27"/>
      <c r="GDE146" s="27"/>
      <c r="GDF146" s="27"/>
      <c r="GDG146" s="27"/>
      <c r="GDH146" s="27"/>
      <c r="GDI146" s="27"/>
      <c r="GDJ146" s="27"/>
      <c r="GDK146" s="27"/>
      <c r="GDL146" s="27"/>
      <c r="GDM146" s="27"/>
      <c r="GDN146" s="27"/>
      <c r="GDO146" s="27"/>
      <c r="GDP146" s="27"/>
      <c r="GDQ146" s="27"/>
      <c r="GDR146" s="27"/>
      <c r="GDS146" s="27"/>
      <c r="GDT146" s="27"/>
      <c r="GDU146" s="27"/>
      <c r="GDV146" s="27"/>
      <c r="GDW146" s="27"/>
      <c r="GDX146" s="27"/>
      <c r="GDY146" s="27"/>
      <c r="GDZ146" s="27"/>
      <c r="GEA146" s="27"/>
      <c r="GEB146" s="27"/>
      <c r="GEC146" s="27"/>
      <c r="GED146" s="27"/>
      <c r="GEE146" s="27"/>
      <c r="GEF146" s="27"/>
      <c r="GEG146" s="27"/>
      <c r="GEH146" s="27"/>
      <c r="GEI146" s="27"/>
      <c r="GEJ146" s="27"/>
      <c r="GEK146" s="27"/>
      <c r="GEL146" s="27"/>
      <c r="GEM146" s="27"/>
      <c r="GEN146" s="27"/>
      <c r="GEO146" s="27"/>
      <c r="GEP146" s="27"/>
      <c r="GEQ146" s="27"/>
      <c r="GER146" s="27"/>
      <c r="GES146" s="27"/>
      <c r="GET146" s="27"/>
      <c r="GEU146" s="27"/>
      <c r="GEV146" s="27"/>
      <c r="GEW146" s="27"/>
      <c r="GEX146" s="27"/>
      <c r="GEY146" s="27"/>
      <c r="GEZ146" s="27"/>
      <c r="GFA146" s="27"/>
      <c r="GFB146" s="27"/>
      <c r="GFC146" s="27"/>
      <c r="GFD146" s="27"/>
      <c r="GFE146" s="27"/>
      <c r="GFF146" s="27"/>
      <c r="GFG146" s="27"/>
      <c r="GFH146" s="27"/>
      <c r="GFI146" s="27"/>
      <c r="GFJ146" s="27"/>
      <c r="GFK146" s="27"/>
      <c r="GFL146" s="27"/>
      <c r="GFM146" s="27"/>
      <c r="GFN146" s="27"/>
      <c r="GFO146" s="27"/>
      <c r="GFP146" s="27"/>
      <c r="GFQ146" s="27"/>
      <c r="GFR146" s="27"/>
      <c r="GFS146" s="27"/>
      <c r="GFT146" s="27"/>
      <c r="GFU146" s="27"/>
      <c r="GFV146" s="27"/>
      <c r="GFW146" s="27"/>
      <c r="GFX146" s="27"/>
      <c r="GFY146" s="27"/>
      <c r="GFZ146" s="27"/>
      <c r="GGA146" s="27"/>
      <c r="GGB146" s="27"/>
      <c r="GGC146" s="27"/>
      <c r="GGD146" s="27"/>
      <c r="GGE146" s="27"/>
      <c r="GGF146" s="27"/>
      <c r="GGG146" s="27"/>
      <c r="GGH146" s="27"/>
      <c r="GGI146" s="27"/>
      <c r="GGJ146" s="27"/>
      <c r="GGK146" s="27"/>
      <c r="GGL146" s="27"/>
      <c r="GGM146" s="27"/>
      <c r="GGN146" s="27"/>
      <c r="GGO146" s="27"/>
      <c r="GGP146" s="27"/>
      <c r="GGQ146" s="27"/>
      <c r="GGR146" s="27"/>
      <c r="GGS146" s="27"/>
      <c r="GGT146" s="27"/>
      <c r="GGU146" s="27"/>
      <c r="GGV146" s="27"/>
      <c r="GGW146" s="27"/>
      <c r="GGX146" s="27"/>
      <c r="GGY146" s="27"/>
      <c r="GGZ146" s="27"/>
      <c r="GHA146" s="27"/>
      <c r="GHB146" s="27"/>
      <c r="GHC146" s="27"/>
      <c r="GHD146" s="27"/>
      <c r="GHE146" s="27"/>
      <c r="GHF146" s="27"/>
      <c r="GHG146" s="27"/>
      <c r="GHH146" s="27"/>
      <c r="GHI146" s="27"/>
      <c r="GHJ146" s="27"/>
      <c r="GHK146" s="27"/>
      <c r="GHL146" s="27"/>
      <c r="GHM146" s="27"/>
      <c r="GHN146" s="27"/>
      <c r="GHO146" s="27"/>
      <c r="GHP146" s="27"/>
      <c r="GHQ146" s="27"/>
      <c r="GHR146" s="27"/>
      <c r="GHS146" s="27"/>
      <c r="GHT146" s="27"/>
      <c r="GHU146" s="27"/>
      <c r="GHV146" s="27"/>
      <c r="GHW146" s="27"/>
      <c r="GHX146" s="27"/>
      <c r="GHY146" s="27"/>
      <c r="GHZ146" s="27"/>
      <c r="GIA146" s="27"/>
      <c r="GIB146" s="27"/>
      <c r="GIC146" s="27"/>
      <c r="GID146" s="27"/>
      <c r="GIE146" s="27"/>
      <c r="GIF146" s="27"/>
      <c r="GIG146" s="27"/>
      <c r="GIH146" s="27"/>
      <c r="GII146" s="27"/>
      <c r="GIJ146" s="27"/>
      <c r="GIK146" s="27"/>
      <c r="GIL146" s="27"/>
      <c r="GIM146" s="27"/>
      <c r="GIN146" s="27"/>
      <c r="GIO146" s="27"/>
      <c r="GIP146" s="27"/>
      <c r="GIQ146" s="27"/>
      <c r="GIR146" s="27"/>
      <c r="GIS146" s="27"/>
      <c r="GIT146" s="27"/>
      <c r="GIU146" s="27"/>
      <c r="GIV146" s="27"/>
      <c r="GIW146" s="27"/>
      <c r="GIX146" s="27"/>
      <c r="GIY146" s="27"/>
      <c r="GIZ146" s="27"/>
      <c r="GJA146" s="27"/>
      <c r="GJB146" s="27"/>
      <c r="GJC146" s="27"/>
      <c r="GJD146" s="27"/>
      <c r="GJE146" s="27"/>
      <c r="GJF146" s="27"/>
      <c r="GJG146" s="27"/>
      <c r="GJH146" s="27"/>
      <c r="GJI146" s="27"/>
      <c r="GJJ146" s="27"/>
      <c r="GJK146" s="27"/>
      <c r="GJL146" s="27"/>
      <c r="GJM146" s="27"/>
      <c r="GJN146" s="27"/>
      <c r="GJO146" s="27"/>
      <c r="GJP146" s="27"/>
      <c r="GJQ146" s="27"/>
      <c r="GJR146" s="27"/>
      <c r="GJS146" s="27"/>
      <c r="GJT146" s="27"/>
      <c r="GJU146" s="27"/>
      <c r="GJV146" s="27"/>
      <c r="GJW146" s="27"/>
      <c r="GJX146" s="27"/>
      <c r="GJY146" s="27"/>
      <c r="GJZ146" s="27"/>
      <c r="GKA146" s="27"/>
      <c r="GKB146" s="27"/>
      <c r="GKC146" s="27"/>
      <c r="GKD146" s="27"/>
      <c r="GKE146" s="27"/>
      <c r="GKF146" s="27"/>
      <c r="GKG146" s="27"/>
      <c r="GKH146" s="27"/>
      <c r="GKI146" s="27"/>
      <c r="GKJ146" s="27"/>
      <c r="GKK146" s="27"/>
      <c r="GKL146" s="27"/>
      <c r="GKM146" s="27"/>
      <c r="GKN146" s="27"/>
      <c r="GKO146" s="27"/>
      <c r="GKP146" s="27"/>
      <c r="GKQ146" s="27"/>
      <c r="GKR146" s="27"/>
      <c r="GKS146" s="27"/>
      <c r="GKT146" s="27"/>
      <c r="GKU146" s="27"/>
      <c r="GKV146" s="27"/>
      <c r="GKW146" s="27"/>
      <c r="GKX146" s="27"/>
      <c r="GKY146" s="27"/>
      <c r="GKZ146" s="27"/>
      <c r="GLA146" s="27"/>
      <c r="GLB146" s="27"/>
      <c r="GLC146" s="27"/>
      <c r="GLD146" s="27"/>
      <c r="GLE146" s="27"/>
      <c r="GLF146" s="27"/>
      <c r="GLG146" s="27"/>
      <c r="GLH146" s="27"/>
      <c r="GLI146" s="27"/>
      <c r="GLJ146" s="27"/>
      <c r="GLK146" s="27"/>
      <c r="GLL146" s="27"/>
      <c r="GLM146" s="27"/>
      <c r="GLN146" s="27"/>
      <c r="GLO146" s="27"/>
      <c r="GLP146" s="27"/>
      <c r="GLQ146" s="27"/>
      <c r="GLR146" s="27"/>
      <c r="GLS146" s="27"/>
      <c r="GLT146" s="27"/>
      <c r="GLU146" s="27"/>
      <c r="GLV146" s="27"/>
      <c r="GLW146" s="27"/>
      <c r="GLX146" s="27"/>
      <c r="GLY146" s="27"/>
      <c r="GLZ146" s="27"/>
      <c r="GMA146" s="27"/>
      <c r="GMB146" s="27"/>
      <c r="GMC146" s="27"/>
      <c r="GMD146" s="27"/>
      <c r="GME146" s="27"/>
      <c r="GMF146" s="27"/>
      <c r="GMG146" s="27"/>
      <c r="GMH146" s="27"/>
      <c r="GMI146" s="27"/>
      <c r="GMJ146" s="27"/>
      <c r="GMK146" s="27"/>
      <c r="GML146" s="27"/>
      <c r="GMM146" s="27"/>
      <c r="GMN146" s="27"/>
      <c r="GMO146" s="27"/>
      <c r="GMP146" s="27"/>
      <c r="GMQ146" s="27"/>
      <c r="GMR146" s="27"/>
      <c r="GMS146" s="27"/>
      <c r="GMT146" s="27"/>
      <c r="GMU146" s="27"/>
      <c r="GMV146" s="27"/>
      <c r="GMW146" s="27"/>
      <c r="GMX146" s="27"/>
      <c r="GMY146" s="27"/>
      <c r="GMZ146" s="27"/>
      <c r="GNA146" s="27"/>
      <c r="GNB146" s="27"/>
      <c r="GNC146" s="27"/>
      <c r="GND146" s="27"/>
      <c r="GNE146" s="27"/>
      <c r="GNF146" s="27"/>
      <c r="GNG146" s="27"/>
      <c r="GNH146" s="27"/>
      <c r="GNI146" s="27"/>
      <c r="GNJ146" s="27"/>
      <c r="GNK146" s="27"/>
      <c r="GNL146" s="27"/>
      <c r="GNM146" s="27"/>
      <c r="GNN146" s="27"/>
      <c r="GNO146" s="27"/>
      <c r="GNP146" s="27"/>
      <c r="GNQ146" s="27"/>
      <c r="GNR146" s="27"/>
      <c r="GNS146" s="27"/>
      <c r="GNT146" s="27"/>
      <c r="GNU146" s="27"/>
      <c r="GNV146" s="27"/>
      <c r="GNW146" s="27"/>
      <c r="GNX146" s="27"/>
      <c r="GNY146" s="27"/>
      <c r="GNZ146" s="27"/>
      <c r="GOA146" s="27"/>
      <c r="GOB146" s="27"/>
      <c r="GOC146" s="27"/>
      <c r="GOD146" s="27"/>
      <c r="GOE146" s="27"/>
      <c r="GOF146" s="27"/>
      <c r="GOG146" s="27"/>
      <c r="GOH146" s="27"/>
      <c r="GOI146" s="27"/>
      <c r="GOJ146" s="27"/>
      <c r="GOK146" s="27"/>
      <c r="GOL146" s="27"/>
      <c r="GOM146" s="27"/>
      <c r="GON146" s="27"/>
      <c r="GOO146" s="27"/>
      <c r="GOP146" s="27"/>
      <c r="GOQ146" s="27"/>
      <c r="GOR146" s="27"/>
      <c r="GOS146" s="27"/>
      <c r="GOT146" s="27"/>
      <c r="GOU146" s="27"/>
      <c r="GOV146" s="27"/>
      <c r="GOW146" s="27"/>
      <c r="GOX146" s="27"/>
      <c r="GOY146" s="27"/>
      <c r="GOZ146" s="27"/>
      <c r="GPA146" s="27"/>
      <c r="GPB146" s="27"/>
      <c r="GPC146" s="27"/>
      <c r="GPD146" s="27"/>
      <c r="GPE146" s="27"/>
      <c r="GPF146" s="27"/>
      <c r="GPG146" s="27"/>
      <c r="GPH146" s="27"/>
      <c r="GPI146" s="27"/>
      <c r="GPJ146" s="27"/>
      <c r="GPK146" s="27"/>
      <c r="GPL146" s="27"/>
      <c r="GPM146" s="27"/>
      <c r="GPN146" s="27"/>
      <c r="GPO146" s="27"/>
      <c r="GPP146" s="27"/>
      <c r="GPQ146" s="27"/>
      <c r="GPR146" s="27"/>
      <c r="GPS146" s="27"/>
      <c r="GPT146" s="27"/>
      <c r="GPU146" s="27"/>
      <c r="GPV146" s="27"/>
      <c r="GPW146" s="27"/>
      <c r="GPX146" s="27"/>
      <c r="GPY146" s="27"/>
      <c r="GPZ146" s="27"/>
      <c r="GQA146" s="27"/>
      <c r="GQB146" s="27"/>
      <c r="GQC146" s="27"/>
      <c r="GQD146" s="27"/>
      <c r="GQE146" s="27"/>
      <c r="GQF146" s="27"/>
      <c r="GQG146" s="27"/>
      <c r="GQH146" s="27"/>
      <c r="GQI146" s="27"/>
      <c r="GQJ146" s="27"/>
      <c r="GQK146" s="27"/>
      <c r="GQL146" s="27"/>
      <c r="GQM146" s="27"/>
      <c r="GQN146" s="27"/>
      <c r="GQO146" s="27"/>
      <c r="GQP146" s="27"/>
      <c r="GQQ146" s="27"/>
      <c r="GQR146" s="27"/>
      <c r="GQS146" s="27"/>
      <c r="GQT146" s="27"/>
      <c r="GQU146" s="27"/>
      <c r="GQV146" s="27"/>
      <c r="GQW146" s="27"/>
      <c r="GQX146" s="27"/>
      <c r="GQY146" s="27"/>
      <c r="GQZ146" s="27"/>
      <c r="GRA146" s="27"/>
      <c r="GRB146" s="27"/>
      <c r="GRC146" s="27"/>
      <c r="GRD146" s="27"/>
      <c r="GRE146" s="27"/>
      <c r="GRF146" s="27"/>
      <c r="GRG146" s="27"/>
      <c r="GRH146" s="27"/>
      <c r="GRI146" s="27"/>
      <c r="GRJ146" s="27"/>
      <c r="GRK146" s="27"/>
      <c r="GRL146" s="27"/>
      <c r="GRM146" s="27"/>
      <c r="GRN146" s="27"/>
      <c r="GRO146" s="27"/>
      <c r="GRP146" s="27"/>
      <c r="GRQ146" s="27"/>
      <c r="GRR146" s="27"/>
      <c r="GRS146" s="27"/>
      <c r="GRT146" s="27"/>
      <c r="GRU146" s="27"/>
      <c r="GRV146" s="27"/>
      <c r="GRW146" s="27"/>
      <c r="GRX146" s="27"/>
      <c r="GRY146" s="27"/>
      <c r="GRZ146" s="27"/>
      <c r="GSA146" s="27"/>
      <c r="GSB146" s="27"/>
      <c r="GSC146" s="27"/>
      <c r="GSD146" s="27"/>
      <c r="GSE146" s="27"/>
      <c r="GSF146" s="27"/>
      <c r="GSG146" s="27"/>
      <c r="GSH146" s="27"/>
      <c r="GSI146" s="27"/>
      <c r="GSJ146" s="27"/>
      <c r="GSK146" s="27"/>
      <c r="GSL146" s="27"/>
      <c r="GSM146" s="27"/>
      <c r="GSN146" s="27"/>
      <c r="GSO146" s="27"/>
      <c r="GSP146" s="27"/>
      <c r="GSQ146" s="27"/>
      <c r="GSR146" s="27"/>
      <c r="GSS146" s="27"/>
      <c r="GST146" s="27"/>
      <c r="GSU146" s="27"/>
      <c r="GSV146" s="27"/>
      <c r="GSW146" s="27"/>
      <c r="GSX146" s="27"/>
      <c r="GSY146" s="27"/>
      <c r="GSZ146" s="27"/>
      <c r="GTA146" s="27"/>
      <c r="GTB146" s="27"/>
      <c r="GTC146" s="27"/>
      <c r="GTD146" s="27"/>
      <c r="GTE146" s="27"/>
      <c r="GTF146" s="27"/>
      <c r="GTG146" s="27"/>
      <c r="GTH146" s="27"/>
      <c r="GTI146" s="27"/>
      <c r="GTJ146" s="27"/>
      <c r="GTK146" s="27"/>
      <c r="GTL146" s="27"/>
      <c r="GTM146" s="27"/>
      <c r="GTN146" s="27"/>
      <c r="GTO146" s="27"/>
      <c r="GTP146" s="27"/>
      <c r="GTQ146" s="27"/>
      <c r="GTR146" s="27"/>
      <c r="GTS146" s="27"/>
      <c r="GTT146" s="27"/>
      <c r="GTU146" s="27"/>
      <c r="GTV146" s="27"/>
      <c r="GTW146" s="27"/>
      <c r="GTX146" s="27"/>
      <c r="GTY146" s="27"/>
      <c r="GTZ146" s="27"/>
      <c r="GUA146" s="27"/>
      <c r="GUB146" s="27"/>
      <c r="GUC146" s="27"/>
      <c r="GUD146" s="27"/>
      <c r="GUE146" s="27"/>
      <c r="GUF146" s="27"/>
      <c r="GUG146" s="27"/>
      <c r="GUH146" s="27"/>
      <c r="GUI146" s="27"/>
      <c r="GUJ146" s="27"/>
      <c r="GUK146" s="27"/>
      <c r="GUL146" s="27"/>
      <c r="GUM146" s="27"/>
      <c r="GUN146" s="27"/>
      <c r="GUO146" s="27"/>
      <c r="GUP146" s="27"/>
      <c r="GUQ146" s="27"/>
      <c r="GUR146" s="27"/>
      <c r="GUS146" s="27"/>
      <c r="GUT146" s="27"/>
      <c r="GUU146" s="27"/>
      <c r="GUV146" s="27"/>
      <c r="GUW146" s="27"/>
      <c r="GUX146" s="27"/>
      <c r="GUY146" s="27"/>
      <c r="GUZ146" s="27"/>
      <c r="GVA146" s="27"/>
      <c r="GVB146" s="27"/>
      <c r="GVC146" s="27"/>
      <c r="GVD146" s="27"/>
      <c r="GVE146" s="27"/>
      <c r="GVF146" s="27"/>
      <c r="GVG146" s="27"/>
      <c r="GVH146" s="27"/>
      <c r="GVI146" s="27"/>
      <c r="GVJ146" s="27"/>
      <c r="GVK146" s="27"/>
      <c r="GVL146" s="27"/>
      <c r="GVM146" s="27"/>
      <c r="GVN146" s="27"/>
      <c r="GVO146" s="27"/>
      <c r="GVP146" s="27"/>
      <c r="GVQ146" s="27"/>
      <c r="GVR146" s="27"/>
      <c r="GVS146" s="27"/>
      <c r="GVT146" s="27"/>
      <c r="GVU146" s="27"/>
      <c r="GVV146" s="27"/>
      <c r="GVW146" s="27"/>
      <c r="GVX146" s="27"/>
      <c r="GVY146" s="27"/>
      <c r="GVZ146" s="27"/>
      <c r="GWA146" s="27"/>
      <c r="GWB146" s="27"/>
      <c r="GWC146" s="27"/>
      <c r="GWD146" s="27"/>
      <c r="GWE146" s="27"/>
      <c r="GWF146" s="27"/>
      <c r="GWG146" s="27"/>
      <c r="GWH146" s="27"/>
      <c r="GWI146" s="27"/>
      <c r="GWJ146" s="27"/>
      <c r="GWK146" s="27"/>
      <c r="GWL146" s="27"/>
      <c r="GWM146" s="27"/>
      <c r="GWN146" s="27"/>
      <c r="GWO146" s="27"/>
      <c r="GWP146" s="27"/>
      <c r="GWQ146" s="27"/>
      <c r="GWR146" s="27"/>
      <c r="GWS146" s="27"/>
      <c r="GWT146" s="27"/>
      <c r="GWU146" s="27"/>
      <c r="GWV146" s="27"/>
      <c r="GWW146" s="27"/>
      <c r="GWX146" s="27"/>
      <c r="GWY146" s="27"/>
      <c r="GWZ146" s="27"/>
      <c r="GXA146" s="27"/>
      <c r="GXB146" s="27"/>
      <c r="GXC146" s="27"/>
      <c r="GXD146" s="27"/>
      <c r="GXE146" s="27"/>
      <c r="GXF146" s="27"/>
      <c r="GXG146" s="27"/>
      <c r="GXH146" s="27"/>
      <c r="GXI146" s="27"/>
      <c r="GXJ146" s="27"/>
      <c r="GXK146" s="27"/>
      <c r="GXL146" s="27"/>
      <c r="GXM146" s="27"/>
      <c r="GXN146" s="27"/>
      <c r="GXO146" s="27"/>
      <c r="GXP146" s="27"/>
      <c r="GXQ146" s="27"/>
      <c r="GXR146" s="27"/>
      <c r="GXS146" s="27"/>
      <c r="GXT146" s="27"/>
      <c r="GXU146" s="27"/>
      <c r="GXV146" s="27"/>
      <c r="GXW146" s="27"/>
      <c r="GXX146" s="27"/>
      <c r="GXY146" s="27"/>
      <c r="GXZ146" s="27"/>
      <c r="GYA146" s="27"/>
      <c r="GYB146" s="27"/>
      <c r="GYC146" s="27"/>
      <c r="GYD146" s="27"/>
      <c r="GYE146" s="27"/>
      <c r="GYF146" s="27"/>
      <c r="GYG146" s="27"/>
      <c r="GYH146" s="27"/>
      <c r="GYI146" s="27"/>
      <c r="GYJ146" s="27"/>
      <c r="GYK146" s="27"/>
      <c r="GYL146" s="27"/>
      <c r="GYM146" s="27"/>
      <c r="GYN146" s="27"/>
      <c r="GYO146" s="27"/>
      <c r="GYP146" s="27"/>
      <c r="GYQ146" s="27"/>
      <c r="GYR146" s="27"/>
      <c r="GYS146" s="27"/>
      <c r="GYT146" s="27"/>
      <c r="GYU146" s="27"/>
      <c r="GYV146" s="27"/>
      <c r="GYW146" s="27"/>
      <c r="GYX146" s="27"/>
      <c r="GYY146" s="27"/>
      <c r="GYZ146" s="27"/>
      <c r="GZA146" s="27"/>
      <c r="GZB146" s="27"/>
      <c r="GZC146" s="27"/>
      <c r="GZD146" s="27"/>
      <c r="GZE146" s="27"/>
      <c r="GZF146" s="27"/>
      <c r="GZG146" s="27"/>
      <c r="GZH146" s="27"/>
      <c r="GZI146" s="27"/>
      <c r="GZJ146" s="27"/>
      <c r="GZK146" s="27"/>
      <c r="GZL146" s="27"/>
      <c r="GZM146" s="27"/>
      <c r="GZN146" s="27"/>
      <c r="GZO146" s="27"/>
      <c r="GZP146" s="27"/>
      <c r="GZQ146" s="27"/>
      <c r="GZR146" s="27"/>
      <c r="GZS146" s="27"/>
      <c r="GZT146" s="27"/>
      <c r="GZU146" s="27"/>
      <c r="GZV146" s="27"/>
      <c r="GZW146" s="27"/>
      <c r="GZX146" s="27"/>
      <c r="GZY146" s="27"/>
      <c r="GZZ146" s="27"/>
      <c r="HAA146" s="27"/>
      <c r="HAB146" s="27"/>
      <c r="HAC146" s="27"/>
      <c r="HAD146" s="27"/>
      <c r="HAE146" s="27"/>
      <c r="HAF146" s="27"/>
      <c r="HAG146" s="27"/>
      <c r="HAH146" s="27"/>
      <c r="HAI146" s="27"/>
      <c r="HAJ146" s="27"/>
      <c r="HAK146" s="27"/>
      <c r="HAL146" s="27"/>
      <c r="HAM146" s="27"/>
      <c r="HAN146" s="27"/>
      <c r="HAO146" s="27"/>
      <c r="HAP146" s="27"/>
      <c r="HAQ146" s="27"/>
      <c r="HAR146" s="27"/>
      <c r="HAS146" s="27"/>
      <c r="HAT146" s="27"/>
      <c r="HAU146" s="27"/>
      <c r="HAV146" s="27"/>
      <c r="HAW146" s="27"/>
      <c r="HAX146" s="27"/>
      <c r="HAY146" s="27"/>
      <c r="HAZ146" s="27"/>
      <c r="HBA146" s="27"/>
      <c r="HBB146" s="27"/>
      <c r="HBC146" s="27"/>
      <c r="HBD146" s="27"/>
      <c r="HBE146" s="27"/>
      <c r="HBF146" s="27"/>
      <c r="HBG146" s="27"/>
      <c r="HBH146" s="27"/>
      <c r="HBI146" s="27"/>
      <c r="HBJ146" s="27"/>
      <c r="HBK146" s="27"/>
      <c r="HBL146" s="27"/>
      <c r="HBM146" s="27"/>
      <c r="HBN146" s="27"/>
      <c r="HBO146" s="27"/>
      <c r="HBP146" s="27"/>
      <c r="HBQ146" s="27"/>
      <c r="HBR146" s="27"/>
      <c r="HBS146" s="27"/>
      <c r="HBT146" s="27"/>
      <c r="HBU146" s="27"/>
      <c r="HBV146" s="27"/>
      <c r="HBW146" s="27"/>
      <c r="HBX146" s="27"/>
      <c r="HBY146" s="27"/>
      <c r="HBZ146" s="27"/>
      <c r="HCA146" s="27"/>
      <c r="HCB146" s="27"/>
      <c r="HCC146" s="27"/>
      <c r="HCD146" s="27"/>
      <c r="HCE146" s="27"/>
      <c r="HCF146" s="27"/>
      <c r="HCG146" s="27"/>
      <c r="HCH146" s="27"/>
      <c r="HCI146" s="27"/>
      <c r="HCJ146" s="27"/>
      <c r="HCK146" s="27"/>
      <c r="HCL146" s="27"/>
      <c r="HCM146" s="27"/>
      <c r="HCN146" s="27"/>
      <c r="HCO146" s="27"/>
      <c r="HCP146" s="27"/>
      <c r="HCQ146" s="27"/>
      <c r="HCR146" s="27"/>
      <c r="HCS146" s="27"/>
      <c r="HCT146" s="27"/>
      <c r="HCU146" s="27"/>
      <c r="HCV146" s="27"/>
      <c r="HCW146" s="27"/>
      <c r="HCX146" s="27"/>
      <c r="HCY146" s="27"/>
      <c r="HCZ146" s="27"/>
      <c r="HDA146" s="27"/>
      <c r="HDB146" s="27"/>
      <c r="HDC146" s="27"/>
      <c r="HDD146" s="27"/>
      <c r="HDE146" s="27"/>
      <c r="HDF146" s="27"/>
      <c r="HDG146" s="27"/>
      <c r="HDH146" s="27"/>
      <c r="HDI146" s="27"/>
      <c r="HDJ146" s="27"/>
      <c r="HDK146" s="27"/>
      <c r="HDL146" s="27"/>
      <c r="HDM146" s="27"/>
      <c r="HDN146" s="27"/>
      <c r="HDO146" s="27"/>
      <c r="HDP146" s="27"/>
      <c r="HDQ146" s="27"/>
      <c r="HDR146" s="27"/>
      <c r="HDS146" s="27"/>
      <c r="HDT146" s="27"/>
      <c r="HDU146" s="27"/>
      <c r="HDV146" s="27"/>
      <c r="HDW146" s="27"/>
      <c r="HDX146" s="27"/>
      <c r="HDY146" s="27"/>
      <c r="HDZ146" s="27"/>
      <c r="HEA146" s="27"/>
      <c r="HEB146" s="27"/>
      <c r="HEC146" s="27"/>
      <c r="HED146" s="27"/>
      <c r="HEE146" s="27"/>
      <c r="HEF146" s="27"/>
      <c r="HEG146" s="27"/>
      <c r="HEH146" s="27"/>
      <c r="HEI146" s="27"/>
      <c r="HEJ146" s="27"/>
      <c r="HEK146" s="27"/>
      <c r="HEL146" s="27"/>
      <c r="HEM146" s="27"/>
      <c r="HEN146" s="27"/>
      <c r="HEO146" s="27"/>
      <c r="HEP146" s="27"/>
      <c r="HEQ146" s="27"/>
      <c r="HER146" s="27"/>
      <c r="HES146" s="27"/>
      <c r="HET146" s="27"/>
      <c r="HEU146" s="27"/>
      <c r="HEV146" s="27"/>
      <c r="HEW146" s="27"/>
      <c r="HEX146" s="27"/>
      <c r="HEY146" s="27"/>
      <c r="HEZ146" s="27"/>
      <c r="HFA146" s="27"/>
      <c r="HFB146" s="27"/>
      <c r="HFC146" s="27"/>
      <c r="HFD146" s="27"/>
      <c r="HFE146" s="27"/>
      <c r="HFF146" s="27"/>
      <c r="HFG146" s="27"/>
      <c r="HFH146" s="27"/>
      <c r="HFI146" s="27"/>
      <c r="HFJ146" s="27"/>
      <c r="HFK146" s="27"/>
      <c r="HFL146" s="27"/>
      <c r="HFM146" s="27"/>
      <c r="HFN146" s="27"/>
      <c r="HFO146" s="27"/>
      <c r="HFP146" s="27"/>
      <c r="HFQ146" s="27"/>
      <c r="HFR146" s="27"/>
      <c r="HFS146" s="27"/>
      <c r="HFT146" s="27"/>
      <c r="HFU146" s="27"/>
      <c r="HFV146" s="27"/>
      <c r="HFW146" s="27"/>
      <c r="HFX146" s="27"/>
      <c r="HFY146" s="27"/>
      <c r="HFZ146" s="27"/>
      <c r="HGA146" s="27"/>
      <c r="HGB146" s="27"/>
      <c r="HGC146" s="27"/>
      <c r="HGD146" s="27"/>
      <c r="HGE146" s="27"/>
      <c r="HGF146" s="27"/>
      <c r="HGG146" s="27"/>
      <c r="HGH146" s="27"/>
      <c r="HGI146" s="27"/>
      <c r="HGJ146" s="27"/>
      <c r="HGK146" s="27"/>
      <c r="HGL146" s="27"/>
      <c r="HGM146" s="27"/>
      <c r="HGN146" s="27"/>
      <c r="HGO146" s="27"/>
      <c r="HGP146" s="27"/>
      <c r="HGQ146" s="27"/>
      <c r="HGR146" s="27"/>
      <c r="HGS146" s="27"/>
      <c r="HGT146" s="27"/>
      <c r="HGU146" s="27"/>
      <c r="HGV146" s="27"/>
      <c r="HGW146" s="27"/>
      <c r="HGX146" s="27"/>
      <c r="HGY146" s="27"/>
      <c r="HGZ146" s="27"/>
      <c r="HHA146" s="27"/>
      <c r="HHB146" s="27"/>
      <c r="HHC146" s="27"/>
      <c r="HHD146" s="27"/>
      <c r="HHE146" s="27"/>
      <c r="HHF146" s="27"/>
      <c r="HHG146" s="27"/>
      <c r="HHH146" s="27"/>
      <c r="HHI146" s="27"/>
      <c r="HHJ146" s="27"/>
      <c r="HHK146" s="27"/>
      <c r="HHL146" s="27"/>
      <c r="HHM146" s="27"/>
      <c r="HHN146" s="27"/>
      <c r="HHO146" s="27"/>
      <c r="HHP146" s="27"/>
      <c r="HHQ146" s="27"/>
      <c r="HHR146" s="27"/>
      <c r="HHS146" s="27"/>
      <c r="HHT146" s="27"/>
      <c r="HHU146" s="27"/>
      <c r="HHV146" s="27"/>
      <c r="HHW146" s="27"/>
      <c r="HHX146" s="27"/>
      <c r="HHY146" s="27"/>
      <c r="HHZ146" s="27"/>
      <c r="HIA146" s="27"/>
      <c r="HIB146" s="27"/>
      <c r="HIC146" s="27"/>
      <c r="HID146" s="27"/>
      <c r="HIE146" s="27"/>
      <c r="HIF146" s="27"/>
      <c r="HIG146" s="27"/>
      <c r="HIH146" s="27"/>
      <c r="HII146" s="27"/>
      <c r="HIJ146" s="27"/>
      <c r="HIK146" s="27"/>
      <c r="HIL146" s="27"/>
      <c r="HIM146" s="27"/>
      <c r="HIN146" s="27"/>
      <c r="HIO146" s="27"/>
      <c r="HIP146" s="27"/>
      <c r="HIQ146" s="27"/>
      <c r="HIR146" s="27"/>
      <c r="HIS146" s="27"/>
      <c r="HIT146" s="27"/>
      <c r="HIU146" s="27"/>
      <c r="HIV146" s="27"/>
      <c r="HIW146" s="27"/>
      <c r="HIX146" s="27"/>
      <c r="HIY146" s="27"/>
      <c r="HIZ146" s="27"/>
      <c r="HJA146" s="27"/>
      <c r="HJB146" s="27"/>
      <c r="HJC146" s="27"/>
      <c r="HJD146" s="27"/>
      <c r="HJE146" s="27"/>
      <c r="HJF146" s="27"/>
      <c r="HJG146" s="27"/>
      <c r="HJH146" s="27"/>
      <c r="HJI146" s="27"/>
      <c r="HJJ146" s="27"/>
      <c r="HJK146" s="27"/>
      <c r="HJL146" s="27"/>
      <c r="HJM146" s="27"/>
      <c r="HJN146" s="27"/>
      <c r="HJO146" s="27"/>
      <c r="HJP146" s="27"/>
      <c r="HJQ146" s="27"/>
      <c r="HJR146" s="27"/>
      <c r="HJS146" s="27"/>
      <c r="HJT146" s="27"/>
      <c r="HJU146" s="27"/>
      <c r="HJV146" s="27"/>
      <c r="HJW146" s="27"/>
      <c r="HJX146" s="27"/>
      <c r="HJY146" s="27"/>
      <c r="HJZ146" s="27"/>
      <c r="HKA146" s="27"/>
      <c r="HKB146" s="27"/>
      <c r="HKC146" s="27"/>
      <c r="HKD146" s="27"/>
      <c r="HKE146" s="27"/>
      <c r="HKF146" s="27"/>
      <c r="HKG146" s="27"/>
      <c r="HKH146" s="27"/>
      <c r="HKI146" s="27"/>
      <c r="HKJ146" s="27"/>
      <c r="HKK146" s="27"/>
      <c r="HKL146" s="27"/>
      <c r="HKM146" s="27"/>
      <c r="HKN146" s="27"/>
      <c r="HKO146" s="27"/>
      <c r="HKP146" s="27"/>
      <c r="HKQ146" s="27"/>
      <c r="HKR146" s="27"/>
      <c r="HKS146" s="27"/>
      <c r="HKT146" s="27"/>
      <c r="HKU146" s="27"/>
      <c r="HKV146" s="27"/>
      <c r="HKW146" s="27"/>
      <c r="HKX146" s="27"/>
      <c r="HKY146" s="27"/>
      <c r="HKZ146" s="27"/>
      <c r="HLA146" s="27"/>
      <c r="HLB146" s="27"/>
      <c r="HLC146" s="27"/>
      <c r="HLD146" s="27"/>
      <c r="HLE146" s="27"/>
      <c r="HLF146" s="27"/>
      <c r="HLG146" s="27"/>
      <c r="HLH146" s="27"/>
      <c r="HLI146" s="27"/>
      <c r="HLJ146" s="27"/>
      <c r="HLK146" s="27"/>
      <c r="HLL146" s="27"/>
      <c r="HLM146" s="27"/>
      <c r="HLN146" s="27"/>
      <c r="HLO146" s="27"/>
      <c r="HLP146" s="27"/>
      <c r="HLQ146" s="27"/>
      <c r="HLR146" s="27"/>
      <c r="HLS146" s="27"/>
      <c r="HLT146" s="27"/>
      <c r="HLU146" s="27"/>
      <c r="HLV146" s="27"/>
      <c r="HLW146" s="27"/>
      <c r="HLX146" s="27"/>
      <c r="HLY146" s="27"/>
      <c r="HLZ146" s="27"/>
      <c r="HMA146" s="27"/>
      <c r="HMB146" s="27"/>
      <c r="HMC146" s="27"/>
      <c r="HMD146" s="27"/>
      <c r="HME146" s="27"/>
      <c r="HMF146" s="27"/>
      <c r="HMG146" s="27"/>
      <c r="HMH146" s="27"/>
      <c r="HMI146" s="27"/>
      <c r="HMJ146" s="27"/>
      <c r="HMK146" s="27"/>
      <c r="HML146" s="27"/>
      <c r="HMM146" s="27"/>
      <c r="HMN146" s="27"/>
      <c r="HMO146" s="27"/>
      <c r="HMP146" s="27"/>
      <c r="HMQ146" s="27"/>
      <c r="HMR146" s="27"/>
      <c r="HMS146" s="27"/>
      <c r="HMT146" s="27"/>
      <c r="HMU146" s="27"/>
      <c r="HMV146" s="27"/>
      <c r="HMW146" s="27"/>
      <c r="HMX146" s="27"/>
      <c r="HMY146" s="27"/>
      <c r="HMZ146" s="27"/>
      <c r="HNA146" s="27"/>
      <c r="HNB146" s="27"/>
      <c r="HNC146" s="27"/>
      <c r="HND146" s="27"/>
      <c r="HNE146" s="27"/>
      <c r="HNF146" s="27"/>
      <c r="HNG146" s="27"/>
      <c r="HNH146" s="27"/>
      <c r="HNI146" s="27"/>
      <c r="HNJ146" s="27"/>
      <c r="HNK146" s="27"/>
      <c r="HNL146" s="27"/>
      <c r="HNM146" s="27"/>
      <c r="HNN146" s="27"/>
      <c r="HNO146" s="27"/>
      <c r="HNP146" s="27"/>
      <c r="HNQ146" s="27"/>
      <c r="HNR146" s="27"/>
      <c r="HNS146" s="27"/>
      <c r="HNT146" s="27"/>
      <c r="HNU146" s="27"/>
      <c r="HNV146" s="27"/>
      <c r="HNW146" s="27"/>
      <c r="HNX146" s="27"/>
      <c r="HNY146" s="27"/>
      <c r="HNZ146" s="27"/>
      <c r="HOA146" s="27"/>
      <c r="HOB146" s="27"/>
      <c r="HOC146" s="27"/>
      <c r="HOD146" s="27"/>
      <c r="HOE146" s="27"/>
      <c r="HOF146" s="27"/>
      <c r="HOG146" s="27"/>
      <c r="HOH146" s="27"/>
      <c r="HOI146" s="27"/>
      <c r="HOJ146" s="27"/>
      <c r="HOK146" s="27"/>
      <c r="HOL146" s="27"/>
      <c r="HOM146" s="27"/>
      <c r="HON146" s="27"/>
      <c r="HOO146" s="27"/>
      <c r="HOP146" s="27"/>
      <c r="HOQ146" s="27"/>
      <c r="HOR146" s="27"/>
      <c r="HOS146" s="27"/>
      <c r="HOT146" s="27"/>
      <c r="HOU146" s="27"/>
      <c r="HOV146" s="27"/>
      <c r="HOW146" s="27"/>
      <c r="HOX146" s="27"/>
      <c r="HOY146" s="27"/>
      <c r="HOZ146" s="27"/>
      <c r="HPA146" s="27"/>
      <c r="HPB146" s="27"/>
      <c r="HPC146" s="27"/>
      <c r="HPD146" s="27"/>
      <c r="HPE146" s="27"/>
      <c r="HPF146" s="27"/>
      <c r="HPG146" s="27"/>
      <c r="HPH146" s="27"/>
      <c r="HPI146" s="27"/>
      <c r="HPJ146" s="27"/>
      <c r="HPK146" s="27"/>
      <c r="HPL146" s="27"/>
      <c r="HPM146" s="27"/>
      <c r="HPN146" s="27"/>
      <c r="HPO146" s="27"/>
      <c r="HPP146" s="27"/>
      <c r="HPQ146" s="27"/>
      <c r="HPR146" s="27"/>
      <c r="HPS146" s="27"/>
      <c r="HPT146" s="27"/>
      <c r="HPU146" s="27"/>
      <c r="HPV146" s="27"/>
      <c r="HPW146" s="27"/>
      <c r="HPX146" s="27"/>
      <c r="HPY146" s="27"/>
      <c r="HPZ146" s="27"/>
      <c r="HQA146" s="27"/>
      <c r="HQB146" s="27"/>
      <c r="HQC146" s="27"/>
      <c r="HQD146" s="27"/>
      <c r="HQE146" s="27"/>
      <c r="HQF146" s="27"/>
      <c r="HQG146" s="27"/>
      <c r="HQH146" s="27"/>
      <c r="HQI146" s="27"/>
      <c r="HQJ146" s="27"/>
      <c r="HQK146" s="27"/>
      <c r="HQL146" s="27"/>
      <c r="HQM146" s="27"/>
      <c r="HQN146" s="27"/>
      <c r="HQO146" s="27"/>
      <c r="HQP146" s="27"/>
      <c r="HQQ146" s="27"/>
      <c r="HQR146" s="27"/>
      <c r="HQS146" s="27"/>
      <c r="HQT146" s="27"/>
      <c r="HQU146" s="27"/>
      <c r="HQV146" s="27"/>
      <c r="HQW146" s="27"/>
      <c r="HQX146" s="27"/>
      <c r="HQY146" s="27"/>
      <c r="HQZ146" s="27"/>
      <c r="HRA146" s="27"/>
      <c r="HRB146" s="27"/>
      <c r="HRC146" s="27"/>
      <c r="HRD146" s="27"/>
      <c r="HRE146" s="27"/>
      <c r="HRF146" s="27"/>
      <c r="HRG146" s="27"/>
      <c r="HRH146" s="27"/>
      <c r="HRI146" s="27"/>
      <c r="HRJ146" s="27"/>
      <c r="HRK146" s="27"/>
      <c r="HRL146" s="27"/>
      <c r="HRM146" s="27"/>
      <c r="HRN146" s="27"/>
      <c r="HRO146" s="27"/>
      <c r="HRP146" s="27"/>
      <c r="HRQ146" s="27"/>
      <c r="HRR146" s="27"/>
      <c r="HRS146" s="27"/>
      <c r="HRT146" s="27"/>
      <c r="HRU146" s="27"/>
      <c r="HRV146" s="27"/>
      <c r="HRW146" s="27"/>
      <c r="HRX146" s="27"/>
      <c r="HRY146" s="27"/>
      <c r="HRZ146" s="27"/>
      <c r="HSA146" s="27"/>
      <c r="HSB146" s="27"/>
      <c r="HSC146" s="27"/>
      <c r="HSD146" s="27"/>
      <c r="HSE146" s="27"/>
      <c r="HSF146" s="27"/>
      <c r="HSG146" s="27"/>
      <c r="HSH146" s="27"/>
      <c r="HSI146" s="27"/>
      <c r="HSJ146" s="27"/>
      <c r="HSK146" s="27"/>
      <c r="HSL146" s="27"/>
      <c r="HSM146" s="27"/>
      <c r="HSN146" s="27"/>
      <c r="HSO146" s="27"/>
      <c r="HSP146" s="27"/>
      <c r="HSQ146" s="27"/>
      <c r="HSR146" s="27"/>
      <c r="HSS146" s="27"/>
      <c r="HST146" s="27"/>
      <c r="HSU146" s="27"/>
      <c r="HSV146" s="27"/>
      <c r="HSW146" s="27"/>
      <c r="HSX146" s="27"/>
      <c r="HSY146" s="27"/>
      <c r="HSZ146" s="27"/>
      <c r="HTA146" s="27"/>
      <c r="HTB146" s="27"/>
      <c r="HTC146" s="27"/>
      <c r="HTD146" s="27"/>
      <c r="HTE146" s="27"/>
      <c r="HTF146" s="27"/>
      <c r="HTG146" s="27"/>
      <c r="HTH146" s="27"/>
      <c r="HTI146" s="27"/>
      <c r="HTJ146" s="27"/>
      <c r="HTK146" s="27"/>
      <c r="HTL146" s="27"/>
      <c r="HTM146" s="27"/>
      <c r="HTN146" s="27"/>
      <c r="HTO146" s="27"/>
      <c r="HTP146" s="27"/>
      <c r="HTQ146" s="27"/>
      <c r="HTR146" s="27"/>
      <c r="HTS146" s="27"/>
      <c r="HTT146" s="27"/>
      <c r="HTU146" s="27"/>
      <c r="HTV146" s="27"/>
      <c r="HTW146" s="27"/>
      <c r="HTX146" s="27"/>
      <c r="HTY146" s="27"/>
      <c r="HTZ146" s="27"/>
      <c r="HUA146" s="27"/>
      <c r="HUB146" s="27"/>
      <c r="HUC146" s="27"/>
      <c r="HUD146" s="27"/>
      <c r="HUE146" s="27"/>
      <c r="HUF146" s="27"/>
      <c r="HUG146" s="27"/>
      <c r="HUH146" s="27"/>
      <c r="HUI146" s="27"/>
      <c r="HUJ146" s="27"/>
      <c r="HUK146" s="27"/>
      <c r="HUL146" s="27"/>
      <c r="HUM146" s="27"/>
      <c r="HUN146" s="27"/>
      <c r="HUO146" s="27"/>
      <c r="HUP146" s="27"/>
      <c r="HUQ146" s="27"/>
      <c r="HUR146" s="27"/>
      <c r="HUS146" s="27"/>
      <c r="HUT146" s="27"/>
      <c r="HUU146" s="27"/>
      <c r="HUV146" s="27"/>
      <c r="HUW146" s="27"/>
      <c r="HUX146" s="27"/>
      <c r="HUY146" s="27"/>
      <c r="HUZ146" s="27"/>
      <c r="HVA146" s="27"/>
      <c r="HVB146" s="27"/>
      <c r="HVC146" s="27"/>
      <c r="HVD146" s="27"/>
      <c r="HVE146" s="27"/>
      <c r="HVF146" s="27"/>
      <c r="HVG146" s="27"/>
      <c r="HVH146" s="27"/>
      <c r="HVI146" s="27"/>
      <c r="HVJ146" s="27"/>
      <c r="HVK146" s="27"/>
      <c r="HVL146" s="27"/>
      <c r="HVM146" s="27"/>
      <c r="HVN146" s="27"/>
      <c r="HVO146" s="27"/>
      <c r="HVP146" s="27"/>
      <c r="HVQ146" s="27"/>
      <c r="HVR146" s="27"/>
      <c r="HVS146" s="27"/>
      <c r="HVT146" s="27"/>
      <c r="HVU146" s="27"/>
      <c r="HVV146" s="27"/>
      <c r="HVW146" s="27"/>
      <c r="HVX146" s="27"/>
      <c r="HVY146" s="27"/>
      <c r="HVZ146" s="27"/>
      <c r="HWA146" s="27"/>
      <c r="HWB146" s="27"/>
      <c r="HWC146" s="27"/>
      <c r="HWD146" s="27"/>
      <c r="HWE146" s="27"/>
      <c r="HWF146" s="27"/>
      <c r="HWG146" s="27"/>
      <c r="HWH146" s="27"/>
      <c r="HWI146" s="27"/>
      <c r="HWJ146" s="27"/>
      <c r="HWK146" s="27"/>
      <c r="HWL146" s="27"/>
      <c r="HWM146" s="27"/>
      <c r="HWN146" s="27"/>
      <c r="HWO146" s="27"/>
      <c r="HWP146" s="27"/>
      <c r="HWQ146" s="27"/>
      <c r="HWR146" s="27"/>
      <c r="HWS146" s="27"/>
      <c r="HWT146" s="27"/>
      <c r="HWU146" s="27"/>
      <c r="HWV146" s="27"/>
      <c r="HWW146" s="27"/>
      <c r="HWX146" s="27"/>
      <c r="HWY146" s="27"/>
      <c r="HWZ146" s="27"/>
      <c r="HXA146" s="27"/>
      <c r="HXB146" s="27"/>
      <c r="HXC146" s="27"/>
      <c r="HXD146" s="27"/>
      <c r="HXE146" s="27"/>
      <c r="HXF146" s="27"/>
      <c r="HXG146" s="27"/>
      <c r="HXH146" s="27"/>
      <c r="HXI146" s="27"/>
      <c r="HXJ146" s="27"/>
      <c r="HXK146" s="27"/>
      <c r="HXL146" s="27"/>
      <c r="HXM146" s="27"/>
      <c r="HXN146" s="27"/>
      <c r="HXO146" s="27"/>
      <c r="HXP146" s="27"/>
      <c r="HXQ146" s="27"/>
      <c r="HXR146" s="27"/>
      <c r="HXS146" s="27"/>
      <c r="HXT146" s="27"/>
      <c r="HXU146" s="27"/>
      <c r="HXV146" s="27"/>
      <c r="HXW146" s="27"/>
      <c r="HXX146" s="27"/>
      <c r="HXY146" s="27"/>
      <c r="HXZ146" s="27"/>
      <c r="HYA146" s="27"/>
      <c r="HYB146" s="27"/>
      <c r="HYC146" s="27"/>
      <c r="HYD146" s="27"/>
      <c r="HYE146" s="27"/>
      <c r="HYF146" s="27"/>
      <c r="HYG146" s="27"/>
      <c r="HYH146" s="27"/>
      <c r="HYI146" s="27"/>
      <c r="HYJ146" s="27"/>
      <c r="HYK146" s="27"/>
      <c r="HYL146" s="27"/>
      <c r="HYM146" s="27"/>
      <c r="HYN146" s="27"/>
      <c r="HYO146" s="27"/>
      <c r="HYP146" s="27"/>
      <c r="HYQ146" s="27"/>
      <c r="HYR146" s="27"/>
      <c r="HYS146" s="27"/>
      <c r="HYT146" s="27"/>
      <c r="HYU146" s="27"/>
      <c r="HYV146" s="27"/>
      <c r="HYW146" s="27"/>
      <c r="HYX146" s="27"/>
      <c r="HYY146" s="27"/>
      <c r="HYZ146" s="27"/>
      <c r="HZA146" s="27"/>
      <c r="HZB146" s="27"/>
      <c r="HZC146" s="27"/>
      <c r="HZD146" s="27"/>
      <c r="HZE146" s="27"/>
      <c r="HZF146" s="27"/>
      <c r="HZG146" s="27"/>
      <c r="HZH146" s="27"/>
      <c r="HZI146" s="27"/>
      <c r="HZJ146" s="27"/>
      <c r="HZK146" s="27"/>
      <c r="HZL146" s="27"/>
      <c r="HZM146" s="27"/>
      <c r="HZN146" s="27"/>
      <c r="HZO146" s="27"/>
      <c r="HZP146" s="27"/>
      <c r="HZQ146" s="27"/>
      <c r="HZR146" s="27"/>
      <c r="HZS146" s="27"/>
      <c r="HZT146" s="27"/>
      <c r="HZU146" s="27"/>
      <c r="HZV146" s="27"/>
      <c r="HZW146" s="27"/>
      <c r="HZX146" s="27"/>
      <c r="HZY146" s="27"/>
      <c r="HZZ146" s="27"/>
      <c r="IAA146" s="27"/>
      <c r="IAB146" s="27"/>
      <c r="IAC146" s="27"/>
      <c r="IAD146" s="27"/>
      <c r="IAE146" s="27"/>
      <c r="IAF146" s="27"/>
      <c r="IAG146" s="27"/>
      <c r="IAH146" s="27"/>
      <c r="IAI146" s="27"/>
      <c r="IAJ146" s="27"/>
      <c r="IAK146" s="27"/>
      <c r="IAL146" s="27"/>
      <c r="IAM146" s="27"/>
      <c r="IAN146" s="27"/>
      <c r="IAO146" s="27"/>
      <c r="IAP146" s="27"/>
      <c r="IAQ146" s="27"/>
      <c r="IAR146" s="27"/>
      <c r="IAS146" s="27"/>
      <c r="IAT146" s="27"/>
      <c r="IAU146" s="27"/>
      <c r="IAV146" s="27"/>
      <c r="IAW146" s="27"/>
      <c r="IAX146" s="27"/>
      <c r="IAY146" s="27"/>
      <c r="IAZ146" s="27"/>
      <c r="IBA146" s="27"/>
      <c r="IBB146" s="27"/>
      <c r="IBC146" s="27"/>
      <c r="IBD146" s="27"/>
      <c r="IBE146" s="27"/>
      <c r="IBF146" s="27"/>
      <c r="IBG146" s="27"/>
      <c r="IBH146" s="27"/>
      <c r="IBI146" s="27"/>
      <c r="IBJ146" s="27"/>
      <c r="IBK146" s="27"/>
      <c r="IBL146" s="27"/>
      <c r="IBM146" s="27"/>
      <c r="IBN146" s="27"/>
      <c r="IBO146" s="27"/>
      <c r="IBP146" s="27"/>
      <c r="IBQ146" s="27"/>
      <c r="IBR146" s="27"/>
      <c r="IBS146" s="27"/>
      <c r="IBT146" s="27"/>
      <c r="IBU146" s="27"/>
      <c r="IBV146" s="27"/>
      <c r="IBW146" s="27"/>
      <c r="IBX146" s="27"/>
      <c r="IBY146" s="27"/>
      <c r="IBZ146" s="27"/>
      <c r="ICA146" s="27"/>
      <c r="ICB146" s="27"/>
      <c r="ICC146" s="27"/>
      <c r="ICD146" s="27"/>
      <c r="ICE146" s="27"/>
      <c r="ICF146" s="27"/>
      <c r="ICG146" s="27"/>
      <c r="ICH146" s="27"/>
      <c r="ICI146" s="27"/>
      <c r="ICJ146" s="27"/>
      <c r="ICK146" s="27"/>
      <c r="ICL146" s="27"/>
      <c r="ICM146" s="27"/>
      <c r="ICN146" s="27"/>
      <c r="ICO146" s="27"/>
      <c r="ICP146" s="27"/>
      <c r="ICQ146" s="27"/>
      <c r="ICR146" s="27"/>
      <c r="ICS146" s="27"/>
      <c r="ICT146" s="27"/>
      <c r="ICU146" s="27"/>
      <c r="ICV146" s="27"/>
      <c r="ICW146" s="27"/>
      <c r="ICX146" s="27"/>
      <c r="ICY146" s="27"/>
      <c r="ICZ146" s="27"/>
      <c r="IDA146" s="27"/>
      <c r="IDB146" s="27"/>
      <c r="IDC146" s="27"/>
      <c r="IDD146" s="27"/>
      <c r="IDE146" s="27"/>
      <c r="IDF146" s="27"/>
      <c r="IDG146" s="27"/>
      <c r="IDH146" s="27"/>
      <c r="IDI146" s="27"/>
      <c r="IDJ146" s="27"/>
      <c r="IDK146" s="27"/>
      <c r="IDL146" s="27"/>
      <c r="IDM146" s="27"/>
      <c r="IDN146" s="27"/>
      <c r="IDO146" s="27"/>
      <c r="IDP146" s="27"/>
      <c r="IDQ146" s="27"/>
      <c r="IDR146" s="27"/>
      <c r="IDS146" s="27"/>
      <c r="IDT146" s="27"/>
      <c r="IDU146" s="27"/>
      <c r="IDV146" s="27"/>
      <c r="IDW146" s="27"/>
      <c r="IDX146" s="27"/>
      <c r="IDY146" s="27"/>
      <c r="IDZ146" s="27"/>
      <c r="IEA146" s="27"/>
      <c r="IEB146" s="27"/>
      <c r="IEC146" s="27"/>
      <c r="IED146" s="27"/>
      <c r="IEE146" s="27"/>
      <c r="IEF146" s="27"/>
      <c r="IEG146" s="27"/>
      <c r="IEH146" s="27"/>
      <c r="IEI146" s="27"/>
      <c r="IEJ146" s="27"/>
      <c r="IEK146" s="27"/>
      <c r="IEL146" s="27"/>
      <c r="IEM146" s="27"/>
      <c r="IEN146" s="27"/>
      <c r="IEO146" s="27"/>
      <c r="IEP146" s="27"/>
      <c r="IEQ146" s="27"/>
      <c r="IER146" s="27"/>
      <c r="IES146" s="27"/>
      <c r="IET146" s="27"/>
      <c r="IEU146" s="27"/>
      <c r="IEV146" s="27"/>
      <c r="IEW146" s="27"/>
      <c r="IEX146" s="27"/>
      <c r="IEY146" s="27"/>
      <c r="IEZ146" s="27"/>
      <c r="IFA146" s="27"/>
      <c r="IFB146" s="27"/>
      <c r="IFC146" s="27"/>
      <c r="IFD146" s="27"/>
      <c r="IFE146" s="27"/>
      <c r="IFF146" s="27"/>
      <c r="IFG146" s="27"/>
      <c r="IFH146" s="27"/>
      <c r="IFI146" s="27"/>
      <c r="IFJ146" s="27"/>
      <c r="IFK146" s="27"/>
      <c r="IFL146" s="27"/>
      <c r="IFM146" s="27"/>
      <c r="IFN146" s="27"/>
      <c r="IFO146" s="27"/>
      <c r="IFP146" s="27"/>
      <c r="IFQ146" s="27"/>
      <c r="IFR146" s="27"/>
      <c r="IFS146" s="27"/>
      <c r="IFT146" s="27"/>
      <c r="IFU146" s="27"/>
      <c r="IFV146" s="27"/>
      <c r="IFW146" s="27"/>
      <c r="IFX146" s="27"/>
      <c r="IFY146" s="27"/>
      <c r="IFZ146" s="27"/>
      <c r="IGA146" s="27"/>
      <c r="IGB146" s="27"/>
      <c r="IGC146" s="27"/>
      <c r="IGD146" s="27"/>
      <c r="IGE146" s="27"/>
      <c r="IGF146" s="27"/>
      <c r="IGG146" s="27"/>
      <c r="IGH146" s="27"/>
      <c r="IGI146" s="27"/>
      <c r="IGJ146" s="27"/>
      <c r="IGK146" s="27"/>
      <c r="IGL146" s="27"/>
      <c r="IGM146" s="27"/>
      <c r="IGN146" s="27"/>
      <c r="IGO146" s="27"/>
      <c r="IGP146" s="27"/>
      <c r="IGQ146" s="27"/>
      <c r="IGR146" s="27"/>
      <c r="IGS146" s="27"/>
      <c r="IGT146" s="27"/>
      <c r="IGU146" s="27"/>
      <c r="IGV146" s="27"/>
      <c r="IGW146" s="27"/>
      <c r="IGX146" s="27"/>
      <c r="IGY146" s="27"/>
      <c r="IGZ146" s="27"/>
      <c r="IHA146" s="27"/>
      <c r="IHB146" s="27"/>
      <c r="IHC146" s="27"/>
      <c r="IHD146" s="27"/>
      <c r="IHE146" s="27"/>
      <c r="IHF146" s="27"/>
      <c r="IHG146" s="27"/>
      <c r="IHH146" s="27"/>
      <c r="IHI146" s="27"/>
      <c r="IHJ146" s="27"/>
      <c r="IHK146" s="27"/>
      <c r="IHL146" s="27"/>
      <c r="IHM146" s="27"/>
      <c r="IHN146" s="27"/>
      <c r="IHO146" s="27"/>
      <c r="IHP146" s="27"/>
      <c r="IHQ146" s="27"/>
      <c r="IHR146" s="27"/>
      <c r="IHS146" s="27"/>
      <c r="IHT146" s="27"/>
      <c r="IHU146" s="27"/>
      <c r="IHV146" s="27"/>
      <c r="IHW146" s="27"/>
      <c r="IHX146" s="27"/>
      <c r="IHY146" s="27"/>
      <c r="IHZ146" s="27"/>
      <c r="IIA146" s="27"/>
      <c r="IIB146" s="27"/>
      <c r="IIC146" s="27"/>
      <c r="IID146" s="27"/>
      <c r="IIE146" s="27"/>
      <c r="IIF146" s="27"/>
      <c r="IIG146" s="27"/>
      <c r="IIH146" s="27"/>
      <c r="III146" s="27"/>
      <c r="IIJ146" s="27"/>
      <c r="IIK146" s="27"/>
      <c r="IIL146" s="27"/>
      <c r="IIM146" s="27"/>
      <c r="IIN146" s="27"/>
      <c r="IIO146" s="27"/>
      <c r="IIP146" s="27"/>
      <c r="IIQ146" s="27"/>
      <c r="IIR146" s="27"/>
      <c r="IIS146" s="27"/>
      <c r="IIT146" s="27"/>
      <c r="IIU146" s="27"/>
      <c r="IIV146" s="27"/>
      <c r="IIW146" s="27"/>
      <c r="IIX146" s="27"/>
      <c r="IIY146" s="27"/>
      <c r="IIZ146" s="27"/>
      <c r="IJA146" s="27"/>
      <c r="IJB146" s="27"/>
      <c r="IJC146" s="27"/>
      <c r="IJD146" s="27"/>
      <c r="IJE146" s="27"/>
      <c r="IJF146" s="27"/>
      <c r="IJG146" s="27"/>
      <c r="IJH146" s="27"/>
      <c r="IJI146" s="27"/>
      <c r="IJJ146" s="27"/>
      <c r="IJK146" s="27"/>
      <c r="IJL146" s="27"/>
      <c r="IJM146" s="27"/>
      <c r="IJN146" s="27"/>
      <c r="IJO146" s="27"/>
      <c r="IJP146" s="27"/>
      <c r="IJQ146" s="27"/>
      <c r="IJR146" s="27"/>
      <c r="IJS146" s="27"/>
      <c r="IJT146" s="27"/>
      <c r="IJU146" s="27"/>
      <c r="IJV146" s="27"/>
      <c r="IJW146" s="27"/>
      <c r="IJX146" s="27"/>
      <c r="IJY146" s="27"/>
      <c r="IJZ146" s="27"/>
      <c r="IKA146" s="27"/>
      <c r="IKB146" s="27"/>
      <c r="IKC146" s="27"/>
      <c r="IKD146" s="27"/>
      <c r="IKE146" s="27"/>
      <c r="IKF146" s="27"/>
      <c r="IKG146" s="27"/>
      <c r="IKH146" s="27"/>
      <c r="IKI146" s="27"/>
      <c r="IKJ146" s="27"/>
      <c r="IKK146" s="27"/>
      <c r="IKL146" s="27"/>
      <c r="IKM146" s="27"/>
      <c r="IKN146" s="27"/>
      <c r="IKO146" s="27"/>
      <c r="IKP146" s="27"/>
      <c r="IKQ146" s="27"/>
      <c r="IKR146" s="27"/>
      <c r="IKS146" s="27"/>
      <c r="IKT146" s="27"/>
      <c r="IKU146" s="27"/>
      <c r="IKV146" s="27"/>
      <c r="IKW146" s="27"/>
      <c r="IKX146" s="27"/>
      <c r="IKY146" s="27"/>
      <c r="IKZ146" s="27"/>
      <c r="ILA146" s="27"/>
      <c r="ILB146" s="27"/>
      <c r="ILC146" s="27"/>
      <c r="ILD146" s="27"/>
      <c r="ILE146" s="27"/>
      <c r="ILF146" s="27"/>
      <c r="ILG146" s="27"/>
      <c r="ILH146" s="27"/>
      <c r="ILI146" s="27"/>
      <c r="ILJ146" s="27"/>
      <c r="ILK146" s="27"/>
      <c r="ILL146" s="27"/>
      <c r="ILM146" s="27"/>
      <c r="ILN146" s="27"/>
      <c r="ILO146" s="27"/>
      <c r="ILP146" s="27"/>
      <c r="ILQ146" s="27"/>
      <c r="ILR146" s="27"/>
      <c r="ILS146" s="27"/>
      <c r="ILT146" s="27"/>
      <c r="ILU146" s="27"/>
      <c r="ILV146" s="27"/>
      <c r="ILW146" s="27"/>
      <c r="ILX146" s="27"/>
      <c r="ILY146" s="27"/>
      <c r="ILZ146" s="27"/>
      <c r="IMA146" s="27"/>
      <c r="IMB146" s="27"/>
      <c r="IMC146" s="27"/>
      <c r="IMD146" s="27"/>
      <c r="IME146" s="27"/>
      <c r="IMF146" s="27"/>
      <c r="IMG146" s="27"/>
      <c r="IMH146" s="27"/>
      <c r="IMI146" s="27"/>
      <c r="IMJ146" s="27"/>
      <c r="IMK146" s="27"/>
      <c r="IML146" s="27"/>
      <c r="IMM146" s="27"/>
      <c r="IMN146" s="27"/>
      <c r="IMO146" s="27"/>
      <c r="IMP146" s="27"/>
      <c r="IMQ146" s="27"/>
      <c r="IMR146" s="27"/>
      <c r="IMS146" s="27"/>
      <c r="IMT146" s="27"/>
      <c r="IMU146" s="27"/>
      <c r="IMV146" s="27"/>
      <c r="IMW146" s="27"/>
      <c r="IMX146" s="27"/>
      <c r="IMY146" s="27"/>
      <c r="IMZ146" s="27"/>
      <c r="INA146" s="27"/>
      <c r="INB146" s="27"/>
      <c r="INC146" s="27"/>
      <c r="IND146" s="27"/>
      <c r="INE146" s="27"/>
      <c r="INF146" s="27"/>
      <c r="ING146" s="27"/>
      <c r="INH146" s="27"/>
      <c r="INI146" s="27"/>
      <c r="INJ146" s="27"/>
      <c r="INK146" s="27"/>
      <c r="INL146" s="27"/>
      <c r="INM146" s="27"/>
      <c r="INN146" s="27"/>
      <c r="INO146" s="27"/>
      <c r="INP146" s="27"/>
      <c r="INQ146" s="27"/>
      <c r="INR146" s="27"/>
      <c r="INS146" s="27"/>
      <c r="INT146" s="27"/>
      <c r="INU146" s="27"/>
      <c r="INV146" s="27"/>
      <c r="INW146" s="27"/>
      <c r="INX146" s="27"/>
      <c r="INY146" s="27"/>
      <c r="INZ146" s="27"/>
      <c r="IOA146" s="27"/>
      <c r="IOB146" s="27"/>
      <c r="IOC146" s="27"/>
      <c r="IOD146" s="27"/>
      <c r="IOE146" s="27"/>
      <c r="IOF146" s="27"/>
      <c r="IOG146" s="27"/>
      <c r="IOH146" s="27"/>
      <c r="IOI146" s="27"/>
      <c r="IOJ146" s="27"/>
      <c r="IOK146" s="27"/>
      <c r="IOL146" s="27"/>
      <c r="IOM146" s="27"/>
      <c r="ION146" s="27"/>
      <c r="IOO146" s="27"/>
      <c r="IOP146" s="27"/>
      <c r="IOQ146" s="27"/>
      <c r="IOR146" s="27"/>
      <c r="IOS146" s="27"/>
      <c r="IOT146" s="27"/>
      <c r="IOU146" s="27"/>
      <c r="IOV146" s="27"/>
      <c r="IOW146" s="27"/>
      <c r="IOX146" s="27"/>
      <c r="IOY146" s="27"/>
      <c r="IOZ146" s="27"/>
      <c r="IPA146" s="27"/>
      <c r="IPB146" s="27"/>
      <c r="IPC146" s="27"/>
      <c r="IPD146" s="27"/>
      <c r="IPE146" s="27"/>
      <c r="IPF146" s="27"/>
      <c r="IPG146" s="27"/>
      <c r="IPH146" s="27"/>
      <c r="IPI146" s="27"/>
      <c r="IPJ146" s="27"/>
      <c r="IPK146" s="27"/>
      <c r="IPL146" s="27"/>
      <c r="IPM146" s="27"/>
      <c r="IPN146" s="27"/>
      <c r="IPO146" s="27"/>
      <c r="IPP146" s="27"/>
      <c r="IPQ146" s="27"/>
      <c r="IPR146" s="27"/>
      <c r="IPS146" s="27"/>
      <c r="IPT146" s="27"/>
      <c r="IPU146" s="27"/>
      <c r="IPV146" s="27"/>
      <c r="IPW146" s="27"/>
      <c r="IPX146" s="27"/>
      <c r="IPY146" s="27"/>
      <c r="IPZ146" s="27"/>
      <c r="IQA146" s="27"/>
      <c r="IQB146" s="27"/>
      <c r="IQC146" s="27"/>
      <c r="IQD146" s="27"/>
      <c r="IQE146" s="27"/>
      <c r="IQF146" s="27"/>
      <c r="IQG146" s="27"/>
      <c r="IQH146" s="27"/>
      <c r="IQI146" s="27"/>
      <c r="IQJ146" s="27"/>
      <c r="IQK146" s="27"/>
      <c r="IQL146" s="27"/>
      <c r="IQM146" s="27"/>
      <c r="IQN146" s="27"/>
      <c r="IQO146" s="27"/>
      <c r="IQP146" s="27"/>
      <c r="IQQ146" s="27"/>
      <c r="IQR146" s="27"/>
      <c r="IQS146" s="27"/>
      <c r="IQT146" s="27"/>
      <c r="IQU146" s="27"/>
      <c r="IQV146" s="27"/>
      <c r="IQW146" s="27"/>
      <c r="IQX146" s="27"/>
      <c r="IQY146" s="27"/>
      <c r="IQZ146" s="27"/>
      <c r="IRA146" s="27"/>
      <c r="IRB146" s="27"/>
      <c r="IRC146" s="27"/>
      <c r="IRD146" s="27"/>
      <c r="IRE146" s="27"/>
      <c r="IRF146" s="27"/>
      <c r="IRG146" s="27"/>
      <c r="IRH146" s="27"/>
      <c r="IRI146" s="27"/>
      <c r="IRJ146" s="27"/>
      <c r="IRK146" s="27"/>
      <c r="IRL146" s="27"/>
      <c r="IRM146" s="27"/>
      <c r="IRN146" s="27"/>
      <c r="IRO146" s="27"/>
      <c r="IRP146" s="27"/>
      <c r="IRQ146" s="27"/>
      <c r="IRR146" s="27"/>
      <c r="IRS146" s="27"/>
      <c r="IRT146" s="27"/>
      <c r="IRU146" s="27"/>
      <c r="IRV146" s="27"/>
      <c r="IRW146" s="27"/>
      <c r="IRX146" s="27"/>
      <c r="IRY146" s="27"/>
      <c r="IRZ146" s="27"/>
      <c r="ISA146" s="27"/>
      <c r="ISB146" s="27"/>
      <c r="ISC146" s="27"/>
      <c r="ISD146" s="27"/>
      <c r="ISE146" s="27"/>
      <c r="ISF146" s="27"/>
      <c r="ISG146" s="27"/>
      <c r="ISH146" s="27"/>
      <c r="ISI146" s="27"/>
      <c r="ISJ146" s="27"/>
      <c r="ISK146" s="27"/>
      <c r="ISL146" s="27"/>
      <c r="ISM146" s="27"/>
      <c r="ISN146" s="27"/>
      <c r="ISO146" s="27"/>
      <c r="ISP146" s="27"/>
      <c r="ISQ146" s="27"/>
      <c r="ISR146" s="27"/>
      <c r="ISS146" s="27"/>
      <c r="IST146" s="27"/>
      <c r="ISU146" s="27"/>
      <c r="ISV146" s="27"/>
      <c r="ISW146" s="27"/>
      <c r="ISX146" s="27"/>
      <c r="ISY146" s="27"/>
      <c r="ISZ146" s="27"/>
      <c r="ITA146" s="27"/>
      <c r="ITB146" s="27"/>
      <c r="ITC146" s="27"/>
      <c r="ITD146" s="27"/>
      <c r="ITE146" s="27"/>
      <c r="ITF146" s="27"/>
      <c r="ITG146" s="27"/>
      <c r="ITH146" s="27"/>
      <c r="ITI146" s="27"/>
      <c r="ITJ146" s="27"/>
      <c r="ITK146" s="27"/>
      <c r="ITL146" s="27"/>
      <c r="ITM146" s="27"/>
      <c r="ITN146" s="27"/>
      <c r="ITO146" s="27"/>
      <c r="ITP146" s="27"/>
      <c r="ITQ146" s="27"/>
      <c r="ITR146" s="27"/>
      <c r="ITS146" s="27"/>
      <c r="ITT146" s="27"/>
      <c r="ITU146" s="27"/>
      <c r="ITV146" s="27"/>
      <c r="ITW146" s="27"/>
      <c r="ITX146" s="27"/>
      <c r="ITY146" s="27"/>
      <c r="ITZ146" s="27"/>
      <c r="IUA146" s="27"/>
      <c r="IUB146" s="27"/>
      <c r="IUC146" s="27"/>
      <c r="IUD146" s="27"/>
      <c r="IUE146" s="27"/>
      <c r="IUF146" s="27"/>
      <c r="IUG146" s="27"/>
      <c r="IUH146" s="27"/>
      <c r="IUI146" s="27"/>
      <c r="IUJ146" s="27"/>
      <c r="IUK146" s="27"/>
      <c r="IUL146" s="27"/>
      <c r="IUM146" s="27"/>
      <c r="IUN146" s="27"/>
      <c r="IUO146" s="27"/>
      <c r="IUP146" s="27"/>
      <c r="IUQ146" s="27"/>
      <c r="IUR146" s="27"/>
      <c r="IUS146" s="27"/>
      <c r="IUT146" s="27"/>
      <c r="IUU146" s="27"/>
      <c r="IUV146" s="27"/>
      <c r="IUW146" s="27"/>
      <c r="IUX146" s="27"/>
      <c r="IUY146" s="27"/>
      <c r="IUZ146" s="27"/>
      <c r="IVA146" s="27"/>
      <c r="IVB146" s="27"/>
      <c r="IVC146" s="27"/>
      <c r="IVD146" s="27"/>
      <c r="IVE146" s="27"/>
      <c r="IVF146" s="27"/>
      <c r="IVG146" s="27"/>
      <c r="IVH146" s="27"/>
      <c r="IVI146" s="27"/>
      <c r="IVJ146" s="27"/>
      <c r="IVK146" s="27"/>
      <c r="IVL146" s="27"/>
      <c r="IVM146" s="27"/>
      <c r="IVN146" s="27"/>
      <c r="IVO146" s="27"/>
      <c r="IVP146" s="27"/>
      <c r="IVQ146" s="27"/>
      <c r="IVR146" s="27"/>
      <c r="IVS146" s="27"/>
      <c r="IVT146" s="27"/>
      <c r="IVU146" s="27"/>
      <c r="IVV146" s="27"/>
      <c r="IVW146" s="27"/>
      <c r="IVX146" s="27"/>
      <c r="IVY146" s="27"/>
      <c r="IVZ146" s="27"/>
      <c r="IWA146" s="27"/>
      <c r="IWB146" s="27"/>
      <c r="IWC146" s="27"/>
      <c r="IWD146" s="27"/>
      <c r="IWE146" s="27"/>
      <c r="IWF146" s="27"/>
      <c r="IWG146" s="27"/>
      <c r="IWH146" s="27"/>
      <c r="IWI146" s="27"/>
      <c r="IWJ146" s="27"/>
      <c r="IWK146" s="27"/>
      <c r="IWL146" s="27"/>
      <c r="IWM146" s="27"/>
      <c r="IWN146" s="27"/>
      <c r="IWO146" s="27"/>
      <c r="IWP146" s="27"/>
      <c r="IWQ146" s="27"/>
      <c r="IWR146" s="27"/>
      <c r="IWS146" s="27"/>
      <c r="IWT146" s="27"/>
      <c r="IWU146" s="27"/>
      <c r="IWV146" s="27"/>
      <c r="IWW146" s="27"/>
      <c r="IWX146" s="27"/>
      <c r="IWY146" s="27"/>
      <c r="IWZ146" s="27"/>
      <c r="IXA146" s="27"/>
      <c r="IXB146" s="27"/>
      <c r="IXC146" s="27"/>
      <c r="IXD146" s="27"/>
      <c r="IXE146" s="27"/>
      <c r="IXF146" s="27"/>
      <c r="IXG146" s="27"/>
      <c r="IXH146" s="27"/>
      <c r="IXI146" s="27"/>
      <c r="IXJ146" s="27"/>
      <c r="IXK146" s="27"/>
      <c r="IXL146" s="27"/>
      <c r="IXM146" s="27"/>
      <c r="IXN146" s="27"/>
      <c r="IXO146" s="27"/>
      <c r="IXP146" s="27"/>
      <c r="IXQ146" s="27"/>
      <c r="IXR146" s="27"/>
      <c r="IXS146" s="27"/>
      <c r="IXT146" s="27"/>
      <c r="IXU146" s="27"/>
      <c r="IXV146" s="27"/>
      <c r="IXW146" s="27"/>
      <c r="IXX146" s="27"/>
      <c r="IXY146" s="27"/>
      <c r="IXZ146" s="27"/>
      <c r="IYA146" s="27"/>
      <c r="IYB146" s="27"/>
      <c r="IYC146" s="27"/>
      <c r="IYD146" s="27"/>
      <c r="IYE146" s="27"/>
      <c r="IYF146" s="27"/>
      <c r="IYG146" s="27"/>
      <c r="IYH146" s="27"/>
      <c r="IYI146" s="27"/>
      <c r="IYJ146" s="27"/>
      <c r="IYK146" s="27"/>
      <c r="IYL146" s="27"/>
      <c r="IYM146" s="27"/>
      <c r="IYN146" s="27"/>
      <c r="IYO146" s="27"/>
      <c r="IYP146" s="27"/>
      <c r="IYQ146" s="27"/>
      <c r="IYR146" s="27"/>
      <c r="IYS146" s="27"/>
      <c r="IYT146" s="27"/>
      <c r="IYU146" s="27"/>
      <c r="IYV146" s="27"/>
      <c r="IYW146" s="27"/>
      <c r="IYX146" s="27"/>
      <c r="IYY146" s="27"/>
      <c r="IYZ146" s="27"/>
      <c r="IZA146" s="27"/>
      <c r="IZB146" s="27"/>
      <c r="IZC146" s="27"/>
      <c r="IZD146" s="27"/>
      <c r="IZE146" s="27"/>
      <c r="IZF146" s="27"/>
      <c r="IZG146" s="27"/>
      <c r="IZH146" s="27"/>
      <c r="IZI146" s="27"/>
      <c r="IZJ146" s="27"/>
      <c r="IZK146" s="27"/>
      <c r="IZL146" s="27"/>
      <c r="IZM146" s="27"/>
      <c r="IZN146" s="27"/>
      <c r="IZO146" s="27"/>
      <c r="IZP146" s="27"/>
      <c r="IZQ146" s="27"/>
      <c r="IZR146" s="27"/>
      <c r="IZS146" s="27"/>
      <c r="IZT146" s="27"/>
      <c r="IZU146" s="27"/>
      <c r="IZV146" s="27"/>
      <c r="IZW146" s="27"/>
      <c r="IZX146" s="27"/>
      <c r="IZY146" s="27"/>
      <c r="IZZ146" s="27"/>
      <c r="JAA146" s="27"/>
      <c r="JAB146" s="27"/>
      <c r="JAC146" s="27"/>
      <c r="JAD146" s="27"/>
      <c r="JAE146" s="27"/>
      <c r="JAF146" s="27"/>
      <c r="JAG146" s="27"/>
      <c r="JAH146" s="27"/>
      <c r="JAI146" s="27"/>
      <c r="JAJ146" s="27"/>
      <c r="JAK146" s="27"/>
      <c r="JAL146" s="27"/>
      <c r="JAM146" s="27"/>
      <c r="JAN146" s="27"/>
      <c r="JAO146" s="27"/>
      <c r="JAP146" s="27"/>
      <c r="JAQ146" s="27"/>
      <c r="JAR146" s="27"/>
      <c r="JAS146" s="27"/>
      <c r="JAT146" s="27"/>
      <c r="JAU146" s="27"/>
      <c r="JAV146" s="27"/>
      <c r="JAW146" s="27"/>
      <c r="JAX146" s="27"/>
      <c r="JAY146" s="27"/>
      <c r="JAZ146" s="27"/>
      <c r="JBA146" s="27"/>
      <c r="JBB146" s="27"/>
      <c r="JBC146" s="27"/>
      <c r="JBD146" s="27"/>
      <c r="JBE146" s="27"/>
      <c r="JBF146" s="27"/>
      <c r="JBG146" s="27"/>
      <c r="JBH146" s="27"/>
      <c r="JBI146" s="27"/>
      <c r="JBJ146" s="27"/>
      <c r="JBK146" s="27"/>
      <c r="JBL146" s="27"/>
      <c r="JBM146" s="27"/>
      <c r="JBN146" s="27"/>
      <c r="JBO146" s="27"/>
      <c r="JBP146" s="27"/>
      <c r="JBQ146" s="27"/>
      <c r="JBR146" s="27"/>
      <c r="JBS146" s="27"/>
      <c r="JBT146" s="27"/>
      <c r="JBU146" s="27"/>
      <c r="JBV146" s="27"/>
      <c r="JBW146" s="27"/>
      <c r="JBX146" s="27"/>
      <c r="JBY146" s="27"/>
      <c r="JBZ146" s="27"/>
      <c r="JCA146" s="27"/>
      <c r="JCB146" s="27"/>
      <c r="JCC146" s="27"/>
      <c r="JCD146" s="27"/>
      <c r="JCE146" s="27"/>
      <c r="JCF146" s="27"/>
      <c r="JCG146" s="27"/>
      <c r="JCH146" s="27"/>
      <c r="JCI146" s="27"/>
      <c r="JCJ146" s="27"/>
      <c r="JCK146" s="27"/>
      <c r="JCL146" s="27"/>
      <c r="JCM146" s="27"/>
      <c r="JCN146" s="27"/>
      <c r="JCO146" s="27"/>
      <c r="JCP146" s="27"/>
      <c r="JCQ146" s="27"/>
      <c r="JCR146" s="27"/>
      <c r="JCS146" s="27"/>
      <c r="JCT146" s="27"/>
      <c r="JCU146" s="27"/>
      <c r="JCV146" s="27"/>
      <c r="JCW146" s="27"/>
      <c r="JCX146" s="27"/>
      <c r="JCY146" s="27"/>
      <c r="JCZ146" s="27"/>
      <c r="JDA146" s="27"/>
      <c r="JDB146" s="27"/>
      <c r="JDC146" s="27"/>
      <c r="JDD146" s="27"/>
      <c r="JDE146" s="27"/>
      <c r="JDF146" s="27"/>
      <c r="JDG146" s="27"/>
      <c r="JDH146" s="27"/>
      <c r="JDI146" s="27"/>
      <c r="JDJ146" s="27"/>
      <c r="JDK146" s="27"/>
      <c r="JDL146" s="27"/>
      <c r="JDM146" s="27"/>
      <c r="JDN146" s="27"/>
      <c r="JDO146" s="27"/>
      <c r="JDP146" s="27"/>
      <c r="JDQ146" s="27"/>
      <c r="JDR146" s="27"/>
      <c r="JDS146" s="27"/>
      <c r="JDT146" s="27"/>
      <c r="JDU146" s="27"/>
      <c r="JDV146" s="27"/>
      <c r="JDW146" s="27"/>
      <c r="JDX146" s="27"/>
      <c r="JDY146" s="27"/>
      <c r="JDZ146" s="27"/>
      <c r="JEA146" s="27"/>
      <c r="JEB146" s="27"/>
      <c r="JEC146" s="27"/>
      <c r="JED146" s="27"/>
      <c r="JEE146" s="27"/>
      <c r="JEF146" s="27"/>
      <c r="JEG146" s="27"/>
      <c r="JEH146" s="27"/>
      <c r="JEI146" s="27"/>
      <c r="JEJ146" s="27"/>
      <c r="JEK146" s="27"/>
      <c r="JEL146" s="27"/>
      <c r="JEM146" s="27"/>
      <c r="JEN146" s="27"/>
      <c r="JEO146" s="27"/>
      <c r="JEP146" s="27"/>
      <c r="JEQ146" s="27"/>
      <c r="JER146" s="27"/>
      <c r="JES146" s="27"/>
      <c r="JET146" s="27"/>
      <c r="JEU146" s="27"/>
      <c r="JEV146" s="27"/>
      <c r="JEW146" s="27"/>
      <c r="JEX146" s="27"/>
      <c r="JEY146" s="27"/>
      <c r="JEZ146" s="27"/>
      <c r="JFA146" s="27"/>
      <c r="JFB146" s="27"/>
      <c r="JFC146" s="27"/>
      <c r="JFD146" s="27"/>
      <c r="JFE146" s="27"/>
      <c r="JFF146" s="27"/>
      <c r="JFG146" s="27"/>
      <c r="JFH146" s="27"/>
      <c r="JFI146" s="27"/>
      <c r="JFJ146" s="27"/>
      <c r="JFK146" s="27"/>
      <c r="JFL146" s="27"/>
      <c r="JFM146" s="27"/>
      <c r="JFN146" s="27"/>
      <c r="JFO146" s="27"/>
      <c r="JFP146" s="27"/>
      <c r="JFQ146" s="27"/>
      <c r="JFR146" s="27"/>
      <c r="JFS146" s="27"/>
      <c r="JFT146" s="27"/>
      <c r="JFU146" s="27"/>
      <c r="JFV146" s="27"/>
      <c r="JFW146" s="27"/>
      <c r="JFX146" s="27"/>
      <c r="JFY146" s="27"/>
      <c r="JFZ146" s="27"/>
      <c r="JGA146" s="27"/>
      <c r="JGB146" s="27"/>
      <c r="JGC146" s="27"/>
      <c r="JGD146" s="27"/>
      <c r="JGE146" s="27"/>
      <c r="JGF146" s="27"/>
      <c r="JGG146" s="27"/>
      <c r="JGH146" s="27"/>
      <c r="JGI146" s="27"/>
      <c r="JGJ146" s="27"/>
      <c r="JGK146" s="27"/>
      <c r="JGL146" s="27"/>
      <c r="JGM146" s="27"/>
      <c r="JGN146" s="27"/>
      <c r="JGO146" s="27"/>
      <c r="JGP146" s="27"/>
      <c r="JGQ146" s="27"/>
      <c r="JGR146" s="27"/>
      <c r="JGS146" s="27"/>
      <c r="JGT146" s="27"/>
      <c r="JGU146" s="27"/>
      <c r="JGV146" s="27"/>
      <c r="JGW146" s="27"/>
      <c r="JGX146" s="27"/>
      <c r="JGY146" s="27"/>
      <c r="JGZ146" s="27"/>
      <c r="JHA146" s="27"/>
      <c r="JHB146" s="27"/>
      <c r="JHC146" s="27"/>
      <c r="JHD146" s="27"/>
      <c r="JHE146" s="27"/>
      <c r="JHF146" s="27"/>
      <c r="JHG146" s="27"/>
      <c r="JHH146" s="27"/>
      <c r="JHI146" s="27"/>
      <c r="JHJ146" s="27"/>
      <c r="JHK146" s="27"/>
      <c r="JHL146" s="27"/>
      <c r="JHM146" s="27"/>
      <c r="JHN146" s="27"/>
      <c r="JHO146" s="27"/>
      <c r="JHP146" s="27"/>
      <c r="JHQ146" s="27"/>
      <c r="JHR146" s="27"/>
      <c r="JHS146" s="27"/>
      <c r="JHT146" s="27"/>
      <c r="JHU146" s="27"/>
      <c r="JHV146" s="27"/>
      <c r="JHW146" s="27"/>
      <c r="JHX146" s="27"/>
      <c r="JHY146" s="27"/>
      <c r="JHZ146" s="27"/>
      <c r="JIA146" s="27"/>
      <c r="JIB146" s="27"/>
      <c r="JIC146" s="27"/>
      <c r="JID146" s="27"/>
      <c r="JIE146" s="27"/>
      <c r="JIF146" s="27"/>
      <c r="JIG146" s="27"/>
      <c r="JIH146" s="27"/>
      <c r="JII146" s="27"/>
      <c r="JIJ146" s="27"/>
      <c r="JIK146" s="27"/>
      <c r="JIL146" s="27"/>
      <c r="JIM146" s="27"/>
      <c r="JIN146" s="27"/>
      <c r="JIO146" s="27"/>
      <c r="JIP146" s="27"/>
      <c r="JIQ146" s="27"/>
      <c r="JIR146" s="27"/>
      <c r="JIS146" s="27"/>
      <c r="JIT146" s="27"/>
      <c r="JIU146" s="27"/>
      <c r="JIV146" s="27"/>
      <c r="JIW146" s="27"/>
      <c r="JIX146" s="27"/>
      <c r="JIY146" s="27"/>
      <c r="JIZ146" s="27"/>
      <c r="JJA146" s="27"/>
      <c r="JJB146" s="27"/>
      <c r="JJC146" s="27"/>
      <c r="JJD146" s="27"/>
      <c r="JJE146" s="27"/>
      <c r="JJF146" s="27"/>
      <c r="JJG146" s="27"/>
      <c r="JJH146" s="27"/>
      <c r="JJI146" s="27"/>
      <c r="JJJ146" s="27"/>
      <c r="JJK146" s="27"/>
      <c r="JJL146" s="27"/>
      <c r="JJM146" s="27"/>
      <c r="JJN146" s="27"/>
      <c r="JJO146" s="27"/>
      <c r="JJP146" s="27"/>
      <c r="JJQ146" s="27"/>
      <c r="JJR146" s="27"/>
      <c r="JJS146" s="27"/>
      <c r="JJT146" s="27"/>
      <c r="JJU146" s="27"/>
      <c r="JJV146" s="27"/>
      <c r="JJW146" s="27"/>
      <c r="JJX146" s="27"/>
      <c r="JJY146" s="27"/>
      <c r="JJZ146" s="27"/>
      <c r="JKA146" s="27"/>
      <c r="JKB146" s="27"/>
      <c r="JKC146" s="27"/>
      <c r="JKD146" s="27"/>
      <c r="JKE146" s="27"/>
      <c r="JKF146" s="27"/>
      <c r="JKG146" s="27"/>
      <c r="JKH146" s="27"/>
      <c r="JKI146" s="27"/>
      <c r="JKJ146" s="27"/>
      <c r="JKK146" s="27"/>
      <c r="JKL146" s="27"/>
      <c r="JKM146" s="27"/>
      <c r="JKN146" s="27"/>
      <c r="JKO146" s="27"/>
      <c r="JKP146" s="27"/>
      <c r="JKQ146" s="27"/>
      <c r="JKR146" s="27"/>
      <c r="JKS146" s="27"/>
      <c r="JKT146" s="27"/>
      <c r="JKU146" s="27"/>
      <c r="JKV146" s="27"/>
      <c r="JKW146" s="27"/>
      <c r="JKX146" s="27"/>
      <c r="JKY146" s="27"/>
      <c r="JKZ146" s="27"/>
      <c r="JLA146" s="27"/>
      <c r="JLB146" s="27"/>
      <c r="JLC146" s="27"/>
      <c r="JLD146" s="27"/>
      <c r="JLE146" s="27"/>
      <c r="JLF146" s="27"/>
      <c r="JLG146" s="27"/>
      <c r="JLH146" s="27"/>
      <c r="JLI146" s="27"/>
      <c r="JLJ146" s="27"/>
      <c r="JLK146" s="27"/>
      <c r="JLL146" s="27"/>
      <c r="JLM146" s="27"/>
      <c r="JLN146" s="27"/>
      <c r="JLO146" s="27"/>
      <c r="JLP146" s="27"/>
      <c r="JLQ146" s="27"/>
      <c r="JLR146" s="27"/>
      <c r="JLS146" s="27"/>
      <c r="JLT146" s="27"/>
      <c r="JLU146" s="27"/>
      <c r="JLV146" s="27"/>
      <c r="JLW146" s="27"/>
      <c r="JLX146" s="27"/>
      <c r="JLY146" s="27"/>
      <c r="JLZ146" s="27"/>
      <c r="JMA146" s="27"/>
      <c r="JMB146" s="27"/>
      <c r="JMC146" s="27"/>
      <c r="JMD146" s="27"/>
      <c r="JME146" s="27"/>
      <c r="JMF146" s="27"/>
      <c r="JMG146" s="27"/>
      <c r="JMH146" s="27"/>
      <c r="JMI146" s="27"/>
      <c r="JMJ146" s="27"/>
      <c r="JMK146" s="27"/>
      <c r="JML146" s="27"/>
      <c r="JMM146" s="27"/>
      <c r="JMN146" s="27"/>
      <c r="JMO146" s="27"/>
      <c r="JMP146" s="27"/>
      <c r="JMQ146" s="27"/>
      <c r="JMR146" s="27"/>
      <c r="JMS146" s="27"/>
      <c r="JMT146" s="27"/>
      <c r="JMU146" s="27"/>
      <c r="JMV146" s="27"/>
      <c r="JMW146" s="27"/>
      <c r="JMX146" s="27"/>
      <c r="JMY146" s="27"/>
      <c r="JMZ146" s="27"/>
      <c r="JNA146" s="27"/>
      <c r="JNB146" s="27"/>
      <c r="JNC146" s="27"/>
      <c r="JND146" s="27"/>
      <c r="JNE146" s="27"/>
      <c r="JNF146" s="27"/>
      <c r="JNG146" s="27"/>
      <c r="JNH146" s="27"/>
      <c r="JNI146" s="27"/>
      <c r="JNJ146" s="27"/>
      <c r="JNK146" s="27"/>
      <c r="JNL146" s="27"/>
      <c r="JNM146" s="27"/>
      <c r="JNN146" s="27"/>
      <c r="JNO146" s="27"/>
      <c r="JNP146" s="27"/>
      <c r="JNQ146" s="27"/>
      <c r="JNR146" s="27"/>
      <c r="JNS146" s="27"/>
      <c r="JNT146" s="27"/>
      <c r="JNU146" s="27"/>
      <c r="JNV146" s="27"/>
      <c r="JNW146" s="27"/>
      <c r="JNX146" s="27"/>
      <c r="JNY146" s="27"/>
      <c r="JNZ146" s="27"/>
      <c r="JOA146" s="27"/>
      <c r="JOB146" s="27"/>
      <c r="JOC146" s="27"/>
      <c r="JOD146" s="27"/>
      <c r="JOE146" s="27"/>
      <c r="JOF146" s="27"/>
      <c r="JOG146" s="27"/>
      <c r="JOH146" s="27"/>
      <c r="JOI146" s="27"/>
      <c r="JOJ146" s="27"/>
      <c r="JOK146" s="27"/>
      <c r="JOL146" s="27"/>
      <c r="JOM146" s="27"/>
      <c r="JON146" s="27"/>
      <c r="JOO146" s="27"/>
      <c r="JOP146" s="27"/>
      <c r="JOQ146" s="27"/>
      <c r="JOR146" s="27"/>
      <c r="JOS146" s="27"/>
      <c r="JOT146" s="27"/>
      <c r="JOU146" s="27"/>
      <c r="JOV146" s="27"/>
      <c r="JOW146" s="27"/>
      <c r="JOX146" s="27"/>
      <c r="JOY146" s="27"/>
      <c r="JOZ146" s="27"/>
      <c r="JPA146" s="27"/>
      <c r="JPB146" s="27"/>
      <c r="JPC146" s="27"/>
      <c r="JPD146" s="27"/>
      <c r="JPE146" s="27"/>
      <c r="JPF146" s="27"/>
      <c r="JPG146" s="27"/>
      <c r="JPH146" s="27"/>
      <c r="JPI146" s="27"/>
      <c r="JPJ146" s="27"/>
      <c r="JPK146" s="27"/>
      <c r="JPL146" s="27"/>
      <c r="JPM146" s="27"/>
      <c r="JPN146" s="27"/>
      <c r="JPO146" s="27"/>
      <c r="JPP146" s="27"/>
      <c r="JPQ146" s="27"/>
      <c r="JPR146" s="27"/>
      <c r="JPS146" s="27"/>
      <c r="JPT146" s="27"/>
      <c r="JPU146" s="27"/>
      <c r="JPV146" s="27"/>
      <c r="JPW146" s="27"/>
      <c r="JPX146" s="27"/>
      <c r="JPY146" s="27"/>
      <c r="JPZ146" s="27"/>
      <c r="JQA146" s="27"/>
      <c r="JQB146" s="27"/>
      <c r="JQC146" s="27"/>
      <c r="JQD146" s="27"/>
      <c r="JQE146" s="27"/>
      <c r="JQF146" s="27"/>
      <c r="JQG146" s="27"/>
      <c r="JQH146" s="27"/>
      <c r="JQI146" s="27"/>
      <c r="JQJ146" s="27"/>
      <c r="JQK146" s="27"/>
      <c r="JQL146" s="27"/>
      <c r="JQM146" s="27"/>
      <c r="JQN146" s="27"/>
      <c r="JQO146" s="27"/>
      <c r="JQP146" s="27"/>
      <c r="JQQ146" s="27"/>
      <c r="JQR146" s="27"/>
      <c r="JQS146" s="27"/>
      <c r="JQT146" s="27"/>
      <c r="JQU146" s="27"/>
      <c r="JQV146" s="27"/>
      <c r="JQW146" s="27"/>
      <c r="JQX146" s="27"/>
      <c r="JQY146" s="27"/>
      <c r="JQZ146" s="27"/>
      <c r="JRA146" s="27"/>
      <c r="JRB146" s="27"/>
      <c r="JRC146" s="27"/>
      <c r="JRD146" s="27"/>
      <c r="JRE146" s="27"/>
      <c r="JRF146" s="27"/>
      <c r="JRG146" s="27"/>
      <c r="JRH146" s="27"/>
      <c r="JRI146" s="27"/>
      <c r="JRJ146" s="27"/>
      <c r="JRK146" s="27"/>
      <c r="JRL146" s="27"/>
      <c r="JRM146" s="27"/>
      <c r="JRN146" s="27"/>
      <c r="JRO146" s="27"/>
      <c r="JRP146" s="27"/>
      <c r="JRQ146" s="27"/>
      <c r="JRR146" s="27"/>
      <c r="JRS146" s="27"/>
      <c r="JRT146" s="27"/>
      <c r="JRU146" s="27"/>
      <c r="JRV146" s="27"/>
      <c r="JRW146" s="27"/>
      <c r="JRX146" s="27"/>
      <c r="JRY146" s="27"/>
      <c r="JRZ146" s="27"/>
      <c r="JSA146" s="27"/>
      <c r="JSB146" s="27"/>
      <c r="JSC146" s="27"/>
      <c r="JSD146" s="27"/>
      <c r="JSE146" s="27"/>
      <c r="JSF146" s="27"/>
      <c r="JSG146" s="27"/>
      <c r="JSH146" s="27"/>
      <c r="JSI146" s="27"/>
      <c r="JSJ146" s="27"/>
      <c r="JSK146" s="27"/>
      <c r="JSL146" s="27"/>
      <c r="JSM146" s="27"/>
      <c r="JSN146" s="27"/>
      <c r="JSO146" s="27"/>
      <c r="JSP146" s="27"/>
      <c r="JSQ146" s="27"/>
      <c r="JSR146" s="27"/>
      <c r="JSS146" s="27"/>
      <c r="JST146" s="27"/>
      <c r="JSU146" s="27"/>
      <c r="JSV146" s="27"/>
      <c r="JSW146" s="27"/>
      <c r="JSX146" s="27"/>
      <c r="JSY146" s="27"/>
      <c r="JSZ146" s="27"/>
      <c r="JTA146" s="27"/>
      <c r="JTB146" s="27"/>
      <c r="JTC146" s="27"/>
      <c r="JTD146" s="27"/>
      <c r="JTE146" s="27"/>
      <c r="JTF146" s="27"/>
      <c r="JTG146" s="27"/>
      <c r="JTH146" s="27"/>
      <c r="JTI146" s="27"/>
      <c r="JTJ146" s="27"/>
      <c r="JTK146" s="27"/>
      <c r="JTL146" s="27"/>
      <c r="JTM146" s="27"/>
      <c r="JTN146" s="27"/>
      <c r="JTO146" s="27"/>
      <c r="JTP146" s="27"/>
      <c r="JTQ146" s="27"/>
      <c r="JTR146" s="27"/>
      <c r="JTS146" s="27"/>
      <c r="JTT146" s="27"/>
      <c r="JTU146" s="27"/>
      <c r="JTV146" s="27"/>
      <c r="JTW146" s="27"/>
      <c r="JTX146" s="27"/>
      <c r="JTY146" s="27"/>
      <c r="JTZ146" s="27"/>
      <c r="JUA146" s="27"/>
      <c r="JUB146" s="27"/>
      <c r="JUC146" s="27"/>
      <c r="JUD146" s="27"/>
      <c r="JUE146" s="27"/>
      <c r="JUF146" s="27"/>
      <c r="JUG146" s="27"/>
      <c r="JUH146" s="27"/>
      <c r="JUI146" s="27"/>
      <c r="JUJ146" s="27"/>
      <c r="JUK146" s="27"/>
      <c r="JUL146" s="27"/>
      <c r="JUM146" s="27"/>
      <c r="JUN146" s="27"/>
      <c r="JUO146" s="27"/>
      <c r="JUP146" s="27"/>
      <c r="JUQ146" s="27"/>
      <c r="JUR146" s="27"/>
      <c r="JUS146" s="27"/>
      <c r="JUT146" s="27"/>
      <c r="JUU146" s="27"/>
      <c r="JUV146" s="27"/>
      <c r="JUW146" s="27"/>
      <c r="JUX146" s="27"/>
      <c r="JUY146" s="27"/>
      <c r="JUZ146" s="27"/>
      <c r="JVA146" s="27"/>
      <c r="JVB146" s="27"/>
      <c r="JVC146" s="27"/>
      <c r="JVD146" s="27"/>
      <c r="JVE146" s="27"/>
      <c r="JVF146" s="27"/>
      <c r="JVG146" s="27"/>
      <c r="JVH146" s="27"/>
      <c r="JVI146" s="27"/>
      <c r="JVJ146" s="27"/>
      <c r="JVK146" s="27"/>
      <c r="JVL146" s="27"/>
      <c r="JVM146" s="27"/>
      <c r="JVN146" s="27"/>
      <c r="JVO146" s="27"/>
      <c r="JVP146" s="27"/>
      <c r="JVQ146" s="27"/>
      <c r="JVR146" s="27"/>
      <c r="JVS146" s="27"/>
      <c r="JVT146" s="27"/>
      <c r="JVU146" s="27"/>
      <c r="JVV146" s="27"/>
      <c r="JVW146" s="27"/>
      <c r="JVX146" s="27"/>
      <c r="JVY146" s="27"/>
      <c r="JVZ146" s="27"/>
      <c r="JWA146" s="27"/>
      <c r="JWB146" s="27"/>
      <c r="JWC146" s="27"/>
      <c r="JWD146" s="27"/>
      <c r="JWE146" s="27"/>
      <c r="JWF146" s="27"/>
      <c r="JWG146" s="27"/>
      <c r="JWH146" s="27"/>
      <c r="JWI146" s="27"/>
      <c r="JWJ146" s="27"/>
      <c r="JWK146" s="27"/>
      <c r="JWL146" s="27"/>
      <c r="JWM146" s="27"/>
      <c r="JWN146" s="27"/>
      <c r="JWO146" s="27"/>
      <c r="JWP146" s="27"/>
      <c r="JWQ146" s="27"/>
      <c r="JWR146" s="27"/>
      <c r="JWS146" s="27"/>
      <c r="JWT146" s="27"/>
      <c r="JWU146" s="27"/>
      <c r="JWV146" s="27"/>
      <c r="JWW146" s="27"/>
      <c r="JWX146" s="27"/>
      <c r="JWY146" s="27"/>
      <c r="JWZ146" s="27"/>
      <c r="JXA146" s="27"/>
      <c r="JXB146" s="27"/>
      <c r="JXC146" s="27"/>
      <c r="JXD146" s="27"/>
      <c r="JXE146" s="27"/>
      <c r="JXF146" s="27"/>
      <c r="JXG146" s="27"/>
      <c r="JXH146" s="27"/>
      <c r="JXI146" s="27"/>
      <c r="JXJ146" s="27"/>
      <c r="JXK146" s="27"/>
      <c r="JXL146" s="27"/>
      <c r="JXM146" s="27"/>
      <c r="JXN146" s="27"/>
      <c r="JXO146" s="27"/>
      <c r="JXP146" s="27"/>
      <c r="JXQ146" s="27"/>
      <c r="JXR146" s="27"/>
      <c r="JXS146" s="27"/>
      <c r="JXT146" s="27"/>
      <c r="JXU146" s="27"/>
      <c r="JXV146" s="27"/>
      <c r="JXW146" s="27"/>
      <c r="JXX146" s="27"/>
      <c r="JXY146" s="27"/>
      <c r="JXZ146" s="27"/>
      <c r="JYA146" s="27"/>
      <c r="JYB146" s="27"/>
      <c r="JYC146" s="27"/>
      <c r="JYD146" s="27"/>
      <c r="JYE146" s="27"/>
      <c r="JYF146" s="27"/>
      <c r="JYG146" s="27"/>
      <c r="JYH146" s="27"/>
      <c r="JYI146" s="27"/>
      <c r="JYJ146" s="27"/>
      <c r="JYK146" s="27"/>
      <c r="JYL146" s="27"/>
      <c r="JYM146" s="27"/>
      <c r="JYN146" s="27"/>
      <c r="JYO146" s="27"/>
      <c r="JYP146" s="27"/>
      <c r="JYQ146" s="27"/>
      <c r="JYR146" s="27"/>
      <c r="JYS146" s="27"/>
      <c r="JYT146" s="27"/>
      <c r="JYU146" s="27"/>
      <c r="JYV146" s="27"/>
      <c r="JYW146" s="27"/>
      <c r="JYX146" s="27"/>
      <c r="JYY146" s="27"/>
      <c r="JYZ146" s="27"/>
      <c r="JZA146" s="27"/>
      <c r="JZB146" s="27"/>
      <c r="JZC146" s="27"/>
      <c r="JZD146" s="27"/>
      <c r="JZE146" s="27"/>
      <c r="JZF146" s="27"/>
      <c r="JZG146" s="27"/>
      <c r="JZH146" s="27"/>
      <c r="JZI146" s="27"/>
      <c r="JZJ146" s="27"/>
      <c r="JZK146" s="27"/>
      <c r="JZL146" s="27"/>
      <c r="JZM146" s="27"/>
      <c r="JZN146" s="27"/>
      <c r="JZO146" s="27"/>
      <c r="JZP146" s="27"/>
      <c r="JZQ146" s="27"/>
      <c r="JZR146" s="27"/>
      <c r="JZS146" s="27"/>
      <c r="JZT146" s="27"/>
      <c r="JZU146" s="27"/>
      <c r="JZV146" s="27"/>
      <c r="JZW146" s="27"/>
      <c r="JZX146" s="27"/>
      <c r="JZY146" s="27"/>
      <c r="JZZ146" s="27"/>
      <c r="KAA146" s="27"/>
      <c r="KAB146" s="27"/>
      <c r="KAC146" s="27"/>
      <c r="KAD146" s="27"/>
      <c r="KAE146" s="27"/>
      <c r="KAF146" s="27"/>
      <c r="KAG146" s="27"/>
      <c r="KAH146" s="27"/>
      <c r="KAI146" s="27"/>
      <c r="KAJ146" s="27"/>
      <c r="KAK146" s="27"/>
      <c r="KAL146" s="27"/>
      <c r="KAM146" s="27"/>
      <c r="KAN146" s="27"/>
      <c r="KAO146" s="27"/>
      <c r="KAP146" s="27"/>
      <c r="KAQ146" s="27"/>
      <c r="KAR146" s="27"/>
      <c r="KAS146" s="27"/>
      <c r="KAT146" s="27"/>
      <c r="KAU146" s="27"/>
      <c r="KAV146" s="27"/>
      <c r="KAW146" s="27"/>
      <c r="KAX146" s="27"/>
      <c r="KAY146" s="27"/>
      <c r="KAZ146" s="27"/>
      <c r="KBA146" s="27"/>
      <c r="KBB146" s="27"/>
      <c r="KBC146" s="27"/>
      <c r="KBD146" s="27"/>
      <c r="KBE146" s="27"/>
      <c r="KBF146" s="27"/>
      <c r="KBG146" s="27"/>
      <c r="KBH146" s="27"/>
      <c r="KBI146" s="27"/>
      <c r="KBJ146" s="27"/>
      <c r="KBK146" s="27"/>
      <c r="KBL146" s="27"/>
      <c r="KBM146" s="27"/>
      <c r="KBN146" s="27"/>
      <c r="KBO146" s="27"/>
      <c r="KBP146" s="27"/>
      <c r="KBQ146" s="27"/>
      <c r="KBR146" s="27"/>
      <c r="KBS146" s="27"/>
      <c r="KBT146" s="27"/>
      <c r="KBU146" s="27"/>
      <c r="KBV146" s="27"/>
      <c r="KBW146" s="27"/>
      <c r="KBX146" s="27"/>
      <c r="KBY146" s="27"/>
      <c r="KBZ146" s="27"/>
      <c r="KCA146" s="27"/>
      <c r="KCB146" s="27"/>
      <c r="KCC146" s="27"/>
      <c r="KCD146" s="27"/>
      <c r="KCE146" s="27"/>
      <c r="KCF146" s="27"/>
      <c r="KCG146" s="27"/>
      <c r="KCH146" s="27"/>
      <c r="KCI146" s="27"/>
      <c r="KCJ146" s="27"/>
      <c r="KCK146" s="27"/>
      <c r="KCL146" s="27"/>
      <c r="KCM146" s="27"/>
      <c r="KCN146" s="27"/>
      <c r="KCO146" s="27"/>
      <c r="KCP146" s="27"/>
      <c r="KCQ146" s="27"/>
      <c r="KCR146" s="27"/>
      <c r="KCS146" s="27"/>
      <c r="KCT146" s="27"/>
      <c r="KCU146" s="27"/>
      <c r="KCV146" s="27"/>
      <c r="KCW146" s="27"/>
      <c r="KCX146" s="27"/>
      <c r="KCY146" s="27"/>
      <c r="KCZ146" s="27"/>
      <c r="KDA146" s="27"/>
      <c r="KDB146" s="27"/>
      <c r="KDC146" s="27"/>
      <c r="KDD146" s="27"/>
      <c r="KDE146" s="27"/>
      <c r="KDF146" s="27"/>
      <c r="KDG146" s="27"/>
      <c r="KDH146" s="27"/>
      <c r="KDI146" s="27"/>
      <c r="KDJ146" s="27"/>
      <c r="KDK146" s="27"/>
      <c r="KDL146" s="27"/>
      <c r="KDM146" s="27"/>
      <c r="KDN146" s="27"/>
      <c r="KDO146" s="27"/>
      <c r="KDP146" s="27"/>
      <c r="KDQ146" s="27"/>
      <c r="KDR146" s="27"/>
      <c r="KDS146" s="27"/>
      <c r="KDT146" s="27"/>
      <c r="KDU146" s="27"/>
      <c r="KDV146" s="27"/>
      <c r="KDW146" s="27"/>
      <c r="KDX146" s="27"/>
      <c r="KDY146" s="27"/>
      <c r="KDZ146" s="27"/>
      <c r="KEA146" s="27"/>
      <c r="KEB146" s="27"/>
      <c r="KEC146" s="27"/>
      <c r="KED146" s="27"/>
      <c r="KEE146" s="27"/>
      <c r="KEF146" s="27"/>
      <c r="KEG146" s="27"/>
      <c r="KEH146" s="27"/>
      <c r="KEI146" s="27"/>
      <c r="KEJ146" s="27"/>
      <c r="KEK146" s="27"/>
      <c r="KEL146" s="27"/>
      <c r="KEM146" s="27"/>
      <c r="KEN146" s="27"/>
      <c r="KEO146" s="27"/>
      <c r="KEP146" s="27"/>
      <c r="KEQ146" s="27"/>
      <c r="KER146" s="27"/>
      <c r="KES146" s="27"/>
      <c r="KET146" s="27"/>
      <c r="KEU146" s="27"/>
      <c r="KEV146" s="27"/>
      <c r="KEW146" s="27"/>
      <c r="KEX146" s="27"/>
      <c r="KEY146" s="27"/>
      <c r="KEZ146" s="27"/>
      <c r="KFA146" s="27"/>
      <c r="KFB146" s="27"/>
      <c r="KFC146" s="27"/>
      <c r="KFD146" s="27"/>
      <c r="KFE146" s="27"/>
      <c r="KFF146" s="27"/>
      <c r="KFG146" s="27"/>
      <c r="KFH146" s="27"/>
      <c r="KFI146" s="27"/>
      <c r="KFJ146" s="27"/>
      <c r="KFK146" s="27"/>
      <c r="KFL146" s="27"/>
      <c r="KFM146" s="27"/>
      <c r="KFN146" s="27"/>
      <c r="KFO146" s="27"/>
      <c r="KFP146" s="27"/>
      <c r="KFQ146" s="27"/>
      <c r="KFR146" s="27"/>
      <c r="KFS146" s="27"/>
      <c r="KFT146" s="27"/>
      <c r="KFU146" s="27"/>
      <c r="KFV146" s="27"/>
      <c r="KFW146" s="27"/>
      <c r="KFX146" s="27"/>
      <c r="KFY146" s="27"/>
      <c r="KFZ146" s="27"/>
      <c r="KGA146" s="27"/>
      <c r="KGB146" s="27"/>
      <c r="KGC146" s="27"/>
      <c r="KGD146" s="27"/>
      <c r="KGE146" s="27"/>
      <c r="KGF146" s="27"/>
      <c r="KGG146" s="27"/>
      <c r="KGH146" s="27"/>
      <c r="KGI146" s="27"/>
      <c r="KGJ146" s="27"/>
      <c r="KGK146" s="27"/>
      <c r="KGL146" s="27"/>
      <c r="KGM146" s="27"/>
      <c r="KGN146" s="27"/>
      <c r="KGO146" s="27"/>
      <c r="KGP146" s="27"/>
      <c r="KGQ146" s="27"/>
      <c r="KGR146" s="27"/>
      <c r="KGS146" s="27"/>
      <c r="KGT146" s="27"/>
      <c r="KGU146" s="27"/>
      <c r="KGV146" s="27"/>
      <c r="KGW146" s="27"/>
      <c r="KGX146" s="27"/>
      <c r="KGY146" s="27"/>
      <c r="KGZ146" s="27"/>
      <c r="KHA146" s="27"/>
      <c r="KHB146" s="27"/>
      <c r="KHC146" s="27"/>
      <c r="KHD146" s="27"/>
      <c r="KHE146" s="27"/>
      <c r="KHF146" s="27"/>
      <c r="KHG146" s="27"/>
      <c r="KHH146" s="27"/>
      <c r="KHI146" s="27"/>
      <c r="KHJ146" s="27"/>
      <c r="KHK146" s="27"/>
      <c r="KHL146" s="27"/>
      <c r="KHM146" s="27"/>
      <c r="KHN146" s="27"/>
      <c r="KHO146" s="27"/>
      <c r="KHP146" s="27"/>
      <c r="KHQ146" s="27"/>
      <c r="KHR146" s="27"/>
      <c r="KHS146" s="27"/>
      <c r="KHT146" s="27"/>
      <c r="KHU146" s="27"/>
      <c r="KHV146" s="27"/>
      <c r="KHW146" s="27"/>
      <c r="KHX146" s="27"/>
      <c r="KHY146" s="27"/>
      <c r="KHZ146" s="27"/>
      <c r="KIA146" s="27"/>
      <c r="KIB146" s="27"/>
      <c r="KIC146" s="27"/>
      <c r="KID146" s="27"/>
      <c r="KIE146" s="27"/>
      <c r="KIF146" s="27"/>
      <c r="KIG146" s="27"/>
      <c r="KIH146" s="27"/>
      <c r="KII146" s="27"/>
      <c r="KIJ146" s="27"/>
      <c r="KIK146" s="27"/>
      <c r="KIL146" s="27"/>
      <c r="KIM146" s="27"/>
      <c r="KIN146" s="27"/>
      <c r="KIO146" s="27"/>
      <c r="KIP146" s="27"/>
      <c r="KIQ146" s="27"/>
      <c r="KIR146" s="27"/>
      <c r="KIS146" s="27"/>
      <c r="KIT146" s="27"/>
      <c r="KIU146" s="27"/>
      <c r="KIV146" s="27"/>
      <c r="KIW146" s="27"/>
      <c r="KIX146" s="27"/>
      <c r="KIY146" s="27"/>
      <c r="KIZ146" s="27"/>
      <c r="KJA146" s="27"/>
      <c r="KJB146" s="27"/>
      <c r="KJC146" s="27"/>
      <c r="KJD146" s="27"/>
      <c r="KJE146" s="27"/>
      <c r="KJF146" s="27"/>
      <c r="KJG146" s="27"/>
      <c r="KJH146" s="27"/>
      <c r="KJI146" s="27"/>
      <c r="KJJ146" s="27"/>
      <c r="KJK146" s="27"/>
      <c r="KJL146" s="27"/>
      <c r="KJM146" s="27"/>
      <c r="KJN146" s="27"/>
      <c r="KJO146" s="27"/>
      <c r="KJP146" s="27"/>
      <c r="KJQ146" s="27"/>
      <c r="KJR146" s="27"/>
      <c r="KJS146" s="27"/>
      <c r="KJT146" s="27"/>
      <c r="KJU146" s="27"/>
      <c r="KJV146" s="27"/>
      <c r="KJW146" s="27"/>
      <c r="KJX146" s="27"/>
      <c r="KJY146" s="27"/>
      <c r="KJZ146" s="27"/>
      <c r="KKA146" s="27"/>
      <c r="KKB146" s="27"/>
      <c r="KKC146" s="27"/>
      <c r="KKD146" s="27"/>
      <c r="KKE146" s="27"/>
      <c r="KKF146" s="27"/>
      <c r="KKG146" s="27"/>
      <c r="KKH146" s="27"/>
      <c r="KKI146" s="27"/>
      <c r="KKJ146" s="27"/>
      <c r="KKK146" s="27"/>
      <c r="KKL146" s="27"/>
      <c r="KKM146" s="27"/>
      <c r="KKN146" s="27"/>
      <c r="KKO146" s="27"/>
      <c r="KKP146" s="27"/>
      <c r="KKQ146" s="27"/>
      <c r="KKR146" s="27"/>
      <c r="KKS146" s="27"/>
      <c r="KKT146" s="27"/>
      <c r="KKU146" s="27"/>
      <c r="KKV146" s="27"/>
      <c r="KKW146" s="27"/>
      <c r="KKX146" s="27"/>
      <c r="KKY146" s="27"/>
      <c r="KKZ146" s="27"/>
      <c r="KLA146" s="27"/>
      <c r="KLB146" s="27"/>
      <c r="KLC146" s="27"/>
      <c r="KLD146" s="27"/>
      <c r="KLE146" s="27"/>
      <c r="KLF146" s="27"/>
      <c r="KLG146" s="27"/>
      <c r="KLH146" s="27"/>
      <c r="KLI146" s="27"/>
      <c r="KLJ146" s="27"/>
      <c r="KLK146" s="27"/>
      <c r="KLL146" s="27"/>
      <c r="KLM146" s="27"/>
      <c r="KLN146" s="27"/>
      <c r="KLO146" s="27"/>
      <c r="KLP146" s="27"/>
      <c r="KLQ146" s="27"/>
      <c r="KLR146" s="27"/>
      <c r="KLS146" s="27"/>
      <c r="KLT146" s="27"/>
      <c r="KLU146" s="27"/>
      <c r="KLV146" s="27"/>
      <c r="KLW146" s="27"/>
      <c r="KLX146" s="27"/>
      <c r="KLY146" s="27"/>
      <c r="KLZ146" s="27"/>
      <c r="KMA146" s="27"/>
      <c r="KMB146" s="27"/>
      <c r="KMC146" s="27"/>
      <c r="KMD146" s="27"/>
      <c r="KME146" s="27"/>
      <c r="KMF146" s="27"/>
      <c r="KMG146" s="27"/>
      <c r="KMH146" s="27"/>
      <c r="KMI146" s="27"/>
      <c r="KMJ146" s="27"/>
      <c r="KMK146" s="27"/>
      <c r="KML146" s="27"/>
      <c r="KMM146" s="27"/>
      <c r="KMN146" s="27"/>
      <c r="KMO146" s="27"/>
      <c r="KMP146" s="27"/>
      <c r="KMQ146" s="27"/>
      <c r="KMR146" s="27"/>
      <c r="KMS146" s="27"/>
      <c r="KMT146" s="27"/>
      <c r="KMU146" s="27"/>
      <c r="KMV146" s="27"/>
      <c r="KMW146" s="27"/>
      <c r="KMX146" s="27"/>
      <c r="KMY146" s="27"/>
      <c r="KMZ146" s="27"/>
      <c r="KNA146" s="27"/>
      <c r="KNB146" s="27"/>
      <c r="KNC146" s="27"/>
      <c r="KND146" s="27"/>
      <c r="KNE146" s="27"/>
      <c r="KNF146" s="27"/>
      <c r="KNG146" s="27"/>
      <c r="KNH146" s="27"/>
      <c r="KNI146" s="27"/>
      <c r="KNJ146" s="27"/>
      <c r="KNK146" s="27"/>
      <c r="KNL146" s="27"/>
      <c r="KNM146" s="27"/>
      <c r="KNN146" s="27"/>
      <c r="KNO146" s="27"/>
      <c r="KNP146" s="27"/>
      <c r="KNQ146" s="27"/>
      <c r="KNR146" s="27"/>
      <c r="KNS146" s="27"/>
      <c r="KNT146" s="27"/>
      <c r="KNU146" s="27"/>
      <c r="KNV146" s="27"/>
      <c r="KNW146" s="27"/>
      <c r="KNX146" s="27"/>
      <c r="KNY146" s="27"/>
      <c r="KNZ146" s="27"/>
      <c r="KOA146" s="27"/>
      <c r="KOB146" s="27"/>
      <c r="KOC146" s="27"/>
      <c r="KOD146" s="27"/>
      <c r="KOE146" s="27"/>
      <c r="KOF146" s="27"/>
      <c r="KOG146" s="27"/>
      <c r="KOH146" s="27"/>
      <c r="KOI146" s="27"/>
      <c r="KOJ146" s="27"/>
      <c r="KOK146" s="27"/>
      <c r="KOL146" s="27"/>
      <c r="KOM146" s="27"/>
      <c r="KON146" s="27"/>
      <c r="KOO146" s="27"/>
      <c r="KOP146" s="27"/>
      <c r="KOQ146" s="27"/>
      <c r="KOR146" s="27"/>
      <c r="KOS146" s="27"/>
      <c r="KOT146" s="27"/>
      <c r="KOU146" s="27"/>
      <c r="KOV146" s="27"/>
      <c r="KOW146" s="27"/>
      <c r="KOX146" s="27"/>
      <c r="KOY146" s="27"/>
      <c r="KOZ146" s="27"/>
      <c r="KPA146" s="27"/>
      <c r="KPB146" s="27"/>
      <c r="KPC146" s="27"/>
      <c r="KPD146" s="27"/>
      <c r="KPE146" s="27"/>
      <c r="KPF146" s="27"/>
      <c r="KPG146" s="27"/>
      <c r="KPH146" s="27"/>
      <c r="KPI146" s="27"/>
      <c r="KPJ146" s="27"/>
      <c r="KPK146" s="27"/>
      <c r="KPL146" s="27"/>
      <c r="KPM146" s="27"/>
      <c r="KPN146" s="27"/>
      <c r="KPO146" s="27"/>
      <c r="KPP146" s="27"/>
      <c r="KPQ146" s="27"/>
      <c r="KPR146" s="27"/>
      <c r="KPS146" s="27"/>
      <c r="KPT146" s="27"/>
      <c r="KPU146" s="27"/>
      <c r="KPV146" s="27"/>
      <c r="KPW146" s="27"/>
      <c r="KPX146" s="27"/>
      <c r="KPY146" s="27"/>
      <c r="KPZ146" s="27"/>
      <c r="KQA146" s="27"/>
      <c r="KQB146" s="27"/>
      <c r="KQC146" s="27"/>
      <c r="KQD146" s="27"/>
      <c r="KQE146" s="27"/>
      <c r="KQF146" s="27"/>
      <c r="KQG146" s="27"/>
      <c r="KQH146" s="27"/>
      <c r="KQI146" s="27"/>
      <c r="KQJ146" s="27"/>
      <c r="KQK146" s="27"/>
      <c r="KQL146" s="27"/>
      <c r="KQM146" s="27"/>
      <c r="KQN146" s="27"/>
      <c r="KQO146" s="27"/>
      <c r="KQP146" s="27"/>
      <c r="KQQ146" s="27"/>
      <c r="KQR146" s="27"/>
      <c r="KQS146" s="27"/>
      <c r="KQT146" s="27"/>
      <c r="KQU146" s="27"/>
      <c r="KQV146" s="27"/>
      <c r="KQW146" s="27"/>
      <c r="KQX146" s="27"/>
      <c r="KQY146" s="27"/>
      <c r="KQZ146" s="27"/>
      <c r="KRA146" s="27"/>
      <c r="KRB146" s="27"/>
      <c r="KRC146" s="27"/>
      <c r="KRD146" s="27"/>
      <c r="KRE146" s="27"/>
      <c r="KRF146" s="27"/>
      <c r="KRG146" s="27"/>
      <c r="KRH146" s="27"/>
      <c r="KRI146" s="27"/>
      <c r="KRJ146" s="27"/>
      <c r="KRK146" s="27"/>
      <c r="KRL146" s="27"/>
      <c r="KRM146" s="27"/>
      <c r="KRN146" s="27"/>
      <c r="KRO146" s="27"/>
      <c r="KRP146" s="27"/>
      <c r="KRQ146" s="27"/>
      <c r="KRR146" s="27"/>
      <c r="KRS146" s="27"/>
      <c r="KRT146" s="27"/>
      <c r="KRU146" s="27"/>
      <c r="KRV146" s="27"/>
      <c r="KRW146" s="27"/>
      <c r="KRX146" s="27"/>
      <c r="KRY146" s="27"/>
      <c r="KRZ146" s="27"/>
      <c r="KSA146" s="27"/>
      <c r="KSB146" s="27"/>
      <c r="KSC146" s="27"/>
      <c r="KSD146" s="27"/>
      <c r="KSE146" s="27"/>
      <c r="KSF146" s="27"/>
      <c r="KSG146" s="27"/>
      <c r="KSH146" s="27"/>
      <c r="KSI146" s="27"/>
      <c r="KSJ146" s="27"/>
      <c r="KSK146" s="27"/>
      <c r="KSL146" s="27"/>
      <c r="KSM146" s="27"/>
      <c r="KSN146" s="27"/>
      <c r="KSO146" s="27"/>
      <c r="KSP146" s="27"/>
      <c r="KSQ146" s="27"/>
      <c r="KSR146" s="27"/>
      <c r="KSS146" s="27"/>
      <c r="KST146" s="27"/>
      <c r="KSU146" s="27"/>
      <c r="KSV146" s="27"/>
      <c r="KSW146" s="27"/>
      <c r="KSX146" s="27"/>
      <c r="KSY146" s="27"/>
      <c r="KSZ146" s="27"/>
      <c r="KTA146" s="27"/>
      <c r="KTB146" s="27"/>
      <c r="KTC146" s="27"/>
      <c r="KTD146" s="27"/>
      <c r="KTE146" s="27"/>
      <c r="KTF146" s="27"/>
      <c r="KTG146" s="27"/>
      <c r="KTH146" s="27"/>
      <c r="KTI146" s="27"/>
      <c r="KTJ146" s="27"/>
      <c r="KTK146" s="27"/>
      <c r="KTL146" s="27"/>
      <c r="KTM146" s="27"/>
      <c r="KTN146" s="27"/>
      <c r="KTO146" s="27"/>
      <c r="KTP146" s="27"/>
      <c r="KTQ146" s="27"/>
      <c r="KTR146" s="27"/>
      <c r="KTS146" s="27"/>
      <c r="KTT146" s="27"/>
      <c r="KTU146" s="27"/>
      <c r="KTV146" s="27"/>
      <c r="KTW146" s="27"/>
      <c r="KTX146" s="27"/>
      <c r="KTY146" s="27"/>
      <c r="KTZ146" s="27"/>
      <c r="KUA146" s="27"/>
      <c r="KUB146" s="27"/>
      <c r="KUC146" s="27"/>
      <c r="KUD146" s="27"/>
      <c r="KUE146" s="27"/>
      <c r="KUF146" s="27"/>
      <c r="KUG146" s="27"/>
      <c r="KUH146" s="27"/>
      <c r="KUI146" s="27"/>
      <c r="KUJ146" s="27"/>
      <c r="KUK146" s="27"/>
      <c r="KUL146" s="27"/>
      <c r="KUM146" s="27"/>
      <c r="KUN146" s="27"/>
      <c r="KUO146" s="27"/>
      <c r="KUP146" s="27"/>
      <c r="KUQ146" s="27"/>
      <c r="KUR146" s="27"/>
      <c r="KUS146" s="27"/>
      <c r="KUT146" s="27"/>
      <c r="KUU146" s="27"/>
      <c r="KUV146" s="27"/>
      <c r="KUW146" s="27"/>
      <c r="KUX146" s="27"/>
      <c r="KUY146" s="27"/>
      <c r="KUZ146" s="27"/>
      <c r="KVA146" s="27"/>
      <c r="KVB146" s="27"/>
      <c r="KVC146" s="27"/>
      <c r="KVD146" s="27"/>
      <c r="KVE146" s="27"/>
      <c r="KVF146" s="27"/>
      <c r="KVG146" s="27"/>
      <c r="KVH146" s="27"/>
      <c r="KVI146" s="27"/>
      <c r="KVJ146" s="27"/>
      <c r="KVK146" s="27"/>
      <c r="KVL146" s="27"/>
      <c r="KVM146" s="27"/>
      <c r="KVN146" s="27"/>
      <c r="KVO146" s="27"/>
      <c r="KVP146" s="27"/>
      <c r="KVQ146" s="27"/>
      <c r="KVR146" s="27"/>
      <c r="KVS146" s="27"/>
      <c r="KVT146" s="27"/>
      <c r="KVU146" s="27"/>
      <c r="KVV146" s="27"/>
      <c r="KVW146" s="27"/>
      <c r="KVX146" s="27"/>
      <c r="KVY146" s="27"/>
      <c r="KVZ146" s="27"/>
      <c r="KWA146" s="27"/>
      <c r="KWB146" s="27"/>
      <c r="KWC146" s="27"/>
      <c r="KWD146" s="27"/>
      <c r="KWE146" s="27"/>
      <c r="KWF146" s="27"/>
      <c r="KWG146" s="27"/>
      <c r="KWH146" s="27"/>
      <c r="KWI146" s="27"/>
      <c r="KWJ146" s="27"/>
      <c r="KWK146" s="27"/>
      <c r="KWL146" s="27"/>
      <c r="KWM146" s="27"/>
      <c r="KWN146" s="27"/>
      <c r="KWO146" s="27"/>
      <c r="KWP146" s="27"/>
      <c r="KWQ146" s="27"/>
      <c r="KWR146" s="27"/>
      <c r="KWS146" s="27"/>
      <c r="KWT146" s="27"/>
      <c r="KWU146" s="27"/>
      <c r="KWV146" s="27"/>
      <c r="KWW146" s="27"/>
      <c r="KWX146" s="27"/>
      <c r="KWY146" s="27"/>
      <c r="KWZ146" s="27"/>
      <c r="KXA146" s="27"/>
      <c r="KXB146" s="27"/>
      <c r="KXC146" s="27"/>
      <c r="KXD146" s="27"/>
      <c r="KXE146" s="27"/>
      <c r="KXF146" s="27"/>
      <c r="KXG146" s="27"/>
      <c r="KXH146" s="27"/>
      <c r="KXI146" s="27"/>
      <c r="KXJ146" s="27"/>
      <c r="KXK146" s="27"/>
      <c r="KXL146" s="27"/>
      <c r="KXM146" s="27"/>
      <c r="KXN146" s="27"/>
      <c r="KXO146" s="27"/>
      <c r="KXP146" s="27"/>
      <c r="KXQ146" s="27"/>
      <c r="KXR146" s="27"/>
      <c r="KXS146" s="27"/>
      <c r="KXT146" s="27"/>
      <c r="KXU146" s="27"/>
      <c r="KXV146" s="27"/>
      <c r="KXW146" s="27"/>
      <c r="KXX146" s="27"/>
      <c r="KXY146" s="27"/>
      <c r="KXZ146" s="27"/>
      <c r="KYA146" s="27"/>
      <c r="KYB146" s="27"/>
      <c r="KYC146" s="27"/>
      <c r="KYD146" s="27"/>
      <c r="KYE146" s="27"/>
      <c r="KYF146" s="27"/>
      <c r="KYG146" s="27"/>
      <c r="KYH146" s="27"/>
      <c r="KYI146" s="27"/>
      <c r="KYJ146" s="27"/>
      <c r="KYK146" s="27"/>
      <c r="KYL146" s="27"/>
      <c r="KYM146" s="27"/>
      <c r="KYN146" s="27"/>
      <c r="KYO146" s="27"/>
      <c r="KYP146" s="27"/>
      <c r="KYQ146" s="27"/>
      <c r="KYR146" s="27"/>
      <c r="KYS146" s="27"/>
      <c r="KYT146" s="27"/>
      <c r="KYU146" s="27"/>
      <c r="KYV146" s="27"/>
      <c r="KYW146" s="27"/>
      <c r="KYX146" s="27"/>
      <c r="KYY146" s="27"/>
      <c r="KYZ146" s="27"/>
      <c r="KZA146" s="27"/>
      <c r="KZB146" s="27"/>
      <c r="KZC146" s="27"/>
      <c r="KZD146" s="27"/>
      <c r="KZE146" s="27"/>
      <c r="KZF146" s="27"/>
      <c r="KZG146" s="27"/>
      <c r="KZH146" s="27"/>
      <c r="KZI146" s="27"/>
      <c r="KZJ146" s="27"/>
      <c r="KZK146" s="27"/>
      <c r="KZL146" s="27"/>
      <c r="KZM146" s="27"/>
      <c r="KZN146" s="27"/>
      <c r="KZO146" s="27"/>
      <c r="KZP146" s="27"/>
      <c r="KZQ146" s="27"/>
      <c r="KZR146" s="27"/>
      <c r="KZS146" s="27"/>
      <c r="KZT146" s="27"/>
      <c r="KZU146" s="27"/>
      <c r="KZV146" s="27"/>
      <c r="KZW146" s="27"/>
      <c r="KZX146" s="27"/>
      <c r="KZY146" s="27"/>
      <c r="KZZ146" s="27"/>
      <c r="LAA146" s="27"/>
      <c r="LAB146" s="27"/>
      <c r="LAC146" s="27"/>
      <c r="LAD146" s="27"/>
      <c r="LAE146" s="27"/>
      <c r="LAF146" s="27"/>
      <c r="LAG146" s="27"/>
      <c r="LAH146" s="27"/>
      <c r="LAI146" s="27"/>
      <c r="LAJ146" s="27"/>
      <c r="LAK146" s="27"/>
      <c r="LAL146" s="27"/>
      <c r="LAM146" s="27"/>
      <c r="LAN146" s="27"/>
      <c r="LAO146" s="27"/>
      <c r="LAP146" s="27"/>
      <c r="LAQ146" s="27"/>
      <c r="LAR146" s="27"/>
      <c r="LAS146" s="27"/>
      <c r="LAT146" s="27"/>
      <c r="LAU146" s="27"/>
      <c r="LAV146" s="27"/>
      <c r="LAW146" s="27"/>
      <c r="LAX146" s="27"/>
      <c r="LAY146" s="27"/>
      <c r="LAZ146" s="27"/>
      <c r="LBA146" s="27"/>
      <c r="LBB146" s="27"/>
      <c r="LBC146" s="27"/>
      <c r="LBD146" s="27"/>
      <c r="LBE146" s="27"/>
      <c r="LBF146" s="27"/>
      <c r="LBG146" s="27"/>
      <c r="LBH146" s="27"/>
      <c r="LBI146" s="27"/>
      <c r="LBJ146" s="27"/>
      <c r="LBK146" s="27"/>
      <c r="LBL146" s="27"/>
      <c r="LBM146" s="27"/>
      <c r="LBN146" s="27"/>
      <c r="LBO146" s="27"/>
      <c r="LBP146" s="27"/>
      <c r="LBQ146" s="27"/>
      <c r="LBR146" s="27"/>
      <c r="LBS146" s="27"/>
      <c r="LBT146" s="27"/>
      <c r="LBU146" s="27"/>
      <c r="LBV146" s="27"/>
      <c r="LBW146" s="27"/>
      <c r="LBX146" s="27"/>
      <c r="LBY146" s="27"/>
      <c r="LBZ146" s="27"/>
      <c r="LCA146" s="27"/>
      <c r="LCB146" s="27"/>
      <c r="LCC146" s="27"/>
      <c r="LCD146" s="27"/>
      <c r="LCE146" s="27"/>
      <c r="LCF146" s="27"/>
      <c r="LCG146" s="27"/>
      <c r="LCH146" s="27"/>
      <c r="LCI146" s="27"/>
      <c r="LCJ146" s="27"/>
      <c r="LCK146" s="27"/>
      <c r="LCL146" s="27"/>
      <c r="LCM146" s="27"/>
      <c r="LCN146" s="27"/>
      <c r="LCO146" s="27"/>
      <c r="LCP146" s="27"/>
      <c r="LCQ146" s="27"/>
      <c r="LCR146" s="27"/>
      <c r="LCS146" s="27"/>
      <c r="LCT146" s="27"/>
      <c r="LCU146" s="27"/>
      <c r="LCV146" s="27"/>
      <c r="LCW146" s="27"/>
      <c r="LCX146" s="27"/>
      <c r="LCY146" s="27"/>
      <c r="LCZ146" s="27"/>
      <c r="LDA146" s="27"/>
      <c r="LDB146" s="27"/>
      <c r="LDC146" s="27"/>
      <c r="LDD146" s="27"/>
      <c r="LDE146" s="27"/>
      <c r="LDF146" s="27"/>
      <c r="LDG146" s="27"/>
      <c r="LDH146" s="27"/>
      <c r="LDI146" s="27"/>
      <c r="LDJ146" s="27"/>
      <c r="LDK146" s="27"/>
      <c r="LDL146" s="27"/>
      <c r="LDM146" s="27"/>
      <c r="LDN146" s="27"/>
      <c r="LDO146" s="27"/>
      <c r="LDP146" s="27"/>
      <c r="LDQ146" s="27"/>
      <c r="LDR146" s="27"/>
      <c r="LDS146" s="27"/>
      <c r="LDT146" s="27"/>
      <c r="LDU146" s="27"/>
      <c r="LDV146" s="27"/>
      <c r="LDW146" s="27"/>
      <c r="LDX146" s="27"/>
      <c r="LDY146" s="27"/>
      <c r="LDZ146" s="27"/>
      <c r="LEA146" s="27"/>
      <c r="LEB146" s="27"/>
      <c r="LEC146" s="27"/>
      <c r="LED146" s="27"/>
      <c r="LEE146" s="27"/>
      <c r="LEF146" s="27"/>
      <c r="LEG146" s="27"/>
      <c r="LEH146" s="27"/>
      <c r="LEI146" s="27"/>
      <c r="LEJ146" s="27"/>
      <c r="LEK146" s="27"/>
      <c r="LEL146" s="27"/>
      <c r="LEM146" s="27"/>
      <c r="LEN146" s="27"/>
      <c r="LEO146" s="27"/>
      <c r="LEP146" s="27"/>
      <c r="LEQ146" s="27"/>
      <c r="LER146" s="27"/>
      <c r="LES146" s="27"/>
      <c r="LET146" s="27"/>
      <c r="LEU146" s="27"/>
      <c r="LEV146" s="27"/>
      <c r="LEW146" s="27"/>
      <c r="LEX146" s="27"/>
      <c r="LEY146" s="27"/>
      <c r="LEZ146" s="27"/>
      <c r="LFA146" s="27"/>
      <c r="LFB146" s="27"/>
      <c r="LFC146" s="27"/>
      <c r="LFD146" s="27"/>
      <c r="LFE146" s="27"/>
      <c r="LFF146" s="27"/>
      <c r="LFG146" s="27"/>
      <c r="LFH146" s="27"/>
      <c r="LFI146" s="27"/>
      <c r="LFJ146" s="27"/>
      <c r="LFK146" s="27"/>
      <c r="LFL146" s="27"/>
      <c r="LFM146" s="27"/>
      <c r="LFN146" s="27"/>
      <c r="LFO146" s="27"/>
      <c r="LFP146" s="27"/>
      <c r="LFQ146" s="27"/>
      <c r="LFR146" s="27"/>
      <c r="LFS146" s="27"/>
      <c r="LFT146" s="27"/>
      <c r="LFU146" s="27"/>
      <c r="LFV146" s="27"/>
      <c r="LFW146" s="27"/>
      <c r="LFX146" s="27"/>
      <c r="LFY146" s="27"/>
      <c r="LFZ146" s="27"/>
      <c r="LGA146" s="27"/>
      <c r="LGB146" s="27"/>
      <c r="LGC146" s="27"/>
      <c r="LGD146" s="27"/>
      <c r="LGE146" s="27"/>
      <c r="LGF146" s="27"/>
      <c r="LGG146" s="27"/>
      <c r="LGH146" s="27"/>
      <c r="LGI146" s="27"/>
      <c r="LGJ146" s="27"/>
      <c r="LGK146" s="27"/>
      <c r="LGL146" s="27"/>
      <c r="LGM146" s="27"/>
      <c r="LGN146" s="27"/>
      <c r="LGO146" s="27"/>
      <c r="LGP146" s="27"/>
      <c r="LGQ146" s="27"/>
      <c r="LGR146" s="27"/>
      <c r="LGS146" s="27"/>
      <c r="LGT146" s="27"/>
      <c r="LGU146" s="27"/>
      <c r="LGV146" s="27"/>
      <c r="LGW146" s="27"/>
      <c r="LGX146" s="27"/>
      <c r="LGY146" s="27"/>
      <c r="LGZ146" s="27"/>
      <c r="LHA146" s="27"/>
      <c r="LHB146" s="27"/>
      <c r="LHC146" s="27"/>
      <c r="LHD146" s="27"/>
      <c r="LHE146" s="27"/>
      <c r="LHF146" s="27"/>
      <c r="LHG146" s="27"/>
      <c r="LHH146" s="27"/>
      <c r="LHI146" s="27"/>
      <c r="LHJ146" s="27"/>
      <c r="LHK146" s="27"/>
      <c r="LHL146" s="27"/>
      <c r="LHM146" s="27"/>
      <c r="LHN146" s="27"/>
      <c r="LHO146" s="27"/>
      <c r="LHP146" s="27"/>
      <c r="LHQ146" s="27"/>
      <c r="LHR146" s="27"/>
      <c r="LHS146" s="27"/>
      <c r="LHT146" s="27"/>
      <c r="LHU146" s="27"/>
      <c r="LHV146" s="27"/>
      <c r="LHW146" s="27"/>
      <c r="LHX146" s="27"/>
      <c r="LHY146" s="27"/>
      <c r="LHZ146" s="27"/>
      <c r="LIA146" s="27"/>
      <c r="LIB146" s="27"/>
      <c r="LIC146" s="27"/>
      <c r="LID146" s="27"/>
      <c r="LIE146" s="27"/>
      <c r="LIF146" s="27"/>
      <c r="LIG146" s="27"/>
      <c r="LIH146" s="27"/>
      <c r="LII146" s="27"/>
      <c r="LIJ146" s="27"/>
      <c r="LIK146" s="27"/>
      <c r="LIL146" s="27"/>
      <c r="LIM146" s="27"/>
      <c r="LIN146" s="27"/>
      <c r="LIO146" s="27"/>
      <c r="LIP146" s="27"/>
      <c r="LIQ146" s="27"/>
      <c r="LIR146" s="27"/>
      <c r="LIS146" s="27"/>
      <c r="LIT146" s="27"/>
      <c r="LIU146" s="27"/>
      <c r="LIV146" s="27"/>
      <c r="LIW146" s="27"/>
      <c r="LIX146" s="27"/>
      <c r="LIY146" s="27"/>
      <c r="LIZ146" s="27"/>
      <c r="LJA146" s="27"/>
      <c r="LJB146" s="27"/>
      <c r="LJC146" s="27"/>
      <c r="LJD146" s="27"/>
      <c r="LJE146" s="27"/>
      <c r="LJF146" s="27"/>
      <c r="LJG146" s="27"/>
      <c r="LJH146" s="27"/>
      <c r="LJI146" s="27"/>
      <c r="LJJ146" s="27"/>
      <c r="LJK146" s="27"/>
      <c r="LJL146" s="27"/>
      <c r="LJM146" s="27"/>
      <c r="LJN146" s="27"/>
      <c r="LJO146" s="27"/>
      <c r="LJP146" s="27"/>
      <c r="LJQ146" s="27"/>
      <c r="LJR146" s="27"/>
      <c r="LJS146" s="27"/>
      <c r="LJT146" s="27"/>
      <c r="LJU146" s="27"/>
      <c r="LJV146" s="27"/>
      <c r="LJW146" s="27"/>
      <c r="LJX146" s="27"/>
      <c r="LJY146" s="27"/>
      <c r="LJZ146" s="27"/>
      <c r="LKA146" s="27"/>
      <c r="LKB146" s="27"/>
      <c r="LKC146" s="27"/>
      <c r="LKD146" s="27"/>
      <c r="LKE146" s="27"/>
      <c r="LKF146" s="27"/>
      <c r="LKG146" s="27"/>
      <c r="LKH146" s="27"/>
      <c r="LKI146" s="27"/>
      <c r="LKJ146" s="27"/>
      <c r="LKK146" s="27"/>
      <c r="LKL146" s="27"/>
      <c r="LKM146" s="27"/>
      <c r="LKN146" s="27"/>
      <c r="LKO146" s="27"/>
      <c r="LKP146" s="27"/>
      <c r="LKQ146" s="27"/>
      <c r="LKR146" s="27"/>
      <c r="LKS146" s="27"/>
      <c r="LKT146" s="27"/>
      <c r="LKU146" s="27"/>
      <c r="LKV146" s="27"/>
      <c r="LKW146" s="27"/>
      <c r="LKX146" s="27"/>
      <c r="LKY146" s="27"/>
      <c r="LKZ146" s="27"/>
      <c r="LLA146" s="27"/>
      <c r="LLB146" s="27"/>
      <c r="LLC146" s="27"/>
      <c r="LLD146" s="27"/>
      <c r="LLE146" s="27"/>
      <c r="LLF146" s="27"/>
      <c r="LLG146" s="27"/>
      <c r="LLH146" s="27"/>
      <c r="LLI146" s="27"/>
      <c r="LLJ146" s="27"/>
      <c r="LLK146" s="27"/>
      <c r="LLL146" s="27"/>
      <c r="LLM146" s="27"/>
      <c r="LLN146" s="27"/>
      <c r="LLO146" s="27"/>
      <c r="LLP146" s="27"/>
      <c r="LLQ146" s="27"/>
      <c r="LLR146" s="27"/>
      <c r="LLS146" s="27"/>
      <c r="LLT146" s="27"/>
      <c r="LLU146" s="27"/>
      <c r="LLV146" s="27"/>
      <c r="LLW146" s="27"/>
      <c r="LLX146" s="27"/>
      <c r="LLY146" s="27"/>
      <c r="LLZ146" s="27"/>
      <c r="LMA146" s="27"/>
      <c r="LMB146" s="27"/>
      <c r="LMC146" s="27"/>
      <c r="LMD146" s="27"/>
      <c r="LME146" s="27"/>
      <c r="LMF146" s="27"/>
      <c r="LMG146" s="27"/>
      <c r="LMH146" s="27"/>
      <c r="LMI146" s="27"/>
      <c r="LMJ146" s="27"/>
      <c r="LMK146" s="27"/>
      <c r="LML146" s="27"/>
      <c r="LMM146" s="27"/>
      <c r="LMN146" s="27"/>
      <c r="LMO146" s="27"/>
      <c r="LMP146" s="27"/>
      <c r="LMQ146" s="27"/>
      <c r="LMR146" s="27"/>
      <c r="LMS146" s="27"/>
      <c r="LMT146" s="27"/>
      <c r="LMU146" s="27"/>
      <c r="LMV146" s="27"/>
      <c r="LMW146" s="27"/>
      <c r="LMX146" s="27"/>
      <c r="LMY146" s="27"/>
      <c r="LMZ146" s="27"/>
      <c r="LNA146" s="27"/>
      <c r="LNB146" s="27"/>
      <c r="LNC146" s="27"/>
      <c r="LND146" s="27"/>
      <c r="LNE146" s="27"/>
      <c r="LNF146" s="27"/>
      <c r="LNG146" s="27"/>
      <c r="LNH146" s="27"/>
      <c r="LNI146" s="27"/>
      <c r="LNJ146" s="27"/>
      <c r="LNK146" s="27"/>
      <c r="LNL146" s="27"/>
      <c r="LNM146" s="27"/>
      <c r="LNN146" s="27"/>
      <c r="LNO146" s="27"/>
      <c r="LNP146" s="27"/>
      <c r="LNQ146" s="27"/>
      <c r="LNR146" s="27"/>
      <c r="LNS146" s="27"/>
      <c r="LNT146" s="27"/>
      <c r="LNU146" s="27"/>
      <c r="LNV146" s="27"/>
      <c r="LNW146" s="27"/>
      <c r="LNX146" s="27"/>
      <c r="LNY146" s="27"/>
      <c r="LNZ146" s="27"/>
      <c r="LOA146" s="27"/>
      <c r="LOB146" s="27"/>
      <c r="LOC146" s="27"/>
      <c r="LOD146" s="27"/>
      <c r="LOE146" s="27"/>
      <c r="LOF146" s="27"/>
      <c r="LOG146" s="27"/>
      <c r="LOH146" s="27"/>
      <c r="LOI146" s="27"/>
      <c r="LOJ146" s="27"/>
      <c r="LOK146" s="27"/>
      <c r="LOL146" s="27"/>
      <c r="LOM146" s="27"/>
      <c r="LON146" s="27"/>
      <c r="LOO146" s="27"/>
      <c r="LOP146" s="27"/>
      <c r="LOQ146" s="27"/>
      <c r="LOR146" s="27"/>
      <c r="LOS146" s="27"/>
      <c r="LOT146" s="27"/>
      <c r="LOU146" s="27"/>
      <c r="LOV146" s="27"/>
      <c r="LOW146" s="27"/>
      <c r="LOX146" s="27"/>
      <c r="LOY146" s="27"/>
      <c r="LOZ146" s="27"/>
      <c r="LPA146" s="27"/>
      <c r="LPB146" s="27"/>
      <c r="LPC146" s="27"/>
      <c r="LPD146" s="27"/>
      <c r="LPE146" s="27"/>
      <c r="LPF146" s="27"/>
      <c r="LPG146" s="27"/>
      <c r="LPH146" s="27"/>
      <c r="LPI146" s="27"/>
      <c r="LPJ146" s="27"/>
      <c r="LPK146" s="27"/>
      <c r="LPL146" s="27"/>
      <c r="LPM146" s="27"/>
      <c r="LPN146" s="27"/>
      <c r="LPO146" s="27"/>
      <c r="LPP146" s="27"/>
      <c r="LPQ146" s="27"/>
      <c r="LPR146" s="27"/>
      <c r="LPS146" s="27"/>
      <c r="LPT146" s="27"/>
      <c r="LPU146" s="27"/>
      <c r="LPV146" s="27"/>
      <c r="LPW146" s="27"/>
      <c r="LPX146" s="27"/>
      <c r="LPY146" s="27"/>
      <c r="LPZ146" s="27"/>
      <c r="LQA146" s="27"/>
      <c r="LQB146" s="27"/>
      <c r="LQC146" s="27"/>
      <c r="LQD146" s="27"/>
      <c r="LQE146" s="27"/>
      <c r="LQF146" s="27"/>
      <c r="LQG146" s="27"/>
      <c r="LQH146" s="27"/>
      <c r="LQI146" s="27"/>
      <c r="LQJ146" s="27"/>
      <c r="LQK146" s="27"/>
      <c r="LQL146" s="27"/>
      <c r="LQM146" s="27"/>
      <c r="LQN146" s="27"/>
      <c r="LQO146" s="27"/>
      <c r="LQP146" s="27"/>
      <c r="LQQ146" s="27"/>
      <c r="LQR146" s="27"/>
      <c r="LQS146" s="27"/>
      <c r="LQT146" s="27"/>
      <c r="LQU146" s="27"/>
      <c r="LQV146" s="27"/>
      <c r="LQW146" s="27"/>
      <c r="LQX146" s="27"/>
      <c r="LQY146" s="27"/>
      <c r="LQZ146" s="27"/>
      <c r="LRA146" s="27"/>
      <c r="LRB146" s="27"/>
      <c r="LRC146" s="27"/>
      <c r="LRD146" s="27"/>
      <c r="LRE146" s="27"/>
      <c r="LRF146" s="27"/>
      <c r="LRG146" s="27"/>
      <c r="LRH146" s="27"/>
      <c r="LRI146" s="27"/>
      <c r="LRJ146" s="27"/>
      <c r="LRK146" s="27"/>
      <c r="LRL146" s="27"/>
      <c r="LRM146" s="27"/>
      <c r="LRN146" s="27"/>
      <c r="LRO146" s="27"/>
      <c r="LRP146" s="27"/>
      <c r="LRQ146" s="27"/>
      <c r="LRR146" s="27"/>
      <c r="LRS146" s="27"/>
      <c r="LRT146" s="27"/>
      <c r="LRU146" s="27"/>
      <c r="LRV146" s="27"/>
      <c r="LRW146" s="27"/>
      <c r="LRX146" s="27"/>
      <c r="LRY146" s="27"/>
      <c r="LRZ146" s="27"/>
      <c r="LSA146" s="27"/>
      <c r="LSB146" s="27"/>
      <c r="LSC146" s="27"/>
      <c r="LSD146" s="27"/>
      <c r="LSE146" s="27"/>
      <c r="LSF146" s="27"/>
      <c r="LSG146" s="27"/>
      <c r="LSH146" s="27"/>
      <c r="LSI146" s="27"/>
      <c r="LSJ146" s="27"/>
      <c r="LSK146" s="27"/>
      <c r="LSL146" s="27"/>
      <c r="LSM146" s="27"/>
      <c r="LSN146" s="27"/>
      <c r="LSO146" s="27"/>
      <c r="LSP146" s="27"/>
      <c r="LSQ146" s="27"/>
      <c r="LSR146" s="27"/>
      <c r="LSS146" s="27"/>
      <c r="LST146" s="27"/>
      <c r="LSU146" s="27"/>
      <c r="LSV146" s="27"/>
      <c r="LSW146" s="27"/>
      <c r="LSX146" s="27"/>
      <c r="LSY146" s="27"/>
      <c r="LSZ146" s="27"/>
      <c r="LTA146" s="27"/>
      <c r="LTB146" s="27"/>
      <c r="LTC146" s="27"/>
      <c r="LTD146" s="27"/>
      <c r="LTE146" s="27"/>
      <c r="LTF146" s="27"/>
      <c r="LTG146" s="27"/>
      <c r="LTH146" s="27"/>
      <c r="LTI146" s="27"/>
      <c r="LTJ146" s="27"/>
      <c r="LTK146" s="27"/>
      <c r="LTL146" s="27"/>
      <c r="LTM146" s="27"/>
      <c r="LTN146" s="27"/>
      <c r="LTO146" s="27"/>
      <c r="LTP146" s="27"/>
      <c r="LTQ146" s="27"/>
      <c r="LTR146" s="27"/>
      <c r="LTS146" s="27"/>
      <c r="LTT146" s="27"/>
      <c r="LTU146" s="27"/>
      <c r="LTV146" s="27"/>
      <c r="LTW146" s="27"/>
      <c r="LTX146" s="27"/>
      <c r="LTY146" s="27"/>
      <c r="LTZ146" s="27"/>
      <c r="LUA146" s="27"/>
      <c r="LUB146" s="27"/>
      <c r="LUC146" s="27"/>
      <c r="LUD146" s="27"/>
      <c r="LUE146" s="27"/>
      <c r="LUF146" s="27"/>
      <c r="LUG146" s="27"/>
      <c r="LUH146" s="27"/>
      <c r="LUI146" s="27"/>
      <c r="LUJ146" s="27"/>
      <c r="LUK146" s="27"/>
      <c r="LUL146" s="27"/>
      <c r="LUM146" s="27"/>
      <c r="LUN146" s="27"/>
      <c r="LUO146" s="27"/>
      <c r="LUP146" s="27"/>
      <c r="LUQ146" s="27"/>
      <c r="LUR146" s="27"/>
      <c r="LUS146" s="27"/>
      <c r="LUT146" s="27"/>
      <c r="LUU146" s="27"/>
      <c r="LUV146" s="27"/>
      <c r="LUW146" s="27"/>
      <c r="LUX146" s="27"/>
      <c r="LUY146" s="27"/>
      <c r="LUZ146" s="27"/>
      <c r="LVA146" s="27"/>
      <c r="LVB146" s="27"/>
      <c r="LVC146" s="27"/>
      <c r="LVD146" s="27"/>
      <c r="LVE146" s="27"/>
      <c r="LVF146" s="27"/>
      <c r="LVG146" s="27"/>
      <c r="LVH146" s="27"/>
      <c r="LVI146" s="27"/>
      <c r="LVJ146" s="27"/>
      <c r="LVK146" s="27"/>
      <c r="LVL146" s="27"/>
      <c r="LVM146" s="27"/>
      <c r="LVN146" s="27"/>
      <c r="LVO146" s="27"/>
      <c r="LVP146" s="27"/>
      <c r="LVQ146" s="27"/>
      <c r="LVR146" s="27"/>
      <c r="LVS146" s="27"/>
      <c r="LVT146" s="27"/>
      <c r="LVU146" s="27"/>
      <c r="LVV146" s="27"/>
      <c r="LVW146" s="27"/>
      <c r="LVX146" s="27"/>
      <c r="LVY146" s="27"/>
      <c r="LVZ146" s="27"/>
      <c r="LWA146" s="27"/>
      <c r="LWB146" s="27"/>
      <c r="LWC146" s="27"/>
      <c r="LWD146" s="27"/>
      <c r="LWE146" s="27"/>
      <c r="LWF146" s="27"/>
      <c r="LWG146" s="27"/>
      <c r="LWH146" s="27"/>
      <c r="LWI146" s="27"/>
      <c r="LWJ146" s="27"/>
      <c r="LWK146" s="27"/>
      <c r="LWL146" s="27"/>
      <c r="LWM146" s="27"/>
      <c r="LWN146" s="27"/>
      <c r="LWO146" s="27"/>
      <c r="LWP146" s="27"/>
      <c r="LWQ146" s="27"/>
      <c r="LWR146" s="27"/>
      <c r="LWS146" s="27"/>
      <c r="LWT146" s="27"/>
      <c r="LWU146" s="27"/>
      <c r="LWV146" s="27"/>
      <c r="LWW146" s="27"/>
      <c r="LWX146" s="27"/>
      <c r="LWY146" s="27"/>
      <c r="LWZ146" s="27"/>
      <c r="LXA146" s="27"/>
      <c r="LXB146" s="27"/>
      <c r="LXC146" s="27"/>
      <c r="LXD146" s="27"/>
      <c r="LXE146" s="27"/>
      <c r="LXF146" s="27"/>
      <c r="LXG146" s="27"/>
      <c r="LXH146" s="27"/>
      <c r="LXI146" s="27"/>
      <c r="LXJ146" s="27"/>
      <c r="LXK146" s="27"/>
      <c r="LXL146" s="27"/>
      <c r="LXM146" s="27"/>
      <c r="LXN146" s="27"/>
      <c r="LXO146" s="27"/>
      <c r="LXP146" s="27"/>
      <c r="LXQ146" s="27"/>
      <c r="LXR146" s="27"/>
      <c r="LXS146" s="27"/>
      <c r="LXT146" s="27"/>
      <c r="LXU146" s="27"/>
      <c r="LXV146" s="27"/>
      <c r="LXW146" s="27"/>
      <c r="LXX146" s="27"/>
      <c r="LXY146" s="27"/>
      <c r="LXZ146" s="27"/>
      <c r="LYA146" s="27"/>
      <c r="LYB146" s="27"/>
      <c r="LYC146" s="27"/>
      <c r="LYD146" s="27"/>
      <c r="LYE146" s="27"/>
      <c r="LYF146" s="27"/>
      <c r="LYG146" s="27"/>
      <c r="LYH146" s="27"/>
      <c r="LYI146" s="27"/>
      <c r="LYJ146" s="27"/>
      <c r="LYK146" s="27"/>
      <c r="LYL146" s="27"/>
      <c r="LYM146" s="27"/>
      <c r="LYN146" s="27"/>
      <c r="LYO146" s="27"/>
      <c r="LYP146" s="27"/>
      <c r="LYQ146" s="27"/>
      <c r="LYR146" s="27"/>
      <c r="LYS146" s="27"/>
      <c r="LYT146" s="27"/>
      <c r="LYU146" s="27"/>
      <c r="LYV146" s="27"/>
      <c r="LYW146" s="27"/>
      <c r="LYX146" s="27"/>
      <c r="LYY146" s="27"/>
      <c r="LYZ146" s="27"/>
      <c r="LZA146" s="27"/>
      <c r="LZB146" s="27"/>
      <c r="LZC146" s="27"/>
      <c r="LZD146" s="27"/>
      <c r="LZE146" s="27"/>
      <c r="LZF146" s="27"/>
      <c r="LZG146" s="27"/>
      <c r="LZH146" s="27"/>
      <c r="LZI146" s="27"/>
      <c r="LZJ146" s="27"/>
      <c r="LZK146" s="27"/>
      <c r="LZL146" s="27"/>
      <c r="LZM146" s="27"/>
      <c r="LZN146" s="27"/>
      <c r="LZO146" s="27"/>
      <c r="LZP146" s="27"/>
      <c r="LZQ146" s="27"/>
      <c r="LZR146" s="27"/>
      <c r="LZS146" s="27"/>
      <c r="LZT146" s="27"/>
      <c r="LZU146" s="27"/>
      <c r="LZV146" s="27"/>
      <c r="LZW146" s="27"/>
      <c r="LZX146" s="27"/>
      <c r="LZY146" s="27"/>
      <c r="LZZ146" s="27"/>
      <c r="MAA146" s="27"/>
      <c r="MAB146" s="27"/>
      <c r="MAC146" s="27"/>
      <c r="MAD146" s="27"/>
      <c r="MAE146" s="27"/>
      <c r="MAF146" s="27"/>
      <c r="MAG146" s="27"/>
      <c r="MAH146" s="27"/>
      <c r="MAI146" s="27"/>
      <c r="MAJ146" s="27"/>
      <c r="MAK146" s="27"/>
      <c r="MAL146" s="27"/>
      <c r="MAM146" s="27"/>
      <c r="MAN146" s="27"/>
      <c r="MAO146" s="27"/>
      <c r="MAP146" s="27"/>
      <c r="MAQ146" s="27"/>
      <c r="MAR146" s="27"/>
      <c r="MAS146" s="27"/>
      <c r="MAT146" s="27"/>
      <c r="MAU146" s="27"/>
      <c r="MAV146" s="27"/>
      <c r="MAW146" s="27"/>
      <c r="MAX146" s="27"/>
      <c r="MAY146" s="27"/>
      <c r="MAZ146" s="27"/>
      <c r="MBA146" s="27"/>
      <c r="MBB146" s="27"/>
      <c r="MBC146" s="27"/>
      <c r="MBD146" s="27"/>
      <c r="MBE146" s="27"/>
      <c r="MBF146" s="27"/>
      <c r="MBG146" s="27"/>
      <c r="MBH146" s="27"/>
      <c r="MBI146" s="27"/>
      <c r="MBJ146" s="27"/>
      <c r="MBK146" s="27"/>
      <c r="MBL146" s="27"/>
      <c r="MBM146" s="27"/>
      <c r="MBN146" s="27"/>
      <c r="MBO146" s="27"/>
      <c r="MBP146" s="27"/>
      <c r="MBQ146" s="27"/>
      <c r="MBR146" s="27"/>
      <c r="MBS146" s="27"/>
      <c r="MBT146" s="27"/>
      <c r="MBU146" s="27"/>
      <c r="MBV146" s="27"/>
      <c r="MBW146" s="27"/>
      <c r="MBX146" s="27"/>
      <c r="MBY146" s="27"/>
      <c r="MBZ146" s="27"/>
      <c r="MCA146" s="27"/>
      <c r="MCB146" s="27"/>
      <c r="MCC146" s="27"/>
      <c r="MCD146" s="27"/>
      <c r="MCE146" s="27"/>
      <c r="MCF146" s="27"/>
      <c r="MCG146" s="27"/>
      <c r="MCH146" s="27"/>
      <c r="MCI146" s="27"/>
      <c r="MCJ146" s="27"/>
      <c r="MCK146" s="27"/>
      <c r="MCL146" s="27"/>
      <c r="MCM146" s="27"/>
      <c r="MCN146" s="27"/>
      <c r="MCO146" s="27"/>
      <c r="MCP146" s="27"/>
      <c r="MCQ146" s="27"/>
      <c r="MCR146" s="27"/>
      <c r="MCS146" s="27"/>
      <c r="MCT146" s="27"/>
      <c r="MCU146" s="27"/>
      <c r="MCV146" s="27"/>
      <c r="MCW146" s="27"/>
      <c r="MCX146" s="27"/>
      <c r="MCY146" s="27"/>
      <c r="MCZ146" s="27"/>
      <c r="MDA146" s="27"/>
      <c r="MDB146" s="27"/>
      <c r="MDC146" s="27"/>
      <c r="MDD146" s="27"/>
      <c r="MDE146" s="27"/>
      <c r="MDF146" s="27"/>
      <c r="MDG146" s="27"/>
      <c r="MDH146" s="27"/>
      <c r="MDI146" s="27"/>
      <c r="MDJ146" s="27"/>
      <c r="MDK146" s="27"/>
      <c r="MDL146" s="27"/>
      <c r="MDM146" s="27"/>
      <c r="MDN146" s="27"/>
      <c r="MDO146" s="27"/>
      <c r="MDP146" s="27"/>
      <c r="MDQ146" s="27"/>
      <c r="MDR146" s="27"/>
      <c r="MDS146" s="27"/>
      <c r="MDT146" s="27"/>
      <c r="MDU146" s="27"/>
      <c r="MDV146" s="27"/>
      <c r="MDW146" s="27"/>
      <c r="MDX146" s="27"/>
      <c r="MDY146" s="27"/>
      <c r="MDZ146" s="27"/>
      <c r="MEA146" s="27"/>
      <c r="MEB146" s="27"/>
      <c r="MEC146" s="27"/>
      <c r="MED146" s="27"/>
      <c r="MEE146" s="27"/>
      <c r="MEF146" s="27"/>
      <c r="MEG146" s="27"/>
      <c r="MEH146" s="27"/>
      <c r="MEI146" s="27"/>
      <c r="MEJ146" s="27"/>
      <c r="MEK146" s="27"/>
      <c r="MEL146" s="27"/>
      <c r="MEM146" s="27"/>
      <c r="MEN146" s="27"/>
      <c r="MEO146" s="27"/>
      <c r="MEP146" s="27"/>
      <c r="MEQ146" s="27"/>
      <c r="MER146" s="27"/>
      <c r="MES146" s="27"/>
      <c r="MET146" s="27"/>
      <c r="MEU146" s="27"/>
      <c r="MEV146" s="27"/>
      <c r="MEW146" s="27"/>
      <c r="MEX146" s="27"/>
      <c r="MEY146" s="27"/>
      <c r="MEZ146" s="27"/>
      <c r="MFA146" s="27"/>
      <c r="MFB146" s="27"/>
      <c r="MFC146" s="27"/>
      <c r="MFD146" s="27"/>
      <c r="MFE146" s="27"/>
      <c r="MFF146" s="27"/>
      <c r="MFG146" s="27"/>
      <c r="MFH146" s="27"/>
      <c r="MFI146" s="27"/>
      <c r="MFJ146" s="27"/>
      <c r="MFK146" s="27"/>
      <c r="MFL146" s="27"/>
      <c r="MFM146" s="27"/>
      <c r="MFN146" s="27"/>
      <c r="MFO146" s="27"/>
      <c r="MFP146" s="27"/>
      <c r="MFQ146" s="27"/>
      <c r="MFR146" s="27"/>
      <c r="MFS146" s="27"/>
      <c r="MFT146" s="27"/>
      <c r="MFU146" s="27"/>
      <c r="MFV146" s="27"/>
      <c r="MFW146" s="27"/>
      <c r="MFX146" s="27"/>
      <c r="MFY146" s="27"/>
      <c r="MFZ146" s="27"/>
      <c r="MGA146" s="27"/>
      <c r="MGB146" s="27"/>
      <c r="MGC146" s="27"/>
      <c r="MGD146" s="27"/>
      <c r="MGE146" s="27"/>
      <c r="MGF146" s="27"/>
      <c r="MGG146" s="27"/>
      <c r="MGH146" s="27"/>
      <c r="MGI146" s="27"/>
      <c r="MGJ146" s="27"/>
      <c r="MGK146" s="27"/>
      <c r="MGL146" s="27"/>
      <c r="MGM146" s="27"/>
      <c r="MGN146" s="27"/>
      <c r="MGO146" s="27"/>
      <c r="MGP146" s="27"/>
      <c r="MGQ146" s="27"/>
      <c r="MGR146" s="27"/>
      <c r="MGS146" s="27"/>
      <c r="MGT146" s="27"/>
      <c r="MGU146" s="27"/>
      <c r="MGV146" s="27"/>
      <c r="MGW146" s="27"/>
      <c r="MGX146" s="27"/>
      <c r="MGY146" s="27"/>
      <c r="MGZ146" s="27"/>
      <c r="MHA146" s="27"/>
      <c r="MHB146" s="27"/>
      <c r="MHC146" s="27"/>
      <c r="MHD146" s="27"/>
      <c r="MHE146" s="27"/>
      <c r="MHF146" s="27"/>
      <c r="MHG146" s="27"/>
      <c r="MHH146" s="27"/>
      <c r="MHI146" s="27"/>
      <c r="MHJ146" s="27"/>
      <c r="MHK146" s="27"/>
      <c r="MHL146" s="27"/>
      <c r="MHM146" s="27"/>
      <c r="MHN146" s="27"/>
      <c r="MHO146" s="27"/>
      <c r="MHP146" s="27"/>
      <c r="MHQ146" s="27"/>
      <c r="MHR146" s="27"/>
      <c r="MHS146" s="27"/>
      <c r="MHT146" s="27"/>
      <c r="MHU146" s="27"/>
      <c r="MHV146" s="27"/>
      <c r="MHW146" s="27"/>
      <c r="MHX146" s="27"/>
      <c r="MHY146" s="27"/>
      <c r="MHZ146" s="27"/>
      <c r="MIA146" s="27"/>
      <c r="MIB146" s="27"/>
      <c r="MIC146" s="27"/>
      <c r="MID146" s="27"/>
      <c r="MIE146" s="27"/>
      <c r="MIF146" s="27"/>
      <c r="MIG146" s="27"/>
      <c r="MIH146" s="27"/>
      <c r="MII146" s="27"/>
      <c r="MIJ146" s="27"/>
      <c r="MIK146" s="27"/>
      <c r="MIL146" s="27"/>
      <c r="MIM146" s="27"/>
      <c r="MIN146" s="27"/>
      <c r="MIO146" s="27"/>
      <c r="MIP146" s="27"/>
      <c r="MIQ146" s="27"/>
      <c r="MIR146" s="27"/>
      <c r="MIS146" s="27"/>
      <c r="MIT146" s="27"/>
      <c r="MIU146" s="27"/>
      <c r="MIV146" s="27"/>
      <c r="MIW146" s="27"/>
      <c r="MIX146" s="27"/>
      <c r="MIY146" s="27"/>
      <c r="MIZ146" s="27"/>
      <c r="MJA146" s="27"/>
      <c r="MJB146" s="27"/>
      <c r="MJC146" s="27"/>
      <c r="MJD146" s="27"/>
      <c r="MJE146" s="27"/>
      <c r="MJF146" s="27"/>
      <c r="MJG146" s="27"/>
      <c r="MJH146" s="27"/>
      <c r="MJI146" s="27"/>
      <c r="MJJ146" s="27"/>
      <c r="MJK146" s="27"/>
      <c r="MJL146" s="27"/>
      <c r="MJM146" s="27"/>
      <c r="MJN146" s="27"/>
      <c r="MJO146" s="27"/>
      <c r="MJP146" s="27"/>
      <c r="MJQ146" s="27"/>
      <c r="MJR146" s="27"/>
      <c r="MJS146" s="27"/>
      <c r="MJT146" s="27"/>
      <c r="MJU146" s="27"/>
      <c r="MJV146" s="27"/>
      <c r="MJW146" s="27"/>
      <c r="MJX146" s="27"/>
      <c r="MJY146" s="27"/>
      <c r="MJZ146" s="27"/>
      <c r="MKA146" s="27"/>
      <c r="MKB146" s="27"/>
      <c r="MKC146" s="27"/>
      <c r="MKD146" s="27"/>
      <c r="MKE146" s="27"/>
      <c r="MKF146" s="27"/>
      <c r="MKG146" s="27"/>
      <c r="MKH146" s="27"/>
      <c r="MKI146" s="27"/>
      <c r="MKJ146" s="27"/>
      <c r="MKK146" s="27"/>
      <c r="MKL146" s="27"/>
      <c r="MKM146" s="27"/>
      <c r="MKN146" s="27"/>
      <c r="MKO146" s="27"/>
      <c r="MKP146" s="27"/>
      <c r="MKQ146" s="27"/>
      <c r="MKR146" s="27"/>
      <c r="MKS146" s="27"/>
      <c r="MKT146" s="27"/>
      <c r="MKU146" s="27"/>
      <c r="MKV146" s="27"/>
      <c r="MKW146" s="27"/>
      <c r="MKX146" s="27"/>
      <c r="MKY146" s="27"/>
      <c r="MKZ146" s="27"/>
      <c r="MLA146" s="27"/>
      <c r="MLB146" s="27"/>
      <c r="MLC146" s="27"/>
      <c r="MLD146" s="27"/>
      <c r="MLE146" s="27"/>
      <c r="MLF146" s="27"/>
      <c r="MLG146" s="27"/>
      <c r="MLH146" s="27"/>
      <c r="MLI146" s="27"/>
      <c r="MLJ146" s="27"/>
      <c r="MLK146" s="27"/>
      <c r="MLL146" s="27"/>
      <c r="MLM146" s="27"/>
      <c r="MLN146" s="27"/>
      <c r="MLO146" s="27"/>
      <c r="MLP146" s="27"/>
      <c r="MLQ146" s="27"/>
      <c r="MLR146" s="27"/>
      <c r="MLS146" s="27"/>
      <c r="MLT146" s="27"/>
      <c r="MLU146" s="27"/>
      <c r="MLV146" s="27"/>
      <c r="MLW146" s="27"/>
      <c r="MLX146" s="27"/>
      <c r="MLY146" s="27"/>
      <c r="MLZ146" s="27"/>
      <c r="MMA146" s="27"/>
      <c r="MMB146" s="27"/>
      <c r="MMC146" s="27"/>
      <c r="MMD146" s="27"/>
      <c r="MME146" s="27"/>
      <c r="MMF146" s="27"/>
      <c r="MMG146" s="27"/>
      <c r="MMH146" s="27"/>
      <c r="MMI146" s="27"/>
      <c r="MMJ146" s="27"/>
      <c r="MMK146" s="27"/>
      <c r="MML146" s="27"/>
      <c r="MMM146" s="27"/>
      <c r="MMN146" s="27"/>
      <c r="MMO146" s="27"/>
      <c r="MMP146" s="27"/>
      <c r="MMQ146" s="27"/>
      <c r="MMR146" s="27"/>
      <c r="MMS146" s="27"/>
      <c r="MMT146" s="27"/>
      <c r="MMU146" s="27"/>
      <c r="MMV146" s="27"/>
      <c r="MMW146" s="27"/>
      <c r="MMX146" s="27"/>
      <c r="MMY146" s="27"/>
      <c r="MMZ146" s="27"/>
      <c r="MNA146" s="27"/>
      <c r="MNB146" s="27"/>
      <c r="MNC146" s="27"/>
      <c r="MND146" s="27"/>
      <c r="MNE146" s="27"/>
      <c r="MNF146" s="27"/>
      <c r="MNG146" s="27"/>
      <c r="MNH146" s="27"/>
      <c r="MNI146" s="27"/>
      <c r="MNJ146" s="27"/>
      <c r="MNK146" s="27"/>
      <c r="MNL146" s="27"/>
      <c r="MNM146" s="27"/>
      <c r="MNN146" s="27"/>
      <c r="MNO146" s="27"/>
      <c r="MNP146" s="27"/>
      <c r="MNQ146" s="27"/>
      <c r="MNR146" s="27"/>
      <c r="MNS146" s="27"/>
      <c r="MNT146" s="27"/>
      <c r="MNU146" s="27"/>
      <c r="MNV146" s="27"/>
      <c r="MNW146" s="27"/>
      <c r="MNX146" s="27"/>
      <c r="MNY146" s="27"/>
      <c r="MNZ146" s="27"/>
      <c r="MOA146" s="27"/>
      <c r="MOB146" s="27"/>
      <c r="MOC146" s="27"/>
      <c r="MOD146" s="27"/>
      <c r="MOE146" s="27"/>
      <c r="MOF146" s="27"/>
      <c r="MOG146" s="27"/>
      <c r="MOH146" s="27"/>
      <c r="MOI146" s="27"/>
      <c r="MOJ146" s="27"/>
      <c r="MOK146" s="27"/>
      <c r="MOL146" s="27"/>
      <c r="MOM146" s="27"/>
      <c r="MON146" s="27"/>
      <c r="MOO146" s="27"/>
      <c r="MOP146" s="27"/>
      <c r="MOQ146" s="27"/>
      <c r="MOR146" s="27"/>
      <c r="MOS146" s="27"/>
      <c r="MOT146" s="27"/>
      <c r="MOU146" s="27"/>
      <c r="MOV146" s="27"/>
      <c r="MOW146" s="27"/>
      <c r="MOX146" s="27"/>
      <c r="MOY146" s="27"/>
      <c r="MOZ146" s="27"/>
      <c r="MPA146" s="27"/>
      <c r="MPB146" s="27"/>
      <c r="MPC146" s="27"/>
      <c r="MPD146" s="27"/>
      <c r="MPE146" s="27"/>
      <c r="MPF146" s="27"/>
      <c r="MPG146" s="27"/>
      <c r="MPH146" s="27"/>
      <c r="MPI146" s="27"/>
      <c r="MPJ146" s="27"/>
      <c r="MPK146" s="27"/>
      <c r="MPL146" s="27"/>
      <c r="MPM146" s="27"/>
      <c r="MPN146" s="27"/>
      <c r="MPO146" s="27"/>
      <c r="MPP146" s="27"/>
      <c r="MPQ146" s="27"/>
      <c r="MPR146" s="27"/>
      <c r="MPS146" s="27"/>
      <c r="MPT146" s="27"/>
      <c r="MPU146" s="27"/>
      <c r="MPV146" s="27"/>
      <c r="MPW146" s="27"/>
      <c r="MPX146" s="27"/>
      <c r="MPY146" s="27"/>
      <c r="MPZ146" s="27"/>
      <c r="MQA146" s="27"/>
      <c r="MQB146" s="27"/>
      <c r="MQC146" s="27"/>
      <c r="MQD146" s="27"/>
      <c r="MQE146" s="27"/>
      <c r="MQF146" s="27"/>
      <c r="MQG146" s="27"/>
      <c r="MQH146" s="27"/>
      <c r="MQI146" s="27"/>
      <c r="MQJ146" s="27"/>
      <c r="MQK146" s="27"/>
      <c r="MQL146" s="27"/>
      <c r="MQM146" s="27"/>
      <c r="MQN146" s="27"/>
      <c r="MQO146" s="27"/>
      <c r="MQP146" s="27"/>
      <c r="MQQ146" s="27"/>
      <c r="MQR146" s="27"/>
      <c r="MQS146" s="27"/>
      <c r="MQT146" s="27"/>
      <c r="MQU146" s="27"/>
      <c r="MQV146" s="27"/>
      <c r="MQW146" s="27"/>
      <c r="MQX146" s="27"/>
      <c r="MQY146" s="27"/>
      <c r="MQZ146" s="27"/>
      <c r="MRA146" s="27"/>
      <c r="MRB146" s="27"/>
      <c r="MRC146" s="27"/>
      <c r="MRD146" s="27"/>
      <c r="MRE146" s="27"/>
      <c r="MRF146" s="27"/>
      <c r="MRG146" s="27"/>
      <c r="MRH146" s="27"/>
      <c r="MRI146" s="27"/>
      <c r="MRJ146" s="27"/>
      <c r="MRK146" s="27"/>
      <c r="MRL146" s="27"/>
      <c r="MRM146" s="27"/>
      <c r="MRN146" s="27"/>
      <c r="MRO146" s="27"/>
      <c r="MRP146" s="27"/>
      <c r="MRQ146" s="27"/>
      <c r="MRR146" s="27"/>
      <c r="MRS146" s="27"/>
      <c r="MRT146" s="27"/>
      <c r="MRU146" s="27"/>
      <c r="MRV146" s="27"/>
      <c r="MRW146" s="27"/>
      <c r="MRX146" s="27"/>
      <c r="MRY146" s="27"/>
      <c r="MRZ146" s="27"/>
      <c r="MSA146" s="27"/>
      <c r="MSB146" s="27"/>
      <c r="MSC146" s="27"/>
      <c r="MSD146" s="27"/>
      <c r="MSE146" s="27"/>
      <c r="MSF146" s="27"/>
      <c r="MSG146" s="27"/>
      <c r="MSH146" s="27"/>
      <c r="MSI146" s="27"/>
      <c r="MSJ146" s="27"/>
      <c r="MSK146" s="27"/>
      <c r="MSL146" s="27"/>
      <c r="MSM146" s="27"/>
      <c r="MSN146" s="27"/>
      <c r="MSO146" s="27"/>
      <c r="MSP146" s="27"/>
      <c r="MSQ146" s="27"/>
      <c r="MSR146" s="27"/>
      <c r="MSS146" s="27"/>
      <c r="MST146" s="27"/>
      <c r="MSU146" s="27"/>
      <c r="MSV146" s="27"/>
      <c r="MSW146" s="27"/>
      <c r="MSX146" s="27"/>
      <c r="MSY146" s="27"/>
      <c r="MSZ146" s="27"/>
      <c r="MTA146" s="27"/>
      <c r="MTB146" s="27"/>
      <c r="MTC146" s="27"/>
      <c r="MTD146" s="27"/>
      <c r="MTE146" s="27"/>
      <c r="MTF146" s="27"/>
      <c r="MTG146" s="27"/>
      <c r="MTH146" s="27"/>
      <c r="MTI146" s="27"/>
      <c r="MTJ146" s="27"/>
      <c r="MTK146" s="27"/>
      <c r="MTL146" s="27"/>
      <c r="MTM146" s="27"/>
      <c r="MTN146" s="27"/>
      <c r="MTO146" s="27"/>
      <c r="MTP146" s="27"/>
      <c r="MTQ146" s="27"/>
      <c r="MTR146" s="27"/>
      <c r="MTS146" s="27"/>
      <c r="MTT146" s="27"/>
      <c r="MTU146" s="27"/>
      <c r="MTV146" s="27"/>
      <c r="MTW146" s="27"/>
      <c r="MTX146" s="27"/>
      <c r="MTY146" s="27"/>
      <c r="MTZ146" s="27"/>
      <c r="MUA146" s="27"/>
      <c r="MUB146" s="27"/>
      <c r="MUC146" s="27"/>
      <c r="MUD146" s="27"/>
      <c r="MUE146" s="27"/>
      <c r="MUF146" s="27"/>
      <c r="MUG146" s="27"/>
      <c r="MUH146" s="27"/>
      <c r="MUI146" s="27"/>
      <c r="MUJ146" s="27"/>
      <c r="MUK146" s="27"/>
      <c r="MUL146" s="27"/>
      <c r="MUM146" s="27"/>
      <c r="MUN146" s="27"/>
      <c r="MUO146" s="27"/>
      <c r="MUP146" s="27"/>
      <c r="MUQ146" s="27"/>
      <c r="MUR146" s="27"/>
      <c r="MUS146" s="27"/>
      <c r="MUT146" s="27"/>
      <c r="MUU146" s="27"/>
      <c r="MUV146" s="27"/>
      <c r="MUW146" s="27"/>
      <c r="MUX146" s="27"/>
      <c r="MUY146" s="27"/>
      <c r="MUZ146" s="27"/>
      <c r="MVA146" s="27"/>
      <c r="MVB146" s="27"/>
      <c r="MVC146" s="27"/>
      <c r="MVD146" s="27"/>
      <c r="MVE146" s="27"/>
      <c r="MVF146" s="27"/>
      <c r="MVG146" s="27"/>
      <c r="MVH146" s="27"/>
      <c r="MVI146" s="27"/>
      <c r="MVJ146" s="27"/>
      <c r="MVK146" s="27"/>
      <c r="MVL146" s="27"/>
      <c r="MVM146" s="27"/>
      <c r="MVN146" s="27"/>
      <c r="MVO146" s="27"/>
      <c r="MVP146" s="27"/>
      <c r="MVQ146" s="27"/>
      <c r="MVR146" s="27"/>
      <c r="MVS146" s="27"/>
      <c r="MVT146" s="27"/>
      <c r="MVU146" s="27"/>
      <c r="MVV146" s="27"/>
      <c r="MVW146" s="27"/>
      <c r="MVX146" s="27"/>
      <c r="MVY146" s="27"/>
      <c r="MVZ146" s="27"/>
      <c r="MWA146" s="27"/>
      <c r="MWB146" s="27"/>
      <c r="MWC146" s="27"/>
      <c r="MWD146" s="27"/>
      <c r="MWE146" s="27"/>
      <c r="MWF146" s="27"/>
      <c r="MWG146" s="27"/>
      <c r="MWH146" s="27"/>
      <c r="MWI146" s="27"/>
      <c r="MWJ146" s="27"/>
      <c r="MWK146" s="27"/>
      <c r="MWL146" s="27"/>
      <c r="MWM146" s="27"/>
      <c r="MWN146" s="27"/>
      <c r="MWO146" s="27"/>
      <c r="MWP146" s="27"/>
      <c r="MWQ146" s="27"/>
      <c r="MWR146" s="27"/>
      <c r="MWS146" s="27"/>
      <c r="MWT146" s="27"/>
      <c r="MWU146" s="27"/>
      <c r="MWV146" s="27"/>
      <c r="MWW146" s="27"/>
      <c r="MWX146" s="27"/>
      <c r="MWY146" s="27"/>
      <c r="MWZ146" s="27"/>
      <c r="MXA146" s="27"/>
      <c r="MXB146" s="27"/>
      <c r="MXC146" s="27"/>
      <c r="MXD146" s="27"/>
      <c r="MXE146" s="27"/>
      <c r="MXF146" s="27"/>
      <c r="MXG146" s="27"/>
      <c r="MXH146" s="27"/>
      <c r="MXI146" s="27"/>
      <c r="MXJ146" s="27"/>
      <c r="MXK146" s="27"/>
      <c r="MXL146" s="27"/>
      <c r="MXM146" s="27"/>
      <c r="MXN146" s="27"/>
      <c r="MXO146" s="27"/>
      <c r="MXP146" s="27"/>
      <c r="MXQ146" s="27"/>
      <c r="MXR146" s="27"/>
      <c r="MXS146" s="27"/>
      <c r="MXT146" s="27"/>
      <c r="MXU146" s="27"/>
      <c r="MXV146" s="27"/>
      <c r="MXW146" s="27"/>
      <c r="MXX146" s="27"/>
      <c r="MXY146" s="27"/>
      <c r="MXZ146" s="27"/>
      <c r="MYA146" s="27"/>
      <c r="MYB146" s="27"/>
      <c r="MYC146" s="27"/>
      <c r="MYD146" s="27"/>
      <c r="MYE146" s="27"/>
      <c r="MYF146" s="27"/>
      <c r="MYG146" s="27"/>
      <c r="MYH146" s="27"/>
      <c r="MYI146" s="27"/>
      <c r="MYJ146" s="27"/>
      <c r="MYK146" s="27"/>
      <c r="MYL146" s="27"/>
      <c r="MYM146" s="27"/>
      <c r="MYN146" s="27"/>
      <c r="MYO146" s="27"/>
      <c r="MYP146" s="27"/>
      <c r="MYQ146" s="27"/>
      <c r="MYR146" s="27"/>
      <c r="MYS146" s="27"/>
      <c r="MYT146" s="27"/>
      <c r="MYU146" s="27"/>
      <c r="MYV146" s="27"/>
      <c r="MYW146" s="27"/>
      <c r="MYX146" s="27"/>
      <c r="MYY146" s="27"/>
      <c r="MYZ146" s="27"/>
      <c r="MZA146" s="27"/>
      <c r="MZB146" s="27"/>
      <c r="MZC146" s="27"/>
      <c r="MZD146" s="27"/>
      <c r="MZE146" s="27"/>
      <c r="MZF146" s="27"/>
      <c r="MZG146" s="27"/>
      <c r="MZH146" s="27"/>
      <c r="MZI146" s="27"/>
      <c r="MZJ146" s="27"/>
      <c r="MZK146" s="27"/>
      <c r="MZL146" s="27"/>
      <c r="MZM146" s="27"/>
      <c r="MZN146" s="27"/>
      <c r="MZO146" s="27"/>
      <c r="MZP146" s="27"/>
      <c r="MZQ146" s="27"/>
      <c r="MZR146" s="27"/>
      <c r="MZS146" s="27"/>
      <c r="MZT146" s="27"/>
      <c r="MZU146" s="27"/>
      <c r="MZV146" s="27"/>
      <c r="MZW146" s="27"/>
      <c r="MZX146" s="27"/>
      <c r="MZY146" s="27"/>
      <c r="MZZ146" s="27"/>
      <c r="NAA146" s="27"/>
      <c r="NAB146" s="27"/>
      <c r="NAC146" s="27"/>
      <c r="NAD146" s="27"/>
      <c r="NAE146" s="27"/>
      <c r="NAF146" s="27"/>
      <c r="NAG146" s="27"/>
      <c r="NAH146" s="27"/>
      <c r="NAI146" s="27"/>
      <c r="NAJ146" s="27"/>
      <c r="NAK146" s="27"/>
      <c r="NAL146" s="27"/>
      <c r="NAM146" s="27"/>
      <c r="NAN146" s="27"/>
      <c r="NAO146" s="27"/>
      <c r="NAP146" s="27"/>
      <c r="NAQ146" s="27"/>
      <c r="NAR146" s="27"/>
      <c r="NAS146" s="27"/>
      <c r="NAT146" s="27"/>
      <c r="NAU146" s="27"/>
      <c r="NAV146" s="27"/>
      <c r="NAW146" s="27"/>
      <c r="NAX146" s="27"/>
      <c r="NAY146" s="27"/>
      <c r="NAZ146" s="27"/>
      <c r="NBA146" s="27"/>
      <c r="NBB146" s="27"/>
      <c r="NBC146" s="27"/>
      <c r="NBD146" s="27"/>
      <c r="NBE146" s="27"/>
      <c r="NBF146" s="27"/>
      <c r="NBG146" s="27"/>
      <c r="NBH146" s="27"/>
      <c r="NBI146" s="27"/>
      <c r="NBJ146" s="27"/>
      <c r="NBK146" s="27"/>
      <c r="NBL146" s="27"/>
      <c r="NBM146" s="27"/>
      <c r="NBN146" s="27"/>
      <c r="NBO146" s="27"/>
      <c r="NBP146" s="27"/>
      <c r="NBQ146" s="27"/>
      <c r="NBR146" s="27"/>
      <c r="NBS146" s="27"/>
      <c r="NBT146" s="27"/>
      <c r="NBU146" s="27"/>
      <c r="NBV146" s="27"/>
      <c r="NBW146" s="27"/>
      <c r="NBX146" s="27"/>
      <c r="NBY146" s="27"/>
      <c r="NBZ146" s="27"/>
      <c r="NCA146" s="27"/>
      <c r="NCB146" s="27"/>
      <c r="NCC146" s="27"/>
      <c r="NCD146" s="27"/>
      <c r="NCE146" s="27"/>
      <c r="NCF146" s="27"/>
      <c r="NCG146" s="27"/>
      <c r="NCH146" s="27"/>
      <c r="NCI146" s="27"/>
      <c r="NCJ146" s="27"/>
      <c r="NCK146" s="27"/>
      <c r="NCL146" s="27"/>
      <c r="NCM146" s="27"/>
      <c r="NCN146" s="27"/>
      <c r="NCO146" s="27"/>
      <c r="NCP146" s="27"/>
      <c r="NCQ146" s="27"/>
      <c r="NCR146" s="27"/>
      <c r="NCS146" s="27"/>
      <c r="NCT146" s="27"/>
      <c r="NCU146" s="27"/>
      <c r="NCV146" s="27"/>
      <c r="NCW146" s="27"/>
      <c r="NCX146" s="27"/>
      <c r="NCY146" s="27"/>
      <c r="NCZ146" s="27"/>
      <c r="NDA146" s="27"/>
      <c r="NDB146" s="27"/>
      <c r="NDC146" s="27"/>
      <c r="NDD146" s="27"/>
      <c r="NDE146" s="27"/>
      <c r="NDF146" s="27"/>
      <c r="NDG146" s="27"/>
      <c r="NDH146" s="27"/>
      <c r="NDI146" s="27"/>
      <c r="NDJ146" s="27"/>
      <c r="NDK146" s="27"/>
      <c r="NDL146" s="27"/>
      <c r="NDM146" s="27"/>
      <c r="NDN146" s="27"/>
      <c r="NDO146" s="27"/>
      <c r="NDP146" s="27"/>
      <c r="NDQ146" s="27"/>
      <c r="NDR146" s="27"/>
      <c r="NDS146" s="27"/>
      <c r="NDT146" s="27"/>
      <c r="NDU146" s="27"/>
      <c r="NDV146" s="27"/>
      <c r="NDW146" s="27"/>
      <c r="NDX146" s="27"/>
      <c r="NDY146" s="27"/>
      <c r="NDZ146" s="27"/>
      <c r="NEA146" s="27"/>
      <c r="NEB146" s="27"/>
      <c r="NEC146" s="27"/>
      <c r="NED146" s="27"/>
      <c r="NEE146" s="27"/>
      <c r="NEF146" s="27"/>
      <c r="NEG146" s="27"/>
      <c r="NEH146" s="27"/>
      <c r="NEI146" s="27"/>
      <c r="NEJ146" s="27"/>
      <c r="NEK146" s="27"/>
      <c r="NEL146" s="27"/>
      <c r="NEM146" s="27"/>
      <c r="NEN146" s="27"/>
      <c r="NEO146" s="27"/>
      <c r="NEP146" s="27"/>
      <c r="NEQ146" s="27"/>
      <c r="NER146" s="27"/>
      <c r="NES146" s="27"/>
      <c r="NET146" s="27"/>
      <c r="NEU146" s="27"/>
      <c r="NEV146" s="27"/>
      <c r="NEW146" s="27"/>
      <c r="NEX146" s="27"/>
      <c r="NEY146" s="27"/>
      <c r="NEZ146" s="27"/>
      <c r="NFA146" s="27"/>
      <c r="NFB146" s="27"/>
      <c r="NFC146" s="27"/>
      <c r="NFD146" s="27"/>
      <c r="NFE146" s="27"/>
      <c r="NFF146" s="27"/>
      <c r="NFG146" s="27"/>
      <c r="NFH146" s="27"/>
      <c r="NFI146" s="27"/>
      <c r="NFJ146" s="27"/>
      <c r="NFK146" s="27"/>
      <c r="NFL146" s="27"/>
      <c r="NFM146" s="27"/>
      <c r="NFN146" s="27"/>
      <c r="NFO146" s="27"/>
      <c r="NFP146" s="27"/>
      <c r="NFQ146" s="27"/>
      <c r="NFR146" s="27"/>
      <c r="NFS146" s="27"/>
      <c r="NFT146" s="27"/>
      <c r="NFU146" s="27"/>
      <c r="NFV146" s="27"/>
      <c r="NFW146" s="27"/>
      <c r="NFX146" s="27"/>
      <c r="NFY146" s="27"/>
      <c r="NFZ146" s="27"/>
      <c r="NGA146" s="27"/>
      <c r="NGB146" s="27"/>
      <c r="NGC146" s="27"/>
      <c r="NGD146" s="27"/>
      <c r="NGE146" s="27"/>
      <c r="NGF146" s="27"/>
      <c r="NGG146" s="27"/>
      <c r="NGH146" s="27"/>
      <c r="NGI146" s="27"/>
      <c r="NGJ146" s="27"/>
      <c r="NGK146" s="27"/>
      <c r="NGL146" s="27"/>
      <c r="NGM146" s="27"/>
      <c r="NGN146" s="27"/>
      <c r="NGO146" s="27"/>
      <c r="NGP146" s="27"/>
      <c r="NGQ146" s="27"/>
      <c r="NGR146" s="27"/>
      <c r="NGS146" s="27"/>
      <c r="NGT146" s="27"/>
      <c r="NGU146" s="27"/>
      <c r="NGV146" s="27"/>
      <c r="NGW146" s="27"/>
      <c r="NGX146" s="27"/>
      <c r="NGY146" s="27"/>
      <c r="NGZ146" s="27"/>
      <c r="NHA146" s="27"/>
      <c r="NHB146" s="27"/>
      <c r="NHC146" s="27"/>
      <c r="NHD146" s="27"/>
      <c r="NHE146" s="27"/>
      <c r="NHF146" s="27"/>
      <c r="NHG146" s="27"/>
      <c r="NHH146" s="27"/>
      <c r="NHI146" s="27"/>
      <c r="NHJ146" s="27"/>
      <c r="NHK146" s="27"/>
      <c r="NHL146" s="27"/>
      <c r="NHM146" s="27"/>
      <c r="NHN146" s="27"/>
      <c r="NHO146" s="27"/>
      <c r="NHP146" s="27"/>
      <c r="NHQ146" s="27"/>
      <c r="NHR146" s="27"/>
      <c r="NHS146" s="27"/>
      <c r="NHT146" s="27"/>
      <c r="NHU146" s="27"/>
      <c r="NHV146" s="27"/>
      <c r="NHW146" s="27"/>
      <c r="NHX146" s="27"/>
      <c r="NHY146" s="27"/>
      <c r="NHZ146" s="27"/>
      <c r="NIA146" s="27"/>
      <c r="NIB146" s="27"/>
      <c r="NIC146" s="27"/>
      <c r="NID146" s="27"/>
      <c r="NIE146" s="27"/>
      <c r="NIF146" s="27"/>
      <c r="NIG146" s="27"/>
      <c r="NIH146" s="27"/>
      <c r="NII146" s="27"/>
      <c r="NIJ146" s="27"/>
      <c r="NIK146" s="27"/>
      <c r="NIL146" s="27"/>
      <c r="NIM146" s="27"/>
      <c r="NIN146" s="27"/>
      <c r="NIO146" s="27"/>
      <c r="NIP146" s="27"/>
      <c r="NIQ146" s="27"/>
      <c r="NIR146" s="27"/>
      <c r="NIS146" s="27"/>
      <c r="NIT146" s="27"/>
      <c r="NIU146" s="27"/>
      <c r="NIV146" s="27"/>
      <c r="NIW146" s="27"/>
      <c r="NIX146" s="27"/>
      <c r="NIY146" s="27"/>
      <c r="NIZ146" s="27"/>
      <c r="NJA146" s="27"/>
      <c r="NJB146" s="27"/>
      <c r="NJC146" s="27"/>
      <c r="NJD146" s="27"/>
      <c r="NJE146" s="27"/>
      <c r="NJF146" s="27"/>
      <c r="NJG146" s="27"/>
      <c r="NJH146" s="27"/>
      <c r="NJI146" s="27"/>
      <c r="NJJ146" s="27"/>
      <c r="NJK146" s="27"/>
      <c r="NJL146" s="27"/>
      <c r="NJM146" s="27"/>
      <c r="NJN146" s="27"/>
      <c r="NJO146" s="27"/>
      <c r="NJP146" s="27"/>
      <c r="NJQ146" s="27"/>
      <c r="NJR146" s="27"/>
      <c r="NJS146" s="27"/>
      <c r="NJT146" s="27"/>
      <c r="NJU146" s="27"/>
      <c r="NJV146" s="27"/>
      <c r="NJW146" s="27"/>
      <c r="NJX146" s="27"/>
      <c r="NJY146" s="27"/>
      <c r="NJZ146" s="27"/>
      <c r="NKA146" s="27"/>
      <c r="NKB146" s="27"/>
      <c r="NKC146" s="27"/>
      <c r="NKD146" s="27"/>
      <c r="NKE146" s="27"/>
      <c r="NKF146" s="27"/>
      <c r="NKG146" s="27"/>
      <c r="NKH146" s="27"/>
      <c r="NKI146" s="27"/>
      <c r="NKJ146" s="27"/>
      <c r="NKK146" s="27"/>
      <c r="NKL146" s="27"/>
      <c r="NKM146" s="27"/>
      <c r="NKN146" s="27"/>
      <c r="NKO146" s="27"/>
      <c r="NKP146" s="27"/>
      <c r="NKQ146" s="27"/>
      <c r="NKR146" s="27"/>
      <c r="NKS146" s="27"/>
      <c r="NKT146" s="27"/>
      <c r="NKU146" s="27"/>
      <c r="NKV146" s="27"/>
      <c r="NKW146" s="27"/>
      <c r="NKX146" s="27"/>
      <c r="NKY146" s="27"/>
      <c r="NKZ146" s="27"/>
      <c r="NLA146" s="27"/>
      <c r="NLB146" s="27"/>
      <c r="NLC146" s="27"/>
      <c r="NLD146" s="27"/>
      <c r="NLE146" s="27"/>
      <c r="NLF146" s="27"/>
      <c r="NLG146" s="27"/>
      <c r="NLH146" s="27"/>
      <c r="NLI146" s="27"/>
      <c r="NLJ146" s="27"/>
      <c r="NLK146" s="27"/>
      <c r="NLL146" s="27"/>
      <c r="NLM146" s="27"/>
      <c r="NLN146" s="27"/>
      <c r="NLO146" s="27"/>
      <c r="NLP146" s="27"/>
      <c r="NLQ146" s="27"/>
      <c r="NLR146" s="27"/>
      <c r="NLS146" s="27"/>
      <c r="NLT146" s="27"/>
      <c r="NLU146" s="27"/>
      <c r="NLV146" s="27"/>
      <c r="NLW146" s="27"/>
      <c r="NLX146" s="27"/>
      <c r="NLY146" s="27"/>
      <c r="NLZ146" s="27"/>
      <c r="NMA146" s="27"/>
      <c r="NMB146" s="27"/>
      <c r="NMC146" s="27"/>
      <c r="NMD146" s="27"/>
      <c r="NME146" s="27"/>
      <c r="NMF146" s="27"/>
      <c r="NMG146" s="27"/>
      <c r="NMH146" s="27"/>
      <c r="NMI146" s="27"/>
      <c r="NMJ146" s="27"/>
      <c r="NMK146" s="27"/>
      <c r="NML146" s="27"/>
      <c r="NMM146" s="27"/>
      <c r="NMN146" s="27"/>
      <c r="NMO146" s="27"/>
      <c r="NMP146" s="27"/>
      <c r="NMQ146" s="27"/>
      <c r="NMR146" s="27"/>
      <c r="NMS146" s="27"/>
      <c r="NMT146" s="27"/>
      <c r="NMU146" s="27"/>
      <c r="NMV146" s="27"/>
      <c r="NMW146" s="27"/>
      <c r="NMX146" s="27"/>
      <c r="NMY146" s="27"/>
      <c r="NMZ146" s="27"/>
      <c r="NNA146" s="27"/>
      <c r="NNB146" s="27"/>
      <c r="NNC146" s="27"/>
      <c r="NND146" s="27"/>
      <c r="NNE146" s="27"/>
      <c r="NNF146" s="27"/>
      <c r="NNG146" s="27"/>
      <c r="NNH146" s="27"/>
      <c r="NNI146" s="27"/>
      <c r="NNJ146" s="27"/>
      <c r="NNK146" s="27"/>
      <c r="NNL146" s="27"/>
      <c r="NNM146" s="27"/>
      <c r="NNN146" s="27"/>
      <c r="NNO146" s="27"/>
      <c r="NNP146" s="27"/>
      <c r="NNQ146" s="27"/>
      <c r="NNR146" s="27"/>
      <c r="NNS146" s="27"/>
      <c r="NNT146" s="27"/>
      <c r="NNU146" s="27"/>
      <c r="NNV146" s="27"/>
      <c r="NNW146" s="27"/>
      <c r="NNX146" s="27"/>
      <c r="NNY146" s="27"/>
      <c r="NNZ146" s="27"/>
      <c r="NOA146" s="27"/>
      <c r="NOB146" s="27"/>
      <c r="NOC146" s="27"/>
      <c r="NOD146" s="27"/>
      <c r="NOE146" s="27"/>
      <c r="NOF146" s="27"/>
      <c r="NOG146" s="27"/>
      <c r="NOH146" s="27"/>
      <c r="NOI146" s="27"/>
      <c r="NOJ146" s="27"/>
      <c r="NOK146" s="27"/>
      <c r="NOL146" s="27"/>
      <c r="NOM146" s="27"/>
      <c r="NON146" s="27"/>
      <c r="NOO146" s="27"/>
      <c r="NOP146" s="27"/>
      <c r="NOQ146" s="27"/>
      <c r="NOR146" s="27"/>
      <c r="NOS146" s="27"/>
      <c r="NOT146" s="27"/>
      <c r="NOU146" s="27"/>
      <c r="NOV146" s="27"/>
      <c r="NOW146" s="27"/>
      <c r="NOX146" s="27"/>
      <c r="NOY146" s="27"/>
      <c r="NOZ146" s="27"/>
      <c r="NPA146" s="27"/>
      <c r="NPB146" s="27"/>
      <c r="NPC146" s="27"/>
      <c r="NPD146" s="27"/>
      <c r="NPE146" s="27"/>
      <c r="NPF146" s="27"/>
      <c r="NPG146" s="27"/>
      <c r="NPH146" s="27"/>
      <c r="NPI146" s="27"/>
      <c r="NPJ146" s="27"/>
      <c r="NPK146" s="27"/>
      <c r="NPL146" s="27"/>
      <c r="NPM146" s="27"/>
      <c r="NPN146" s="27"/>
      <c r="NPO146" s="27"/>
      <c r="NPP146" s="27"/>
      <c r="NPQ146" s="27"/>
      <c r="NPR146" s="27"/>
      <c r="NPS146" s="27"/>
      <c r="NPT146" s="27"/>
      <c r="NPU146" s="27"/>
      <c r="NPV146" s="27"/>
      <c r="NPW146" s="27"/>
      <c r="NPX146" s="27"/>
      <c r="NPY146" s="27"/>
      <c r="NPZ146" s="27"/>
      <c r="NQA146" s="27"/>
      <c r="NQB146" s="27"/>
      <c r="NQC146" s="27"/>
      <c r="NQD146" s="27"/>
      <c r="NQE146" s="27"/>
      <c r="NQF146" s="27"/>
      <c r="NQG146" s="27"/>
      <c r="NQH146" s="27"/>
      <c r="NQI146" s="27"/>
      <c r="NQJ146" s="27"/>
      <c r="NQK146" s="27"/>
      <c r="NQL146" s="27"/>
      <c r="NQM146" s="27"/>
      <c r="NQN146" s="27"/>
      <c r="NQO146" s="27"/>
      <c r="NQP146" s="27"/>
      <c r="NQQ146" s="27"/>
      <c r="NQR146" s="27"/>
      <c r="NQS146" s="27"/>
      <c r="NQT146" s="27"/>
      <c r="NQU146" s="27"/>
      <c r="NQV146" s="27"/>
      <c r="NQW146" s="27"/>
      <c r="NQX146" s="27"/>
      <c r="NQY146" s="27"/>
      <c r="NQZ146" s="27"/>
      <c r="NRA146" s="27"/>
      <c r="NRB146" s="27"/>
      <c r="NRC146" s="27"/>
      <c r="NRD146" s="27"/>
      <c r="NRE146" s="27"/>
      <c r="NRF146" s="27"/>
      <c r="NRG146" s="27"/>
      <c r="NRH146" s="27"/>
      <c r="NRI146" s="27"/>
      <c r="NRJ146" s="27"/>
      <c r="NRK146" s="27"/>
      <c r="NRL146" s="27"/>
      <c r="NRM146" s="27"/>
      <c r="NRN146" s="27"/>
      <c r="NRO146" s="27"/>
      <c r="NRP146" s="27"/>
      <c r="NRQ146" s="27"/>
      <c r="NRR146" s="27"/>
      <c r="NRS146" s="27"/>
      <c r="NRT146" s="27"/>
      <c r="NRU146" s="27"/>
      <c r="NRV146" s="27"/>
      <c r="NRW146" s="27"/>
      <c r="NRX146" s="27"/>
      <c r="NRY146" s="27"/>
      <c r="NRZ146" s="27"/>
      <c r="NSA146" s="27"/>
      <c r="NSB146" s="27"/>
      <c r="NSC146" s="27"/>
      <c r="NSD146" s="27"/>
      <c r="NSE146" s="27"/>
      <c r="NSF146" s="27"/>
      <c r="NSG146" s="27"/>
      <c r="NSH146" s="27"/>
      <c r="NSI146" s="27"/>
      <c r="NSJ146" s="27"/>
      <c r="NSK146" s="27"/>
      <c r="NSL146" s="27"/>
      <c r="NSM146" s="27"/>
      <c r="NSN146" s="27"/>
      <c r="NSO146" s="27"/>
      <c r="NSP146" s="27"/>
      <c r="NSQ146" s="27"/>
      <c r="NSR146" s="27"/>
      <c r="NSS146" s="27"/>
      <c r="NST146" s="27"/>
      <c r="NSU146" s="27"/>
      <c r="NSV146" s="27"/>
      <c r="NSW146" s="27"/>
      <c r="NSX146" s="27"/>
      <c r="NSY146" s="27"/>
      <c r="NSZ146" s="27"/>
      <c r="NTA146" s="27"/>
      <c r="NTB146" s="27"/>
      <c r="NTC146" s="27"/>
      <c r="NTD146" s="27"/>
      <c r="NTE146" s="27"/>
      <c r="NTF146" s="27"/>
      <c r="NTG146" s="27"/>
      <c r="NTH146" s="27"/>
      <c r="NTI146" s="27"/>
      <c r="NTJ146" s="27"/>
      <c r="NTK146" s="27"/>
      <c r="NTL146" s="27"/>
      <c r="NTM146" s="27"/>
      <c r="NTN146" s="27"/>
      <c r="NTO146" s="27"/>
      <c r="NTP146" s="27"/>
      <c r="NTQ146" s="27"/>
      <c r="NTR146" s="27"/>
      <c r="NTS146" s="27"/>
      <c r="NTT146" s="27"/>
      <c r="NTU146" s="27"/>
      <c r="NTV146" s="27"/>
      <c r="NTW146" s="27"/>
      <c r="NTX146" s="27"/>
      <c r="NTY146" s="27"/>
      <c r="NTZ146" s="27"/>
      <c r="NUA146" s="27"/>
      <c r="NUB146" s="27"/>
      <c r="NUC146" s="27"/>
      <c r="NUD146" s="27"/>
      <c r="NUE146" s="27"/>
      <c r="NUF146" s="27"/>
      <c r="NUG146" s="27"/>
      <c r="NUH146" s="27"/>
      <c r="NUI146" s="27"/>
      <c r="NUJ146" s="27"/>
      <c r="NUK146" s="27"/>
      <c r="NUL146" s="27"/>
      <c r="NUM146" s="27"/>
      <c r="NUN146" s="27"/>
      <c r="NUO146" s="27"/>
      <c r="NUP146" s="27"/>
      <c r="NUQ146" s="27"/>
      <c r="NUR146" s="27"/>
      <c r="NUS146" s="27"/>
      <c r="NUT146" s="27"/>
      <c r="NUU146" s="27"/>
      <c r="NUV146" s="27"/>
      <c r="NUW146" s="27"/>
      <c r="NUX146" s="27"/>
      <c r="NUY146" s="27"/>
      <c r="NUZ146" s="27"/>
      <c r="NVA146" s="27"/>
      <c r="NVB146" s="27"/>
      <c r="NVC146" s="27"/>
      <c r="NVD146" s="27"/>
      <c r="NVE146" s="27"/>
      <c r="NVF146" s="27"/>
      <c r="NVG146" s="27"/>
      <c r="NVH146" s="27"/>
      <c r="NVI146" s="27"/>
      <c r="NVJ146" s="27"/>
      <c r="NVK146" s="27"/>
      <c r="NVL146" s="27"/>
      <c r="NVM146" s="27"/>
      <c r="NVN146" s="27"/>
      <c r="NVO146" s="27"/>
      <c r="NVP146" s="27"/>
      <c r="NVQ146" s="27"/>
      <c r="NVR146" s="27"/>
      <c r="NVS146" s="27"/>
      <c r="NVT146" s="27"/>
      <c r="NVU146" s="27"/>
      <c r="NVV146" s="27"/>
      <c r="NVW146" s="27"/>
      <c r="NVX146" s="27"/>
      <c r="NVY146" s="27"/>
      <c r="NVZ146" s="27"/>
      <c r="NWA146" s="27"/>
      <c r="NWB146" s="27"/>
      <c r="NWC146" s="27"/>
      <c r="NWD146" s="27"/>
      <c r="NWE146" s="27"/>
      <c r="NWF146" s="27"/>
      <c r="NWG146" s="27"/>
      <c r="NWH146" s="27"/>
      <c r="NWI146" s="27"/>
      <c r="NWJ146" s="27"/>
      <c r="NWK146" s="27"/>
      <c r="NWL146" s="27"/>
      <c r="NWM146" s="27"/>
      <c r="NWN146" s="27"/>
      <c r="NWO146" s="27"/>
      <c r="NWP146" s="27"/>
      <c r="NWQ146" s="27"/>
      <c r="NWR146" s="27"/>
      <c r="NWS146" s="27"/>
      <c r="NWT146" s="27"/>
      <c r="NWU146" s="27"/>
      <c r="NWV146" s="27"/>
      <c r="NWW146" s="27"/>
      <c r="NWX146" s="27"/>
      <c r="NWY146" s="27"/>
      <c r="NWZ146" s="27"/>
      <c r="NXA146" s="27"/>
      <c r="NXB146" s="27"/>
      <c r="NXC146" s="27"/>
      <c r="NXD146" s="27"/>
      <c r="NXE146" s="27"/>
      <c r="NXF146" s="27"/>
      <c r="NXG146" s="27"/>
      <c r="NXH146" s="27"/>
      <c r="NXI146" s="27"/>
      <c r="NXJ146" s="27"/>
      <c r="NXK146" s="27"/>
      <c r="NXL146" s="27"/>
      <c r="NXM146" s="27"/>
      <c r="NXN146" s="27"/>
      <c r="NXO146" s="27"/>
      <c r="NXP146" s="27"/>
      <c r="NXQ146" s="27"/>
      <c r="NXR146" s="27"/>
      <c r="NXS146" s="27"/>
      <c r="NXT146" s="27"/>
      <c r="NXU146" s="27"/>
      <c r="NXV146" s="27"/>
      <c r="NXW146" s="27"/>
      <c r="NXX146" s="27"/>
      <c r="NXY146" s="27"/>
      <c r="NXZ146" s="27"/>
      <c r="NYA146" s="27"/>
      <c r="NYB146" s="27"/>
      <c r="NYC146" s="27"/>
      <c r="NYD146" s="27"/>
      <c r="NYE146" s="27"/>
      <c r="NYF146" s="27"/>
      <c r="NYG146" s="27"/>
      <c r="NYH146" s="27"/>
      <c r="NYI146" s="27"/>
      <c r="NYJ146" s="27"/>
      <c r="NYK146" s="27"/>
      <c r="NYL146" s="27"/>
      <c r="NYM146" s="27"/>
      <c r="NYN146" s="27"/>
      <c r="NYO146" s="27"/>
      <c r="NYP146" s="27"/>
      <c r="NYQ146" s="27"/>
      <c r="NYR146" s="27"/>
      <c r="NYS146" s="27"/>
      <c r="NYT146" s="27"/>
      <c r="NYU146" s="27"/>
      <c r="NYV146" s="27"/>
      <c r="NYW146" s="27"/>
      <c r="NYX146" s="27"/>
      <c r="NYY146" s="27"/>
      <c r="NYZ146" s="27"/>
      <c r="NZA146" s="27"/>
      <c r="NZB146" s="27"/>
      <c r="NZC146" s="27"/>
      <c r="NZD146" s="27"/>
      <c r="NZE146" s="27"/>
      <c r="NZF146" s="27"/>
      <c r="NZG146" s="27"/>
      <c r="NZH146" s="27"/>
      <c r="NZI146" s="27"/>
      <c r="NZJ146" s="27"/>
      <c r="NZK146" s="27"/>
      <c r="NZL146" s="27"/>
      <c r="NZM146" s="27"/>
      <c r="NZN146" s="27"/>
      <c r="NZO146" s="27"/>
      <c r="NZP146" s="27"/>
      <c r="NZQ146" s="27"/>
      <c r="NZR146" s="27"/>
      <c r="NZS146" s="27"/>
      <c r="NZT146" s="27"/>
      <c r="NZU146" s="27"/>
      <c r="NZV146" s="27"/>
      <c r="NZW146" s="27"/>
      <c r="NZX146" s="27"/>
      <c r="NZY146" s="27"/>
      <c r="NZZ146" s="27"/>
      <c r="OAA146" s="27"/>
      <c r="OAB146" s="27"/>
      <c r="OAC146" s="27"/>
      <c r="OAD146" s="27"/>
      <c r="OAE146" s="27"/>
      <c r="OAF146" s="27"/>
      <c r="OAG146" s="27"/>
      <c r="OAH146" s="27"/>
      <c r="OAI146" s="27"/>
      <c r="OAJ146" s="27"/>
      <c r="OAK146" s="27"/>
      <c r="OAL146" s="27"/>
      <c r="OAM146" s="27"/>
      <c r="OAN146" s="27"/>
      <c r="OAO146" s="27"/>
      <c r="OAP146" s="27"/>
      <c r="OAQ146" s="27"/>
      <c r="OAR146" s="27"/>
      <c r="OAS146" s="27"/>
      <c r="OAT146" s="27"/>
      <c r="OAU146" s="27"/>
      <c r="OAV146" s="27"/>
      <c r="OAW146" s="27"/>
      <c r="OAX146" s="27"/>
      <c r="OAY146" s="27"/>
      <c r="OAZ146" s="27"/>
      <c r="OBA146" s="27"/>
      <c r="OBB146" s="27"/>
      <c r="OBC146" s="27"/>
      <c r="OBD146" s="27"/>
      <c r="OBE146" s="27"/>
      <c r="OBF146" s="27"/>
      <c r="OBG146" s="27"/>
      <c r="OBH146" s="27"/>
      <c r="OBI146" s="27"/>
      <c r="OBJ146" s="27"/>
      <c r="OBK146" s="27"/>
      <c r="OBL146" s="27"/>
      <c r="OBM146" s="27"/>
      <c r="OBN146" s="27"/>
      <c r="OBO146" s="27"/>
      <c r="OBP146" s="27"/>
      <c r="OBQ146" s="27"/>
      <c r="OBR146" s="27"/>
      <c r="OBS146" s="27"/>
      <c r="OBT146" s="27"/>
      <c r="OBU146" s="27"/>
      <c r="OBV146" s="27"/>
      <c r="OBW146" s="27"/>
      <c r="OBX146" s="27"/>
      <c r="OBY146" s="27"/>
      <c r="OBZ146" s="27"/>
      <c r="OCA146" s="27"/>
      <c r="OCB146" s="27"/>
      <c r="OCC146" s="27"/>
      <c r="OCD146" s="27"/>
      <c r="OCE146" s="27"/>
      <c r="OCF146" s="27"/>
      <c r="OCG146" s="27"/>
      <c r="OCH146" s="27"/>
      <c r="OCI146" s="27"/>
      <c r="OCJ146" s="27"/>
      <c r="OCK146" s="27"/>
      <c r="OCL146" s="27"/>
      <c r="OCM146" s="27"/>
      <c r="OCN146" s="27"/>
      <c r="OCO146" s="27"/>
      <c r="OCP146" s="27"/>
      <c r="OCQ146" s="27"/>
      <c r="OCR146" s="27"/>
      <c r="OCS146" s="27"/>
      <c r="OCT146" s="27"/>
      <c r="OCU146" s="27"/>
      <c r="OCV146" s="27"/>
      <c r="OCW146" s="27"/>
      <c r="OCX146" s="27"/>
      <c r="OCY146" s="27"/>
      <c r="OCZ146" s="27"/>
      <c r="ODA146" s="27"/>
      <c r="ODB146" s="27"/>
      <c r="ODC146" s="27"/>
      <c r="ODD146" s="27"/>
      <c r="ODE146" s="27"/>
      <c r="ODF146" s="27"/>
      <c r="ODG146" s="27"/>
      <c r="ODH146" s="27"/>
      <c r="ODI146" s="27"/>
      <c r="ODJ146" s="27"/>
      <c r="ODK146" s="27"/>
      <c r="ODL146" s="27"/>
      <c r="ODM146" s="27"/>
      <c r="ODN146" s="27"/>
      <c r="ODO146" s="27"/>
      <c r="ODP146" s="27"/>
      <c r="ODQ146" s="27"/>
      <c r="ODR146" s="27"/>
      <c r="ODS146" s="27"/>
      <c r="ODT146" s="27"/>
      <c r="ODU146" s="27"/>
      <c r="ODV146" s="27"/>
      <c r="ODW146" s="27"/>
      <c r="ODX146" s="27"/>
      <c r="ODY146" s="27"/>
      <c r="ODZ146" s="27"/>
      <c r="OEA146" s="27"/>
      <c r="OEB146" s="27"/>
      <c r="OEC146" s="27"/>
      <c r="OED146" s="27"/>
      <c r="OEE146" s="27"/>
      <c r="OEF146" s="27"/>
      <c r="OEG146" s="27"/>
      <c r="OEH146" s="27"/>
      <c r="OEI146" s="27"/>
      <c r="OEJ146" s="27"/>
      <c r="OEK146" s="27"/>
      <c r="OEL146" s="27"/>
      <c r="OEM146" s="27"/>
      <c r="OEN146" s="27"/>
      <c r="OEO146" s="27"/>
      <c r="OEP146" s="27"/>
      <c r="OEQ146" s="27"/>
      <c r="OER146" s="27"/>
      <c r="OES146" s="27"/>
      <c r="OET146" s="27"/>
      <c r="OEU146" s="27"/>
      <c r="OEV146" s="27"/>
      <c r="OEW146" s="27"/>
      <c r="OEX146" s="27"/>
      <c r="OEY146" s="27"/>
      <c r="OEZ146" s="27"/>
      <c r="OFA146" s="27"/>
      <c r="OFB146" s="27"/>
      <c r="OFC146" s="27"/>
      <c r="OFD146" s="27"/>
      <c r="OFE146" s="27"/>
      <c r="OFF146" s="27"/>
      <c r="OFG146" s="27"/>
      <c r="OFH146" s="27"/>
      <c r="OFI146" s="27"/>
      <c r="OFJ146" s="27"/>
      <c r="OFK146" s="27"/>
      <c r="OFL146" s="27"/>
      <c r="OFM146" s="27"/>
      <c r="OFN146" s="27"/>
      <c r="OFO146" s="27"/>
      <c r="OFP146" s="27"/>
      <c r="OFQ146" s="27"/>
      <c r="OFR146" s="27"/>
      <c r="OFS146" s="27"/>
      <c r="OFT146" s="27"/>
      <c r="OFU146" s="27"/>
      <c r="OFV146" s="27"/>
      <c r="OFW146" s="27"/>
      <c r="OFX146" s="27"/>
      <c r="OFY146" s="27"/>
      <c r="OFZ146" s="27"/>
      <c r="OGA146" s="27"/>
      <c r="OGB146" s="27"/>
      <c r="OGC146" s="27"/>
      <c r="OGD146" s="27"/>
      <c r="OGE146" s="27"/>
      <c r="OGF146" s="27"/>
      <c r="OGG146" s="27"/>
      <c r="OGH146" s="27"/>
      <c r="OGI146" s="27"/>
      <c r="OGJ146" s="27"/>
      <c r="OGK146" s="27"/>
      <c r="OGL146" s="27"/>
      <c r="OGM146" s="27"/>
      <c r="OGN146" s="27"/>
      <c r="OGO146" s="27"/>
      <c r="OGP146" s="27"/>
      <c r="OGQ146" s="27"/>
      <c r="OGR146" s="27"/>
      <c r="OGS146" s="27"/>
      <c r="OGT146" s="27"/>
      <c r="OGU146" s="27"/>
      <c r="OGV146" s="27"/>
      <c r="OGW146" s="27"/>
      <c r="OGX146" s="27"/>
      <c r="OGY146" s="27"/>
      <c r="OGZ146" s="27"/>
      <c r="OHA146" s="27"/>
      <c r="OHB146" s="27"/>
      <c r="OHC146" s="27"/>
      <c r="OHD146" s="27"/>
      <c r="OHE146" s="27"/>
      <c r="OHF146" s="27"/>
      <c r="OHG146" s="27"/>
      <c r="OHH146" s="27"/>
      <c r="OHI146" s="27"/>
      <c r="OHJ146" s="27"/>
      <c r="OHK146" s="27"/>
      <c r="OHL146" s="27"/>
      <c r="OHM146" s="27"/>
      <c r="OHN146" s="27"/>
      <c r="OHO146" s="27"/>
      <c r="OHP146" s="27"/>
      <c r="OHQ146" s="27"/>
      <c r="OHR146" s="27"/>
      <c r="OHS146" s="27"/>
      <c r="OHT146" s="27"/>
      <c r="OHU146" s="27"/>
      <c r="OHV146" s="27"/>
      <c r="OHW146" s="27"/>
      <c r="OHX146" s="27"/>
      <c r="OHY146" s="27"/>
      <c r="OHZ146" s="27"/>
      <c r="OIA146" s="27"/>
      <c r="OIB146" s="27"/>
      <c r="OIC146" s="27"/>
      <c r="OID146" s="27"/>
      <c r="OIE146" s="27"/>
      <c r="OIF146" s="27"/>
      <c r="OIG146" s="27"/>
      <c r="OIH146" s="27"/>
      <c r="OII146" s="27"/>
      <c r="OIJ146" s="27"/>
      <c r="OIK146" s="27"/>
      <c r="OIL146" s="27"/>
      <c r="OIM146" s="27"/>
      <c r="OIN146" s="27"/>
      <c r="OIO146" s="27"/>
      <c r="OIP146" s="27"/>
      <c r="OIQ146" s="27"/>
      <c r="OIR146" s="27"/>
      <c r="OIS146" s="27"/>
      <c r="OIT146" s="27"/>
      <c r="OIU146" s="27"/>
      <c r="OIV146" s="27"/>
      <c r="OIW146" s="27"/>
      <c r="OIX146" s="27"/>
      <c r="OIY146" s="27"/>
      <c r="OIZ146" s="27"/>
      <c r="OJA146" s="27"/>
      <c r="OJB146" s="27"/>
      <c r="OJC146" s="27"/>
      <c r="OJD146" s="27"/>
      <c r="OJE146" s="27"/>
      <c r="OJF146" s="27"/>
      <c r="OJG146" s="27"/>
      <c r="OJH146" s="27"/>
      <c r="OJI146" s="27"/>
      <c r="OJJ146" s="27"/>
      <c r="OJK146" s="27"/>
      <c r="OJL146" s="27"/>
      <c r="OJM146" s="27"/>
      <c r="OJN146" s="27"/>
      <c r="OJO146" s="27"/>
      <c r="OJP146" s="27"/>
      <c r="OJQ146" s="27"/>
      <c r="OJR146" s="27"/>
      <c r="OJS146" s="27"/>
      <c r="OJT146" s="27"/>
      <c r="OJU146" s="27"/>
      <c r="OJV146" s="27"/>
      <c r="OJW146" s="27"/>
      <c r="OJX146" s="27"/>
      <c r="OJY146" s="27"/>
      <c r="OJZ146" s="27"/>
      <c r="OKA146" s="27"/>
      <c r="OKB146" s="27"/>
      <c r="OKC146" s="27"/>
      <c r="OKD146" s="27"/>
      <c r="OKE146" s="27"/>
      <c r="OKF146" s="27"/>
      <c r="OKG146" s="27"/>
      <c r="OKH146" s="27"/>
      <c r="OKI146" s="27"/>
      <c r="OKJ146" s="27"/>
      <c r="OKK146" s="27"/>
      <c r="OKL146" s="27"/>
      <c r="OKM146" s="27"/>
      <c r="OKN146" s="27"/>
      <c r="OKO146" s="27"/>
      <c r="OKP146" s="27"/>
      <c r="OKQ146" s="27"/>
      <c r="OKR146" s="27"/>
      <c r="OKS146" s="27"/>
      <c r="OKT146" s="27"/>
      <c r="OKU146" s="27"/>
      <c r="OKV146" s="27"/>
      <c r="OKW146" s="27"/>
      <c r="OKX146" s="27"/>
      <c r="OKY146" s="27"/>
      <c r="OKZ146" s="27"/>
      <c r="OLA146" s="27"/>
      <c r="OLB146" s="27"/>
      <c r="OLC146" s="27"/>
      <c r="OLD146" s="27"/>
      <c r="OLE146" s="27"/>
      <c r="OLF146" s="27"/>
      <c r="OLG146" s="27"/>
      <c r="OLH146" s="27"/>
      <c r="OLI146" s="27"/>
      <c r="OLJ146" s="27"/>
      <c r="OLK146" s="27"/>
      <c r="OLL146" s="27"/>
      <c r="OLM146" s="27"/>
      <c r="OLN146" s="27"/>
      <c r="OLO146" s="27"/>
      <c r="OLP146" s="27"/>
      <c r="OLQ146" s="27"/>
      <c r="OLR146" s="27"/>
      <c r="OLS146" s="27"/>
      <c r="OLT146" s="27"/>
      <c r="OLU146" s="27"/>
      <c r="OLV146" s="27"/>
      <c r="OLW146" s="27"/>
      <c r="OLX146" s="27"/>
      <c r="OLY146" s="27"/>
      <c r="OLZ146" s="27"/>
      <c r="OMA146" s="27"/>
      <c r="OMB146" s="27"/>
      <c r="OMC146" s="27"/>
      <c r="OMD146" s="27"/>
      <c r="OME146" s="27"/>
      <c r="OMF146" s="27"/>
      <c r="OMG146" s="27"/>
      <c r="OMH146" s="27"/>
      <c r="OMI146" s="27"/>
      <c r="OMJ146" s="27"/>
      <c r="OMK146" s="27"/>
      <c r="OML146" s="27"/>
      <c r="OMM146" s="27"/>
      <c r="OMN146" s="27"/>
      <c r="OMO146" s="27"/>
      <c r="OMP146" s="27"/>
      <c r="OMQ146" s="27"/>
      <c r="OMR146" s="27"/>
      <c r="OMS146" s="27"/>
      <c r="OMT146" s="27"/>
      <c r="OMU146" s="27"/>
      <c r="OMV146" s="27"/>
      <c r="OMW146" s="27"/>
      <c r="OMX146" s="27"/>
      <c r="OMY146" s="27"/>
      <c r="OMZ146" s="27"/>
      <c r="ONA146" s="27"/>
      <c r="ONB146" s="27"/>
      <c r="ONC146" s="27"/>
      <c r="OND146" s="27"/>
      <c r="ONE146" s="27"/>
      <c r="ONF146" s="27"/>
      <c r="ONG146" s="27"/>
      <c r="ONH146" s="27"/>
      <c r="ONI146" s="27"/>
      <c r="ONJ146" s="27"/>
      <c r="ONK146" s="27"/>
      <c r="ONL146" s="27"/>
      <c r="ONM146" s="27"/>
      <c r="ONN146" s="27"/>
      <c r="ONO146" s="27"/>
      <c r="ONP146" s="27"/>
      <c r="ONQ146" s="27"/>
      <c r="ONR146" s="27"/>
      <c r="ONS146" s="27"/>
      <c r="ONT146" s="27"/>
      <c r="ONU146" s="27"/>
      <c r="ONV146" s="27"/>
      <c r="ONW146" s="27"/>
      <c r="ONX146" s="27"/>
      <c r="ONY146" s="27"/>
      <c r="ONZ146" s="27"/>
      <c r="OOA146" s="27"/>
      <c r="OOB146" s="27"/>
      <c r="OOC146" s="27"/>
      <c r="OOD146" s="27"/>
      <c r="OOE146" s="27"/>
      <c r="OOF146" s="27"/>
      <c r="OOG146" s="27"/>
      <c r="OOH146" s="27"/>
      <c r="OOI146" s="27"/>
      <c r="OOJ146" s="27"/>
      <c r="OOK146" s="27"/>
      <c r="OOL146" s="27"/>
      <c r="OOM146" s="27"/>
      <c r="OON146" s="27"/>
      <c r="OOO146" s="27"/>
      <c r="OOP146" s="27"/>
      <c r="OOQ146" s="27"/>
      <c r="OOR146" s="27"/>
      <c r="OOS146" s="27"/>
      <c r="OOT146" s="27"/>
      <c r="OOU146" s="27"/>
      <c r="OOV146" s="27"/>
      <c r="OOW146" s="27"/>
      <c r="OOX146" s="27"/>
      <c r="OOY146" s="27"/>
      <c r="OOZ146" s="27"/>
      <c r="OPA146" s="27"/>
      <c r="OPB146" s="27"/>
      <c r="OPC146" s="27"/>
      <c r="OPD146" s="27"/>
      <c r="OPE146" s="27"/>
      <c r="OPF146" s="27"/>
      <c r="OPG146" s="27"/>
      <c r="OPH146" s="27"/>
      <c r="OPI146" s="27"/>
      <c r="OPJ146" s="27"/>
      <c r="OPK146" s="27"/>
      <c r="OPL146" s="27"/>
      <c r="OPM146" s="27"/>
      <c r="OPN146" s="27"/>
      <c r="OPO146" s="27"/>
      <c r="OPP146" s="27"/>
      <c r="OPQ146" s="27"/>
      <c r="OPR146" s="27"/>
      <c r="OPS146" s="27"/>
      <c r="OPT146" s="27"/>
      <c r="OPU146" s="27"/>
      <c r="OPV146" s="27"/>
      <c r="OPW146" s="27"/>
      <c r="OPX146" s="27"/>
      <c r="OPY146" s="27"/>
      <c r="OPZ146" s="27"/>
      <c r="OQA146" s="27"/>
      <c r="OQB146" s="27"/>
      <c r="OQC146" s="27"/>
      <c r="OQD146" s="27"/>
      <c r="OQE146" s="27"/>
      <c r="OQF146" s="27"/>
      <c r="OQG146" s="27"/>
      <c r="OQH146" s="27"/>
      <c r="OQI146" s="27"/>
      <c r="OQJ146" s="27"/>
      <c r="OQK146" s="27"/>
      <c r="OQL146" s="27"/>
      <c r="OQM146" s="27"/>
      <c r="OQN146" s="27"/>
      <c r="OQO146" s="27"/>
      <c r="OQP146" s="27"/>
      <c r="OQQ146" s="27"/>
      <c r="OQR146" s="27"/>
      <c r="OQS146" s="27"/>
      <c r="OQT146" s="27"/>
      <c r="OQU146" s="27"/>
      <c r="OQV146" s="27"/>
      <c r="OQW146" s="27"/>
      <c r="OQX146" s="27"/>
      <c r="OQY146" s="27"/>
      <c r="OQZ146" s="27"/>
      <c r="ORA146" s="27"/>
      <c r="ORB146" s="27"/>
      <c r="ORC146" s="27"/>
      <c r="ORD146" s="27"/>
      <c r="ORE146" s="27"/>
      <c r="ORF146" s="27"/>
      <c r="ORG146" s="27"/>
      <c r="ORH146" s="27"/>
      <c r="ORI146" s="27"/>
      <c r="ORJ146" s="27"/>
      <c r="ORK146" s="27"/>
      <c r="ORL146" s="27"/>
      <c r="ORM146" s="27"/>
      <c r="ORN146" s="27"/>
      <c r="ORO146" s="27"/>
      <c r="ORP146" s="27"/>
      <c r="ORQ146" s="27"/>
      <c r="ORR146" s="27"/>
      <c r="ORS146" s="27"/>
      <c r="ORT146" s="27"/>
      <c r="ORU146" s="27"/>
      <c r="ORV146" s="27"/>
      <c r="ORW146" s="27"/>
      <c r="ORX146" s="27"/>
      <c r="ORY146" s="27"/>
      <c r="ORZ146" s="27"/>
      <c r="OSA146" s="27"/>
      <c r="OSB146" s="27"/>
      <c r="OSC146" s="27"/>
      <c r="OSD146" s="27"/>
      <c r="OSE146" s="27"/>
      <c r="OSF146" s="27"/>
      <c r="OSG146" s="27"/>
      <c r="OSH146" s="27"/>
      <c r="OSI146" s="27"/>
      <c r="OSJ146" s="27"/>
      <c r="OSK146" s="27"/>
      <c r="OSL146" s="27"/>
      <c r="OSM146" s="27"/>
      <c r="OSN146" s="27"/>
      <c r="OSO146" s="27"/>
      <c r="OSP146" s="27"/>
      <c r="OSQ146" s="27"/>
      <c r="OSR146" s="27"/>
      <c r="OSS146" s="27"/>
      <c r="OST146" s="27"/>
      <c r="OSU146" s="27"/>
      <c r="OSV146" s="27"/>
      <c r="OSW146" s="27"/>
      <c r="OSX146" s="27"/>
      <c r="OSY146" s="27"/>
      <c r="OSZ146" s="27"/>
      <c r="OTA146" s="27"/>
      <c r="OTB146" s="27"/>
      <c r="OTC146" s="27"/>
      <c r="OTD146" s="27"/>
      <c r="OTE146" s="27"/>
      <c r="OTF146" s="27"/>
      <c r="OTG146" s="27"/>
      <c r="OTH146" s="27"/>
      <c r="OTI146" s="27"/>
      <c r="OTJ146" s="27"/>
      <c r="OTK146" s="27"/>
      <c r="OTL146" s="27"/>
      <c r="OTM146" s="27"/>
      <c r="OTN146" s="27"/>
      <c r="OTO146" s="27"/>
      <c r="OTP146" s="27"/>
      <c r="OTQ146" s="27"/>
      <c r="OTR146" s="27"/>
      <c r="OTS146" s="27"/>
      <c r="OTT146" s="27"/>
      <c r="OTU146" s="27"/>
      <c r="OTV146" s="27"/>
      <c r="OTW146" s="27"/>
      <c r="OTX146" s="27"/>
      <c r="OTY146" s="27"/>
      <c r="OTZ146" s="27"/>
      <c r="OUA146" s="27"/>
      <c r="OUB146" s="27"/>
      <c r="OUC146" s="27"/>
      <c r="OUD146" s="27"/>
      <c r="OUE146" s="27"/>
      <c r="OUF146" s="27"/>
      <c r="OUG146" s="27"/>
      <c r="OUH146" s="27"/>
      <c r="OUI146" s="27"/>
      <c r="OUJ146" s="27"/>
      <c r="OUK146" s="27"/>
      <c r="OUL146" s="27"/>
      <c r="OUM146" s="27"/>
      <c r="OUN146" s="27"/>
      <c r="OUO146" s="27"/>
      <c r="OUP146" s="27"/>
      <c r="OUQ146" s="27"/>
      <c r="OUR146" s="27"/>
      <c r="OUS146" s="27"/>
      <c r="OUT146" s="27"/>
      <c r="OUU146" s="27"/>
      <c r="OUV146" s="27"/>
      <c r="OUW146" s="27"/>
      <c r="OUX146" s="27"/>
      <c r="OUY146" s="27"/>
      <c r="OUZ146" s="27"/>
      <c r="OVA146" s="27"/>
      <c r="OVB146" s="27"/>
      <c r="OVC146" s="27"/>
      <c r="OVD146" s="27"/>
      <c r="OVE146" s="27"/>
      <c r="OVF146" s="27"/>
      <c r="OVG146" s="27"/>
      <c r="OVH146" s="27"/>
      <c r="OVI146" s="27"/>
      <c r="OVJ146" s="27"/>
      <c r="OVK146" s="27"/>
      <c r="OVL146" s="27"/>
      <c r="OVM146" s="27"/>
      <c r="OVN146" s="27"/>
      <c r="OVO146" s="27"/>
      <c r="OVP146" s="27"/>
      <c r="OVQ146" s="27"/>
      <c r="OVR146" s="27"/>
      <c r="OVS146" s="27"/>
      <c r="OVT146" s="27"/>
      <c r="OVU146" s="27"/>
      <c r="OVV146" s="27"/>
      <c r="OVW146" s="27"/>
      <c r="OVX146" s="27"/>
      <c r="OVY146" s="27"/>
      <c r="OVZ146" s="27"/>
      <c r="OWA146" s="27"/>
      <c r="OWB146" s="27"/>
      <c r="OWC146" s="27"/>
      <c r="OWD146" s="27"/>
      <c r="OWE146" s="27"/>
      <c r="OWF146" s="27"/>
      <c r="OWG146" s="27"/>
      <c r="OWH146" s="27"/>
      <c r="OWI146" s="27"/>
      <c r="OWJ146" s="27"/>
      <c r="OWK146" s="27"/>
      <c r="OWL146" s="27"/>
      <c r="OWM146" s="27"/>
      <c r="OWN146" s="27"/>
      <c r="OWO146" s="27"/>
      <c r="OWP146" s="27"/>
      <c r="OWQ146" s="27"/>
      <c r="OWR146" s="27"/>
      <c r="OWS146" s="27"/>
      <c r="OWT146" s="27"/>
      <c r="OWU146" s="27"/>
      <c r="OWV146" s="27"/>
      <c r="OWW146" s="27"/>
      <c r="OWX146" s="27"/>
      <c r="OWY146" s="27"/>
      <c r="OWZ146" s="27"/>
      <c r="OXA146" s="27"/>
      <c r="OXB146" s="27"/>
      <c r="OXC146" s="27"/>
      <c r="OXD146" s="27"/>
      <c r="OXE146" s="27"/>
      <c r="OXF146" s="27"/>
      <c r="OXG146" s="27"/>
      <c r="OXH146" s="27"/>
      <c r="OXI146" s="27"/>
      <c r="OXJ146" s="27"/>
      <c r="OXK146" s="27"/>
      <c r="OXL146" s="27"/>
      <c r="OXM146" s="27"/>
      <c r="OXN146" s="27"/>
      <c r="OXO146" s="27"/>
      <c r="OXP146" s="27"/>
      <c r="OXQ146" s="27"/>
      <c r="OXR146" s="27"/>
      <c r="OXS146" s="27"/>
      <c r="OXT146" s="27"/>
      <c r="OXU146" s="27"/>
      <c r="OXV146" s="27"/>
      <c r="OXW146" s="27"/>
      <c r="OXX146" s="27"/>
      <c r="OXY146" s="27"/>
      <c r="OXZ146" s="27"/>
      <c r="OYA146" s="27"/>
      <c r="OYB146" s="27"/>
      <c r="OYC146" s="27"/>
      <c r="OYD146" s="27"/>
      <c r="OYE146" s="27"/>
      <c r="OYF146" s="27"/>
      <c r="OYG146" s="27"/>
      <c r="OYH146" s="27"/>
      <c r="OYI146" s="27"/>
      <c r="OYJ146" s="27"/>
      <c r="OYK146" s="27"/>
      <c r="OYL146" s="27"/>
      <c r="OYM146" s="27"/>
      <c r="OYN146" s="27"/>
      <c r="OYO146" s="27"/>
      <c r="OYP146" s="27"/>
      <c r="OYQ146" s="27"/>
      <c r="OYR146" s="27"/>
      <c r="OYS146" s="27"/>
      <c r="OYT146" s="27"/>
      <c r="OYU146" s="27"/>
      <c r="OYV146" s="27"/>
      <c r="OYW146" s="27"/>
      <c r="OYX146" s="27"/>
      <c r="OYY146" s="27"/>
      <c r="OYZ146" s="27"/>
      <c r="OZA146" s="27"/>
      <c r="OZB146" s="27"/>
      <c r="OZC146" s="27"/>
      <c r="OZD146" s="27"/>
      <c r="OZE146" s="27"/>
      <c r="OZF146" s="27"/>
      <c r="OZG146" s="27"/>
      <c r="OZH146" s="27"/>
      <c r="OZI146" s="27"/>
      <c r="OZJ146" s="27"/>
      <c r="OZK146" s="27"/>
      <c r="OZL146" s="27"/>
      <c r="OZM146" s="27"/>
      <c r="OZN146" s="27"/>
      <c r="OZO146" s="27"/>
      <c r="OZP146" s="27"/>
      <c r="OZQ146" s="27"/>
      <c r="OZR146" s="27"/>
      <c r="OZS146" s="27"/>
      <c r="OZT146" s="27"/>
      <c r="OZU146" s="27"/>
      <c r="OZV146" s="27"/>
      <c r="OZW146" s="27"/>
      <c r="OZX146" s="27"/>
      <c r="OZY146" s="27"/>
      <c r="OZZ146" s="27"/>
      <c r="PAA146" s="27"/>
      <c r="PAB146" s="27"/>
      <c r="PAC146" s="27"/>
      <c r="PAD146" s="27"/>
      <c r="PAE146" s="27"/>
      <c r="PAF146" s="27"/>
      <c r="PAG146" s="27"/>
      <c r="PAH146" s="27"/>
      <c r="PAI146" s="27"/>
      <c r="PAJ146" s="27"/>
      <c r="PAK146" s="27"/>
      <c r="PAL146" s="27"/>
      <c r="PAM146" s="27"/>
      <c r="PAN146" s="27"/>
      <c r="PAO146" s="27"/>
      <c r="PAP146" s="27"/>
      <c r="PAQ146" s="27"/>
      <c r="PAR146" s="27"/>
      <c r="PAS146" s="27"/>
      <c r="PAT146" s="27"/>
      <c r="PAU146" s="27"/>
      <c r="PAV146" s="27"/>
      <c r="PAW146" s="27"/>
      <c r="PAX146" s="27"/>
      <c r="PAY146" s="27"/>
      <c r="PAZ146" s="27"/>
      <c r="PBA146" s="27"/>
      <c r="PBB146" s="27"/>
      <c r="PBC146" s="27"/>
      <c r="PBD146" s="27"/>
      <c r="PBE146" s="27"/>
      <c r="PBF146" s="27"/>
      <c r="PBG146" s="27"/>
      <c r="PBH146" s="27"/>
      <c r="PBI146" s="27"/>
      <c r="PBJ146" s="27"/>
      <c r="PBK146" s="27"/>
      <c r="PBL146" s="27"/>
      <c r="PBM146" s="27"/>
      <c r="PBN146" s="27"/>
      <c r="PBO146" s="27"/>
      <c r="PBP146" s="27"/>
      <c r="PBQ146" s="27"/>
      <c r="PBR146" s="27"/>
      <c r="PBS146" s="27"/>
      <c r="PBT146" s="27"/>
      <c r="PBU146" s="27"/>
      <c r="PBV146" s="27"/>
      <c r="PBW146" s="27"/>
      <c r="PBX146" s="27"/>
      <c r="PBY146" s="27"/>
      <c r="PBZ146" s="27"/>
      <c r="PCA146" s="27"/>
      <c r="PCB146" s="27"/>
      <c r="PCC146" s="27"/>
      <c r="PCD146" s="27"/>
      <c r="PCE146" s="27"/>
      <c r="PCF146" s="27"/>
      <c r="PCG146" s="27"/>
      <c r="PCH146" s="27"/>
      <c r="PCI146" s="27"/>
      <c r="PCJ146" s="27"/>
      <c r="PCK146" s="27"/>
      <c r="PCL146" s="27"/>
      <c r="PCM146" s="27"/>
      <c r="PCN146" s="27"/>
      <c r="PCO146" s="27"/>
      <c r="PCP146" s="27"/>
      <c r="PCQ146" s="27"/>
      <c r="PCR146" s="27"/>
      <c r="PCS146" s="27"/>
      <c r="PCT146" s="27"/>
      <c r="PCU146" s="27"/>
      <c r="PCV146" s="27"/>
      <c r="PCW146" s="27"/>
      <c r="PCX146" s="27"/>
      <c r="PCY146" s="27"/>
      <c r="PCZ146" s="27"/>
      <c r="PDA146" s="27"/>
      <c r="PDB146" s="27"/>
      <c r="PDC146" s="27"/>
      <c r="PDD146" s="27"/>
      <c r="PDE146" s="27"/>
      <c r="PDF146" s="27"/>
      <c r="PDG146" s="27"/>
      <c r="PDH146" s="27"/>
      <c r="PDI146" s="27"/>
      <c r="PDJ146" s="27"/>
      <c r="PDK146" s="27"/>
      <c r="PDL146" s="27"/>
      <c r="PDM146" s="27"/>
      <c r="PDN146" s="27"/>
      <c r="PDO146" s="27"/>
      <c r="PDP146" s="27"/>
      <c r="PDQ146" s="27"/>
      <c r="PDR146" s="27"/>
      <c r="PDS146" s="27"/>
      <c r="PDT146" s="27"/>
      <c r="PDU146" s="27"/>
      <c r="PDV146" s="27"/>
      <c r="PDW146" s="27"/>
      <c r="PDX146" s="27"/>
      <c r="PDY146" s="27"/>
      <c r="PDZ146" s="27"/>
      <c r="PEA146" s="27"/>
      <c r="PEB146" s="27"/>
      <c r="PEC146" s="27"/>
      <c r="PED146" s="27"/>
      <c r="PEE146" s="27"/>
      <c r="PEF146" s="27"/>
      <c r="PEG146" s="27"/>
      <c r="PEH146" s="27"/>
      <c r="PEI146" s="27"/>
      <c r="PEJ146" s="27"/>
      <c r="PEK146" s="27"/>
      <c r="PEL146" s="27"/>
      <c r="PEM146" s="27"/>
      <c r="PEN146" s="27"/>
      <c r="PEO146" s="27"/>
      <c r="PEP146" s="27"/>
      <c r="PEQ146" s="27"/>
      <c r="PER146" s="27"/>
      <c r="PES146" s="27"/>
      <c r="PET146" s="27"/>
      <c r="PEU146" s="27"/>
      <c r="PEV146" s="27"/>
      <c r="PEW146" s="27"/>
      <c r="PEX146" s="27"/>
      <c r="PEY146" s="27"/>
      <c r="PEZ146" s="27"/>
      <c r="PFA146" s="27"/>
      <c r="PFB146" s="27"/>
      <c r="PFC146" s="27"/>
      <c r="PFD146" s="27"/>
      <c r="PFE146" s="27"/>
      <c r="PFF146" s="27"/>
      <c r="PFG146" s="27"/>
      <c r="PFH146" s="27"/>
      <c r="PFI146" s="27"/>
      <c r="PFJ146" s="27"/>
      <c r="PFK146" s="27"/>
      <c r="PFL146" s="27"/>
      <c r="PFM146" s="27"/>
      <c r="PFN146" s="27"/>
      <c r="PFO146" s="27"/>
      <c r="PFP146" s="27"/>
      <c r="PFQ146" s="27"/>
      <c r="PFR146" s="27"/>
      <c r="PFS146" s="27"/>
      <c r="PFT146" s="27"/>
      <c r="PFU146" s="27"/>
      <c r="PFV146" s="27"/>
      <c r="PFW146" s="27"/>
      <c r="PFX146" s="27"/>
      <c r="PFY146" s="27"/>
      <c r="PFZ146" s="27"/>
      <c r="PGA146" s="27"/>
      <c r="PGB146" s="27"/>
      <c r="PGC146" s="27"/>
      <c r="PGD146" s="27"/>
      <c r="PGE146" s="27"/>
      <c r="PGF146" s="27"/>
      <c r="PGG146" s="27"/>
      <c r="PGH146" s="27"/>
      <c r="PGI146" s="27"/>
      <c r="PGJ146" s="27"/>
      <c r="PGK146" s="27"/>
      <c r="PGL146" s="27"/>
      <c r="PGM146" s="27"/>
      <c r="PGN146" s="27"/>
      <c r="PGO146" s="27"/>
      <c r="PGP146" s="27"/>
      <c r="PGQ146" s="27"/>
      <c r="PGR146" s="27"/>
      <c r="PGS146" s="27"/>
      <c r="PGT146" s="27"/>
      <c r="PGU146" s="27"/>
      <c r="PGV146" s="27"/>
      <c r="PGW146" s="27"/>
      <c r="PGX146" s="27"/>
      <c r="PGY146" s="27"/>
      <c r="PGZ146" s="27"/>
      <c r="PHA146" s="27"/>
      <c r="PHB146" s="27"/>
      <c r="PHC146" s="27"/>
      <c r="PHD146" s="27"/>
      <c r="PHE146" s="27"/>
      <c r="PHF146" s="27"/>
      <c r="PHG146" s="27"/>
      <c r="PHH146" s="27"/>
      <c r="PHI146" s="27"/>
      <c r="PHJ146" s="27"/>
      <c r="PHK146" s="27"/>
      <c r="PHL146" s="27"/>
      <c r="PHM146" s="27"/>
      <c r="PHN146" s="27"/>
      <c r="PHO146" s="27"/>
      <c r="PHP146" s="27"/>
      <c r="PHQ146" s="27"/>
      <c r="PHR146" s="27"/>
      <c r="PHS146" s="27"/>
      <c r="PHT146" s="27"/>
      <c r="PHU146" s="27"/>
      <c r="PHV146" s="27"/>
      <c r="PHW146" s="27"/>
      <c r="PHX146" s="27"/>
      <c r="PHY146" s="27"/>
      <c r="PHZ146" s="27"/>
      <c r="PIA146" s="27"/>
      <c r="PIB146" s="27"/>
      <c r="PIC146" s="27"/>
      <c r="PID146" s="27"/>
      <c r="PIE146" s="27"/>
      <c r="PIF146" s="27"/>
      <c r="PIG146" s="27"/>
      <c r="PIH146" s="27"/>
      <c r="PII146" s="27"/>
      <c r="PIJ146" s="27"/>
      <c r="PIK146" s="27"/>
      <c r="PIL146" s="27"/>
      <c r="PIM146" s="27"/>
      <c r="PIN146" s="27"/>
      <c r="PIO146" s="27"/>
      <c r="PIP146" s="27"/>
      <c r="PIQ146" s="27"/>
      <c r="PIR146" s="27"/>
      <c r="PIS146" s="27"/>
      <c r="PIT146" s="27"/>
      <c r="PIU146" s="27"/>
      <c r="PIV146" s="27"/>
      <c r="PIW146" s="27"/>
      <c r="PIX146" s="27"/>
      <c r="PIY146" s="27"/>
      <c r="PIZ146" s="27"/>
      <c r="PJA146" s="27"/>
      <c r="PJB146" s="27"/>
      <c r="PJC146" s="27"/>
      <c r="PJD146" s="27"/>
      <c r="PJE146" s="27"/>
      <c r="PJF146" s="27"/>
      <c r="PJG146" s="27"/>
      <c r="PJH146" s="27"/>
      <c r="PJI146" s="27"/>
      <c r="PJJ146" s="27"/>
      <c r="PJK146" s="27"/>
      <c r="PJL146" s="27"/>
      <c r="PJM146" s="27"/>
      <c r="PJN146" s="27"/>
      <c r="PJO146" s="27"/>
      <c r="PJP146" s="27"/>
      <c r="PJQ146" s="27"/>
      <c r="PJR146" s="27"/>
      <c r="PJS146" s="27"/>
      <c r="PJT146" s="27"/>
      <c r="PJU146" s="27"/>
      <c r="PJV146" s="27"/>
      <c r="PJW146" s="27"/>
      <c r="PJX146" s="27"/>
      <c r="PJY146" s="27"/>
      <c r="PJZ146" s="27"/>
      <c r="PKA146" s="27"/>
      <c r="PKB146" s="27"/>
      <c r="PKC146" s="27"/>
      <c r="PKD146" s="27"/>
      <c r="PKE146" s="27"/>
      <c r="PKF146" s="27"/>
      <c r="PKG146" s="27"/>
      <c r="PKH146" s="27"/>
      <c r="PKI146" s="27"/>
      <c r="PKJ146" s="27"/>
      <c r="PKK146" s="27"/>
      <c r="PKL146" s="27"/>
      <c r="PKM146" s="27"/>
      <c r="PKN146" s="27"/>
      <c r="PKO146" s="27"/>
      <c r="PKP146" s="27"/>
      <c r="PKQ146" s="27"/>
      <c r="PKR146" s="27"/>
      <c r="PKS146" s="27"/>
      <c r="PKT146" s="27"/>
      <c r="PKU146" s="27"/>
      <c r="PKV146" s="27"/>
      <c r="PKW146" s="27"/>
      <c r="PKX146" s="27"/>
      <c r="PKY146" s="27"/>
      <c r="PKZ146" s="27"/>
      <c r="PLA146" s="27"/>
      <c r="PLB146" s="27"/>
      <c r="PLC146" s="27"/>
      <c r="PLD146" s="27"/>
      <c r="PLE146" s="27"/>
      <c r="PLF146" s="27"/>
      <c r="PLG146" s="27"/>
      <c r="PLH146" s="27"/>
      <c r="PLI146" s="27"/>
      <c r="PLJ146" s="27"/>
      <c r="PLK146" s="27"/>
      <c r="PLL146" s="27"/>
      <c r="PLM146" s="27"/>
      <c r="PLN146" s="27"/>
      <c r="PLO146" s="27"/>
      <c r="PLP146" s="27"/>
      <c r="PLQ146" s="27"/>
      <c r="PLR146" s="27"/>
      <c r="PLS146" s="27"/>
      <c r="PLT146" s="27"/>
      <c r="PLU146" s="27"/>
      <c r="PLV146" s="27"/>
      <c r="PLW146" s="27"/>
      <c r="PLX146" s="27"/>
      <c r="PLY146" s="27"/>
      <c r="PLZ146" s="27"/>
      <c r="PMA146" s="27"/>
      <c r="PMB146" s="27"/>
      <c r="PMC146" s="27"/>
      <c r="PMD146" s="27"/>
      <c r="PME146" s="27"/>
      <c r="PMF146" s="27"/>
      <c r="PMG146" s="27"/>
      <c r="PMH146" s="27"/>
      <c r="PMI146" s="27"/>
      <c r="PMJ146" s="27"/>
      <c r="PMK146" s="27"/>
      <c r="PML146" s="27"/>
      <c r="PMM146" s="27"/>
      <c r="PMN146" s="27"/>
      <c r="PMO146" s="27"/>
      <c r="PMP146" s="27"/>
      <c r="PMQ146" s="27"/>
      <c r="PMR146" s="27"/>
      <c r="PMS146" s="27"/>
      <c r="PMT146" s="27"/>
      <c r="PMU146" s="27"/>
      <c r="PMV146" s="27"/>
      <c r="PMW146" s="27"/>
      <c r="PMX146" s="27"/>
      <c r="PMY146" s="27"/>
      <c r="PMZ146" s="27"/>
      <c r="PNA146" s="27"/>
      <c r="PNB146" s="27"/>
      <c r="PNC146" s="27"/>
      <c r="PND146" s="27"/>
      <c r="PNE146" s="27"/>
      <c r="PNF146" s="27"/>
      <c r="PNG146" s="27"/>
      <c r="PNH146" s="27"/>
      <c r="PNI146" s="27"/>
      <c r="PNJ146" s="27"/>
      <c r="PNK146" s="27"/>
      <c r="PNL146" s="27"/>
      <c r="PNM146" s="27"/>
      <c r="PNN146" s="27"/>
      <c r="PNO146" s="27"/>
      <c r="PNP146" s="27"/>
      <c r="PNQ146" s="27"/>
      <c r="PNR146" s="27"/>
      <c r="PNS146" s="27"/>
      <c r="PNT146" s="27"/>
      <c r="PNU146" s="27"/>
      <c r="PNV146" s="27"/>
      <c r="PNW146" s="27"/>
      <c r="PNX146" s="27"/>
      <c r="PNY146" s="27"/>
      <c r="PNZ146" s="27"/>
      <c r="POA146" s="27"/>
      <c r="POB146" s="27"/>
      <c r="POC146" s="27"/>
      <c r="POD146" s="27"/>
      <c r="POE146" s="27"/>
      <c r="POF146" s="27"/>
      <c r="POG146" s="27"/>
      <c r="POH146" s="27"/>
      <c r="POI146" s="27"/>
      <c r="POJ146" s="27"/>
      <c r="POK146" s="27"/>
      <c r="POL146" s="27"/>
      <c r="POM146" s="27"/>
      <c r="PON146" s="27"/>
      <c r="POO146" s="27"/>
      <c r="POP146" s="27"/>
      <c r="POQ146" s="27"/>
      <c r="POR146" s="27"/>
      <c r="POS146" s="27"/>
      <c r="POT146" s="27"/>
      <c r="POU146" s="27"/>
      <c r="POV146" s="27"/>
      <c r="POW146" s="27"/>
      <c r="POX146" s="27"/>
      <c r="POY146" s="27"/>
      <c r="POZ146" s="27"/>
      <c r="PPA146" s="27"/>
      <c r="PPB146" s="27"/>
      <c r="PPC146" s="27"/>
      <c r="PPD146" s="27"/>
      <c r="PPE146" s="27"/>
      <c r="PPF146" s="27"/>
      <c r="PPG146" s="27"/>
      <c r="PPH146" s="27"/>
      <c r="PPI146" s="27"/>
      <c r="PPJ146" s="27"/>
      <c r="PPK146" s="27"/>
      <c r="PPL146" s="27"/>
      <c r="PPM146" s="27"/>
      <c r="PPN146" s="27"/>
      <c r="PPO146" s="27"/>
      <c r="PPP146" s="27"/>
      <c r="PPQ146" s="27"/>
      <c r="PPR146" s="27"/>
      <c r="PPS146" s="27"/>
      <c r="PPT146" s="27"/>
      <c r="PPU146" s="27"/>
      <c r="PPV146" s="27"/>
      <c r="PPW146" s="27"/>
      <c r="PPX146" s="27"/>
      <c r="PPY146" s="27"/>
      <c r="PPZ146" s="27"/>
      <c r="PQA146" s="27"/>
      <c r="PQB146" s="27"/>
      <c r="PQC146" s="27"/>
      <c r="PQD146" s="27"/>
      <c r="PQE146" s="27"/>
      <c r="PQF146" s="27"/>
      <c r="PQG146" s="27"/>
      <c r="PQH146" s="27"/>
      <c r="PQI146" s="27"/>
      <c r="PQJ146" s="27"/>
      <c r="PQK146" s="27"/>
      <c r="PQL146" s="27"/>
      <c r="PQM146" s="27"/>
      <c r="PQN146" s="27"/>
      <c r="PQO146" s="27"/>
      <c r="PQP146" s="27"/>
      <c r="PQQ146" s="27"/>
      <c r="PQR146" s="27"/>
      <c r="PQS146" s="27"/>
      <c r="PQT146" s="27"/>
      <c r="PQU146" s="27"/>
      <c r="PQV146" s="27"/>
      <c r="PQW146" s="27"/>
      <c r="PQX146" s="27"/>
      <c r="PQY146" s="27"/>
      <c r="PQZ146" s="27"/>
      <c r="PRA146" s="27"/>
      <c r="PRB146" s="27"/>
      <c r="PRC146" s="27"/>
      <c r="PRD146" s="27"/>
      <c r="PRE146" s="27"/>
      <c r="PRF146" s="27"/>
      <c r="PRG146" s="27"/>
      <c r="PRH146" s="27"/>
      <c r="PRI146" s="27"/>
      <c r="PRJ146" s="27"/>
      <c r="PRK146" s="27"/>
      <c r="PRL146" s="27"/>
      <c r="PRM146" s="27"/>
      <c r="PRN146" s="27"/>
      <c r="PRO146" s="27"/>
      <c r="PRP146" s="27"/>
      <c r="PRQ146" s="27"/>
      <c r="PRR146" s="27"/>
      <c r="PRS146" s="27"/>
      <c r="PRT146" s="27"/>
      <c r="PRU146" s="27"/>
      <c r="PRV146" s="27"/>
      <c r="PRW146" s="27"/>
      <c r="PRX146" s="27"/>
      <c r="PRY146" s="27"/>
      <c r="PRZ146" s="27"/>
      <c r="PSA146" s="27"/>
      <c r="PSB146" s="27"/>
      <c r="PSC146" s="27"/>
      <c r="PSD146" s="27"/>
      <c r="PSE146" s="27"/>
      <c r="PSF146" s="27"/>
      <c r="PSG146" s="27"/>
      <c r="PSH146" s="27"/>
      <c r="PSI146" s="27"/>
      <c r="PSJ146" s="27"/>
      <c r="PSK146" s="27"/>
      <c r="PSL146" s="27"/>
      <c r="PSM146" s="27"/>
      <c r="PSN146" s="27"/>
      <c r="PSO146" s="27"/>
      <c r="PSP146" s="27"/>
      <c r="PSQ146" s="27"/>
      <c r="PSR146" s="27"/>
      <c r="PSS146" s="27"/>
      <c r="PST146" s="27"/>
      <c r="PSU146" s="27"/>
      <c r="PSV146" s="27"/>
      <c r="PSW146" s="27"/>
      <c r="PSX146" s="27"/>
      <c r="PSY146" s="27"/>
      <c r="PSZ146" s="27"/>
      <c r="PTA146" s="27"/>
      <c r="PTB146" s="27"/>
      <c r="PTC146" s="27"/>
      <c r="PTD146" s="27"/>
      <c r="PTE146" s="27"/>
      <c r="PTF146" s="27"/>
      <c r="PTG146" s="27"/>
      <c r="PTH146" s="27"/>
      <c r="PTI146" s="27"/>
      <c r="PTJ146" s="27"/>
      <c r="PTK146" s="27"/>
      <c r="PTL146" s="27"/>
      <c r="PTM146" s="27"/>
      <c r="PTN146" s="27"/>
      <c r="PTO146" s="27"/>
      <c r="PTP146" s="27"/>
      <c r="PTQ146" s="27"/>
      <c r="PTR146" s="27"/>
      <c r="PTS146" s="27"/>
      <c r="PTT146" s="27"/>
      <c r="PTU146" s="27"/>
      <c r="PTV146" s="27"/>
      <c r="PTW146" s="27"/>
      <c r="PTX146" s="27"/>
      <c r="PTY146" s="27"/>
      <c r="PTZ146" s="27"/>
      <c r="PUA146" s="27"/>
      <c r="PUB146" s="27"/>
      <c r="PUC146" s="27"/>
      <c r="PUD146" s="27"/>
      <c r="PUE146" s="27"/>
      <c r="PUF146" s="27"/>
      <c r="PUG146" s="27"/>
      <c r="PUH146" s="27"/>
      <c r="PUI146" s="27"/>
      <c r="PUJ146" s="27"/>
      <c r="PUK146" s="27"/>
      <c r="PUL146" s="27"/>
      <c r="PUM146" s="27"/>
      <c r="PUN146" s="27"/>
      <c r="PUO146" s="27"/>
      <c r="PUP146" s="27"/>
      <c r="PUQ146" s="27"/>
      <c r="PUR146" s="27"/>
      <c r="PUS146" s="27"/>
      <c r="PUT146" s="27"/>
      <c r="PUU146" s="27"/>
      <c r="PUV146" s="27"/>
      <c r="PUW146" s="27"/>
      <c r="PUX146" s="27"/>
      <c r="PUY146" s="27"/>
      <c r="PUZ146" s="27"/>
      <c r="PVA146" s="27"/>
      <c r="PVB146" s="27"/>
      <c r="PVC146" s="27"/>
      <c r="PVD146" s="27"/>
      <c r="PVE146" s="27"/>
      <c r="PVF146" s="27"/>
      <c r="PVG146" s="27"/>
      <c r="PVH146" s="27"/>
      <c r="PVI146" s="27"/>
      <c r="PVJ146" s="27"/>
      <c r="PVK146" s="27"/>
      <c r="PVL146" s="27"/>
      <c r="PVM146" s="27"/>
      <c r="PVN146" s="27"/>
      <c r="PVO146" s="27"/>
      <c r="PVP146" s="27"/>
      <c r="PVQ146" s="27"/>
      <c r="PVR146" s="27"/>
      <c r="PVS146" s="27"/>
      <c r="PVT146" s="27"/>
      <c r="PVU146" s="27"/>
      <c r="PVV146" s="27"/>
      <c r="PVW146" s="27"/>
      <c r="PVX146" s="27"/>
      <c r="PVY146" s="27"/>
      <c r="PVZ146" s="27"/>
      <c r="PWA146" s="27"/>
      <c r="PWB146" s="27"/>
      <c r="PWC146" s="27"/>
      <c r="PWD146" s="27"/>
      <c r="PWE146" s="27"/>
      <c r="PWF146" s="27"/>
      <c r="PWG146" s="27"/>
      <c r="PWH146" s="27"/>
      <c r="PWI146" s="27"/>
      <c r="PWJ146" s="27"/>
      <c r="PWK146" s="27"/>
      <c r="PWL146" s="27"/>
      <c r="PWM146" s="27"/>
      <c r="PWN146" s="27"/>
      <c r="PWO146" s="27"/>
      <c r="PWP146" s="27"/>
      <c r="PWQ146" s="27"/>
      <c r="PWR146" s="27"/>
      <c r="PWS146" s="27"/>
      <c r="PWT146" s="27"/>
      <c r="PWU146" s="27"/>
      <c r="PWV146" s="27"/>
      <c r="PWW146" s="27"/>
      <c r="PWX146" s="27"/>
      <c r="PWY146" s="27"/>
      <c r="PWZ146" s="27"/>
      <c r="PXA146" s="27"/>
      <c r="PXB146" s="27"/>
      <c r="PXC146" s="27"/>
      <c r="PXD146" s="27"/>
      <c r="PXE146" s="27"/>
      <c r="PXF146" s="27"/>
      <c r="PXG146" s="27"/>
      <c r="PXH146" s="27"/>
      <c r="PXI146" s="27"/>
      <c r="PXJ146" s="27"/>
      <c r="PXK146" s="27"/>
      <c r="PXL146" s="27"/>
      <c r="PXM146" s="27"/>
      <c r="PXN146" s="27"/>
      <c r="PXO146" s="27"/>
      <c r="PXP146" s="27"/>
      <c r="PXQ146" s="27"/>
      <c r="PXR146" s="27"/>
      <c r="PXS146" s="27"/>
      <c r="PXT146" s="27"/>
      <c r="PXU146" s="27"/>
      <c r="PXV146" s="27"/>
      <c r="PXW146" s="27"/>
      <c r="PXX146" s="27"/>
      <c r="PXY146" s="27"/>
      <c r="PXZ146" s="27"/>
      <c r="PYA146" s="27"/>
      <c r="PYB146" s="27"/>
      <c r="PYC146" s="27"/>
      <c r="PYD146" s="27"/>
      <c r="PYE146" s="27"/>
      <c r="PYF146" s="27"/>
      <c r="PYG146" s="27"/>
      <c r="PYH146" s="27"/>
      <c r="PYI146" s="27"/>
      <c r="PYJ146" s="27"/>
      <c r="PYK146" s="27"/>
      <c r="PYL146" s="27"/>
      <c r="PYM146" s="27"/>
      <c r="PYN146" s="27"/>
      <c r="PYO146" s="27"/>
      <c r="PYP146" s="27"/>
      <c r="PYQ146" s="27"/>
      <c r="PYR146" s="27"/>
      <c r="PYS146" s="27"/>
      <c r="PYT146" s="27"/>
      <c r="PYU146" s="27"/>
      <c r="PYV146" s="27"/>
      <c r="PYW146" s="27"/>
      <c r="PYX146" s="27"/>
      <c r="PYY146" s="27"/>
      <c r="PYZ146" s="27"/>
      <c r="PZA146" s="27"/>
      <c r="PZB146" s="27"/>
      <c r="PZC146" s="27"/>
      <c r="PZD146" s="27"/>
      <c r="PZE146" s="27"/>
      <c r="PZF146" s="27"/>
      <c r="PZG146" s="27"/>
      <c r="PZH146" s="27"/>
      <c r="PZI146" s="27"/>
      <c r="PZJ146" s="27"/>
      <c r="PZK146" s="27"/>
      <c r="PZL146" s="27"/>
      <c r="PZM146" s="27"/>
      <c r="PZN146" s="27"/>
      <c r="PZO146" s="27"/>
      <c r="PZP146" s="27"/>
      <c r="PZQ146" s="27"/>
      <c r="PZR146" s="27"/>
      <c r="PZS146" s="27"/>
      <c r="PZT146" s="27"/>
      <c r="PZU146" s="27"/>
      <c r="PZV146" s="27"/>
      <c r="PZW146" s="27"/>
      <c r="PZX146" s="27"/>
      <c r="PZY146" s="27"/>
      <c r="PZZ146" s="27"/>
      <c r="QAA146" s="27"/>
      <c r="QAB146" s="27"/>
      <c r="QAC146" s="27"/>
      <c r="QAD146" s="27"/>
      <c r="QAE146" s="27"/>
      <c r="QAF146" s="27"/>
      <c r="QAG146" s="27"/>
      <c r="QAH146" s="27"/>
      <c r="QAI146" s="27"/>
      <c r="QAJ146" s="27"/>
      <c r="QAK146" s="27"/>
      <c r="QAL146" s="27"/>
      <c r="QAM146" s="27"/>
      <c r="QAN146" s="27"/>
      <c r="QAO146" s="27"/>
      <c r="QAP146" s="27"/>
      <c r="QAQ146" s="27"/>
      <c r="QAR146" s="27"/>
      <c r="QAS146" s="27"/>
      <c r="QAT146" s="27"/>
      <c r="QAU146" s="27"/>
      <c r="QAV146" s="27"/>
      <c r="QAW146" s="27"/>
      <c r="QAX146" s="27"/>
      <c r="QAY146" s="27"/>
      <c r="QAZ146" s="27"/>
      <c r="QBA146" s="27"/>
      <c r="QBB146" s="27"/>
      <c r="QBC146" s="27"/>
      <c r="QBD146" s="27"/>
      <c r="QBE146" s="27"/>
      <c r="QBF146" s="27"/>
      <c r="QBG146" s="27"/>
      <c r="QBH146" s="27"/>
      <c r="QBI146" s="27"/>
      <c r="QBJ146" s="27"/>
      <c r="QBK146" s="27"/>
      <c r="QBL146" s="27"/>
      <c r="QBM146" s="27"/>
      <c r="QBN146" s="27"/>
      <c r="QBO146" s="27"/>
      <c r="QBP146" s="27"/>
      <c r="QBQ146" s="27"/>
      <c r="QBR146" s="27"/>
      <c r="QBS146" s="27"/>
      <c r="QBT146" s="27"/>
      <c r="QBU146" s="27"/>
      <c r="QBV146" s="27"/>
      <c r="QBW146" s="27"/>
      <c r="QBX146" s="27"/>
      <c r="QBY146" s="27"/>
      <c r="QBZ146" s="27"/>
      <c r="QCA146" s="27"/>
      <c r="QCB146" s="27"/>
      <c r="QCC146" s="27"/>
      <c r="QCD146" s="27"/>
      <c r="QCE146" s="27"/>
      <c r="QCF146" s="27"/>
      <c r="QCG146" s="27"/>
      <c r="QCH146" s="27"/>
      <c r="QCI146" s="27"/>
      <c r="QCJ146" s="27"/>
      <c r="QCK146" s="27"/>
      <c r="QCL146" s="27"/>
      <c r="QCM146" s="27"/>
      <c r="QCN146" s="27"/>
      <c r="QCO146" s="27"/>
      <c r="QCP146" s="27"/>
      <c r="QCQ146" s="27"/>
      <c r="QCR146" s="27"/>
      <c r="QCS146" s="27"/>
      <c r="QCT146" s="27"/>
      <c r="QCU146" s="27"/>
      <c r="QCV146" s="27"/>
      <c r="QCW146" s="27"/>
      <c r="QCX146" s="27"/>
      <c r="QCY146" s="27"/>
      <c r="QCZ146" s="27"/>
      <c r="QDA146" s="27"/>
      <c r="QDB146" s="27"/>
      <c r="QDC146" s="27"/>
      <c r="QDD146" s="27"/>
      <c r="QDE146" s="27"/>
      <c r="QDF146" s="27"/>
      <c r="QDG146" s="27"/>
      <c r="QDH146" s="27"/>
      <c r="QDI146" s="27"/>
      <c r="QDJ146" s="27"/>
      <c r="QDK146" s="27"/>
      <c r="QDL146" s="27"/>
      <c r="QDM146" s="27"/>
      <c r="QDN146" s="27"/>
      <c r="QDO146" s="27"/>
      <c r="QDP146" s="27"/>
      <c r="QDQ146" s="27"/>
      <c r="QDR146" s="27"/>
      <c r="QDS146" s="27"/>
      <c r="QDT146" s="27"/>
      <c r="QDU146" s="27"/>
      <c r="QDV146" s="27"/>
      <c r="QDW146" s="27"/>
      <c r="QDX146" s="27"/>
      <c r="QDY146" s="27"/>
      <c r="QDZ146" s="27"/>
      <c r="QEA146" s="27"/>
      <c r="QEB146" s="27"/>
      <c r="QEC146" s="27"/>
      <c r="QED146" s="27"/>
      <c r="QEE146" s="27"/>
      <c r="QEF146" s="27"/>
      <c r="QEG146" s="27"/>
      <c r="QEH146" s="27"/>
      <c r="QEI146" s="27"/>
      <c r="QEJ146" s="27"/>
      <c r="QEK146" s="27"/>
      <c r="QEL146" s="27"/>
      <c r="QEM146" s="27"/>
      <c r="QEN146" s="27"/>
      <c r="QEO146" s="27"/>
      <c r="QEP146" s="27"/>
      <c r="QEQ146" s="27"/>
      <c r="QER146" s="27"/>
      <c r="QES146" s="27"/>
      <c r="QET146" s="27"/>
      <c r="QEU146" s="27"/>
      <c r="QEV146" s="27"/>
      <c r="QEW146" s="27"/>
      <c r="QEX146" s="27"/>
      <c r="QEY146" s="27"/>
      <c r="QEZ146" s="27"/>
      <c r="QFA146" s="27"/>
      <c r="QFB146" s="27"/>
      <c r="QFC146" s="27"/>
      <c r="QFD146" s="27"/>
      <c r="QFE146" s="27"/>
      <c r="QFF146" s="27"/>
      <c r="QFG146" s="27"/>
      <c r="QFH146" s="27"/>
      <c r="QFI146" s="27"/>
      <c r="QFJ146" s="27"/>
      <c r="QFK146" s="27"/>
      <c r="QFL146" s="27"/>
      <c r="QFM146" s="27"/>
      <c r="QFN146" s="27"/>
      <c r="QFO146" s="27"/>
      <c r="QFP146" s="27"/>
      <c r="QFQ146" s="27"/>
      <c r="QFR146" s="27"/>
      <c r="QFS146" s="27"/>
      <c r="QFT146" s="27"/>
      <c r="QFU146" s="27"/>
      <c r="QFV146" s="27"/>
      <c r="QFW146" s="27"/>
      <c r="QFX146" s="27"/>
      <c r="QFY146" s="27"/>
      <c r="QFZ146" s="27"/>
      <c r="QGA146" s="27"/>
      <c r="QGB146" s="27"/>
      <c r="QGC146" s="27"/>
      <c r="QGD146" s="27"/>
      <c r="QGE146" s="27"/>
      <c r="QGF146" s="27"/>
      <c r="QGG146" s="27"/>
      <c r="QGH146" s="27"/>
      <c r="QGI146" s="27"/>
      <c r="QGJ146" s="27"/>
      <c r="QGK146" s="27"/>
      <c r="QGL146" s="27"/>
      <c r="QGM146" s="27"/>
      <c r="QGN146" s="27"/>
      <c r="QGO146" s="27"/>
      <c r="QGP146" s="27"/>
      <c r="QGQ146" s="27"/>
      <c r="QGR146" s="27"/>
      <c r="QGS146" s="27"/>
      <c r="QGT146" s="27"/>
      <c r="QGU146" s="27"/>
      <c r="QGV146" s="27"/>
      <c r="QGW146" s="27"/>
      <c r="QGX146" s="27"/>
      <c r="QGY146" s="27"/>
      <c r="QGZ146" s="27"/>
      <c r="QHA146" s="27"/>
      <c r="QHB146" s="27"/>
      <c r="QHC146" s="27"/>
      <c r="QHD146" s="27"/>
      <c r="QHE146" s="27"/>
      <c r="QHF146" s="27"/>
      <c r="QHG146" s="27"/>
      <c r="QHH146" s="27"/>
      <c r="QHI146" s="27"/>
      <c r="QHJ146" s="27"/>
      <c r="QHK146" s="27"/>
      <c r="QHL146" s="27"/>
      <c r="QHM146" s="27"/>
      <c r="QHN146" s="27"/>
      <c r="QHO146" s="27"/>
      <c r="QHP146" s="27"/>
      <c r="QHQ146" s="27"/>
      <c r="QHR146" s="27"/>
      <c r="QHS146" s="27"/>
      <c r="QHT146" s="27"/>
      <c r="QHU146" s="27"/>
      <c r="QHV146" s="27"/>
      <c r="QHW146" s="27"/>
      <c r="QHX146" s="27"/>
      <c r="QHY146" s="27"/>
      <c r="QHZ146" s="27"/>
      <c r="QIA146" s="27"/>
      <c r="QIB146" s="27"/>
      <c r="QIC146" s="27"/>
      <c r="QID146" s="27"/>
      <c r="QIE146" s="27"/>
      <c r="QIF146" s="27"/>
      <c r="QIG146" s="27"/>
      <c r="QIH146" s="27"/>
      <c r="QII146" s="27"/>
      <c r="QIJ146" s="27"/>
      <c r="QIK146" s="27"/>
      <c r="QIL146" s="27"/>
      <c r="QIM146" s="27"/>
      <c r="QIN146" s="27"/>
      <c r="QIO146" s="27"/>
      <c r="QIP146" s="27"/>
      <c r="QIQ146" s="27"/>
      <c r="QIR146" s="27"/>
      <c r="QIS146" s="27"/>
      <c r="QIT146" s="27"/>
      <c r="QIU146" s="27"/>
      <c r="QIV146" s="27"/>
      <c r="QIW146" s="27"/>
      <c r="QIX146" s="27"/>
      <c r="QIY146" s="27"/>
      <c r="QIZ146" s="27"/>
      <c r="QJA146" s="27"/>
      <c r="QJB146" s="27"/>
      <c r="QJC146" s="27"/>
      <c r="QJD146" s="27"/>
      <c r="QJE146" s="27"/>
      <c r="QJF146" s="27"/>
      <c r="QJG146" s="27"/>
      <c r="QJH146" s="27"/>
      <c r="QJI146" s="27"/>
      <c r="QJJ146" s="27"/>
      <c r="QJK146" s="27"/>
      <c r="QJL146" s="27"/>
      <c r="QJM146" s="27"/>
      <c r="QJN146" s="27"/>
      <c r="QJO146" s="27"/>
      <c r="QJP146" s="27"/>
      <c r="QJQ146" s="27"/>
      <c r="QJR146" s="27"/>
      <c r="QJS146" s="27"/>
      <c r="QJT146" s="27"/>
      <c r="QJU146" s="27"/>
      <c r="QJV146" s="27"/>
      <c r="QJW146" s="27"/>
      <c r="QJX146" s="27"/>
      <c r="QJY146" s="27"/>
      <c r="QJZ146" s="27"/>
      <c r="QKA146" s="27"/>
      <c r="QKB146" s="27"/>
      <c r="QKC146" s="27"/>
      <c r="QKD146" s="27"/>
      <c r="QKE146" s="27"/>
      <c r="QKF146" s="27"/>
      <c r="QKG146" s="27"/>
      <c r="QKH146" s="27"/>
      <c r="QKI146" s="27"/>
      <c r="QKJ146" s="27"/>
      <c r="QKK146" s="27"/>
      <c r="QKL146" s="27"/>
      <c r="QKM146" s="27"/>
      <c r="QKN146" s="27"/>
      <c r="QKO146" s="27"/>
      <c r="QKP146" s="27"/>
      <c r="QKQ146" s="27"/>
      <c r="QKR146" s="27"/>
      <c r="QKS146" s="27"/>
      <c r="QKT146" s="27"/>
      <c r="QKU146" s="27"/>
      <c r="QKV146" s="27"/>
      <c r="QKW146" s="27"/>
      <c r="QKX146" s="27"/>
      <c r="QKY146" s="27"/>
      <c r="QKZ146" s="27"/>
      <c r="QLA146" s="27"/>
      <c r="QLB146" s="27"/>
      <c r="QLC146" s="27"/>
      <c r="QLD146" s="27"/>
      <c r="QLE146" s="27"/>
      <c r="QLF146" s="27"/>
      <c r="QLG146" s="27"/>
      <c r="QLH146" s="27"/>
      <c r="QLI146" s="27"/>
      <c r="QLJ146" s="27"/>
      <c r="QLK146" s="27"/>
      <c r="QLL146" s="27"/>
      <c r="QLM146" s="27"/>
      <c r="QLN146" s="27"/>
      <c r="QLO146" s="27"/>
      <c r="QLP146" s="27"/>
      <c r="QLQ146" s="27"/>
      <c r="QLR146" s="27"/>
      <c r="QLS146" s="27"/>
      <c r="QLT146" s="27"/>
      <c r="QLU146" s="27"/>
      <c r="QLV146" s="27"/>
      <c r="QLW146" s="27"/>
      <c r="QLX146" s="27"/>
      <c r="QLY146" s="27"/>
      <c r="QLZ146" s="27"/>
      <c r="QMA146" s="27"/>
      <c r="QMB146" s="27"/>
      <c r="QMC146" s="27"/>
      <c r="QMD146" s="27"/>
      <c r="QME146" s="27"/>
      <c r="QMF146" s="27"/>
      <c r="QMG146" s="27"/>
      <c r="QMH146" s="27"/>
      <c r="QMI146" s="27"/>
      <c r="QMJ146" s="27"/>
      <c r="QMK146" s="27"/>
      <c r="QML146" s="27"/>
      <c r="QMM146" s="27"/>
      <c r="QMN146" s="27"/>
      <c r="QMO146" s="27"/>
      <c r="QMP146" s="27"/>
      <c r="QMQ146" s="27"/>
      <c r="QMR146" s="27"/>
      <c r="QMS146" s="27"/>
      <c r="QMT146" s="27"/>
      <c r="QMU146" s="27"/>
      <c r="QMV146" s="27"/>
      <c r="QMW146" s="27"/>
      <c r="QMX146" s="27"/>
      <c r="QMY146" s="27"/>
      <c r="QMZ146" s="27"/>
      <c r="QNA146" s="27"/>
      <c r="QNB146" s="27"/>
      <c r="QNC146" s="27"/>
      <c r="QND146" s="27"/>
      <c r="QNE146" s="27"/>
      <c r="QNF146" s="27"/>
      <c r="QNG146" s="27"/>
      <c r="QNH146" s="27"/>
      <c r="QNI146" s="27"/>
      <c r="QNJ146" s="27"/>
      <c r="QNK146" s="27"/>
      <c r="QNL146" s="27"/>
      <c r="QNM146" s="27"/>
      <c r="QNN146" s="27"/>
      <c r="QNO146" s="27"/>
      <c r="QNP146" s="27"/>
      <c r="QNQ146" s="27"/>
      <c r="QNR146" s="27"/>
      <c r="QNS146" s="27"/>
      <c r="QNT146" s="27"/>
      <c r="QNU146" s="27"/>
      <c r="QNV146" s="27"/>
      <c r="QNW146" s="27"/>
      <c r="QNX146" s="27"/>
      <c r="QNY146" s="27"/>
      <c r="QNZ146" s="27"/>
      <c r="QOA146" s="27"/>
      <c r="QOB146" s="27"/>
      <c r="QOC146" s="27"/>
      <c r="QOD146" s="27"/>
      <c r="QOE146" s="27"/>
      <c r="QOF146" s="27"/>
      <c r="QOG146" s="27"/>
      <c r="QOH146" s="27"/>
      <c r="QOI146" s="27"/>
      <c r="QOJ146" s="27"/>
      <c r="QOK146" s="27"/>
      <c r="QOL146" s="27"/>
      <c r="QOM146" s="27"/>
      <c r="QON146" s="27"/>
      <c r="QOO146" s="27"/>
      <c r="QOP146" s="27"/>
      <c r="QOQ146" s="27"/>
      <c r="QOR146" s="27"/>
      <c r="QOS146" s="27"/>
      <c r="QOT146" s="27"/>
      <c r="QOU146" s="27"/>
      <c r="QOV146" s="27"/>
      <c r="QOW146" s="27"/>
      <c r="QOX146" s="27"/>
      <c r="QOY146" s="27"/>
      <c r="QOZ146" s="27"/>
      <c r="QPA146" s="27"/>
      <c r="QPB146" s="27"/>
      <c r="QPC146" s="27"/>
      <c r="QPD146" s="27"/>
      <c r="QPE146" s="27"/>
      <c r="QPF146" s="27"/>
      <c r="QPG146" s="27"/>
      <c r="QPH146" s="27"/>
      <c r="QPI146" s="27"/>
      <c r="QPJ146" s="27"/>
      <c r="QPK146" s="27"/>
      <c r="QPL146" s="27"/>
      <c r="QPM146" s="27"/>
      <c r="QPN146" s="27"/>
      <c r="QPO146" s="27"/>
      <c r="QPP146" s="27"/>
      <c r="QPQ146" s="27"/>
      <c r="QPR146" s="27"/>
      <c r="QPS146" s="27"/>
      <c r="QPT146" s="27"/>
      <c r="QPU146" s="27"/>
      <c r="QPV146" s="27"/>
      <c r="QPW146" s="27"/>
      <c r="QPX146" s="27"/>
      <c r="QPY146" s="27"/>
      <c r="QPZ146" s="27"/>
      <c r="QQA146" s="27"/>
      <c r="QQB146" s="27"/>
      <c r="QQC146" s="27"/>
      <c r="QQD146" s="27"/>
      <c r="QQE146" s="27"/>
      <c r="QQF146" s="27"/>
      <c r="QQG146" s="27"/>
      <c r="QQH146" s="27"/>
      <c r="QQI146" s="27"/>
      <c r="QQJ146" s="27"/>
      <c r="QQK146" s="27"/>
      <c r="QQL146" s="27"/>
      <c r="QQM146" s="27"/>
      <c r="QQN146" s="27"/>
      <c r="QQO146" s="27"/>
      <c r="QQP146" s="27"/>
      <c r="QQQ146" s="27"/>
      <c r="QQR146" s="27"/>
      <c r="QQS146" s="27"/>
      <c r="QQT146" s="27"/>
      <c r="QQU146" s="27"/>
      <c r="QQV146" s="27"/>
      <c r="QQW146" s="27"/>
      <c r="QQX146" s="27"/>
      <c r="QQY146" s="27"/>
      <c r="QQZ146" s="27"/>
      <c r="QRA146" s="27"/>
      <c r="QRB146" s="27"/>
      <c r="QRC146" s="27"/>
      <c r="QRD146" s="27"/>
      <c r="QRE146" s="27"/>
      <c r="QRF146" s="27"/>
      <c r="QRG146" s="27"/>
      <c r="QRH146" s="27"/>
      <c r="QRI146" s="27"/>
      <c r="QRJ146" s="27"/>
      <c r="QRK146" s="27"/>
      <c r="QRL146" s="27"/>
      <c r="QRM146" s="27"/>
      <c r="QRN146" s="27"/>
      <c r="QRO146" s="27"/>
      <c r="QRP146" s="27"/>
      <c r="QRQ146" s="27"/>
      <c r="QRR146" s="27"/>
      <c r="QRS146" s="27"/>
      <c r="QRT146" s="27"/>
      <c r="QRU146" s="27"/>
      <c r="QRV146" s="27"/>
      <c r="QRW146" s="27"/>
      <c r="QRX146" s="27"/>
      <c r="QRY146" s="27"/>
      <c r="QRZ146" s="27"/>
      <c r="QSA146" s="27"/>
      <c r="QSB146" s="27"/>
      <c r="QSC146" s="27"/>
      <c r="QSD146" s="27"/>
      <c r="QSE146" s="27"/>
      <c r="QSF146" s="27"/>
      <c r="QSG146" s="27"/>
      <c r="QSH146" s="27"/>
      <c r="QSI146" s="27"/>
      <c r="QSJ146" s="27"/>
      <c r="QSK146" s="27"/>
      <c r="QSL146" s="27"/>
      <c r="QSM146" s="27"/>
      <c r="QSN146" s="27"/>
      <c r="QSO146" s="27"/>
      <c r="QSP146" s="27"/>
      <c r="QSQ146" s="27"/>
      <c r="QSR146" s="27"/>
      <c r="QSS146" s="27"/>
      <c r="QST146" s="27"/>
      <c r="QSU146" s="27"/>
      <c r="QSV146" s="27"/>
      <c r="QSW146" s="27"/>
      <c r="QSX146" s="27"/>
      <c r="QSY146" s="27"/>
      <c r="QSZ146" s="27"/>
      <c r="QTA146" s="27"/>
      <c r="QTB146" s="27"/>
      <c r="QTC146" s="27"/>
      <c r="QTD146" s="27"/>
      <c r="QTE146" s="27"/>
      <c r="QTF146" s="27"/>
      <c r="QTG146" s="27"/>
      <c r="QTH146" s="27"/>
      <c r="QTI146" s="27"/>
      <c r="QTJ146" s="27"/>
      <c r="QTK146" s="27"/>
      <c r="QTL146" s="27"/>
      <c r="QTM146" s="27"/>
      <c r="QTN146" s="27"/>
      <c r="QTO146" s="27"/>
      <c r="QTP146" s="27"/>
      <c r="QTQ146" s="27"/>
      <c r="QTR146" s="27"/>
      <c r="QTS146" s="27"/>
      <c r="QTT146" s="27"/>
      <c r="QTU146" s="27"/>
      <c r="QTV146" s="27"/>
      <c r="QTW146" s="27"/>
      <c r="QTX146" s="27"/>
      <c r="QTY146" s="27"/>
      <c r="QTZ146" s="27"/>
      <c r="QUA146" s="27"/>
      <c r="QUB146" s="27"/>
      <c r="QUC146" s="27"/>
      <c r="QUD146" s="27"/>
      <c r="QUE146" s="27"/>
      <c r="QUF146" s="27"/>
      <c r="QUG146" s="27"/>
      <c r="QUH146" s="27"/>
      <c r="QUI146" s="27"/>
      <c r="QUJ146" s="27"/>
      <c r="QUK146" s="27"/>
      <c r="QUL146" s="27"/>
      <c r="QUM146" s="27"/>
      <c r="QUN146" s="27"/>
      <c r="QUO146" s="27"/>
      <c r="QUP146" s="27"/>
      <c r="QUQ146" s="27"/>
      <c r="QUR146" s="27"/>
      <c r="QUS146" s="27"/>
      <c r="QUT146" s="27"/>
      <c r="QUU146" s="27"/>
      <c r="QUV146" s="27"/>
      <c r="QUW146" s="27"/>
      <c r="QUX146" s="27"/>
      <c r="QUY146" s="27"/>
      <c r="QUZ146" s="27"/>
      <c r="QVA146" s="27"/>
      <c r="QVB146" s="27"/>
      <c r="QVC146" s="27"/>
      <c r="QVD146" s="27"/>
      <c r="QVE146" s="27"/>
      <c r="QVF146" s="27"/>
      <c r="QVG146" s="27"/>
      <c r="QVH146" s="27"/>
      <c r="QVI146" s="27"/>
      <c r="QVJ146" s="27"/>
      <c r="QVK146" s="27"/>
      <c r="QVL146" s="27"/>
      <c r="QVM146" s="27"/>
      <c r="QVN146" s="27"/>
      <c r="QVO146" s="27"/>
      <c r="QVP146" s="27"/>
      <c r="QVQ146" s="27"/>
      <c r="QVR146" s="27"/>
      <c r="QVS146" s="27"/>
      <c r="QVT146" s="27"/>
      <c r="QVU146" s="27"/>
      <c r="QVV146" s="27"/>
      <c r="QVW146" s="27"/>
      <c r="QVX146" s="27"/>
      <c r="QVY146" s="27"/>
      <c r="QVZ146" s="27"/>
      <c r="QWA146" s="27"/>
      <c r="QWB146" s="27"/>
      <c r="QWC146" s="27"/>
      <c r="QWD146" s="27"/>
      <c r="QWE146" s="27"/>
      <c r="QWF146" s="27"/>
      <c r="QWG146" s="27"/>
      <c r="QWH146" s="27"/>
      <c r="QWI146" s="27"/>
      <c r="QWJ146" s="27"/>
      <c r="QWK146" s="27"/>
      <c r="QWL146" s="27"/>
      <c r="QWM146" s="27"/>
      <c r="QWN146" s="27"/>
      <c r="QWO146" s="27"/>
      <c r="QWP146" s="27"/>
      <c r="QWQ146" s="27"/>
      <c r="QWR146" s="27"/>
      <c r="QWS146" s="27"/>
      <c r="QWT146" s="27"/>
      <c r="QWU146" s="27"/>
      <c r="QWV146" s="27"/>
      <c r="QWW146" s="27"/>
      <c r="QWX146" s="27"/>
      <c r="QWY146" s="27"/>
      <c r="QWZ146" s="27"/>
      <c r="QXA146" s="27"/>
      <c r="QXB146" s="27"/>
      <c r="QXC146" s="27"/>
      <c r="QXD146" s="27"/>
      <c r="QXE146" s="27"/>
      <c r="QXF146" s="27"/>
      <c r="QXG146" s="27"/>
      <c r="QXH146" s="27"/>
      <c r="QXI146" s="27"/>
      <c r="QXJ146" s="27"/>
      <c r="QXK146" s="27"/>
      <c r="QXL146" s="27"/>
      <c r="QXM146" s="27"/>
      <c r="QXN146" s="27"/>
      <c r="QXO146" s="27"/>
      <c r="QXP146" s="27"/>
      <c r="QXQ146" s="27"/>
      <c r="QXR146" s="27"/>
      <c r="QXS146" s="27"/>
      <c r="QXT146" s="27"/>
      <c r="QXU146" s="27"/>
      <c r="QXV146" s="27"/>
      <c r="QXW146" s="27"/>
      <c r="QXX146" s="27"/>
      <c r="QXY146" s="27"/>
      <c r="QXZ146" s="27"/>
      <c r="QYA146" s="27"/>
      <c r="QYB146" s="27"/>
      <c r="QYC146" s="27"/>
      <c r="QYD146" s="27"/>
      <c r="QYE146" s="27"/>
      <c r="QYF146" s="27"/>
      <c r="QYG146" s="27"/>
      <c r="QYH146" s="27"/>
      <c r="QYI146" s="27"/>
      <c r="QYJ146" s="27"/>
      <c r="QYK146" s="27"/>
      <c r="QYL146" s="27"/>
      <c r="QYM146" s="27"/>
      <c r="QYN146" s="27"/>
      <c r="QYO146" s="27"/>
      <c r="QYP146" s="27"/>
      <c r="QYQ146" s="27"/>
      <c r="QYR146" s="27"/>
      <c r="QYS146" s="27"/>
      <c r="QYT146" s="27"/>
      <c r="QYU146" s="27"/>
      <c r="QYV146" s="27"/>
      <c r="QYW146" s="27"/>
      <c r="QYX146" s="27"/>
      <c r="QYY146" s="27"/>
      <c r="QYZ146" s="27"/>
      <c r="QZA146" s="27"/>
      <c r="QZB146" s="27"/>
      <c r="QZC146" s="27"/>
      <c r="QZD146" s="27"/>
      <c r="QZE146" s="27"/>
      <c r="QZF146" s="27"/>
      <c r="QZG146" s="27"/>
      <c r="QZH146" s="27"/>
      <c r="QZI146" s="27"/>
      <c r="QZJ146" s="27"/>
      <c r="QZK146" s="27"/>
      <c r="QZL146" s="27"/>
      <c r="QZM146" s="27"/>
      <c r="QZN146" s="27"/>
      <c r="QZO146" s="27"/>
      <c r="QZP146" s="27"/>
      <c r="QZQ146" s="27"/>
      <c r="QZR146" s="27"/>
      <c r="QZS146" s="27"/>
      <c r="QZT146" s="27"/>
      <c r="QZU146" s="27"/>
      <c r="QZV146" s="27"/>
      <c r="QZW146" s="27"/>
      <c r="QZX146" s="27"/>
      <c r="QZY146" s="27"/>
      <c r="QZZ146" s="27"/>
      <c r="RAA146" s="27"/>
      <c r="RAB146" s="27"/>
      <c r="RAC146" s="27"/>
      <c r="RAD146" s="27"/>
      <c r="RAE146" s="27"/>
      <c r="RAF146" s="27"/>
      <c r="RAG146" s="27"/>
      <c r="RAH146" s="27"/>
      <c r="RAI146" s="27"/>
      <c r="RAJ146" s="27"/>
      <c r="RAK146" s="27"/>
      <c r="RAL146" s="27"/>
      <c r="RAM146" s="27"/>
      <c r="RAN146" s="27"/>
      <c r="RAO146" s="27"/>
      <c r="RAP146" s="27"/>
      <c r="RAQ146" s="27"/>
      <c r="RAR146" s="27"/>
      <c r="RAS146" s="27"/>
      <c r="RAT146" s="27"/>
      <c r="RAU146" s="27"/>
      <c r="RAV146" s="27"/>
      <c r="RAW146" s="27"/>
      <c r="RAX146" s="27"/>
      <c r="RAY146" s="27"/>
      <c r="RAZ146" s="27"/>
      <c r="RBA146" s="27"/>
      <c r="RBB146" s="27"/>
      <c r="RBC146" s="27"/>
      <c r="RBD146" s="27"/>
      <c r="RBE146" s="27"/>
      <c r="RBF146" s="27"/>
      <c r="RBG146" s="27"/>
      <c r="RBH146" s="27"/>
      <c r="RBI146" s="27"/>
      <c r="RBJ146" s="27"/>
      <c r="RBK146" s="27"/>
      <c r="RBL146" s="27"/>
      <c r="RBM146" s="27"/>
      <c r="RBN146" s="27"/>
      <c r="RBO146" s="27"/>
      <c r="RBP146" s="27"/>
      <c r="RBQ146" s="27"/>
      <c r="RBR146" s="27"/>
      <c r="RBS146" s="27"/>
      <c r="RBT146" s="27"/>
      <c r="RBU146" s="27"/>
      <c r="RBV146" s="27"/>
      <c r="RBW146" s="27"/>
      <c r="RBX146" s="27"/>
      <c r="RBY146" s="27"/>
      <c r="RBZ146" s="27"/>
      <c r="RCA146" s="27"/>
      <c r="RCB146" s="27"/>
      <c r="RCC146" s="27"/>
      <c r="RCD146" s="27"/>
      <c r="RCE146" s="27"/>
      <c r="RCF146" s="27"/>
      <c r="RCG146" s="27"/>
      <c r="RCH146" s="27"/>
      <c r="RCI146" s="27"/>
      <c r="RCJ146" s="27"/>
      <c r="RCK146" s="27"/>
      <c r="RCL146" s="27"/>
      <c r="RCM146" s="27"/>
      <c r="RCN146" s="27"/>
      <c r="RCO146" s="27"/>
      <c r="RCP146" s="27"/>
      <c r="RCQ146" s="27"/>
      <c r="RCR146" s="27"/>
      <c r="RCS146" s="27"/>
      <c r="RCT146" s="27"/>
      <c r="RCU146" s="27"/>
      <c r="RCV146" s="27"/>
      <c r="RCW146" s="27"/>
      <c r="RCX146" s="27"/>
      <c r="RCY146" s="27"/>
      <c r="RCZ146" s="27"/>
      <c r="RDA146" s="27"/>
      <c r="RDB146" s="27"/>
      <c r="RDC146" s="27"/>
      <c r="RDD146" s="27"/>
      <c r="RDE146" s="27"/>
      <c r="RDF146" s="27"/>
      <c r="RDG146" s="27"/>
      <c r="RDH146" s="27"/>
      <c r="RDI146" s="27"/>
      <c r="RDJ146" s="27"/>
      <c r="RDK146" s="27"/>
      <c r="RDL146" s="27"/>
      <c r="RDM146" s="27"/>
      <c r="RDN146" s="27"/>
      <c r="RDO146" s="27"/>
      <c r="RDP146" s="27"/>
      <c r="RDQ146" s="27"/>
      <c r="RDR146" s="27"/>
      <c r="RDS146" s="27"/>
      <c r="RDT146" s="27"/>
      <c r="RDU146" s="27"/>
      <c r="RDV146" s="27"/>
      <c r="RDW146" s="27"/>
      <c r="RDX146" s="27"/>
      <c r="RDY146" s="27"/>
      <c r="RDZ146" s="27"/>
      <c r="REA146" s="27"/>
      <c r="REB146" s="27"/>
      <c r="REC146" s="27"/>
      <c r="RED146" s="27"/>
      <c r="REE146" s="27"/>
      <c r="REF146" s="27"/>
      <c r="REG146" s="27"/>
      <c r="REH146" s="27"/>
      <c r="REI146" s="27"/>
      <c r="REJ146" s="27"/>
      <c r="REK146" s="27"/>
      <c r="REL146" s="27"/>
      <c r="REM146" s="27"/>
      <c r="REN146" s="27"/>
      <c r="REO146" s="27"/>
      <c r="REP146" s="27"/>
      <c r="REQ146" s="27"/>
      <c r="RER146" s="27"/>
      <c r="RES146" s="27"/>
      <c r="RET146" s="27"/>
      <c r="REU146" s="27"/>
      <c r="REV146" s="27"/>
      <c r="REW146" s="27"/>
      <c r="REX146" s="27"/>
      <c r="REY146" s="27"/>
      <c r="REZ146" s="27"/>
      <c r="RFA146" s="27"/>
      <c r="RFB146" s="27"/>
      <c r="RFC146" s="27"/>
      <c r="RFD146" s="27"/>
      <c r="RFE146" s="27"/>
      <c r="RFF146" s="27"/>
      <c r="RFG146" s="27"/>
      <c r="RFH146" s="27"/>
      <c r="RFI146" s="27"/>
      <c r="RFJ146" s="27"/>
      <c r="RFK146" s="27"/>
      <c r="RFL146" s="27"/>
      <c r="RFM146" s="27"/>
      <c r="RFN146" s="27"/>
      <c r="RFO146" s="27"/>
      <c r="RFP146" s="27"/>
      <c r="RFQ146" s="27"/>
      <c r="RFR146" s="27"/>
      <c r="RFS146" s="27"/>
      <c r="RFT146" s="27"/>
      <c r="RFU146" s="27"/>
      <c r="RFV146" s="27"/>
      <c r="RFW146" s="27"/>
      <c r="RFX146" s="27"/>
      <c r="RFY146" s="27"/>
      <c r="RFZ146" s="27"/>
      <c r="RGA146" s="27"/>
      <c r="RGB146" s="27"/>
      <c r="RGC146" s="27"/>
      <c r="RGD146" s="27"/>
      <c r="RGE146" s="27"/>
      <c r="RGF146" s="27"/>
      <c r="RGG146" s="27"/>
      <c r="RGH146" s="27"/>
      <c r="RGI146" s="27"/>
      <c r="RGJ146" s="27"/>
      <c r="RGK146" s="27"/>
      <c r="RGL146" s="27"/>
      <c r="RGM146" s="27"/>
      <c r="RGN146" s="27"/>
      <c r="RGO146" s="27"/>
      <c r="RGP146" s="27"/>
      <c r="RGQ146" s="27"/>
      <c r="RGR146" s="27"/>
      <c r="RGS146" s="27"/>
      <c r="RGT146" s="27"/>
      <c r="RGU146" s="27"/>
      <c r="RGV146" s="27"/>
      <c r="RGW146" s="27"/>
      <c r="RGX146" s="27"/>
      <c r="RGY146" s="27"/>
      <c r="RGZ146" s="27"/>
      <c r="RHA146" s="27"/>
      <c r="RHB146" s="27"/>
      <c r="RHC146" s="27"/>
      <c r="RHD146" s="27"/>
      <c r="RHE146" s="27"/>
      <c r="RHF146" s="27"/>
      <c r="RHG146" s="27"/>
      <c r="RHH146" s="27"/>
      <c r="RHI146" s="27"/>
      <c r="RHJ146" s="27"/>
      <c r="RHK146" s="27"/>
      <c r="RHL146" s="27"/>
      <c r="RHM146" s="27"/>
      <c r="RHN146" s="27"/>
      <c r="RHO146" s="27"/>
      <c r="RHP146" s="27"/>
      <c r="RHQ146" s="27"/>
      <c r="RHR146" s="27"/>
      <c r="RHS146" s="27"/>
      <c r="RHT146" s="27"/>
      <c r="RHU146" s="27"/>
      <c r="RHV146" s="27"/>
      <c r="RHW146" s="27"/>
      <c r="RHX146" s="27"/>
      <c r="RHY146" s="27"/>
      <c r="RHZ146" s="27"/>
      <c r="RIA146" s="27"/>
      <c r="RIB146" s="27"/>
      <c r="RIC146" s="27"/>
      <c r="RID146" s="27"/>
      <c r="RIE146" s="27"/>
      <c r="RIF146" s="27"/>
      <c r="RIG146" s="27"/>
      <c r="RIH146" s="27"/>
      <c r="RII146" s="27"/>
      <c r="RIJ146" s="27"/>
      <c r="RIK146" s="27"/>
      <c r="RIL146" s="27"/>
      <c r="RIM146" s="27"/>
      <c r="RIN146" s="27"/>
      <c r="RIO146" s="27"/>
      <c r="RIP146" s="27"/>
      <c r="RIQ146" s="27"/>
      <c r="RIR146" s="27"/>
      <c r="RIS146" s="27"/>
      <c r="RIT146" s="27"/>
      <c r="RIU146" s="27"/>
      <c r="RIV146" s="27"/>
      <c r="RIW146" s="27"/>
      <c r="RIX146" s="27"/>
      <c r="RIY146" s="27"/>
      <c r="RIZ146" s="27"/>
      <c r="RJA146" s="27"/>
      <c r="RJB146" s="27"/>
      <c r="RJC146" s="27"/>
      <c r="RJD146" s="27"/>
      <c r="RJE146" s="27"/>
      <c r="RJF146" s="27"/>
      <c r="RJG146" s="27"/>
      <c r="RJH146" s="27"/>
      <c r="RJI146" s="27"/>
      <c r="RJJ146" s="27"/>
      <c r="RJK146" s="27"/>
      <c r="RJL146" s="27"/>
      <c r="RJM146" s="27"/>
      <c r="RJN146" s="27"/>
      <c r="RJO146" s="27"/>
      <c r="RJP146" s="27"/>
      <c r="RJQ146" s="27"/>
      <c r="RJR146" s="27"/>
      <c r="RJS146" s="27"/>
      <c r="RJT146" s="27"/>
      <c r="RJU146" s="27"/>
      <c r="RJV146" s="27"/>
      <c r="RJW146" s="27"/>
      <c r="RJX146" s="27"/>
      <c r="RJY146" s="27"/>
      <c r="RJZ146" s="27"/>
      <c r="RKA146" s="27"/>
      <c r="RKB146" s="27"/>
      <c r="RKC146" s="27"/>
      <c r="RKD146" s="27"/>
      <c r="RKE146" s="27"/>
      <c r="RKF146" s="27"/>
      <c r="RKG146" s="27"/>
      <c r="RKH146" s="27"/>
      <c r="RKI146" s="27"/>
      <c r="RKJ146" s="27"/>
      <c r="RKK146" s="27"/>
      <c r="RKL146" s="27"/>
      <c r="RKM146" s="27"/>
      <c r="RKN146" s="27"/>
      <c r="RKO146" s="27"/>
      <c r="RKP146" s="27"/>
      <c r="RKQ146" s="27"/>
      <c r="RKR146" s="27"/>
      <c r="RKS146" s="27"/>
      <c r="RKT146" s="27"/>
      <c r="RKU146" s="27"/>
      <c r="RKV146" s="27"/>
      <c r="RKW146" s="27"/>
      <c r="RKX146" s="27"/>
      <c r="RKY146" s="27"/>
      <c r="RKZ146" s="27"/>
      <c r="RLA146" s="27"/>
      <c r="RLB146" s="27"/>
      <c r="RLC146" s="27"/>
      <c r="RLD146" s="27"/>
      <c r="RLE146" s="27"/>
      <c r="RLF146" s="27"/>
      <c r="RLG146" s="27"/>
      <c r="RLH146" s="27"/>
      <c r="RLI146" s="27"/>
      <c r="RLJ146" s="27"/>
      <c r="RLK146" s="27"/>
      <c r="RLL146" s="27"/>
      <c r="RLM146" s="27"/>
      <c r="RLN146" s="27"/>
      <c r="RLO146" s="27"/>
      <c r="RLP146" s="27"/>
      <c r="RLQ146" s="27"/>
      <c r="RLR146" s="27"/>
      <c r="RLS146" s="27"/>
      <c r="RLT146" s="27"/>
      <c r="RLU146" s="27"/>
      <c r="RLV146" s="27"/>
      <c r="RLW146" s="27"/>
      <c r="RLX146" s="27"/>
      <c r="RLY146" s="27"/>
      <c r="RLZ146" s="27"/>
      <c r="RMA146" s="27"/>
      <c r="RMB146" s="27"/>
      <c r="RMC146" s="27"/>
      <c r="RMD146" s="27"/>
      <c r="RME146" s="27"/>
      <c r="RMF146" s="27"/>
      <c r="RMG146" s="27"/>
      <c r="RMH146" s="27"/>
      <c r="RMI146" s="27"/>
      <c r="RMJ146" s="27"/>
      <c r="RMK146" s="27"/>
      <c r="RML146" s="27"/>
      <c r="RMM146" s="27"/>
      <c r="RMN146" s="27"/>
      <c r="RMO146" s="27"/>
      <c r="RMP146" s="27"/>
      <c r="RMQ146" s="27"/>
      <c r="RMR146" s="27"/>
      <c r="RMS146" s="27"/>
      <c r="RMT146" s="27"/>
      <c r="RMU146" s="27"/>
      <c r="RMV146" s="27"/>
      <c r="RMW146" s="27"/>
      <c r="RMX146" s="27"/>
      <c r="RMY146" s="27"/>
      <c r="RMZ146" s="27"/>
      <c r="RNA146" s="27"/>
      <c r="RNB146" s="27"/>
      <c r="RNC146" s="27"/>
      <c r="RND146" s="27"/>
      <c r="RNE146" s="27"/>
      <c r="RNF146" s="27"/>
      <c r="RNG146" s="27"/>
      <c r="RNH146" s="27"/>
      <c r="RNI146" s="27"/>
      <c r="RNJ146" s="27"/>
      <c r="RNK146" s="27"/>
      <c r="RNL146" s="27"/>
      <c r="RNM146" s="27"/>
      <c r="RNN146" s="27"/>
      <c r="RNO146" s="27"/>
      <c r="RNP146" s="27"/>
      <c r="RNQ146" s="27"/>
      <c r="RNR146" s="27"/>
      <c r="RNS146" s="27"/>
      <c r="RNT146" s="27"/>
      <c r="RNU146" s="27"/>
      <c r="RNV146" s="27"/>
      <c r="RNW146" s="27"/>
      <c r="RNX146" s="27"/>
      <c r="RNY146" s="27"/>
      <c r="RNZ146" s="27"/>
      <c r="ROA146" s="27"/>
      <c r="ROB146" s="27"/>
      <c r="ROC146" s="27"/>
      <c r="ROD146" s="27"/>
      <c r="ROE146" s="27"/>
      <c r="ROF146" s="27"/>
      <c r="ROG146" s="27"/>
      <c r="ROH146" s="27"/>
      <c r="ROI146" s="27"/>
      <c r="ROJ146" s="27"/>
      <c r="ROK146" s="27"/>
      <c r="ROL146" s="27"/>
      <c r="ROM146" s="27"/>
      <c r="RON146" s="27"/>
      <c r="ROO146" s="27"/>
      <c r="ROP146" s="27"/>
      <c r="ROQ146" s="27"/>
      <c r="ROR146" s="27"/>
      <c r="ROS146" s="27"/>
      <c r="ROT146" s="27"/>
      <c r="ROU146" s="27"/>
      <c r="ROV146" s="27"/>
      <c r="ROW146" s="27"/>
      <c r="ROX146" s="27"/>
      <c r="ROY146" s="27"/>
      <c r="ROZ146" s="27"/>
      <c r="RPA146" s="27"/>
      <c r="RPB146" s="27"/>
      <c r="RPC146" s="27"/>
      <c r="RPD146" s="27"/>
      <c r="RPE146" s="27"/>
      <c r="RPF146" s="27"/>
      <c r="RPG146" s="27"/>
      <c r="RPH146" s="27"/>
      <c r="RPI146" s="27"/>
      <c r="RPJ146" s="27"/>
      <c r="RPK146" s="27"/>
      <c r="RPL146" s="27"/>
      <c r="RPM146" s="27"/>
      <c r="RPN146" s="27"/>
      <c r="RPO146" s="27"/>
      <c r="RPP146" s="27"/>
      <c r="RPQ146" s="27"/>
      <c r="RPR146" s="27"/>
      <c r="RPS146" s="27"/>
      <c r="RPT146" s="27"/>
      <c r="RPU146" s="27"/>
      <c r="RPV146" s="27"/>
      <c r="RPW146" s="27"/>
      <c r="RPX146" s="27"/>
      <c r="RPY146" s="27"/>
      <c r="RPZ146" s="27"/>
      <c r="RQA146" s="27"/>
      <c r="RQB146" s="27"/>
      <c r="RQC146" s="27"/>
      <c r="RQD146" s="27"/>
      <c r="RQE146" s="27"/>
      <c r="RQF146" s="27"/>
      <c r="RQG146" s="27"/>
      <c r="RQH146" s="27"/>
      <c r="RQI146" s="27"/>
      <c r="RQJ146" s="27"/>
      <c r="RQK146" s="27"/>
      <c r="RQL146" s="27"/>
      <c r="RQM146" s="27"/>
      <c r="RQN146" s="27"/>
      <c r="RQO146" s="27"/>
      <c r="RQP146" s="27"/>
      <c r="RQQ146" s="27"/>
      <c r="RQR146" s="27"/>
      <c r="RQS146" s="27"/>
      <c r="RQT146" s="27"/>
      <c r="RQU146" s="27"/>
      <c r="RQV146" s="27"/>
      <c r="RQW146" s="27"/>
      <c r="RQX146" s="27"/>
      <c r="RQY146" s="27"/>
      <c r="RQZ146" s="27"/>
      <c r="RRA146" s="27"/>
      <c r="RRB146" s="27"/>
      <c r="RRC146" s="27"/>
      <c r="RRD146" s="27"/>
      <c r="RRE146" s="27"/>
      <c r="RRF146" s="27"/>
      <c r="RRG146" s="27"/>
      <c r="RRH146" s="27"/>
      <c r="RRI146" s="27"/>
      <c r="RRJ146" s="27"/>
      <c r="RRK146" s="27"/>
      <c r="RRL146" s="27"/>
      <c r="RRM146" s="27"/>
      <c r="RRN146" s="27"/>
      <c r="RRO146" s="27"/>
      <c r="RRP146" s="27"/>
      <c r="RRQ146" s="27"/>
      <c r="RRR146" s="27"/>
      <c r="RRS146" s="27"/>
      <c r="RRT146" s="27"/>
      <c r="RRU146" s="27"/>
      <c r="RRV146" s="27"/>
      <c r="RRW146" s="27"/>
      <c r="RRX146" s="27"/>
      <c r="RRY146" s="27"/>
      <c r="RRZ146" s="27"/>
      <c r="RSA146" s="27"/>
      <c r="RSB146" s="27"/>
      <c r="RSC146" s="27"/>
      <c r="RSD146" s="27"/>
      <c r="RSE146" s="27"/>
      <c r="RSF146" s="27"/>
      <c r="RSG146" s="27"/>
      <c r="RSH146" s="27"/>
      <c r="RSI146" s="27"/>
      <c r="RSJ146" s="27"/>
      <c r="RSK146" s="27"/>
      <c r="RSL146" s="27"/>
      <c r="RSM146" s="27"/>
      <c r="RSN146" s="27"/>
      <c r="RSO146" s="27"/>
      <c r="RSP146" s="27"/>
      <c r="RSQ146" s="27"/>
      <c r="RSR146" s="27"/>
      <c r="RSS146" s="27"/>
      <c r="RST146" s="27"/>
      <c r="RSU146" s="27"/>
      <c r="RSV146" s="27"/>
      <c r="RSW146" s="27"/>
      <c r="RSX146" s="27"/>
      <c r="RSY146" s="27"/>
      <c r="RSZ146" s="27"/>
      <c r="RTA146" s="27"/>
      <c r="RTB146" s="27"/>
      <c r="RTC146" s="27"/>
      <c r="RTD146" s="27"/>
      <c r="RTE146" s="27"/>
      <c r="RTF146" s="27"/>
      <c r="RTG146" s="27"/>
      <c r="RTH146" s="27"/>
      <c r="RTI146" s="27"/>
      <c r="RTJ146" s="27"/>
      <c r="RTK146" s="27"/>
      <c r="RTL146" s="27"/>
      <c r="RTM146" s="27"/>
      <c r="RTN146" s="27"/>
      <c r="RTO146" s="27"/>
      <c r="RTP146" s="27"/>
      <c r="RTQ146" s="27"/>
      <c r="RTR146" s="27"/>
      <c r="RTS146" s="27"/>
      <c r="RTT146" s="27"/>
      <c r="RTU146" s="27"/>
      <c r="RTV146" s="27"/>
      <c r="RTW146" s="27"/>
      <c r="RTX146" s="27"/>
      <c r="RTY146" s="27"/>
      <c r="RTZ146" s="27"/>
      <c r="RUA146" s="27"/>
      <c r="RUB146" s="27"/>
      <c r="RUC146" s="27"/>
      <c r="RUD146" s="27"/>
      <c r="RUE146" s="27"/>
      <c r="RUF146" s="27"/>
      <c r="RUG146" s="27"/>
      <c r="RUH146" s="27"/>
      <c r="RUI146" s="27"/>
      <c r="RUJ146" s="27"/>
      <c r="RUK146" s="27"/>
      <c r="RUL146" s="27"/>
      <c r="RUM146" s="27"/>
      <c r="RUN146" s="27"/>
      <c r="RUO146" s="27"/>
      <c r="RUP146" s="27"/>
      <c r="RUQ146" s="27"/>
      <c r="RUR146" s="27"/>
      <c r="RUS146" s="27"/>
      <c r="RUT146" s="27"/>
      <c r="RUU146" s="27"/>
      <c r="RUV146" s="27"/>
      <c r="RUW146" s="27"/>
      <c r="RUX146" s="27"/>
      <c r="RUY146" s="27"/>
      <c r="RUZ146" s="27"/>
      <c r="RVA146" s="27"/>
      <c r="RVB146" s="27"/>
      <c r="RVC146" s="27"/>
      <c r="RVD146" s="27"/>
      <c r="RVE146" s="27"/>
      <c r="RVF146" s="27"/>
      <c r="RVG146" s="27"/>
      <c r="RVH146" s="27"/>
      <c r="RVI146" s="27"/>
      <c r="RVJ146" s="27"/>
      <c r="RVK146" s="27"/>
      <c r="RVL146" s="27"/>
      <c r="RVM146" s="27"/>
      <c r="RVN146" s="27"/>
      <c r="RVO146" s="27"/>
      <c r="RVP146" s="27"/>
      <c r="RVQ146" s="27"/>
      <c r="RVR146" s="27"/>
      <c r="RVS146" s="27"/>
      <c r="RVT146" s="27"/>
      <c r="RVU146" s="27"/>
      <c r="RVV146" s="27"/>
      <c r="RVW146" s="27"/>
      <c r="RVX146" s="27"/>
      <c r="RVY146" s="27"/>
      <c r="RVZ146" s="27"/>
      <c r="RWA146" s="27"/>
      <c r="RWB146" s="27"/>
      <c r="RWC146" s="27"/>
      <c r="RWD146" s="27"/>
      <c r="RWE146" s="27"/>
      <c r="RWF146" s="27"/>
      <c r="RWG146" s="27"/>
      <c r="RWH146" s="27"/>
      <c r="RWI146" s="27"/>
      <c r="RWJ146" s="27"/>
      <c r="RWK146" s="27"/>
      <c r="RWL146" s="27"/>
      <c r="RWM146" s="27"/>
      <c r="RWN146" s="27"/>
      <c r="RWO146" s="27"/>
      <c r="RWP146" s="27"/>
      <c r="RWQ146" s="27"/>
      <c r="RWR146" s="27"/>
      <c r="RWS146" s="27"/>
      <c r="RWT146" s="27"/>
      <c r="RWU146" s="27"/>
      <c r="RWV146" s="27"/>
      <c r="RWW146" s="27"/>
      <c r="RWX146" s="27"/>
      <c r="RWY146" s="27"/>
      <c r="RWZ146" s="27"/>
      <c r="RXA146" s="27"/>
      <c r="RXB146" s="27"/>
      <c r="RXC146" s="27"/>
      <c r="RXD146" s="27"/>
      <c r="RXE146" s="27"/>
      <c r="RXF146" s="27"/>
      <c r="RXG146" s="27"/>
      <c r="RXH146" s="27"/>
      <c r="RXI146" s="27"/>
      <c r="RXJ146" s="27"/>
      <c r="RXK146" s="27"/>
      <c r="RXL146" s="27"/>
      <c r="RXM146" s="27"/>
      <c r="RXN146" s="27"/>
      <c r="RXO146" s="27"/>
      <c r="RXP146" s="27"/>
      <c r="RXQ146" s="27"/>
      <c r="RXR146" s="27"/>
      <c r="RXS146" s="27"/>
      <c r="RXT146" s="27"/>
      <c r="RXU146" s="27"/>
      <c r="RXV146" s="27"/>
      <c r="RXW146" s="27"/>
      <c r="RXX146" s="27"/>
      <c r="RXY146" s="27"/>
      <c r="RXZ146" s="27"/>
      <c r="RYA146" s="27"/>
      <c r="RYB146" s="27"/>
      <c r="RYC146" s="27"/>
      <c r="RYD146" s="27"/>
      <c r="RYE146" s="27"/>
      <c r="RYF146" s="27"/>
      <c r="RYG146" s="27"/>
      <c r="RYH146" s="27"/>
      <c r="RYI146" s="27"/>
      <c r="RYJ146" s="27"/>
      <c r="RYK146" s="27"/>
      <c r="RYL146" s="27"/>
      <c r="RYM146" s="27"/>
      <c r="RYN146" s="27"/>
      <c r="RYO146" s="27"/>
      <c r="RYP146" s="27"/>
      <c r="RYQ146" s="27"/>
      <c r="RYR146" s="27"/>
      <c r="RYS146" s="27"/>
      <c r="RYT146" s="27"/>
      <c r="RYU146" s="27"/>
      <c r="RYV146" s="27"/>
      <c r="RYW146" s="27"/>
      <c r="RYX146" s="27"/>
      <c r="RYY146" s="27"/>
      <c r="RYZ146" s="27"/>
      <c r="RZA146" s="27"/>
      <c r="RZB146" s="27"/>
      <c r="RZC146" s="27"/>
      <c r="RZD146" s="27"/>
      <c r="RZE146" s="27"/>
      <c r="RZF146" s="27"/>
      <c r="RZG146" s="27"/>
      <c r="RZH146" s="27"/>
      <c r="RZI146" s="27"/>
      <c r="RZJ146" s="27"/>
      <c r="RZK146" s="27"/>
      <c r="RZL146" s="27"/>
      <c r="RZM146" s="27"/>
      <c r="RZN146" s="27"/>
      <c r="RZO146" s="27"/>
      <c r="RZP146" s="27"/>
      <c r="RZQ146" s="27"/>
      <c r="RZR146" s="27"/>
      <c r="RZS146" s="27"/>
      <c r="RZT146" s="27"/>
      <c r="RZU146" s="27"/>
      <c r="RZV146" s="27"/>
      <c r="RZW146" s="27"/>
      <c r="RZX146" s="27"/>
      <c r="RZY146" s="27"/>
      <c r="RZZ146" s="27"/>
      <c r="SAA146" s="27"/>
      <c r="SAB146" s="27"/>
      <c r="SAC146" s="27"/>
      <c r="SAD146" s="27"/>
      <c r="SAE146" s="27"/>
      <c r="SAF146" s="27"/>
      <c r="SAG146" s="27"/>
      <c r="SAH146" s="27"/>
      <c r="SAI146" s="27"/>
      <c r="SAJ146" s="27"/>
      <c r="SAK146" s="27"/>
      <c r="SAL146" s="27"/>
      <c r="SAM146" s="27"/>
      <c r="SAN146" s="27"/>
      <c r="SAO146" s="27"/>
      <c r="SAP146" s="27"/>
      <c r="SAQ146" s="27"/>
      <c r="SAR146" s="27"/>
      <c r="SAS146" s="27"/>
      <c r="SAT146" s="27"/>
      <c r="SAU146" s="27"/>
      <c r="SAV146" s="27"/>
      <c r="SAW146" s="27"/>
      <c r="SAX146" s="27"/>
      <c r="SAY146" s="27"/>
      <c r="SAZ146" s="27"/>
      <c r="SBA146" s="27"/>
      <c r="SBB146" s="27"/>
      <c r="SBC146" s="27"/>
      <c r="SBD146" s="27"/>
      <c r="SBE146" s="27"/>
      <c r="SBF146" s="27"/>
      <c r="SBG146" s="27"/>
      <c r="SBH146" s="27"/>
      <c r="SBI146" s="27"/>
      <c r="SBJ146" s="27"/>
      <c r="SBK146" s="27"/>
      <c r="SBL146" s="27"/>
      <c r="SBM146" s="27"/>
      <c r="SBN146" s="27"/>
      <c r="SBO146" s="27"/>
      <c r="SBP146" s="27"/>
      <c r="SBQ146" s="27"/>
      <c r="SBR146" s="27"/>
      <c r="SBS146" s="27"/>
      <c r="SBT146" s="27"/>
      <c r="SBU146" s="27"/>
      <c r="SBV146" s="27"/>
      <c r="SBW146" s="27"/>
      <c r="SBX146" s="27"/>
      <c r="SBY146" s="27"/>
      <c r="SBZ146" s="27"/>
      <c r="SCA146" s="27"/>
      <c r="SCB146" s="27"/>
      <c r="SCC146" s="27"/>
      <c r="SCD146" s="27"/>
      <c r="SCE146" s="27"/>
      <c r="SCF146" s="27"/>
      <c r="SCG146" s="27"/>
      <c r="SCH146" s="27"/>
      <c r="SCI146" s="27"/>
      <c r="SCJ146" s="27"/>
      <c r="SCK146" s="27"/>
      <c r="SCL146" s="27"/>
      <c r="SCM146" s="27"/>
      <c r="SCN146" s="27"/>
      <c r="SCO146" s="27"/>
      <c r="SCP146" s="27"/>
      <c r="SCQ146" s="27"/>
      <c r="SCR146" s="27"/>
      <c r="SCS146" s="27"/>
      <c r="SCT146" s="27"/>
      <c r="SCU146" s="27"/>
      <c r="SCV146" s="27"/>
      <c r="SCW146" s="27"/>
      <c r="SCX146" s="27"/>
      <c r="SCY146" s="27"/>
      <c r="SCZ146" s="27"/>
      <c r="SDA146" s="27"/>
      <c r="SDB146" s="27"/>
      <c r="SDC146" s="27"/>
      <c r="SDD146" s="27"/>
      <c r="SDE146" s="27"/>
      <c r="SDF146" s="27"/>
      <c r="SDG146" s="27"/>
      <c r="SDH146" s="27"/>
      <c r="SDI146" s="27"/>
      <c r="SDJ146" s="27"/>
      <c r="SDK146" s="27"/>
      <c r="SDL146" s="27"/>
      <c r="SDM146" s="27"/>
      <c r="SDN146" s="27"/>
      <c r="SDO146" s="27"/>
      <c r="SDP146" s="27"/>
      <c r="SDQ146" s="27"/>
      <c r="SDR146" s="27"/>
      <c r="SDS146" s="27"/>
      <c r="SDT146" s="27"/>
      <c r="SDU146" s="27"/>
      <c r="SDV146" s="27"/>
      <c r="SDW146" s="27"/>
      <c r="SDX146" s="27"/>
      <c r="SDY146" s="27"/>
      <c r="SDZ146" s="27"/>
      <c r="SEA146" s="27"/>
      <c r="SEB146" s="27"/>
      <c r="SEC146" s="27"/>
      <c r="SED146" s="27"/>
      <c r="SEE146" s="27"/>
      <c r="SEF146" s="27"/>
      <c r="SEG146" s="27"/>
      <c r="SEH146" s="27"/>
      <c r="SEI146" s="27"/>
      <c r="SEJ146" s="27"/>
      <c r="SEK146" s="27"/>
      <c r="SEL146" s="27"/>
      <c r="SEM146" s="27"/>
      <c r="SEN146" s="27"/>
      <c r="SEO146" s="27"/>
      <c r="SEP146" s="27"/>
      <c r="SEQ146" s="27"/>
      <c r="SER146" s="27"/>
      <c r="SES146" s="27"/>
      <c r="SET146" s="27"/>
      <c r="SEU146" s="27"/>
      <c r="SEV146" s="27"/>
      <c r="SEW146" s="27"/>
      <c r="SEX146" s="27"/>
      <c r="SEY146" s="27"/>
      <c r="SEZ146" s="27"/>
      <c r="SFA146" s="27"/>
      <c r="SFB146" s="27"/>
      <c r="SFC146" s="27"/>
      <c r="SFD146" s="27"/>
      <c r="SFE146" s="27"/>
      <c r="SFF146" s="27"/>
      <c r="SFG146" s="27"/>
      <c r="SFH146" s="27"/>
      <c r="SFI146" s="27"/>
      <c r="SFJ146" s="27"/>
      <c r="SFK146" s="27"/>
      <c r="SFL146" s="27"/>
      <c r="SFM146" s="27"/>
      <c r="SFN146" s="27"/>
      <c r="SFO146" s="27"/>
      <c r="SFP146" s="27"/>
      <c r="SFQ146" s="27"/>
      <c r="SFR146" s="27"/>
      <c r="SFS146" s="27"/>
      <c r="SFT146" s="27"/>
      <c r="SFU146" s="27"/>
      <c r="SFV146" s="27"/>
      <c r="SFW146" s="27"/>
      <c r="SFX146" s="27"/>
      <c r="SFY146" s="27"/>
      <c r="SFZ146" s="27"/>
      <c r="SGA146" s="27"/>
      <c r="SGB146" s="27"/>
      <c r="SGC146" s="27"/>
      <c r="SGD146" s="27"/>
      <c r="SGE146" s="27"/>
      <c r="SGF146" s="27"/>
      <c r="SGG146" s="27"/>
      <c r="SGH146" s="27"/>
      <c r="SGI146" s="27"/>
      <c r="SGJ146" s="27"/>
      <c r="SGK146" s="27"/>
      <c r="SGL146" s="27"/>
      <c r="SGM146" s="27"/>
      <c r="SGN146" s="27"/>
      <c r="SGO146" s="27"/>
      <c r="SGP146" s="27"/>
      <c r="SGQ146" s="27"/>
      <c r="SGR146" s="27"/>
      <c r="SGS146" s="27"/>
      <c r="SGT146" s="27"/>
      <c r="SGU146" s="27"/>
      <c r="SGV146" s="27"/>
      <c r="SGW146" s="27"/>
      <c r="SGX146" s="27"/>
      <c r="SGY146" s="27"/>
      <c r="SGZ146" s="27"/>
      <c r="SHA146" s="27"/>
      <c r="SHB146" s="27"/>
      <c r="SHC146" s="27"/>
      <c r="SHD146" s="27"/>
      <c r="SHE146" s="27"/>
      <c r="SHF146" s="27"/>
      <c r="SHG146" s="27"/>
      <c r="SHH146" s="27"/>
      <c r="SHI146" s="27"/>
      <c r="SHJ146" s="27"/>
      <c r="SHK146" s="27"/>
      <c r="SHL146" s="27"/>
      <c r="SHM146" s="27"/>
      <c r="SHN146" s="27"/>
      <c r="SHO146" s="27"/>
      <c r="SHP146" s="27"/>
      <c r="SHQ146" s="27"/>
      <c r="SHR146" s="27"/>
      <c r="SHS146" s="27"/>
      <c r="SHT146" s="27"/>
      <c r="SHU146" s="27"/>
      <c r="SHV146" s="27"/>
      <c r="SHW146" s="27"/>
      <c r="SHX146" s="27"/>
      <c r="SHY146" s="27"/>
      <c r="SHZ146" s="27"/>
      <c r="SIA146" s="27"/>
      <c r="SIB146" s="27"/>
      <c r="SIC146" s="27"/>
      <c r="SID146" s="27"/>
      <c r="SIE146" s="27"/>
      <c r="SIF146" s="27"/>
      <c r="SIG146" s="27"/>
      <c r="SIH146" s="27"/>
      <c r="SII146" s="27"/>
      <c r="SIJ146" s="27"/>
      <c r="SIK146" s="27"/>
      <c r="SIL146" s="27"/>
      <c r="SIM146" s="27"/>
      <c r="SIN146" s="27"/>
      <c r="SIO146" s="27"/>
      <c r="SIP146" s="27"/>
      <c r="SIQ146" s="27"/>
      <c r="SIR146" s="27"/>
      <c r="SIS146" s="27"/>
      <c r="SIT146" s="27"/>
      <c r="SIU146" s="27"/>
      <c r="SIV146" s="27"/>
      <c r="SIW146" s="27"/>
      <c r="SIX146" s="27"/>
      <c r="SIY146" s="27"/>
      <c r="SIZ146" s="27"/>
      <c r="SJA146" s="27"/>
      <c r="SJB146" s="27"/>
      <c r="SJC146" s="27"/>
      <c r="SJD146" s="27"/>
      <c r="SJE146" s="27"/>
      <c r="SJF146" s="27"/>
      <c r="SJG146" s="27"/>
      <c r="SJH146" s="27"/>
      <c r="SJI146" s="27"/>
      <c r="SJJ146" s="27"/>
      <c r="SJK146" s="27"/>
      <c r="SJL146" s="27"/>
      <c r="SJM146" s="27"/>
      <c r="SJN146" s="27"/>
      <c r="SJO146" s="27"/>
      <c r="SJP146" s="27"/>
      <c r="SJQ146" s="27"/>
      <c r="SJR146" s="27"/>
      <c r="SJS146" s="27"/>
      <c r="SJT146" s="27"/>
      <c r="SJU146" s="27"/>
      <c r="SJV146" s="27"/>
      <c r="SJW146" s="27"/>
      <c r="SJX146" s="27"/>
      <c r="SJY146" s="27"/>
      <c r="SJZ146" s="27"/>
      <c r="SKA146" s="27"/>
      <c r="SKB146" s="27"/>
      <c r="SKC146" s="27"/>
      <c r="SKD146" s="27"/>
      <c r="SKE146" s="27"/>
      <c r="SKF146" s="27"/>
      <c r="SKG146" s="27"/>
      <c r="SKH146" s="27"/>
      <c r="SKI146" s="27"/>
      <c r="SKJ146" s="27"/>
      <c r="SKK146" s="27"/>
      <c r="SKL146" s="27"/>
      <c r="SKM146" s="27"/>
      <c r="SKN146" s="27"/>
      <c r="SKO146" s="27"/>
      <c r="SKP146" s="27"/>
      <c r="SKQ146" s="27"/>
      <c r="SKR146" s="27"/>
      <c r="SKS146" s="27"/>
      <c r="SKT146" s="27"/>
      <c r="SKU146" s="27"/>
      <c r="SKV146" s="27"/>
      <c r="SKW146" s="27"/>
      <c r="SKX146" s="27"/>
      <c r="SKY146" s="27"/>
      <c r="SKZ146" s="27"/>
      <c r="SLA146" s="27"/>
      <c r="SLB146" s="27"/>
      <c r="SLC146" s="27"/>
      <c r="SLD146" s="27"/>
      <c r="SLE146" s="27"/>
      <c r="SLF146" s="27"/>
      <c r="SLG146" s="27"/>
      <c r="SLH146" s="27"/>
      <c r="SLI146" s="27"/>
      <c r="SLJ146" s="27"/>
      <c r="SLK146" s="27"/>
      <c r="SLL146" s="27"/>
      <c r="SLM146" s="27"/>
      <c r="SLN146" s="27"/>
      <c r="SLO146" s="27"/>
      <c r="SLP146" s="27"/>
      <c r="SLQ146" s="27"/>
      <c r="SLR146" s="27"/>
      <c r="SLS146" s="27"/>
      <c r="SLT146" s="27"/>
      <c r="SLU146" s="27"/>
      <c r="SLV146" s="27"/>
      <c r="SLW146" s="27"/>
      <c r="SLX146" s="27"/>
      <c r="SLY146" s="27"/>
      <c r="SLZ146" s="27"/>
      <c r="SMA146" s="27"/>
      <c r="SMB146" s="27"/>
      <c r="SMC146" s="27"/>
      <c r="SMD146" s="27"/>
      <c r="SME146" s="27"/>
      <c r="SMF146" s="27"/>
      <c r="SMG146" s="27"/>
      <c r="SMH146" s="27"/>
      <c r="SMI146" s="27"/>
      <c r="SMJ146" s="27"/>
      <c r="SMK146" s="27"/>
      <c r="SML146" s="27"/>
      <c r="SMM146" s="27"/>
      <c r="SMN146" s="27"/>
      <c r="SMO146" s="27"/>
      <c r="SMP146" s="27"/>
      <c r="SMQ146" s="27"/>
      <c r="SMR146" s="27"/>
      <c r="SMS146" s="27"/>
      <c r="SMT146" s="27"/>
      <c r="SMU146" s="27"/>
      <c r="SMV146" s="27"/>
      <c r="SMW146" s="27"/>
      <c r="SMX146" s="27"/>
      <c r="SMY146" s="27"/>
      <c r="SMZ146" s="27"/>
      <c r="SNA146" s="27"/>
      <c r="SNB146" s="27"/>
      <c r="SNC146" s="27"/>
      <c r="SND146" s="27"/>
      <c r="SNE146" s="27"/>
      <c r="SNF146" s="27"/>
      <c r="SNG146" s="27"/>
      <c r="SNH146" s="27"/>
      <c r="SNI146" s="27"/>
      <c r="SNJ146" s="27"/>
      <c r="SNK146" s="27"/>
      <c r="SNL146" s="27"/>
      <c r="SNM146" s="27"/>
      <c r="SNN146" s="27"/>
      <c r="SNO146" s="27"/>
      <c r="SNP146" s="27"/>
      <c r="SNQ146" s="27"/>
      <c r="SNR146" s="27"/>
      <c r="SNS146" s="27"/>
      <c r="SNT146" s="27"/>
      <c r="SNU146" s="27"/>
      <c r="SNV146" s="27"/>
      <c r="SNW146" s="27"/>
      <c r="SNX146" s="27"/>
      <c r="SNY146" s="27"/>
      <c r="SNZ146" s="27"/>
      <c r="SOA146" s="27"/>
      <c r="SOB146" s="27"/>
      <c r="SOC146" s="27"/>
      <c r="SOD146" s="27"/>
      <c r="SOE146" s="27"/>
      <c r="SOF146" s="27"/>
      <c r="SOG146" s="27"/>
      <c r="SOH146" s="27"/>
      <c r="SOI146" s="27"/>
      <c r="SOJ146" s="27"/>
      <c r="SOK146" s="27"/>
      <c r="SOL146" s="27"/>
      <c r="SOM146" s="27"/>
      <c r="SON146" s="27"/>
      <c r="SOO146" s="27"/>
      <c r="SOP146" s="27"/>
      <c r="SOQ146" s="27"/>
      <c r="SOR146" s="27"/>
      <c r="SOS146" s="27"/>
      <c r="SOT146" s="27"/>
      <c r="SOU146" s="27"/>
      <c r="SOV146" s="27"/>
      <c r="SOW146" s="27"/>
      <c r="SOX146" s="27"/>
      <c r="SOY146" s="27"/>
      <c r="SOZ146" s="27"/>
      <c r="SPA146" s="27"/>
      <c r="SPB146" s="27"/>
      <c r="SPC146" s="27"/>
      <c r="SPD146" s="27"/>
      <c r="SPE146" s="27"/>
      <c r="SPF146" s="27"/>
      <c r="SPG146" s="27"/>
      <c r="SPH146" s="27"/>
      <c r="SPI146" s="27"/>
      <c r="SPJ146" s="27"/>
      <c r="SPK146" s="27"/>
      <c r="SPL146" s="27"/>
      <c r="SPM146" s="27"/>
      <c r="SPN146" s="27"/>
      <c r="SPO146" s="27"/>
      <c r="SPP146" s="27"/>
      <c r="SPQ146" s="27"/>
      <c r="SPR146" s="27"/>
      <c r="SPS146" s="27"/>
      <c r="SPT146" s="27"/>
      <c r="SPU146" s="27"/>
      <c r="SPV146" s="27"/>
      <c r="SPW146" s="27"/>
      <c r="SPX146" s="27"/>
      <c r="SPY146" s="27"/>
      <c r="SPZ146" s="27"/>
      <c r="SQA146" s="27"/>
      <c r="SQB146" s="27"/>
      <c r="SQC146" s="27"/>
      <c r="SQD146" s="27"/>
      <c r="SQE146" s="27"/>
      <c r="SQF146" s="27"/>
      <c r="SQG146" s="27"/>
      <c r="SQH146" s="27"/>
      <c r="SQI146" s="27"/>
      <c r="SQJ146" s="27"/>
      <c r="SQK146" s="27"/>
      <c r="SQL146" s="27"/>
      <c r="SQM146" s="27"/>
      <c r="SQN146" s="27"/>
      <c r="SQO146" s="27"/>
      <c r="SQP146" s="27"/>
      <c r="SQQ146" s="27"/>
      <c r="SQR146" s="27"/>
      <c r="SQS146" s="27"/>
      <c r="SQT146" s="27"/>
      <c r="SQU146" s="27"/>
      <c r="SQV146" s="27"/>
      <c r="SQW146" s="27"/>
      <c r="SQX146" s="27"/>
      <c r="SQY146" s="27"/>
      <c r="SQZ146" s="27"/>
      <c r="SRA146" s="27"/>
      <c r="SRB146" s="27"/>
      <c r="SRC146" s="27"/>
      <c r="SRD146" s="27"/>
      <c r="SRE146" s="27"/>
      <c r="SRF146" s="27"/>
      <c r="SRG146" s="27"/>
      <c r="SRH146" s="27"/>
      <c r="SRI146" s="27"/>
      <c r="SRJ146" s="27"/>
      <c r="SRK146" s="27"/>
      <c r="SRL146" s="27"/>
      <c r="SRM146" s="27"/>
      <c r="SRN146" s="27"/>
      <c r="SRO146" s="27"/>
      <c r="SRP146" s="27"/>
      <c r="SRQ146" s="27"/>
      <c r="SRR146" s="27"/>
      <c r="SRS146" s="27"/>
      <c r="SRT146" s="27"/>
      <c r="SRU146" s="27"/>
      <c r="SRV146" s="27"/>
      <c r="SRW146" s="27"/>
      <c r="SRX146" s="27"/>
      <c r="SRY146" s="27"/>
      <c r="SRZ146" s="27"/>
      <c r="SSA146" s="27"/>
      <c r="SSB146" s="27"/>
      <c r="SSC146" s="27"/>
      <c r="SSD146" s="27"/>
      <c r="SSE146" s="27"/>
      <c r="SSF146" s="27"/>
      <c r="SSG146" s="27"/>
      <c r="SSH146" s="27"/>
      <c r="SSI146" s="27"/>
      <c r="SSJ146" s="27"/>
      <c r="SSK146" s="27"/>
      <c r="SSL146" s="27"/>
      <c r="SSM146" s="27"/>
      <c r="SSN146" s="27"/>
      <c r="SSO146" s="27"/>
      <c r="SSP146" s="27"/>
      <c r="SSQ146" s="27"/>
      <c r="SSR146" s="27"/>
      <c r="SSS146" s="27"/>
      <c r="SST146" s="27"/>
      <c r="SSU146" s="27"/>
      <c r="SSV146" s="27"/>
      <c r="SSW146" s="27"/>
      <c r="SSX146" s="27"/>
      <c r="SSY146" s="27"/>
      <c r="SSZ146" s="27"/>
      <c r="STA146" s="27"/>
      <c r="STB146" s="27"/>
      <c r="STC146" s="27"/>
      <c r="STD146" s="27"/>
      <c r="STE146" s="27"/>
      <c r="STF146" s="27"/>
      <c r="STG146" s="27"/>
      <c r="STH146" s="27"/>
      <c r="STI146" s="27"/>
      <c r="STJ146" s="27"/>
      <c r="STK146" s="27"/>
      <c r="STL146" s="27"/>
      <c r="STM146" s="27"/>
      <c r="STN146" s="27"/>
      <c r="STO146" s="27"/>
      <c r="STP146" s="27"/>
      <c r="STQ146" s="27"/>
      <c r="STR146" s="27"/>
      <c r="STS146" s="27"/>
      <c r="STT146" s="27"/>
      <c r="STU146" s="27"/>
      <c r="STV146" s="27"/>
      <c r="STW146" s="27"/>
      <c r="STX146" s="27"/>
      <c r="STY146" s="27"/>
      <c r="STZ146" s="27"/>
      <c r="SUA146" s="27"/>
      <c r="SUB146" s="27"/>
      <c r="SUC146" s="27"/>
      <c r="SUD146" s="27"/>
      <c r="SUE146" s="27"/>
      <c r="SUF146" s="27"/>
      <c r="SUG146" s="27"/>
      <c r="SUH146" s="27"/>
      <c r="SUI146" s="27"/>
      <c r="SUJ146" s="27"/>
      <c r="SUK146" s="27"/>
      <c r="SUL146" s="27"/>
      <c r="SUM146" s="27"/>
      <c r="SUN146" s="27"/>
      <c r="SUO146" s="27"/>
      <c r="SUP146" s="27"/>
      <c r="SUQ146" s="27"/>
      <c r="SUR146" s="27"/>
      <c r="SUS146" s="27"/>
      <c r="SUT146" s="27"/>
      <c r="SUU146" s="27"/>
      <c r="SUV146" s="27"/>
      <c r="SUW146" s="27"/>
      <c r="SUX146" s="27"/>
      <c r="SUY146" s="27"/>
      <c r="SUZ146" s="27"/>
      <c r="SVA146" s="27"/>
      <c r="SVB146" s="27"/>
      <c r="SVC146" s="27"/>
      <c r="SVD146" s="27"/>
      <c r="SVE146" s="27"/>
      <c r="SVF146" s="27"/>
      <c r="SVG146" s="27"/>
      <c r="SVH146" s="27"/>
      <c r="SVI146" s="27"/>
      <c r="SVJ146" s="27"/>
      <c r="SVK146" s="27"/>
      <c r="SVL146" s="27"/>
      <c r="SVM146" s="27"/>
      <c r="SVN146" s="27"/>
      <c r="SVO146" s="27"/>
      <c r="SVP146" s="27"/>
      <c r="SVQ146" s="27"/>
      <c r="SVR146" s="27"/>
      <c r="SVS146" s="27"/>
      <c r="SVT146" s="27"/>
      <c r="SVU146" s="27"/>
      <c r="SVV146" s="27"/>
      <c r="SVW146" s="27"/>
      <c r="SVX146" s="27"/>
      <c r="SVY146" s="27"/>
      <c r="SVZ146" s="27"/>
      <c r="SWA146" s="27"/>
      <c r="SWB146" s="27"/>
      <c r="SWC146" s="27"/>
      <c r="SWD146" s="27"/>
      <c r="SWE146" s="27"/>
      <c r="SWF146" s="27"/>
      <c r="SWG146" s="27"/>
      <c r="SWH146" s="27"/>
      <c r="SWI146" s="27"/>
      <c r="SWJ146" s="27"/>
      <c r="SWK146" s="27"/>
      <c r="SWL146" s="27"/>
      <c r="SWM146" s="27"/>
      <c r="SWN146" s="27"/>
      <c r="SWO146" s="27"/>
      <c r="SWP146" s="27"/>
      <c r="SWQ146" s="27"/>
      <c r="SWR146" s="27"/>
      <c r="SWS146" s="27"/>
      <c r="SWT146" s="27"/>
      <c r="SWU146" s="27"/>
      <c r="SWV146" s="27"/>
      <c r="SWW146" s="27"/>
      <c r="SWX146" s="27"/>
      <c r="SWY146" s="27"/>
      <c r="SWZ146" s="27"/>
      <c r="SXA146" s="27"/>
      <c r="SXB146" s="27"/>
      <c r="SXC146" s="27"/>
      <c r="SXD146" s="27"/>
      <c r="SXE146" s="27"/>
      <c r="SXF146" s="27"/>
      <c r="SXG146" s="27"/>
      <c r="SXH146" s="27"/>
      <c r="SXI146" s="27"/>
      <c r="SXJ146" s="27"/>
      <c r="SXK146" s="27"/>
      <c r="SXL146" s="27"/>
      <c r="SXM146" s="27"/>
      <c r="SXN146" s="27"/>
      <c r="SXO146" s="27"/>
      <c r="SXP146" s="27"/>
      <c r="SXQ146" s="27"/>
      <c r="SXR146" s="27"/>
      <c r="SXS146" s="27"/>
      <c r="SXT146" s="27"/>
      <c r="SXU146" s="27"/>
      <c r="SXV146" s="27"/>
      <c r="SXW146" s="27"/>
      <c r="SXX146" s="27"/>
      <c r="SXY146" s="27"/>
      <c r="SXZ146" s="27"/>
      <c r="SYA146" s="27"/>
      <c r="SYB146" s="27"/>
      <c r="SYC146" s="27"/>
      <c r="SYD146" s="27"/>
      <c r="SYE146" s="27"/>
      <c r="SYF146" s="27"/>
      <c r="SYG146" s="27"/>
      <c r="SYH146" s="27"/>
      <c r="SYI146" s="27"/>
      <c r="SYJ146" s="27"/>
      <c r="SYK146" s="27"/>
      <c r="SYL146" s="27"/>
      <c r="SYM146" s="27"/>
      <c r="SYN146" s="27"/>
      <c r="SYO146" s="27"/>
      <c r="SYP146" s="27"/>
      <c r="SYQ146" s="27"/>
      <c r="SYR146" s="27"/>
      <c r="SYS146" s="27"/>
      <c r="SYT146" s="27"/>
      <c r="SYU146" s="27"/>
      <c r="SYV146" s="27"/>
      <c r="SYW146" s="27"/>
      <c r="SYX146" s="27"/>
      <c r="SYY146" s="27"/>
      <c r="SYZ146" s="27"/>
      <c r="SZA146" s="27"/>
      <c r="SZB146" s="27"/>
      <c r="SZC146" s="27"/>
      <c r="SZD146" s="27"/>
      <c r="SZE146" s="27"/>
      <c r="SZF146" s="27"/>
      <c r="SZG146" s="27"/>
      <c r="SZH146" s="27"/>
      <c r="SZI146" s="27"/>
      <c r="SZJ146" s="27"/>
      <c r="SZK146" s="27"/>
      <c r="SZL146" s="27"/>
      <c r="SZM146" s="27"/>
      <c r="SZN146" s="27"/>
      <c r="SZO146" s="27"/>
      <c r="SZP146" s="27"/>
      <c r="SZQ146" s="27"/>
      <c r="SZR146" s="27"/>
      <c r="SZS146" s="27"/>
      <c r="SZT146" s="27"/>
      <c r="SZU146" s="27"/>
      <c r="SZV146" s="27"/>
      <c r="SZW146" s="27"/>
      <c r="SZX146" s="27"/>
      <c r="SZY146" s="27"/>
      <c r="SZZ146" s="27"/>
      <c r="TAA146" s="27"/>
      <c r="TAB146" s="27"/>
      <c r="TAC146" s="27"/>
      <c r="TAD146" s="27"/>
      <c r="TAE146" s="27"/>
      <c r="TAF146" s="27"/>
      <c r="TAG146" s="27"/>
      <c r="TAH146" s="27"/>
      <c r="TAI146" s="27"/>
      <c r="TAJ146" s="27"/>
      <c r="TAK146" s="27"/>
      <c r="TAL146" s="27"/>
      <c r="TAM146" s="27"/>
      <c r="TAN146" s="27"/>
      <c r="TAO146" s="27"/>
      <c r="TAP146" s="27"/>
      <c r="TAQ146" s="27"/>
      <c r="TAR146" s="27"/>
      <c r="TAS146" s="27"/>
      <c r="TAT146" s="27"/>
      <c r="TAU146" s="27"/>
      <c r="TAV146" s="27"/>
      <c r="TAW146" s="27"/>
      <c r="TAX146" s="27"/>
      <c r="TAY146" s="27"/>
      <c r="TAZ146" s="27"/>
      <c r="TBA146" s="27"/>
      <c r="TBB146" s="27"/>
      <c r="TBC146" s="27"/>
      <c r="TBD146" s="27"/>
      <c r="TBE146" s="27"/>
      <c r="TBF146" s="27"/>
      <c r="TBG146" s="27"/>
      <c r="TBH146" s="27"/>
      <c r="TBI146" s="27"/>
      <c r="TBJ146" s="27"/>
      <c r="TBK146" s="27"/>
      <c r="TBL146" s="27"/>
      <c r="TBM146" s="27"/>
      <c r="TBN146" s="27"/>
      <c r="TBO146" s="27"/>
      <c r="TBP146" s="27"/>
      <c r="TBQ146" s="27"/>
      <c r="TBR146" s="27"/>
      <c r="TBS146" s="27"/>
      <c r="TBT146" s="27"/>
      <c r="TBU146" s="27"/>
      <c r="TBV146" s="27"/>
      <c r="TBW146" s="27"/>
      <c r="TBX146" s="27"/>
      <c r="TBY146" s="27"/>
      <c r="TBZ146" s="27"/>
      <c r="TCA146" s="27"/>
      <c r="TCB146" s="27"/>
      <c r="TCC146" s="27"/>
      <c r="TCD146" s="27"/>
      <c r="TCE146" s="27"/>
      <c r="TCF146" s="27"/>
      <c r="TCG146" s="27"/>
      <c r="TCH146" s="27"/>
      <c r="TCI146" s="27"/>
      <c r="TCJ146" s="27"/>
      <c r="TCK146" s="27"/>
      <c r="TCL146" s="27"/>
      <c r="TCM146" s="27"/>
      <c r="TCN146" s="27"/>
      <c r="TCO146" s="27"/>
      <c r="TCP146" s="27"/>
      <c r="TCQ146" s="27"/>
      <c r="TCR146" s="27"/>
      <c r="TCS146" s="27"/>
      <c r="TCT146" s="27"/>
      <c r="TCU146" s="27"/>
      <c r="TCV146" s="27"/>
      <c r="TCW146" s="27"/>
      <c r="TCX146" s="27"/>
      <c r="TCY146" s="27"/>
      <c r="TCZ146" s="27"/>
      <c r="TDA146" s="27"/>
      <c r="TDB146" s="27"/>
      <c r="TDC146" s="27"/>
      <c r="TDD146" s="27"/>
      <c r="TDE146" s="27"/>
      <c r="TDF146" s="27"/>
      <c r="TDG146" s="27"/>
      <c r="TDH146" s="27"/>
      <c r="TDI146" s="27"/>
      <c r="TDJ146" s="27"/>
      <c r="TDK146" s="27"/>
      <c r="TDL146" s="27"/>
      <c r="TDM146" s="27"/>
      <c r="TDN146" s="27"/>
      <c r="TDO146" s="27"/>
      <c r="TDP146" s="27"/>
      <c r="TDQ146" s="27"/>
      <c r="TDR146" s="27"/>
      <c r="TDS146" s="27"/>
      <c r="TDT146" s="27"/>
      <c r="TDU146" s="27"/>
      <c r="TDV146" s="27"/>
      <c r="TDW146" s="27"/>
      <c r="TDX146" s="27"/>
      <c r="TDY146" s="27"/>
      <c r="TDZ146" s="27"/>
      <c r="TEA146" s="27"/>
      <c r="TEB146" s="27"/>
      <c r="TEC146" s="27"/>
      <c r="TED146" s="27"/>
      <c r="TEE146" s="27"/>
      <c r="TEF146" s="27"/>
      <c r="TEG146" s="27"/>
      <c r="TEH146" s="27"/>
      <c r="TEI146" s="27"/>
      <c r="TEJ146" s="27"/>
      <c r="TEK146" s="27"/>
      <c r="TEL146" s="27"/>
      <c r="TEM146" s="27"/>
      <c r="TEN146" s="27"/>
      <c r="TEO146" s="27"/>
      <c r="TEP146" s="27"/>
      <c r="TEQ146" s="27"/>
      <c r="TER146" s="27"/>
      <c r="TES146" s="27"/>
      <c r="TET146" s="27"/>
      <c r="TEU146" s="27"/>
      <c r="TEV146" s="27"/>
      <c r="TEW146" s="27"/>
      <c r="TEX146" s="27"/>
      <c r="TEY146" s="27"/>
      <c r="TEZ146" s="27"/>
      <c r="TFA146" s="27"/>
      <c r="TFB146" s="27"/>
      <c r="TFC146" s="27"/>
      <c r="TFD146" s="27"/>
      <c r="TFE146" s="27"/>
      <c r="TFF146" s="27"/>
      <c r="TFG146" s="27"/>
      <c r="TFH146" s="27"/>
      <c r="TFI146" s="27"/>
      <c r="TFJ146" s="27"/>
      <c r="TFK146" s="27"/>
      <c r="TFL146" s="27"/>
      <c r="TFM146" s="27"/>
      <c r="TFN146" s="27"/>
      <c r="TFO146" s="27"/>
      <c r="TFP146" s="27"/>
      <c r="TFQ146" s="27"/>
      <c r="TFR146" s="27"/>
      <c r="TFS146" s="27"/>
      <c r="TFT146" s="27"/>
      <c r="TFU146" s="27"/>
      <c r="TFV146" s="27"/>
      <c r="TFW146" s="27"/>
      <c r="TFX146" s="27"/>
      <c r="TFY146" s="27"/>
      <c r="TFZ146" s="27"/>
      <c r="TGA146" s="27"/>
      <c r="TGB146" s="27"/>
      <c r="TGC146" s="27"/>
      <c r="TGD146" s="27"/>
      <c r="TGE146" s="27"/>
      <c r="TGF146" s="27"/>
      <c r="TGG146" s="27"/>
      <c r="TGH146" s="27"/>
      <c r="TGI146" s="27"/>
      <c r="TGJ146" s="27"/>
      <c r="TGK146" s="27"/>
      <c r="TGL146" s="27"/>
      <c r="TGM146" s="27"/>
      <c r="TGN146" s="27"/>
      <c r="TGO146" s="27"/>
      <c r="TGP146" s="27"/>
      <c r="TGQ146" s="27"/>
      <c r="TGR146" s="27"/>
      <c r="TGS146" s="27"/>
      <c r="TGT146" s="27"/>
      <c r="TGU146" s="27"/>
      <c r="TGV146" s="27"/>
      <c r="TGW146" s="27"/>
      <c r="TGX146" s="27"/>
      <c r="TGY146" s="27"/>
      <c r="TGZ146" s="27"/>
      <c r="THA146" s="27"/>
      <c r="THB146" s="27"/>
      <c r="THC146" s="27"/>
      <c r="THD146" s="27"/>
      <c r="THE146" s="27"/>
      <c r="THF146" s="27"/>
      <c r="THG146" s="27"/>
      <c r="THH146" s="27"/>
      <c r="THI146" s="27"/>
      <c r="THJ146" s="27"/>
      <c r="THK146" s="27"/>
      <c r="THL146" s="27"/>
      <c r="THM146" s="27"/>
      <c r="THN146" s="27"/>
      <c r="THO146" s="27"/>
      <c r="THP146" s="27"/>
      <c r="THQ146" s="27"/>
      <c r="THR146" s="27"/>
      <c r="THS146" s="27"/>
      <c r="THT146" s="27"/>
      <c r="THU146" s="27"/>
      <c r="THV146" s="27"/>
      <c r="THW146" s="27"/>
      <c r="THX146" s="27"/>
      <c r="THY146" s="27"/>
      <c r="THZ146" s="27"/>
      <c r="TIA146" s="27"/>
      <c r="TIB146" s="27"/>
      <c r="TIC146" s="27"/>
      <c r="TID146" s="27"/>
      <c r="TIE146" s="27"/>
      <c r="TIF146" s="27"/>
      <c r="TIG146" s="27"/>
      <c r="TIH146" s="27"/>
      <c r="TII146" s="27"/>
      <c r="TIJ146" s="27"/>
      <c r="TIK146" s="27"/>
      <c r="TIL146" s="27"/>
      <c r="TIM146" s="27"/>
      <c r="TIN146" s="27"/>
      <c r="TIO146" s="27"/>
      <c r="TIP146" s="27"/>
      <c r="TIQ146" s="27"/>
      <c r="TIR146" s="27"/>
      <c r="TIS146" s="27"/>
      <c r="TIT146" s="27"/>
      <c r="TIU146" s="27"/>
      <c r="TIV146" s="27"/>
      <c r="TIW146" s="27"/>
      <c r="TIX146" s="27"/>
      <c r="TIY146" s="27"/>
      <c r="TIZ146" s="27"/>
      <c r="TJA146" s="27"/>
      <c r="TJB146" s="27"/>
      <c r="TJC146" s="27"/>
      <c r="TJD146" s="27"/>
      <c r="TJE146" s="27"/>
      <c r="TJF146" s="27"/>
      <c r="TJG146" s="27"/>
      <c r="TJH146" s="27"/>
      <c r="TJI146" s="27"/>
      <c r="TJJ146" s="27"/>
      <c r="TJK146" s="27"/>
      <c r="TJL146" s="27"/>
      <c r="TJM146" s="27"/>
      <c r="TJN146" s="27"/>
      <c r="TJO146" s="27"/>
      <c r="TJP146" s="27"/>
      <c r="TJQ146" s="27"/>
      <c r="TJR146" s="27"/>
      <c r="TJS146" s="27"/>
      <c r="TJT146" s="27"/>
      <c r="TJU146" s="27"/>
      <c r="TJV146" s="27"/>
      <c r="TJW146" s="27"/>
      <c r="TJX146" s="27"/>
      <c r="TJY146" s="27"/>
      <c r="TJZ146" s="27"/>
      <c r="TKA146" s="27"/>
      <c r="TKB146" s="27"/>
      <c r="TKC146" s="27"/>
      <c r="TKD146" s="27"/>
      <c r="TKE146" s="27"/>
      <c r="TKF146" s="27"/>
      <c r="TKG146" s="27"/>
      <c r="TKH146" s="27"/>
      <c r="TKI146" s="27"/>
      <c r="TKJ146" s="27"/>
      <c r="TKK146" s="27"/>
      <c r="TKL146" s="27"/>
      <c r="TKM146" s="27"/>
      <c r="TKN146" s="27"/>
      <c r="TKO146" s="27"/>
      <c r="TKP146" s="27"/>
      <c r="TKQ146" s="27"/>
      <c r="TKR146" s="27"/>
      <c r="TKS146" s="27"/>
      <c r="TKT146" s="27"/>
      <c r="TKU146" s="27"/>
      <c r="TKV146" s="27"/>
      <c r="TKW146" s="27"/>
      <c r="TKX146" s="27"/>
      <c r="TKY146" s="27"/>
      <c r="TKZ146" s="27"/>
      <c r="TLA146" s="27"/>
      <c r="TLB146" s="27"/>
      <c r="TLC146" s="27"/>
      <c r="TLD146" s="27"/>
      <c r="TLE146" s="27"/>
      <c r="TLF146" s="27"/>
      <c r="TLG146" s="27"/>
      <c r="TLH146" s="27"/>
      <c r="TLI146" s="27"/>
      <c r="TLJ146" s="27"/>
      <c r="TLK146" s="27"/>
      <c r="TLL146" s="27"/>
      <c r="TLM146" s="27"/>
      <c r="TLN146" s="27"/>
      <c r="TLO146" s="27"/>
      <c r="TLP146" s="27"/>
      <c r="TLQ146" s="27"/>
      <c r="TLR146" s="27"/>
      <c r="TLS146" s="27"/>
      <c r="TLT146" s="27"/>
      <c r="TLU146" s="27"/>
      <c r="TLV146" s="27"/>
      <c r="TLW146" s="27"/>
      <c r="TLX146" s="27"/>
      <c r="TLY146" s="27"/>
      <c r="TLZ146" s="27"/>
      <c r="TMA146" s="27"/>
      <c r="TMB146" s="27"/>
      <c r="TMC146" s="27"/>
      <c r="TMD146" s="27"/>
      <c r="TME146" s="27"/>
      <c r="TMF146" s="27"/>
      <c r="TMG146" s="27"/>
      <c r="TMH146" s="27"/>
      <c r="TMI146" s="27"/>
      <c r="TMJ146" s="27"/>
      <c r="TMK146" s="27"/>
      <c r="TML146" s="27"/>
      <c r="TMM146" s="27"/>
      <c r="TMN146" s="27"/>
      <c r="TMO146" s="27"/>
      <c r="TMP146" s="27"/>
      <c r="TMQ146" s="27"/>
      <c r="TMR146" s="27"/>
      <c r="TMS146" s="27"/>
      <c r="TMT146" s="27"/>
      <c r="TMU146" s="27"/>
      <c r="TMV146" s="27"/>
      <c r="TMW146" s="27"/>
      <c r="TMX146" s="27"/>
      <c r="TMY146" s="27"/>
      <c r="TMZ146" s="27"/>
      <c r="TNA146" s="27"/>
      <c r="TNB146" s="27"/>
      <c r="TNC146" s="27"/>
      <c r="TND146" s="27"/>
      <c r="TNE146" s="27"/>
      <c r="TNF146" s="27"/>
      <c r="TNG146" s="27"/>
      <c r="TNH146" s="27"/>
      <c r="TNI146" s="27"/>
      <c r="TNJ146" s="27"/>
      <c r="TNK146" s="27"/>
      <c r="TNL146" s="27"/>
      <c r="TNM146" s="27"/>
      <c r="TNN146" s="27"/>
      <c r="TNO146" s="27"/>
      <c r="TNP146" s="27"/>
      <c r="TNQ146" s="27"/>
      <c r="TNR146" s="27"/>
      <c r="TNS146" s="27"/>
      <c r="TNT146" s="27"/>
      <c r="TNU146" s="27"/>
      <c r="TNV146" s="27"/>
      <c r="TNW146" s="27"/>
      <c r="TNX146" s="27"/>
      <c r="TNY146" s="27"/>
      <c r="TNZ146" s="27"/>
      <c r="TOA146" s="27"/>
      <c r="TOB146" s="27"/>
      <c r="TOC146" s="27"/>
      <c r="TOD146" s="27"/>
      <c r="TOE146" s="27"/>
      <c r="TOF146" s="27"/>
      <c r="TOG146" s="27"/>
      <c r="TOH146" s="27"/>
      <c r="TOI146" s="27"/>
      <c r="TOJ146" s="27"/>
      <c r="TOK146" s="27"/>
      <c r="TOL146" s="27"/>
      <c r="TOM146" s="27"/>
      <c r="TON146" s="27"/>
      <c r="TOO146" s="27"/>
      <c r="TOP146" s="27"/>
      <c r="TOQ146" s="27"/>
      <c r="TOR146" s="27"/>
      <c r="TOS146" s="27"/>
      <c r="TOT146" s="27"/>
      <c r="TOU146" s="27"/>
      <c r="TOV146" s="27"/>
      <c r="TOW146" s="27"/>
      <c r="TOX146" s="27"/>
      <c r="TOY146" s="27"/>
      <c r="TOZ146" s="27"/>
      <c r="TPA146" s="27"/>
      <c r="TPB146" s="27"/>
      <c r="TPC146" s="27"/>
      <c r="TPD146" s="27"/>
      <c r="TPE146" s="27"/>
      <c r="TPF146" s="27"/>
      <c r="TPG146" s="27"/>
      <c r="TPH146" s="27"/>
      <c r="TPI146" s="27"/>
      <c r="TPJ146" s="27"/>
      <c r="TPK146" s="27"/>
      <c r="TPL146" s="27"/>
      <c r="TPM146" s="27"/>
      <c r="TPN146" s="27"/>
      <c r="TPO146" s="27"/>
      <c r="TPP146" s="27"/>
      <c r="TPQ146" s="27"/>
      <c r="TPR146" s="27"/>
      <c r="TPS146" s="27"/>
      <c r="TPT146" s="27"/>
      <c r="TPU146" s="27"/>
      <c r="TPV146" s="27"/>
      <c r="TPW146" s="27"/>
      <c r="TPX146" s="27"/>
      <c r="TPY146" s="27"/>
      <c r="TPZ146" s="27"/>
      <c r="TQA146" s="27"/>
      <c r="TQB146" s="27"/>
      <c r="TQC146" s="27"/>
      <c r="TQD146" s="27"/>
      <c r="TQE146" s="27"/>
      <c r="TQF146" s="27"/>
      <c r="TQG146" s="27"/>
      <c r="TQH146" s="27"/>
      <c r="TQI146" s="27"/>
      <c r="TQJ146" s="27"/>
      <c r="TQK146" s="27"/>
      <c r="TQL146" s="27"/>
      <c r="TQM146" s="27"/>
      <c r="TQN146" s="27"/>
      <c r="TQO146" s="27"/>
      <c r="TQP146" s="27"/>
      <c r="TQQ146" s="27"/>
      <c r="TQR146" s="27"/>
      <c r="TQS146" s="27"/>
      <c r="TQT146" s="27"/>
      <c r="TQU146" s="27"/>
      <c r="TQV146" s="27"/>
      <c r="TQW146" s="27"/>
      <c r="TQX146" s="27"/>
      <c r="TQY146" s="27"/>
      <c r="TQZ146" s="27"/>
      <c r="TRA146" s="27"/>
      <c r="TRB146" s="27"/>
      <c r="TRC146" s="27"/>
      <c r="TRD146" s="27"/>
      <c r="TRE146" s="27"/>
      <c r="TRF146" s="27"/>
      <c r="TRG146" s="27"/>
      <c r="TRH146" s="27"/>
      <c r="TRI146" s="27"/>
      <c r="TRJ146" s="27"/>
      <c r="TRK146" s="27"/>
      <c r="TRL146" s="27"/>
      <c r="TRM146" s="27"/>
      <c r="TRN146" s="27"/>
      <c r="TRO146" s="27"/>
      <c r="TRP146" s="27"/>
      <c r="TRQ146" s="27"/>
      <c r="TRR146" s="27"/>
      <c r="TRS146" s="27"/>
      <c r="TRT146" s="27"/>
      <c r="TRU146" s="27"/>
      <c r="TRV146" s="27"/>
      <c r="TRW146" s="27"/>
      <c r="TRX146" s="27"/>
      <c r="TRY146" s="27"/>
      <c r="TRZ146" s="27"/>
      <c r="TSA146" s="27"/>
      <c r="TSB146" s="27"/>
      <c r="TSC146" s="27"/>
      <c r="TSD146" s="27"/>
      <c r="TSE146" s="27"/>
      <c r="TSF146" s="27"/>
      <c r="TSG146" s="27"/>
      <c r="TSH146" s="27"/>
      <c r="TSI146" s="27"/>
      <c r="TSJ146" s="27"/>
      <c r="TSK146" s="27"/>
      <c r="TSL146" s="27"/>
      <c r="TSM146" s="27"/>
      <c r="TSN146" s="27"/>
      <c r="TSO146" s="27"/>
      <c r="TSP146" s="27"/>
      <c r="TSQ146" s="27"/>
      <c r="TSR146" s="27"/>
      <c r="TSS146" s="27"/>
      <c r="TST146" s="27"/>
      <c r="TSU146" s="27"/>
      <c r="TSV146" s="27"/>
      <c r="TSW146" s="27"/>
      <c r="TSX146" s="27"/>
      <c r="TSY146" s="27"/>
      <c r="TSZ146" s="27"/>
      <c r="TTA146" s="27"/>
      <c r="TTB146" s="27"/>
      <c r="TTC146" s="27"/>
      <c r="TTD146" s="27"/>
      <c r="TTE146" s="27"/>
      <c r="TTF146" s="27"/>
      <c r="TTG146" s="27"/>
      <c r="TTH146" s="27"/>
      <c r="TTI146" s="27"/>
      <c r="TTJ146" s="27"/>
      <c r="TTK146" s="27"/>
      <c r="TTL146" s="27"/>
      <c r="TTM146" s="27"/>
      <c r="TTN146" s="27"/>
      <c r="TTO146" s="27"/>
      <c r="TTP146" s="27"/>
      <c r="TTQ146" s="27"/>
      <c r="TTR146" s="27"/>
      <c r="TTS146" s="27"/>
      <c r="TTT146" s="27"/>
      <c r="TTU146" s="27"/>
      <c r="TTV146" s="27"/>
      <c r="TTW146" s="27"/>
      <c r="TTX146" s="27"/>
      <c r="TTY146" s="27"/>
      <c r="TTZ146" s="27"/>
      <c r="TUA146" s="27"/>
      <c r="TUB146" s="27"/>
      <c r="TUC146" s="27"/>
      <c r="TUD146" s="27"/>
      <c r="TUE146" s="27"/>
      <c r="TUF146" s="27"/>
      <c r="TUG146" s="27"/>
      <c r="TUH146" s="27"/>
      <c r="TUI146" s="27"/>
      <c r="TUJ146" s="27"/>
      <c r="TUK146" s="27"/>
      <c r="TUL146" s="27"/>
      <c r="TUM146" s="27"/>
      <c r="TUN146" s="27"/>
      <c r="TUO146" s="27"/>
      <c r="TUP146" s="27"/>
      <c r="TUQ146" s="27"/>
      <c r="TUR146" s="27"/>
      <c r="TUS146" s="27"/>
      <c r="TUT146" s="27"/>
      <c r="TUU146" s="27"/>
      <c r="TUV146" s="27"/>
      <c r="TUW146" s="27"/>
      <c r="TUX146" s="27"/>
      <c r="TUY146" s="27"/>
      <c r="TUZ146" s="27"/>
      <c r="TVA146" s="27"/>
      <c r="TVB146" s="27"/>
      <c r="TVC146" s="27"/>
      <c r="TVD146" s="27"/>
      <c r="TVE146" s="27"/>
      <c r="TVF146" s="27"/>
      <c r="TVG146" s="27"/>
      <c r="TVH146" s="27"/>
      <c r="TVI146" s="27"/>
      <c r="TVJ146" s="27"/>
      <c r="TVK146" s="27"/>
      <c r="TVL146" s="27"/>
      <c r="TVM146" s="27"/>
      <c r="TVN146" s="27"/>
      <c r="TVO146" s="27"/>
      <c r="TVP146" s="27"/>
      <c r="TVQ146" s="27"/>
      <c r="TVR146" s="27"/>
      <c r="TVS146" s="27"/>
      <c r="TVT146" s="27"/>
      <c r="TVU146" s="27"/>
      <c r="TVV146" s="27"/>
      <c r="TVW146" s="27"/>
      <c r="TVX146" s="27"/>
      <c r="TVY146" s="27"/>
      <c r="TVZ146" s="27"/>
      <c r="TWA146" s="27"/>
      <c r="TWB146" s="27"/>
      <c r="TWC146" s="27"/>
      <c r="TWD146" s="27"/>
      <c r="TWE146" s="27"/>
      <c r="TWF146" s="27"/>
      <c r="TWG146" s="27"/>
      <c r="TWH146" s="27"/>
      <c r="TWI146" s="27"/>
      <c r="TWJ146" s="27"/>
      <c r="TWK146" s="27"/>
      <c r="TWL146" s="27"/>
      <c r="TWM146" s="27"/>
      <c r="TWN146" s="27"/>
      <c r="TWO146" s="27"/>
      <c r="TWP146" s="27"/>
      <c r="TWQ146" s="27"/>
      <c r="TWR146" s="27"/>
      <c r="TWS146" s="27"/>
      <c r="TWT146" s="27"/>
      <c r="TWU146" s="27"/>
      <c r="TWV146" s="27"/>
      <c r="TWW146" s="27"/>
      <c r="TWX146" s="27"/>
      <c r="TWY146" s="27"/>
      <c r="TWZ146" s="27"/>
      <c r="TXA146" s="27"/>
      <c r="TXB146" s="27"/>
      <c r="TXC146" s="27"/>
      <c r="TXD146" s="27"/>
      <c r="TXE146" s="27"/>
      <c r="TXF146" s="27"/>
      <c r="TXG146" s="27"/>
      <c r="TXH146" s="27"/>
      <c r="TXI146" s="27"/>
      <c r="TXJ146" s="27"/>
      <c r="TXK146" s="27"/>
      <c r="TXL146" s="27"/>
      <c r="TXM146" s="27"/>
      <c r="TXN146" s="27"/>
      <c r="TXO146" s="27"/>
      <c r="TXP146" s="27"/>
      <c r="TXQ146" s="27"/>
      <c r="TXR146" s="27"/>
      <c r="TXS146" s="27"/>
      <c r="TXT146" s="27"/>
      <c r="TXU146" s="27"/>
      <c r="TXV146" s="27"/>
      <c r="TXW146" s="27"/>
      <c r="TXX146" s="27"/>
      <c r="TXY146" s="27"/>
      <c r="TXZ146" s="27"/>
      <c r="TYA146" s="27"/>
      <c r="TYB146" s="27"/>
      <c r="TYC146" s="27"/>
      <c r="TYD146" s="27"/>
      <c r="TYE146" s="27"/>
      <c r="TYF146" s="27"/>
      <c r="TYG146" s="27"/>
      <c r="TYH146" s="27"/>
      <c r="TYI146" s="27"/>
      <c r="TYJ146" s="27"/>
      <c r="TYK146" s="27"/>
      <c r="TYL146" s="27"/>
      <c r="TYM146" s="27"/>
      <c r="TYN146" s="27"/>
      <c r="TYO146" s="27"/>
      <c r="TYP146" s="27"/>
      <c r="TYQ146" s="27"/>
      <c r="TYR146" s="27"/>
      <c r="TYS146" s="27"/>
      <c r="TYT146" s="27"/>
      <c r="TYU146" s="27"/>
      <c r="TYV146" s="27"/>
      <c r="TYW146" s="27"/>
      <c r="TYX146" s="27"/>
      <c r="TYY146" s="27"/>
      <c r="TYZ146" s="27"/>
      <c r="TZA146" s="27"/>
      <c r="TZB146" s="27"/>
      <c r="TZC146" s="27"/>
      <c r="TZD146" s="27"/>
      <c r="TZE146" s="27"/>
      <c r="TZF146" s="27"/>
      <c r="TZG146" s="27"/>
      <c r="TZH146" s="27"/>
      <c r="TZI146" s="27"/>
      <c r="TZJ146" s="27"/>
      <c r="TZK146" s="27"/>
      <c r="TZL146" s="27"/>
      <c r="TZM146" s="27"/>
      <c r="TZN146" s="27"/>
      <c r="TZO146" s="27"/>
      <c r="TZP146" s="27"/>
      <c r="TZQ146" s="27"/>
      <c r="TZR146" s="27"/>
      <c r="TZS146" s="27"/>
      <c r="TZT146" s="27"/>
      <c r="TZU146" s="27"/>
      <c r="TZV146" s="27"/>
      <c r="TZW146" s="27"/>
      <c r="TZX146" s="27"/>
      <c r="TZY146" s="27"/>
      <c r="TZZ146" s="27"/>
      <c r="UAA146" s="27"/>
      <c r="UAB146" s="27"/>
      <c r="UAC146" s="27"/>
      <c r="UAD146" s="27"/>
      <c r="UAE146" s="27"/>
      <c r="UAF146" s="27"/>
      <c r="UAG146" s="27"/>
      <c r="UAH146" s="27"/>
      <c r="UAI146" s="27"/>
      <c r="UAJ146" s="27"/>
      <c r="UAK146" s="27"/>
      <c r="UAL146" s="27"/>
      <c r="UAM146" s="27"/>
      <c r="UAN146" s="27"/>
      <c r="UAO146" s="27"/>
      <c r="UAP146" s="27"/>
      <c r="UAQ146" s="27"/>
      <c r="UAR146" s="27"/>
      <c r="UAS146" s="27"/>
      <c r="UAT146" s="27"/>
      <c r="UAU146" s="27"/>
      <c r="UAV146" s="27"/>
      <c r="UAW146" s="27"/>
      <c r="UAX146" s="27"/>
      <c r="UAY146" s="27"/>
      <c r="UAZ146" s="27"/>
      <c r="UBA146" s="27"/>
      <c r="UBB146" s="27"/>
      <c r="UBC146" s="27"/>
      <c r="UBD146" s="27"/>
      <c r="UBE146" s="27"/>
      <c r="UBF146" s="27"/>
      <c r="UBG146" s="27"/>
      <c r="UBH146" s="27"/>
      <c r="UBI146" s="27"/>
      <c r="UBJ146" s="27"/>
      <c r="UBK146" s="27"/>
      <c r="UBL146" s="27"/>
      <c r="UBM146" s="27"/>
      <c r="UBN146" s="27"/>
      <c r="UBO146" s="27"/>
      <c r="UBP146" s="27"/>
      <c r="UBQ146" s="27"/>
      <c r="UBR146" s="27"/>
      <c r="UBS146" s="27"/>
      <c r="UBT146" s="27"/>
      <c r="UBU146" s="27"/>
      <c r="UBV146" s="27"/>
      <c r="UBW146" s="27"/>
      <c r="UBX146" s="27"/>
      <c r="UBY146" s="27"/>
      <c r="UBZ146" s="27"/>
      <c r="UCA146" s="27"/>
      <c r="UCB146" s="27"/>
      <c r="UCC146" s="27"/>
      <c r="UCD146" s="27"/>
      <c r="UCE146" s="27"/>
      <c r="UCF146" s="27"/>
      <c r="UCG146" s="27"/>
      <c r="UCH146" s="27"/>
      <c r="UCI146" s="27"/>
      <c r="UCJ146" s="27"/>
      <c r="UCK146" s="27"/>
      <c r="UCL146" s="27"/>
      <c r="UCM146" s="27"/>
      <c r="UCN146" s="27"/>
      <c r="UCO146" s="27"/>
      <c r="UCP146" s="27"/>
      <c r="UCQ146" s="27"/>
      <c r="UCR146" s="27"/>
      <c r="UCS146" s="27"/>
      <c r="UCT146" s="27"/>
      <c r="UCU146" s="27"/>
      <c r="UCV146" s="27"/>
      <c r="UCW146" s="27"/>
      <c r="UCX146" s="27"/>
      <c r="UCY146" s="27"/>
      <c r="UCZ146" s="27"/>
      <c r="UDA146" s="27"/>
      <c r="UDB146" s="27"/>
      <c r="UDC146" s="27"/>
      <c r="UDD146" s="27"/>
      <c r="UDE146" s="27"/>
      <c r="UDF146" s="27"/>
      <c r="UDG146" s="27"/>
      <c r="UDH146" s="27"/>
      <c r="UDI146" s="27"/>
      <c r="UDJ146" s="27"/>
      <c r="UDK146" s="27"/>
      <c r="UDL146" s="27"/>
      <c r="UDM146" s="27"/>
      <c r="UDN146" s="27"/>
      <c r="UDO146" s="27"/>
      <c r="UDP146" s="27"/>
      <c r="UDQ146" s="27"/>
      <c r="UDR146" s="27"/>
      <c r="UDS146" s="27"/>
      <c r="UDT146" s="27"/>
      <c r="UDU146" s="27"/>
      <c r="UDV146" s="27"/>
      <c r="UDW146" s="27"/>
      <c r="UDX146" s="27"/>
      <c r="UDY146" s="27"/>
      <c r="UDZ146" s="27"/>
      <c r="UEA146" s="27"/>
      <c r="UEB146" s="27"/>
      <c r="UEC146" s="27"/>
      <c r="UED146" s="27"/>
      <c r="UEE146" s="27"/>
      <c r="UEF146" s="27"/>
      <c r="UEG146" s="27"/>
      <c r="UEH146" s="27"/>
      <c r="UEI146" s="27"/>
      <c r="UEJ146" s="27"/>
      <c r="UEK146" s="27"/>
      <c r="UEL146" s="27"/>
      <c r="UEM146" s="27"/>
      <c r="UEN146" s="27"/>
      <c r="UEO146" s="27"/>
      <c r="UEP146" s="27"/>
      <c r="UEQ146" s="27"/>
      <c r="UER146" s="27"/>
      <c r="UES146" s="27"/>
      <c r="UET146" s="27"/>
      <c r="UEU146" s="27"/>
      <c r="UEV146" s="27"/>
      <c r="UEW146" s="27"/>
      <c r="UEX146" s="27"/>
      <c r="UEY146" s="27"/>
      <c r="UEZ146" s="27"/>
      <c r="UFA146" s="27"/>
      <c r="UFB146" s="27"/>
      <c r="UFC146" s="27"/>
      <c r="UFD146" s="27"/>
      <c r="UFE146" s="27"/>
      <c r="UFF146" s="27"/>
      <c r="UFG146" s="27"/>
      <c r="UFH146" s="27"/>
      <c r="UFI146" s="27"/>
      <c r="UFJ146" s="27"/>
      <c r="UFK146" s="27"/>
      <c r="UFL146" s="27"/>
      <c r="UFM146" s="27"/>
      <c r="UFN146" s="27"/>
      <c r="UFO146" s="27"/>
      <c r="UFP146" s="27"/>
      <c r="UFQ146" s="27"/>
      <c r="UFR146" s="27"/>
      <c r="UFS146" s="27"/>
      <c r="UFT146" s="27"/>
      <c r="UFU146" s="27"/>
      <c r="UFV146" s="27"/>
      <c r="UFW146" s="27"/>
      <c r="UFX146" s="27"/>
      <c r="UFY146" s="27"/>
      <c r="UFZ146" s="27"/>
      <c r="UGA146" s="27"/>
      <c r="UGB146" s="27"/>
      <c r="UGC146" s="27"/>
      <c r="UGD146" s="27"/>
      <c r="UGE146" s="27"/>
      <c r="UGF146" s="27"/>
      <c r="UGG146" s="27"/>
      <c r="UGH146" s="27"/>
      <c r="UGI146" s="27"/>
      <c r="UGJ146" s="27"/>
      <c r="UGK146" s="27"/>
      <c r="UGL146" s="27"/>
      <c r="UGM146" s="27"/>
      <c r="UGN146" s="27"/>
      <c r="UGO146" s="27"/>
      <c r="UGP146" s="27"/>
      <c r="UGQ146" s="27"/>
      <c r="UGR146" s="27"/>
      <c r="UGS146" s="27"/>
      <c r="UGT146" s="27"/>
      <c r="UGU146" s="27"/>
      <c r="UGV146" s="27"/>
      <c r="UGW146" s="27"/>
      <c r="UGX146" s="27"/>
      <c r="UGY146" s="27"/>
      <c r="UGZ146" s="27"/>
      <c r="UHA146" s="27"/>
      <c r="UHB146" s="27"/>
      <c r="UHC146" s="27"/>
      <c r="UHD146" s="27"/>
      <c r="UHE146" s="27"/>
      <c r="UHF146" s="27"/>
      <c r="UHG146" s="27"/>
      <c r="UHH146" s="27"/>
      <c r="UHI146" s="27"/>
      <c r="UHJ146" s="27"/>
      <c r="UHK146" s="27"/>
      <c r="UHL146" s="27"/>
      <c r="UHM146" s="27"/>
      <c r="UHN146" s="27"/>
      <c r="UHO146" s="27"/>
      <c r="UHP146" s="27"/>
      <c r="UHQ146" s="27"/>
      <c r="UHR146" s="27"/>
      <c r="UHS146" s="27"/>
      <c r="UHT146" s="27"/>
      <c r="UHU146" s="27"/>
      <c r="UHV146" s="27"/>
      <c r="UHW146" s="27"/>
      <c r="UHX146" s="27"/>
      <c r="UHY146" s="27"/>
      <c r="UHZ146" s="27"/>
      <c r="UIA146" s="27"/>
      <c r="UIB146" s="27"/>
      <c r="UIC146" s="27"/>
      <c r="UID146" s="27"/>
      <c r="UIE146" s="27"/>
      <c r="UIF146" s="27"/>
      <c r="UIG146" s="27"/>
      <c r="UIH146" s="27"/>
      <c r="UII146" s="27"/>
      <c r="UIJ146" s="27"/>
      <c r="UIK146" s="27"/>
      <c r="UIL146" s="27"/>
      <c r="UIM146" s="27"/>
      <c r="UIN146" s="27"/>
      <c r="UIO146" s="27"/>
      <c r="UIP146" s="27"/>
      <c r="UIQ146" s="27"/>
      <c r="UIR146" s="27"/>
      <c r="UIS146" s="27"/>
      <c r="UIT146" s="27"/>
      <c r="UIU146" s="27"/>
      <c r="UIV146" s="27"/>
      <c r="UIW146" s="27"/>
      <c r="UIX146" s="27"/>
      <c r="UIY146" s="27"/>
      <c r="UIZ146" s="27"/>
      <c r="UJA146" s="27"/>
      <c r="UJB146" s="27"/>
      <c r="UJC146" s="27"/>
      <c r="UJD146" s="27"/>
      <c r="UJE146" s="27"/>
      <c r="UJF146" s="27"/>
      <c r="UJG146" s="27"/>
      <c r="UJH146" s="27"/>
      <c r="UJI146" s="27"/>
      <c r="UJJ146" s="27"/>
      <c r="UJK146" s="27"/>
      <c r="UJL146" s="27"/>
      <c r="UJM146" s="27"/>
      <c r="UJN146" s="27"/>
      <c r="UJO146" s="27"/>
      <c r="UJP146" s="27"/>
      <c r="UJQ146" s="27"/>
      <c r="UJR146" s="27"/>
      <c r="UJS146" s="27"/>
      <c r="UJT146" s="27"/>
      <c r="UJU146" s="27"/>
      <c r="UJV146" s="27"/>
      <c r="UJW146" s="27"/>
      <c r="UJX146" s="27"/>
      <c r="UJY146" s="27"/>
      <c r="UJZ146" s="27"/>
      <c r="UKA146" s="27"/>
      <c r="UKB146" s="27"/>
      <c r="UKC146" s="27"/>
      <c r="UKD146" s="27"/>
      <c r="UKE146" s="27"/>
      <c r="UKF146" s="27"/>
      <c r="UKG146" s="27"/>
      <c r="UKH146" s="27"/>
      <c r="UKI146" s="27"/>
      <c r="UKJ146" s="27"/>
      <c r="UKK146" s="27"/>
      <c r="UKL146" s="27"/>
      <c r="UKM146" s="27"/>
      <c r="UKN146" s="27"/>
      <c r="UKO146" s="27"/>
      <c r="UKP146" s="27"/>
      <c r="UKQ146" s="27"/>
      <c r="UKR146" s="27"/>
      <c r="UKS146" s="27"/>
      <c r="UKT146" s="27"/>
      <c r="UKU146" s="27"/>
      <c r="UKV146" s="27"/>
      <c r="UKW146" s="27"/>
      <c r="UKX146" s="27"/>
      <c r="UKY146" s="27"/>
      <c r="UKZ146" s="27"/>
      <c r="ULA146" s="27"/>
      <c r="ULB146" s="27"/>
      <c r="ULC146" s="27"/>
      <c r="ULD146" s="27"/>
      <c r="ULE146" s="27"/>
      <c r="ULF146" s="27"/>
      <c r="ULG146" s="27"/>
      <c r="ULH146" s="27"/>
      <c r="ULI146" s="27"/>
      <c r="ULJ146" s="27"/>
      <c r="ULK146" s="27"/>
      <c r="ULL146" s="27"/>
      <c r="ULM146" s="27"/>
      <c r="ULN146" s="27"/>
      <c r="ULO146" s="27"/>
      <c r="ULP146" s="27"/>
      <c r="ULQ146" s="27"/>
      <c r="ULR146" s="27"/>
      <c r="ULS146" s="27"/>
      <c r="ULT146" s="27"/>
      <c r="ULU146" s="27"/>
      <c r="ULV146" s="27"/>
      <c r="ULW146" s="27"/>
      <c r="ULX146" s="27"/>
      <c r="ULY146" s="27"/>
      <c r="ULZ146" s="27"/>
      <c r="UMA146" s="27"/>
      <c r="UMB146" s="27"/>
      <c r="UMC146" s="27"/>
      <c r="UMD146" s="27"/>
      <c r="UME146" s="27"/>
      <c r="UMF146" s="27"/>
      <c r="UMG146" s="27"/>
      <c r="UMH146" s="27"/>
      <c r="UMI146" s="27"/>
      <c r="UMJ146" s="27"/>
      <c r="UMK146" s="27"/>
      <c r="UML146" s="27"/>
      <c r="UMM146" s="27"/>
      <c r="UMN146" s="27"/>
      <c r="UMO146" s="27"/>
      <c r="UMP146" s="27"/>
      <c r="UMQ146" s="27"/>
      <c r="UMR146" s="27"/>
      <c r="UMS146" s="27"/>
      <c r="UMT146" s="27"/>
      <c r="UMU146" s="27"/>
      <c r="UMV146" s="27"/>
      <c r="UMW146" s="27"/>
      <c r="UMX146" s="27"/>
      <c r="UMY146" s="27"/>
      <c r="UMZ146" s="27"/>
      <c r="UNA146" s="27"/>
      <c r="UNB146" s="27"/>
      <c r="UNC146" s="27"/>
      <c r="UND146" s="27"/>
      <c r="UNE146" s="27"/>
      <c r="UNF146" s="27"/>
      <c r="UNG146" s="27"/>
      <c r="UNH146" s="27"/>
      <c r="UNI146" s="27"/>
      <c r="UNJ146" s="27"/>
      <c r="UNK146" s="27"/>
      <c r="UNL146" s="27"/>
      <c r="UNM146" s="27"/>
      <c r="UNN146" s="27"/>
      <c r="UNO146" s="27"/>
      <c r="UNP146" s="27"/>
      <c r="UNQ146" s="27"/>
      <c r="UNR146" s="27"/>
      <c r="UNS146" s="27"/>
      <c r="UNT146" s="27"/>
      <c r="UNU146" s="27"/>
      <c r="UNV146" s="27"/>
      <c r="UNW146" s="27"/>
      <c r="UNX146" s="27"/>
      <c r="UNY146" s="27"/>
      <c r="UNZ146" s="27"/>
      <c r="UOA146" s="27"/>
      <c r="UOB146" s="27"/>
      <c r="UOC146" s="27"/>
      <c r="UOD146" s="27"/>
      <c r="UOE146" s="27"/>
      <c r="UOF146" s="27"/>
      <c r="UOG146" s="27"/>
      <c r="UOH146" s="27"/>
      <c r="UOI146" s="27"/>
      <c r="UOJ146" s="27"/>
      <c r="UOK146" s="27"/>
      <c r="UOL146" s="27"/>
      <c r="UOM146" s="27"/>
      <c r="UON146" s="27"/>
      <c r="UOO146" s="27"/>
      <c r="UOP146" s="27"/>
      <c r="UOQ146" s="27"/>
      <c r="UOR146" s="27"/>
      <c r="UOS146" s="27"/>
      <c r="UOT146" s="27"/>
      <c r="UOU146" s="27"/>
      <c r="UOV146" s="27"/>
      <c r="UOW146" s="27"/>
      <c r="UOX146" s="27"/>
      <c r="UOY146" s="27"/>
      <c r="UOZ146" s="27"/>
      <c r="UPA146" s="27"/>
      <c r="UPB146" s="27"/>
      <c r="UPC146" s="27"/>
      <c r="UPD146" s="27"/>
      <c r="UPE146" s="27"/>
      <c r="UPF146" s="27"/>
      <c r="UPG146" s="27"/>
      <c r="UPH146" s="27"/>
      <c r="UPI146" s="27"/>
      <c r="UPJ146" s="27"/>
      <c r="UPK146" s="27"/>
      <c r="UPL146" s="27"/>
      <c r="UPM146" s="27"/>
      <c r="UPN146" s="27"/>
      <c r="UPO146" s="27"/>
      <c r="UPP146" s="27"/>
      <c r="UPQ146" s="27"/>
      <c r="UPR146" s="27"/>
      <c r="UPS146" s="27"/>
      <c r="UPT146" s="27"/>
      <c r="UPU146" s="27"/>
      <c r="UPV146" s="27"/>
      <c r="UPW146" s="27"/>
      <c r="UPX146" s="27"/>
      <c r="UPY146" s="27"/>
      <c r="UPZ146" s="27"/>
      <c r="UQA146" s="27"/>
      <c r="UQB146" s="27"/>
      <c r="UQC146" s="27"/>
      <c r="UQD146" s="27"/>
      <c r="UQE146" s="27"/>
      <c r="UQF146" s="27"/>
      <c r="UQG146" s="27"/>
      <c r="UQH146" s="27"/>
      <c r="UQI146" s="27"/>
      <c r="UQJ146" s="27"/>
      <c r="UQK146" s="27"/>
      <c r="UQL146" s="27"/>
      <c r="UQM146" s="27"/>
      <c r="UQN146" s="27"/>
      <c r="UQO146" s="27"/>
      <c r="UQP146" s="27"/>
      <c r="UQQ146" s="27"/>
      <c r="UQR146" s="27"/>
      <c r="UQS146" s="27"/>
      <c r="UQT146" s="27"/>
      <c r="UQU146" s="27"/>
      <c r="UQV146" s="27"/>
      <c r="UQW146" s="27"/>
      <c r="UQX146" s="27"/>
      <c r="UQY146" s="27"/>
      <c r="UQZ146" s="27"/>
      <c r="URA146" s="27"/>
      <c r="URB146" s="27"/>
      <c r="URC146" s="27"/>
      <c r="URD146" s="27"/>
      <c r="URE146" s="27"/>
      <c r="URF146" s="27"/>
      <c r="URG146" s="27"/>
      <c r="URH146" s="27"/>
      <c r="URI146" s="27"/>
      <c r="URJ146" s="27"/>
      <c r="URK146" s="27"/>
      <c r="URL146" s="27"/>
      <c r="URM146" s="27"/>
      <c r="URN146" s="27"/>
      <c r="URO146" s="27"/>
      <c r="URP146" s="27"/>
      <c r="URQ146" s="27"/>
      <c r="URR146" s="27"/>
      <c r="URS146" s="27"/>
      <c r="URT146" s="27"/>
      <c r="URU146" s="27"/>
      <c r="URV146" s="27"/>
      <c r="URW146" s="27"/>
      <c r="URX146" s="27"/>
      <c r="URY146" s="27"/>
      <c r="URZ146" s="27"/>
      <c r="USA146" s="27"/>
      <c r="USB146" s="27"/>
      <c r="USC146" s="27"/>
      <c r="USD146" s="27"/>
      <c r="USE146" s="27"/>
      <c r="USF146" s="27"/>
      <c r="USG146" s="27"/>
      <c r="USH146" s="27"/>
      <c r="USI146" s="27"/>
      <c r="USJ146" s="27"/>
      <c r="USK146" s="27"/>
      <c r="USL146" s="27"/>
      <c r="USM146" s="27"/>
      <c r="USN146" s="27"/>
      <c r="USO146" s="27"/>
      <c r="USP146" s="27"/>
      <c r="USQ146" s="27"/>
      <c r="USR146" s="27"/>
      <c r="USS146" s="27"/>
      <c r="UST146" s="27"/>
      <c r="USU146" s="27"/>
      <c r="USV146" s="27"/>
      <c r="USW146" s="27"/>
      <c r="USX146" s="27"/>
      <c r="USY146" s="27"/>
      <c r="USZ146" s="27"/>
      <c r="UTA146" s="27"/>
      <c r="UTB146" s="27"/>
      <c r="UTC146" s="27"/>
      <c r="UTD146" s="27"/>
      <c r="UTE146" s="27"/>
      <c r="UTF146" s="27"/>
      <c r="UTG146" s="27"/>
      <c r="UTH146" s="27"/>
      <c r="UTI146" s="27"/>
      <c r="UTJ146" s="27"/>
      <c r="UTK146" s="27"/>
      <c r="UTL146" s="27"/>
      <c r="UTM146" s="27"/>
      <c r="UTN146" s="27"/>
      <c r="UTO146" s="27"/>
      <c r="UTP146" s="27"/>
      <c r="UTQ146" s="27"/>
      <c r="UTR146" s="27"/>
      <c r="UTS146" s="27"/>
      <c r="UTT146" s="27"/>
      <c r="UTU146" s="27"/>
      <c r="UTV146" s="27"/>
      <c r="UTW146" s="27"/>
      <c r="UTX146" s="27"/>
      <c r="UTY146" s="27"/>
      <c r="UTZ146" s="27"/>
      <c r="UUA146" s="27"/>
      <c r="UUB146" s="27"/>
      <c r="UUC146" s="27"/>
      <c r="UUD146" s="27"/>
      <c r="UUE146" s="27"/>
      <c r="UUF146" s="27"/>
      <c r="UUG146" s="27"/>
      <c r="UUH146" s="27"/>
      <c r="UUI146" s="27"/>
      <c r="UUJ146" s="27"/>
      <c r="UUK146" s="27"/>
      <c r="UUL146" s="27"/>
      <c r="UUM146" s="27"/>
      <c r="UUN146" s="27"/>
      <c r="UUO146" s="27"/>
      <c r="UUP146" s="27"/>
      <c r="UUQ146" s="27"/>
      <c r="UUR146" s="27"/>
      <c r="UUS146" s="27"/>
      <c r="UUT146" s="27"/>
      <c r="UUU146" s="27"/>
      <c r="UUV146" s="27"/>
      <c r="UUW146" s="27"/>
      <c r="UUX146" s="27"/>
      <c r="UUY146" s="27"/>
      <c r="UUZ146" s="27"/>
      <c r="UVA146" s="27"/>
      <c r="UVB146" s="27"/>
      <c r="UVC146" s="27"/>
      <c r="UVD146" s="27"/>
      <c r="UVE146" s="27"/>
      <c r="UVF146" s="27"/>
      <c r="UVG146" s="27"/>
      <c r="UVH146" s="27"/>
      <c r="UVI146" s="27"/>
      <c r="UVJ146" s="27"/>
      <c r="UVK146" s="27"/>
      <c r="UVL146" s="27"/>
      <c r="UVM146" s="27"/>
      <c r="UVN146" s="27"/>
      <c r="UVO146" s="27"/>
      <c r="UVP146" s="27"/>
      <c r="UVQ146" s="27"/>
      <c r="UVR146" s="27"/>
      <c r="UVS146" s="27"/>
      <c r="UVT146" s="27"/>
      <c r="UVU146" s="27"/>
      <c r="UVV146" s="27"/>
      <c r="UVW146" s="27"/>
      <c r="UVX146" s="27"/>
      <c r="UVY146" s="27"/>
      <c r="UVZ146" s="27"/>
      <c r="UWA146" s="27"/>
      <c r="UWB146" s="27"/>
      <c r="UWC146" s="27"/>
      <c r="UWD146" s="27"/>
      <c r="UWE146" s="27"/>
      <c r="UWF146" s="27"/>
      <c r="UWG146" s="27"/>
      <c r="UWH146" s="27"/>
      <c r="UWI146" s="27"/>
      <c r="UWJ146" s="27"/>
      <c r="UWK146" s="27"/>
      <c r="UWL146" s="27"/>
      <c r="UWM146" s="27"/>
      <c r="UWN146" s="27"/>
      <c r="UWO146" s="27"/>
      <c r="UWP146" s="27"/>
      <c r="UWQ146" s="27"/>
      <c r="UWR146" s="27"/>
      <c r="UWS146" s="27"/>
      <c r="UWT146" s="27"/>
      <c r="UWU146" s="27"/>
      <c r="UWV146" s="27"/>
      <c r="UWW146" s="27"/>
      <c r="UWX146" s="27"/>
      <c r="UWY146" s="27"/>
      <c r="UWZ146" s="27"/>
      <c r="UXA146" s="27"/>
      <c r="UXB146" s="27"/>
      <c r="UXC146" s="27"/>
      <c r="UXD146" s="27"/>
      <c r="UXE146" s="27"/>
      <c r="UXF146" s="27"/>
      <c r="UXG146" s="27"/>
      <c r="UXH146" s="27"/>
      <c r="UXI146" s="27"/>
      <c r="UXJ146" s="27"/>
      <c r="UXK146" s="27"/>
      <c r="UXL146" s="27"/>
      <c r="UXM146" s="27"/>
      <c r="UXN146" s="27"/>
      <c r="UXO146" s="27"/>
      <c r="UXP146" s="27"/>
      <c r="UXQ146" s="27"/>
      <c r="UXR146" s="27"/>
      <c r="UXS146" s="27"/>
      <c r="UXT146" s="27"/>
      <c r="UXU146" s="27"/>
      <c r="UXV146" s="27"/>
      <c r="UXW146" s="27"/>
      <c r="UXX146" s="27"/>
      <c r="UXY146" s="27"/>
      <c r="UXZ146" s="27"/>
      <c r="UYA146" s="27"/>
      <c r="UYB146" s="27"/>
      <c r="UYC146" s="27"/>
      <c r="UYD146" s="27"/>
      <c r="UYE146" s="27"/>
      <c r="UYF146" s="27"/>
      <c r="UYG146" s="27"/>
      <c r="UYH146" s="27"/>
      <c r="UYI146" s="27"/>
      <c r="UYJ146" s="27"/>
      <c r="UYK146" s="27"/>
      <c r="UYL146" s="27"/>
      <c r="UYM146" s="27"/>
      <c r="UYN146" s="27"/>
      <c r="UYO146" s="27"/>
      <c r="UYP146" s="27"/>
      <c r="UYQ146" s="27"/>
      <c r="UYR146" s="27"/>
      <c r="UYS146" s="27"/>
      <c r="UYT146" s="27"/>
      <c r="UYU146" s="27"/>
      <c r="UYV146" s="27"/>
      <c r="UYW146" s="27"/>
      <c r="UYX146" s="27"/>
      <c r="UYY146" s="27"/>
      <c r="UYZ146" s="27"/>
      <c r="UZA146" s="27"/>
      <c r="UZB146" s="27"/>
      <c r="UZC146" s="27"/>
      <c r="UZD146" s="27"/>
      <c r="UZE146" s="27"/>
      <c r="UZF146" s="27"/>
      <c r="UZG146" s="27"/>
      <c r="UZH146" s="27"/>
      <c r="UZI146" s="27"/>
      <c r="UZJ146" s="27"/>
      <c r="UZK146" s="27"/>
      <c r="UZL146" s="27"/>
      <c r="UZM146" s="27"/>
      <c r="UZN146" s="27"/>
      <c r="UZO146" s="27"/>
      <c r="UZP146" s="27"/>
      <c r="UZQ146" s="27"/>
      <c r="UZR146" s="27"/>
      <c r="UZS146" s="27"/>
      <c r="UZT146" s="27"/>
      <c r="UZU146" s="27"/>
      <c r="UZV146" s="27"/>
      <c r="UZW146" s="27"/>
      <c r="UZX146" s="27"/>
      <c r="UZY146" s="27"/>
      <c r="UZZ146" s="27"/>
      <c r="VAA146" s="27"/>
      <c r="VAB146" s="27"/>
      <c r="VAC146" s="27"/>
      <c r="VAD146" s="27"/>
      <c r="VAE146" s="27"/>
      <c r="VAF146" s="27"/>
      <c r="VAG146" s="27"/>
      <c r="VAH146" s="27"/>
      <c r="VAI146" s="27"/>
      <c r="VAJ146" s="27"/>
      <c r="VAK146" s="27"/>
      <c r="VAL146" s="27"/>
      <c r="VAM146" s="27"/>
      <c r="VAN146" s="27"/>
      <c r="VAO146" s="27"/>
      <c r="VAP146" s="27"/>
      <c r="VAQ146" s="27"/>
      <c r="VAR146" s="27"/>
      <c r="VAS146" s="27"/>
      <c r="VAT146" s="27"/>
      <c r="VAU146" s="27"/>
      <c r="VAV146" s="27"/>
      <c r="VAW146" s="27"/>
      <c r="VAX146" s="27"/>
      <c r="VAY146" s="27"/>
      <c r="VAZ146" s="27"/>
      <c r="VBA146" s="27"/>
      <c r="VBB146" s="27"/>
      <c r="VBC146" s="27"/>
      <c r="VBD146" s="27"/>
      <c r="VBE146" s="27"/>
      <c r="VBF146" s="27"/>
      <c r="VBG146" s="27"/>
      <c r="VBH146" s="27"/>
      <c r="VBI146" s="27"/>
      <c r="VBJ146" s="27"/>
      <c r="VBK146" s="27"/>
      <c r="VBL146" s="27"/>
      <c r="VBM146" s="27"/>
      <c r="VBN146" s="27"/>
      <c r="VBO146" s="27"/>
      <c r="VBP146" s="27"/>
      <c r="VBQ146" s="27"/>
      <c r="VBR146" s="27"/>
      <c r="VBS146" s="27"/>
      <c r="VBT146" s="27"/>
      <c r="VBU146" s="27"/>
      <c r="VBV146" s="27"/>
      <c r="VBW146" s="27"/>
      <c r="VBX146" s="27"/>
      <c r="VBY146" s="27"/>
      <c r="VBZ146" s="27"/>
      <c r="VCA146" s="27"/>
      <c r="VCB146" s="27"/>
      <c r="VCC146" s="27"/>
      <c r="VCD146" s="27"/>
      <c r="VCE146" s="27"/>
      <c r="VCF146" s="27"/>
      <c r="VCG146" s="27"/>
      <c r="VCH146" s="27"/>
      <c r="VCI146" s="27"/>
      <c r="VCJ146" s="27"/>
      <c r="VCK146" s="27"/>
      <c r="VCL146" s="27"/>
      <c r="VCM146" s="27"/>
      <c r="VCN146" s="27"/>
      <c r="VCO146" s="27"/>
      <c r="VCP146" s="27"/>
      <c r="VCQ146" s="27"/>
      <c r="VCR146" s="27"/>
      <c r="VCS146" s="27"/>
      <c r="VCT146" s="27"/>
      <c r="VCU146" s="27"/>
      <c r="VCV146" s="27"/>
      <c r="VCW146" s="27"/>
      <c r="VCX146" s="27"/>
      <c r="VCY146" s="27"/>
      <c r="VCZ146" s="27"/>
      <c r="VDA146" s="27"/>
      <c r="VDB146" s="27"/>
      <c r="VDC146" s="27"/>
      <c r="VDD146" s="27"/>
      <c r="VDE146" s="27"/>
      <c r="VDF146" s="27"/>
      <c r="VDG146" s="27"/>
      <c r="VDH146" s="27"/>
      <c r="VDI146" s="27"/>
      <c r="VDJ146" s="27"/>
      <c r="VDK146" s="27"/>
      <c r="VDL146" s="27"/>
      <c r="VDM146" s="27"/>
      <c r="VDN146" s="27"/>
      <c r="VDO146" s="27"/>
      <c r="VDP146" s="27"/>
      <c r="VDQ146" s="27"/>
      <c r="VDR146" s="27"/>
      <c r="VDS146" s="27"/>
      <c r="VDT146" s="27"/>
      <c r="VDU146" s="27"/>
      <c r="VDV146" s="27"/>
      <c r="VDW146" s="27"/>
      <c r="VDX146" s="27"/>
      <c r="VDY146" s="27"/>
      <c r="VDZ146" s="27"/>
      <c r="VEA146" s="27"/>
      <c r="VEB146" s="27"/>
      <c r="VEC146" s="27"/>
      <c r="VED146" s="27"/>
      <c r="VEE146" s="27"/>
      <c r="VEF146" s="27"/>
      <c r="VEG146" s="27"/>
      <c r="VEH146" s="27"/>
      <c r="VEI146" s="27"/>
      <c r="VEJ146" s="27"/>
      <c r="VEK146" s="27"/>
      <c r="VEL146" s="27"/>
      <c r="VEM146" s="27"/>
      <c r="VEN146" s="27"/>
      <c r="VEO146" s="27"/>
      <c r="VEP146" s="27"/>
      <c r="VEQ146" s="27"/>
      <c r="VER146" s="27"/>
      <c r="VES146" s="27"/>
      <c r="VET146" s="27"/>
      <c r="VEU146" s="27"/>
      <c r="VEV146" s="27"/>
      <c r="VEW146" s="27"/>
      <c r="VEX146" s="27"/>
      <c r="VEY146" s="27"/>
      <c r="VEZ146" s="27"/>
      <c r="VFA146" s="27"/>
      <c r="VFB146" s="27"/>
      <c r="VFC146" s="27"/>
      <c r="VFD146" s="27"/>
      <c r="VFE146" s="27"/>
      <c r="VFF146" s="27"/>
      <c r="VFG146" s="27"/>
      <c r="VFH146" s="27"/>
      <c r="VFI146" s="27"/>
      <c r="VFJ146" s="27"/>
      <c r="VFK146" s="27"/>
      <c r="VFL146" s="27"/>
      <c r="VFM146" s="27"/>
      <c r="VFN146" s="27"/>
      <c r="VFO146" s="27"/>
      <c r="VFP146" s="27"/>
      <c r="VFQ146" s="27"/>
      <c r="VFR146" s="27"/>
      <c r="VFS146" s="27"/>
      <c r="VFT146" s="27"/>
      <c r="VFU146" s="27"/>
      <c r="VFV146" s="27"/>
      <c r="VFW146" s="27"/>
      <c r="VFX146" s="27"/>
      <c r="VFY146" s="27"/>
      <c r="VFZ146" s="27"/>
      <c r="VGA146" s="27"/>
      <c r="VGB146" s="27"/>
      <c r="VGC146" s="27"/>
      <c r="VGD146" s="27"/>
      <c r="VGE146" s="27"/>
      <c r="VGF146" s="27"/>
      <c r="VGG146" s="27"/>
      <c r="VGH146" s="27"/>
      <c r="VGI146" s="27"/>
      <c r="VGJ146" s="27"/>
      <c r="VGK146" s="27"/>
      <c r="VGL146" s="27"/>
      <c r="VGM146" s="27"/>
      <c r="VGN146" s="27"/>
      <c r="VGO146" s="27"/>
      <c r="VGP146" s="27"/>
      <c r="VGQ146" s="27"/>
      <c r="VGR146" s="27"/>
      <c r="VGS146" s="27"/>
      <c r="VGT146" s="27"/>
      <c r="VGU146" s="27"/>
      <c r="VGV146" s="27"/>
      <c r="VGW146" s="27"/>
      <c r="VGX146" s="27"/>
      <c r="VGY146" s="27"/>
      <c r="VGZ146" s="27"/>
      <c r="VHA146" s="27"/>
      <c r="VHB146" s="27"/>
      <c r="VHC146" s="27"/>
      <c r="VHD146" s="27"/>
      <c r="VHE146" s="27"/>
      <c r="VHF146" s="27"/>
      <c r="VHG146" s="27"/>
      <c r="VHH146" s="27"/>
      <c r="VHI146" s="27"/>
      <c r="VHJ146" s="27"/>
      <c r="VHK146" s="27"/>
      <c r="VHL146" s="27"/>
      <c r="VHM146" s="27"/>
      <c r="VHN146" s="27"/>
      <c r="VHO146" s="27"/>
      <c r="VHP146" s="27"/>
      <c r="VHQ146" s="27"/>
      <c r="VHR146" s="27"/>
      <c r="VHS146" s="27"/>
      <c r="VHT146" s="27"/>
      <c r="VHU146" s="27"/>
      <c r="VHV146" s="27"/>
      <c r="VHW146" s="27"/>
      <c r="VHX146" s="27"/>
      <c r="VHY146" s="27"/>
      <c r="VHZ146" s="27"/>
      <c r="VIA146" s="27"/>
      <c r="VIB146" s="27"/>
      <c r="VIC146" s="27"/>
      <c r="VID146" s="27"/>
      <c r="VIE146" s="27"/>
      <c r="VIF146" s="27"/>
      <c r="VIG146" s="27"/>
      <c r="VIH146" s="27"/>
      <c r="VII146" s="27"/>
      <c r="VIJ146" s="27"/>
      <c r="VIK146" s="27"/>
      <c r="VIL146" s="27"/>
      <c r="VIM146" s="27"/>
      <c r="VIN146" s="27"/>
      <c r="VIO146" s="27"/>
      <c r="VIP146" s="27"/>
      <c r="VIQ146" s="27"/>
      <c r="VIR146" s="27"/>
      <c r="VIS146" s="27"/>
      <c r="VIT146" s="27"/>
      <c r="VIU146" s="27"/>
      <c r="VIV146" s="27"/>
      <c r="VIW146" s="27"/>
      <c r="VIX146" s="27"/>
      <c r="VIY146" s="27"/>
      <c r="VIZ146" s="27"/>
      <c r="VJA146" s="27"/>
      <c r="VJB146" s="27"/>
      <c r="VJC146" s="27"/>
      <c r="VJD146" s="27"/>
      <c r="VJE146" s="27"/>
      <c r="VJF146" s="27"/>
      <c r="VJG146" s="27"/>
      <c r="VJH146" s="27"/>
      <c r="VJI146" s="27"/>
      <c r="VJJ146" s="27"/>
      <c r="VJK146" s="27"/>
      <c r="VJL146" s="27"/>
      <c r="VJM146" s="27"/>
      <c r="VJN146" s="27"/>
      <c r="VJO146" s="27"/>
      <c r="VJP146" s="27"/>
      <c r="VJQ146" s="27"/>
      <c r="VJR146" s="27"/>
      <c r="VJS146" s="27"/>
      <c r="VJT146" s="27"/>
      <c r="VJU146" s="27"/>
      <c r="VJV146" s="27"/>
      <c r="VJW146" s="27"/>
      <c r="VJX146" s="27"/>
      <c r="VJY146" s="27"/>
      <c r="VJZ146" s="27"/>
      <c r="VKA146" s="27"/>
      <c r="VKB146" s="27"/>
      <c r="VKC146" s="27"/>
      <c r="VKD146" s="27"/>
      <c r="VKE146" s="27"/>
      <c r="VKF146" s="27"/>
      <c r="VKG146" s="27"/>
      <c r="VKH146" s="27"/>
      <c r="VKI146" s="27"/>
      <c r="VKJ146" s="27"/>
      <c r="VKK146" s="27"/>
      <c r="VKL146" s="27"/>
      <c r="VKM146" s="27"/>
      <c r="VKN146" s="27"/>
      <c r="VKO146" s="27"/>
      <c r="VKP146" s="27"/>
      <c r="VKQ146" s="27"/>
      <c r="VKR146" s="27"/>
      <c r="VKS146" s="27"/>
      <c r="VKT146" s="27"/>
      <c r="VKU146" s="27"/>
      <c r="VKV146" s="27"/>
      <c r="VKW146" s="27"/>
      <c r="VKX146" s="27"/>
      <c r="VKY146" s="27"/>
      <c r="VKZ146" s="27"/>
      <c r="VLA146" s="27"/>
      <c r="VLB146" s="27"/>
      <c r="VLC146" s="27"/>
      <c r="VLD146" s="27"/>
      <c r="VLE146" s="27"/>
      <c r="VLF146" s="27"/>
      <c r="VLG146" s="27"/>
      <c r="VLH146" s="27"/>
      <c r="VLI146" s="27"/>
      <c r="VLJ146" s="27"/>
      <c r="VLK146" s="27"/>
      <c r="VLL146" s="27"/>
      <c r="VLM146" s="27"/>
      <c r="VLN146" s="27"/>
      <c r="VLO146" s="27"/>
      <c r="VLP146" s="27"/>
      <c r="VLQ146" s="27"/>
      <c r="VLR146" s="27"/>
      <c r="VLS146" s="27"/>
      <c r="VLT146" s="27"/>
      <c r="VLU146" s="27"/>
      <c r="VLV146" s="27"/>
      <c r="VLW146" s="27"/>
      <c r="VLX146" s="27"/>
      <c r="VLY146" s="27"/>
      <c r="VLZ146" s="27"/>
      <c r="VMA146" s="27"/>
      <c r="VMB146" s="27"/>
      <c r="VMC146" s="27"/>
      <c r="VMD146" s="27"/>
      <c r="VME146" s="27"/>
      <c r="VMF146" s="27"/>
      <c r="VMG146" s="27"/>
      <c r="VMH146" s="27"/>
      <c r="VMI146" s="27"/>
      <c r="VMJ146" s="27"/>
      <c r="VMK146" s="27"/>
      <c r="VML146" s="27"/>
      <c r="VMM146" s="27"/>
      <c r="VMN146" s="27"/>
      <c r="VMO146" s="27"/>
      <c r="VMP146" s="27"/>
      <c r="VMQ146" s="27"/>
      <c r="VMR146" s="27"/>
      <c r="VMS146" s="27"/>
      <c r="VMT146" s="27"/>
      <c r="VMU146" s="27"/>
      <c r="VMV146" s="27"/>
      <c r="VMW146" s="27"/>
      <c r="VMX146" s="27"/>
      <c r="VMY146" s="27"/>
      <c r="VMZ146" s="27"/>
      <c r="VNA146" s="27"/>
      <c r="VNB146" s="27"/>
      <c r="VNC146" s="27"/>
      <c r="VND146" s="27"/>
      <c r="VNE146" s="27"/>
      <c r="VNF146" s="27"/>
      <c r="VNG146" s="27"/>
      <c r="VNH146" s="27"/>
      <c r="VNI146" s="27"/>
      <c r="VNJ146" s="27"/>
      <c r="VNK146" s="27"/>
      <c r="VNL146" s="27"/>
      <c r="VNM146" s="27"/>
      <c r="VNN146" s="27"/>
      <c r="VNO146" s="27"/>
      <c r="VNP146" s="27"/>
      <c r="VNQ146" s="27"/>
      <c r="VNR146" s="27"/>
      <c r="VNS146" s="27"/>
      <c r="VNT146" s="27"/>
      <c r="VNU146" s="27"/>
      <c r="VNV146" s="27"/>
      <c r="VNW146" s="27"/>
      <c r="VNX146" s="27"/>
      <c r="VNY146" s="27"/>
      <c r="VNZ146" s="27"/>
      <c r="VOA146" s="27"/>
      <c r="VOB146" s="27"/>
      <c r="VOC146" s="27"/>
      <c r="VOD146" s="27"/>
      <c r="VOE146" s="27"/>
      <c r="VOF146" s="27"/>
      <c r="VOG146" s="27"/>
      <c r="VOH146" s="27"/>
      <c r="VOI146" s="27"/>
      <c r="VOJ146" s="27"/>
      <c r="VOK146" s="27"/>
      <c r="VOL146" s="27"/>
      <c r="VOM146" s="27"/>
      <c r="VON146" s="27"/>
      <c r="VOO146" s="27"/>
      <c r="VOP146" s="27"/>
      <c r="VOQ146" s="27"/>
      <c r="VOR146" s="27"/>
      <c r="VOS146" s="27"/>
      <c r="VOT146" s="27"/>
      <c r="VOU146" s="27"/>
      <c r="VOV146" s="27"/>
      <c r="VOW146" s="27"/>
      <c r="VOX146" s="27"/>
      <c r="VOY146" s="27"/>
      <c r="VOZ146" s="27"/>
      <c r="VPA146" s="27"/>
      <c r="VPB146" s="27"/>
      <c r="VPC146" s="27"/>
      <c r="VPD146" s="27"/>
      <c r="VPE146" s="27"/>
      <c r="VPF146" s="27"/>
      <c r="VPG146" s="27"/>
      <c r="VPH146" s="27"/>
      <c r="VPI146" s="27"/>
      <c r="VPJ146" s="27"/>
      <c r="VPK146" s="27"/>
      <c r="VPL146" s="27"/>
      <c r="VPM146" s="27"/>
      <c r="VPN146" s="27"/>
      <c r="VPO146" s="27"/>
      <c r="VPP146" s="27"/>
      <c r="VPQ146" s="27"/>
      <c r="VPR146" s="27"/>
      <c r="VPS146" s="27"/>
      <c r="VPT146" s="27"/>
      <c r="VPU146" s="27"/>
      <c r="VPV146" s="27"/>
      <c r="VPW146" s="27"/>
      <c r="VPX146" s="27"/>
      <c r="VPY146" s="27"/>
      <c r="VPZ146" s="27"/>
      <c r="VQA146" s="27"/>
      <c r="VQB146" s="27"/>
      <c r="VQC146" s="27"/>
      <c r="VQD146" s="27"/>
      <c r="VQE146" s="27"/>
      <c r="VQF146" s="27"/>
      <c r="VQG146" s="27"/>
      <c r="VQH146" s="27"/>
      <c r="VQI146" s="27"/>
      <c r="VQJ146" s="27"/>
      <c r="VQK146" s="27"/>
      <c r="VQL146" s="27"/>
      <c r="VQM146" s="27"/>
      <c r="VQN146" s="27"/>
      <c r="VQO146" s="27"/>
      <c r="VQP146" s="27"/>
      <c r="VQQ146" s="27"/>
      <c r="VQR146" s="27"/>
      <c r="VQS146" s="27"/>
      <c r="VQT146" s="27"/>
      <c r="VQU146" s="27"/>
      <c r="VQV146" s="27"/>
      <c r="VQW146" s="27"/>
      <c r="VQX146" s="27"/>
      <c r="VQY146" s="27"/>
      <c r="VQZ146" s="27"/>
      <c r="VRA146" s="27"/>
      <c r="VRB146" s="27"/>
      <c r="VRC146" s="27"/>
      <c r="VRD146" s="27"/>
      <c r="VRE146" s="27"/>
      <c r="VRF146" s="27"/>
      <c r="VRG146" s="27"/>
      <c r="VRH146" s="27"/>
      <c r="VRI146" s="27"/>
      <c r="VRJ146" s="27"/>
      <c r="VRK146" s="27"/>
      <c r="VRL146" s="27"/>
      <c r="VRM146" s="27"/>
      <c r="VRN146" s="27"/>
      <c r="VRO146" s="27"/>
      <c r="VRP146" s="27"/>
      <c r="VRQ146" s="27"/>
      <c r="VRR146" s="27"/>
      <c r="VRS146" s="27"/>
      <c r="VRT146" s="27"/>
      <c r="VRU146" s="27"/>
      <c r="VRV146" s="27"/>
      <c r="VRW146" s="27"/>
      <c r="VRX146" s="27"/>
      <c r="VRY146" s="27"/>
      <c r="VRZ146" s="27"/>
      <c r="VSA146" s="27"/>
      <c r="VSB146" s="27"/>
      <c r="VSC146" s="27"/>
      <c r="VSD146" s="27"/>
      <c r="VSE146" s="27"/>
      <c r="VSF146" s="27"/>
      <c r="VSG146" s="27"/>
      <c r="VSH146" s="27"/>
      <c r="VSI146" s="27"/>
      <c r="VSJ146" s="27"/>
      <c r="VSK146" s="27"/>
      <c r="VSL146" s="27"/>
      <c r="VSM146" s="27"/>
      <c r="VSN146" s="27"/>
      <c r="VSO146" s="27"/>
      <c r="VSP146" s="27"/>
      <c r="VSQ146" s="27"/>
      <c r="VSR146" s="27"/>
      <c r="VSS146" s="27"/>
      <c r="VST146" s="27"/>
      <c r="VSU146" s="27"/>
      <c r="VSV146" s="27"/>
      <c r="VSW146" s="27"/>
      <c r="VSX146" s="27"/>
      <c r="VSY146" s="27"/>
      <c r="VSZ146" s="27"/>
      <c r="VTA146" s="27"/>
      <c r="VTB146" s="27"/>
      <c r="VTC146" s="27"/>
      <c r="VTD146" s="27"/>
      <c r="VTE146" s="27"/>
      <c r="VTF146" s="27"/>
      <c r="VTG146" s="27"/>
      <c r="VTH146" s="27"/>
      <c r="VTI146" s="27"/>
      <c r="VTJ146" s="27"/>
      <c r="VTK146" s="27"/>
      <c r="VTL146" s="27"/>
      <c r="VTM146" s="27"/>
      <c r="VTN146" s="27"/>
      <c r="VTO146" s="27"/>
      <c r="VTP146" s="27"/>
      <c r="VTQ146" s="27"/>
      <c r="VTR146" s="27"/>
      <c r="VTS146" s="27"/>
      <c r="VTT146" s="27"/>
      <c r="VTU146" s="27"/>
      <c r="VTV146" s="27"/>
      <c r="VTW146" s="27"/>
      <c r="VTX146" s="27"/>
      <c r="VTY146" s="27"/>
      <c r="VTZ146" s="27"/>
      <c r="VUA146" s="27"/>
      <c r="VUB146" s="27"/>
      <c r="VUC146" s="27"/>
      <c r="VUD146" s="27"/>
      <c r="VUE146" s="27"/>
      <c r="VUF146" s="27"/>
      <c r="VUG146" s="27"/>
      <c r="VUH146" s="27"/>
      <c r="VUI146" s="27"/>
      <c r="VUJ146" s="27"/>
      <c r="VUK146" s="27"/>
      <c r="VUL146" s="27"/>
      <c r="VUM146" s="27"/>
      <c r="VUN146" s="27"/>
      <c r="VUO146" s="27"/>
      <c r="VUP146" s="27"/>
      <c r="VUQ146" s="27"/>
      <c r="VUR146" s="27"/>
      <c r="VUS146" s="27"/>
      <c r="VUT146" s="27"/>
      <c r="VUU146" s="27"/>
      <c r="VUV146" s="27"/>
      <c r="VUW146" s="27"/>
      <c r="VUX146" s="27"/>
      <c r="VUY146" s="27"/>
      <c r="VUZ146" s="27"/>
      <c r="VVA146" s="27"/>
      <c r="VVB146" s="27"/>
      <c r="VVC146" s="27"/>
      <c r="VVD146" s="27"/>
      <c r="VVE146" s="27"/>
      <c r="VVF146" s="27"/>
      <c r="VVG146" s="27"/>
      <c r="VVH146" s="27"/>
      <c r="VVI146" s="27"/>
      <c r="VVJ146" s="27"/>
      <c r="VVK146" s="27"/>
      <c r="VVL146" s="27"/>
      <c r="VVM146" s="27"/>
      <c r="VVN146" s="27"/>
      <c r="VVO146" s="27"/>
      <c r="VVP146" s="27"/>
      <c r="VVQ146" s="27"/>
      <c r="VVR146" s="27"/>
      <c r="VVS146" s="27"/>
      <c r="VVT146" s="27"/>
      <c r="VVU146" s="27"/>
      <c r="VVV146" s="27"/>
      <c r="VVW146" s="27"/>
      <c r="VVX146" s="27"/>
      <c r="VVY146" s="27"/>
      <c r="VVZ146" s="27"/>
      <c r="VWA146" s="27"/>
      <c r="VWB146" s="27"/>
      <c r="VWC146" s="27"/>
      <c r="VWD146" s="27"/>
      <c r="VWE146" s="27"/>
      <c r="VWF146" s="27"/>
      <c r="VWG146" s="27"/>
      <c r="VWH146" s="27"/>
      <c r="VWI146" s="27"/>
      <c r="VWJ146" s="27"/>
      <c r="VWK146" s="27"/>
      <c r="VWL146" s="27"/>
      <c r="VWM146" s="27"/>
      <c r="VWN146" s="27"/>
      <c r="VWO146" s="27"/>
      <c r="VWP146" s="27"/>
      <c r="VWQ146" s="27"/>
      <c r="VWR146" s="27"/>
      <c r="VWS146" s="27"/>
      <c r="VWT146" s="27"/>
      <c r="VWU146" s="27"/>
      <c r="VWV146" s="27"/>
      <c r="VWW146" s="27"/>
      <c r="VWX146" s="27"/>
      <c r="VWY146" s="27"/>
      <c r="VWZ146" s="27"/>
      <c r="VXA146" s="27"/>
      <c r="VXB146" s="27"/>
      <c r="VXC146" s="27"/>
      <c r="VXD146" s="27"/>
      <c r="VXE146" s="27"/>
      <c r="VXF146" s="27"/>
      <c r="VXG146" s="27"/>
      <c r="VXH146" s="27"/>
      <c r="VXI146" s="27"/>
      <c r="VXJ146" s="27"/>
      <c r="VXK146" s="27"/>
      <c r="VXL146" s="27"/>
      <c r="VXM146" s="27"/>
      <c r="VXN146" s="27"/>
      <c r="VXO146" s="27"/>
      <c r="VXP146" s="27"/>
      <c r="VXQ146" s="27"/>
      <c r="VXR146" s="27"/>
      <c r="VXS146" s="27"/>
      <c r="VXT146" s="27"/>
      <c r="VXU146" s="27"/>
      <c r="VXV146" s="27"/>
      <c r="VXW146" s="27"/>
      <c r="VXX146" s="27"/>
      <c r="VXY146" s="27"/>
      <c r="VXZ146" s="27"/>
      <c r="VYA146" s="27"/>
      <c r="VYB146" s="27"/>
      <c r="VYC146" s="27"/>
      <c r="VYD146" s="27"/>
      <c r="VYE146" s="27"/>
      <c r="VYF146" s="27"/>
      <c r="VYG146" s="27"/>
      <c r="VYH146" s="27"/>
      <c r="VYI146" s="27"/>
      <c r="VYJ146" s="27"/>
      <c r="VYK146" s="27"/>
      <c r="VYL146" s="27"/>
      <c r="VYM146" s="27"/>
      <c r="VYN146" s="27"/>
      <c r="VYO146" s="27"/>
      <c r="VYP146" s="27"/>
      <c r="VYQ146" s="27"/>
      <c r="VYR146" s="27"/>
      <c r="VYS146" s="27"/>
      <c r="VYT146" s="27"/>
      <c r="VYU146" s="27"/>
      <c r="VYV146" s="27"/>
      <c r="VYW146" s="27"/>
      <c r="VYX146" s="27"/>
      <c r="VYY146" s="27"/>
      <c r="VYZ146" s="27"/>
      <c r="VZA146" s="27"/>
      <c r="VZB146" s="27"/>
      <c r="VZC146" s="27"/>
      <c r="VZD146" s="27"/>
      <c r="VZE146" s="27"/>
      <c r="VZF146" s="27"/>
      <c r="VZG146" s="27"/>
      <c r="VZH146" s="27"/>
      <c r="VZI146" s="27"/>
      <c r="VZJ146" s="27"/>
      <c r="VZK146" s="27"/>
      <c r="VZL146" s="27"/>
      <c r="VZM146" s="27"/>
      <c r="VZN146" s="27"/>
      <c r="VZO146" s="27"/>
      <c r="VZP146" s="27"/>
      <c r="VZQ146" s="27"/>
      <c r="VZR146" s="27"/>
      <c r="VZS146" s="27"/>
      <c r="VZT146" s="27"/>
      <c r="VZU146" s="27"/>
      <c r="VZV146" s="27"/>
      <c r="VZW146" s="27"/>
      <c r="VZX146" s="27"/>
      <c r="VZY146" s="27"/>
      <c r="VZZ146" s="27"/>
      <c r="WAA146" s="27"/>
      <c r="WAB146" s="27"/>
      <c r="WAC146" s="27"/>
      <c r="WAD146" s="27"/>
      <c r="WAE146" s="27"/>
      <c r="WAF146" s="27"/>
      <c r="WAG146" s="27"/>
      <c r="WAH146" s="27"/>
      <c r="WAI146" s="27"/>
      <c r="WAJ146" s="27"/>
      <c r="WAK146" s="27"/>
      <c r="WAL146" s="27"/>
      <c r="WAM146" s="27"/>
      <c r="WAN146" s="27"/>
      <c r="WAO146" s="27"/>
      <c r="WAP146" s="27"/>
      <c r="WAQ146" s="27"/>
      <c r="WAR146" s="27"/>
      <c r="WAS146" s="27"/>
      <c r="WAT146" s="27"/>
      <c r="WAU146" s="27"/>
      <c r="WAV146" s="27"/>
      <c r="WAW146" s="27"/>
      <c r="WAX146" s="27"/>
      <c r="WAY146" s="27"/>
      <c r="WAZ146" s="27"/>
      <c r="WBA146" s="27"/>
      <c r="WBB146" s="27"/>
      <c r="WBC146" s="27"/>
      <c r="WBD146" s="27"/>
      <c r="WBE146" s="27"/>
      <c r="WBF146" s="27"/>
      <c r="WBG146" s="27"/>
      <c r="WBH146" s="27"/>
      <c r="WBI146" s="27"/>
      <c r="WBJ146" s="27"/>
      <c r="WBK146" s="27"/>
      <c r="WBL146" s="27"/>
      <c r="WBM146" s="27"/>
      <c r="WBN146" s="27"/>
      <c r="WBO146" s="27"/>
      <c r="WBP146" s="27"/>
      <c r="WBQ146" s="27"/>
      <c r="WBR146" s="27"/>
      <c r="WBS146" s="27"/>
      <c r="WBT146" s="27"/>
      <c r="WBU146" s="27"/>
      <c r="WBV146" s="27"/>
      <c r="WBW146" s="27"/>
      <c r="WBX146" s="27"/>
      <c r="WBY146" s="27"/>
      <c r="WBZ146" s="27"/>
      <c r="WCA146" s="27"/>
      <c r="WCB146" s="27"/>
      <c r="WCC146" s="27"/>
      <c r="WCD146" s="27"/>
      <c r="WCE146" s="27"/>
      <c r="WCF146" s="27"/>
      <c r="WCG146" s="27"/>
      <c r="WCH146" s="27"/>
      <c r="WCI146" s="27"/>
      <c r="WCJ146" s="27"/>
      <c r="WCK146" s="27"/>
      <c r="WCL146" s="27"/>
      <c r="WCM146" s="27"/>
      <c r="WCN146" s="27"/>
      <c r="WCO146" s="27"/>
      <c r="WCP146" s="27"/>
      <c r="WCQ146" s="27"/>
      <c r="WCR146" s="27"/>
      <c r="WCS146" s="27"/>
      <c r="WCT146" s="27"/>
      <c r="WCU146" s="27"/>
      <c r="WCV146" s="27"/>
      <c r="WCW146" s="27"/>
      <c r="WCX146" s="27"/>
      <c r="WCY146" s="27"/>
      <c r="WCZ146" s="27"/>
      <c r="WDA146" s="27"/>
      <c r="WDB146" s="27"/>
      <c r="WDC146" s="27"/>
      <c r="WDD146" s="27"/>
      <c r="WDE146" s="27"/>
      <c r="WDF146" s="27"/>
      <c r="WDG146" s="27"/>
      <c r="WDH146" s="27"/>
      <c r="WDI146" s="27"/>
      <c r="WDJ146" s="27"/>
      <c r="WDK146" s="27"/>
      <c r="WDL146" s="27"/>
      <c r="WDM146" s="27"/>
      <c r="WDN146" s="27"/>
      <c r="WDO146" s="27"/>
      <c r="WDP146" s="27"/>
      <c r="WDQ146" s="27"/>
      <c r="WDR146" s="27"/>
      <c r="WDS146" s="27"/>
      <c r="WDT146" s="27"/>
      <c r="WDU146" s="27"/>
      <c r="WDV146" s="27"/>
      <c r="WDW146" s="27"/>
      <c r="WDX146" s="27"/>
      <c r="WDY146" s="27"/>
      <c r="WDZ146" s="27"/>
      <c r="WEA146" s="27"/>
      <c r="WEB146" s="27"/>
      <c r="WEC146" s="27"/>
      <c r="WED146" s="27"/>
      <c r="WEE146" s="27"/>
      <c r="WEF146" s="27"/>
      <c r="WEG146" s="27"/>
      <c r="WEH146" s="27"/>
      <c r="WEI146" s="27"/>
      <c r="WEJ146" s="27"/>
      <c r="WEK146" s="27"/>
      <c r="WEL146" s="27"/>
      <c r="WEM146" s="27"/>
      <c r="WEN146" s="27"/>
      <c r="WEO146" s="27"/>
      <c r="WEP146" s="27"/>
      <c r="WEQ146" s="27"/>
      <c r="WER146" s="27"/>
      <c r="WES146" s="27"/>
      <c r="WET146" s="27"/>
      <c r="WEU146" s="27"/>
      <c r="WEV146" s="27"/>
      <c r="WEW146" s="27"/>
      <c r="WEX146" s="27"/>
      <c r="WEY146" s="27"/>
      <c r="WEZ146" s="27"/>
      <c r="WFA146" s="27"/>
      <c r="WFB146" s="27"/>
      <c r="WFC146" s="27"/>
      <c r="WFD146" s="27"/>
      <c r="WFE146" s="27"/>
      <c r="WFF146" s="27"/>
      <c r="WFG146" s="27"/>
      <c r="WFH146" s="27"/>
      <c r="WFI146" s="27"/>
      <c r="WFJ146" s="27"/>
      <c r="WFK146" s="27"/>
      <c r="WFL146" s="27"/>
      <c r="WFM146" s="27"/>
      <c r="WFN146" s="27"/>
      <c r="WFO146" s="27"/>
      <c r="WFP146" s="27"/>
      <c r="WFQ146" s="27"/>
      <c r="WFR146" s="27"/>
      <c r="WFS146" s="27"/>
      <c r="WFT146" s="27"/>
      <c r="WFU146" s="27"/>
      <c r="WFV146" s="27"/>
      <c r="WFW146" s="27"/>
      <c r="WFX146" s="27"/>
      <c r="WFY146" s="27"/>
      <c r="WFZ146" s="27"/>
      <c r="WGA146" s="27"/>
      <c r="WGB146" s="27"/>
      <c r="WGC146" s="27"/>
      <c r="WGD146" s="27"/>
      <c r="WGE146" s="27"/>
      <c r="WGF146" s="27"/>
      <c r="WGG146" s="27"/>
      <c r="WGH146" s="27"/>
      <c r="WGI146" s="27"/>
      <c r="WGJ146" s="27"/>
      <c r="WGK146" s="27"/>
      <c r="WGL146" s="27"/>
      <c r="WGM146" s="27"/>
      <c r="WGN146" s="27"/>
      <c r="WGO146" s="27"/>
      <c r="WGP146" s="27"/>
      <c r="WGQ146" s="27"/>
      <c r="WGR146" s="27"/>
      <c r="WGS146" s="27"/>
      <c r="WGT146" s="27"/>
      <c r="WGU146" s="27"/>
      <c r="WGV146" s="27"/>
      <c r="WGW146" s="27"/>
      <c r="WGX146" s="27"/>
      <c r="WGY146" s="27"/>
      <c r="WGZ146" s="27"/>
      <c r="WHA146" s="27"/>
      <c r="WHB146" s="27"/>
      <c r="WHC146" s="27"/>
      <c r="WHD146" s="27"/>
      <c r="WHE146" s="27"/>
      <c r="WHF146" s="27"/>
      <c r="WHG146" s="27"/>
      <c r="WHH146" s="27"/>
      <c r="WHI146" s="27"/>
      <c r="WHJ146" s="27"/>
      <c r="WHK146" s="27"/>
      <c r="WHL146" s="27"/>
      <c r="WHM146" s="27"/>
      <c r="WHN146" s="27"/>
      <c r="WHO146" s="27"/>
      <c r="WHP146" s="27"/>
      <c r="WHQ146" s="27"/>
      <c r="WHR146" s="27"/>
      <c r="WHS146" s="27"/>
      <c r="WHT146" s="27"/>
      <c r="WHU146" s="27"/>
      <c r="WHV146" s="27"/>
      <c r="WHW146" s="27"/>
      <c r="WHX146" s="27"/>
      <c r="WHY146" s="27"/>
      <c r="WHZ146" s="27"/>
      <c r="WIA146" s="27"/>
      <c r="WIB146" s="27"/>
      <c r="WIC146" s="27"/>
      <c r="WID146" s="27"/>
      <c r="WIE146" s="27"/>
      <c r="WIF146" s="27"/>
      <c r="WIG146" s="27"/>
      <c r="WIH146" s="27"/>
      <c r="WII146" s="27"/>
      <c r="WIJ146" s="27"/>
      <c r="WIK146" s="27"/>
      <c r="WIL146" s="27"/>
      <c r="WIM146" s="27"/>
      <c r="WIN146" s="27"/>
      <c r="WIO146" s="27"/>
      <c r="WIP146" s="27"/>
      <c r="WIQ146" s="27"/>
      <c r="WIR146" s="27"/>
      <c r="WIS146" s="27"/>
      <c r="WIT146" s="27"/>
      <c r="WIU146" s="27"/>
      <c r="WIV146" s="27"/>
      <c r="WIW146" s="27"/>
      <c r="WIX146" s="27"/>
      <c r="WIY146" s="27"/>
      <c r="WIZ146" s="27"/>
      <c r="WJA146" s="27"/>
      <c r="WJB146" s="27"/>
      <c r="WJC146" s="27"/>
      <c r="WJD146" s="27"/>
      <c r="WJE146" s="27"/>
      <c r="WJF146" s="27"/>
      <c r="WJG146" s="27"/>
      <c r="WJH146" s="27"/>
      <c r="WJI146" s="27"/>
      <c r="WJJ146" s="27"/>
      <c r="WJK146" s="27"/>
      <c r="WJL146" s="27"/>
      <c r="WJM146" s="27"/>
      <c r="WJN146" s="27"/>
      <c r="WJO146" s="27"/>
      <c r="WJP146" s="27"/>
      <c r="WJQ146" s="27"/>
      <c r="WJR146" s="27"/>
      <c r="WJS146" s="27"/>
      <c r="WJT146" s="27"/>
      <c r="WJU146" s="27"/>
      <c r="WJV146" s="27"/>
      <c r="WJW146" s="27"/>
      <c r="WJX146" s="27"/>
      <c r="WJY146" s="27"/>
      <c r="WJZ146" s="27"/>
      <c r="WKA146" s="27"/>
      <c r="WKB146" s="27"/>
      <c r="WKC146" s="27"/>
      <c r="WKD146" s="27"/>
      <c r="WKE146" s="27"/>
      <c r="WKF146" s="27"/>
      <c r="WKG146" s="27"/>
      <c r="WKH146" s="27"/>
      <c r="WKI146" s="27"/>
      <c r="WKJ146" s="27"/>
      <c r="WKK146" s="27"/>
      <c r="WKL146" s="27"/>
      <c r="WKM146" s="27"/>
      <c r="WKN146" s="27"/>
      <c r="WKO146" s="27"/>
      <c r="WKP146" s="27"/>
      <c r="WKQ146" s="27"/>
      <c r="WKR146" s="27"/>
      <c r="WKS146" s="27"/>
      <c r="WKT146" s="27"/>
      <c r="WKU146" s="27"/>
      <c r="WKV146" s="27"/>
      <c r="WKW146" s="27"/>
      <c r="WKX146" s="27"/>
      <c r="WKY146" s="27"/>
      <c r="WKZ146" s="27"/>
      <c r="WLA146" s="27"/>
      <c r="WLB146" s="27"/>
      <c r="WLC146" s="27"/>
      <c r="WLD146" s="27"/>
      <c r="WLE146" s="27"/>
      <c r="WLF146" s="27"/>
      <c r="WLG146" s="27"/>
      <c r="WLH146" s="27"/>
      <c r="WLI146" s="27"/>
      <c r="WLJ146" s="27"/>
      <c r="WLK146" s="27"/>
      <c r="WLL146" s="27"/>
      <c r="WLM146" s="27"/>
      <c r="WLN146" s="27"/>
      <c r="WLO146" s="27"/>
      <c r="WLP146" s="27"/>
      <c r="WLQ146" s="27"/>
      <c r="WLR146" s="27"/>
      <c r="WLS146" s="27"/>
      <c r="WLT146" s="27"/>
      <c r="WLU146" s="27"/>
      <c r="WLV146" s="27"/>
      <c r="WLW146" s="27"/>
      <c r="WLX146" s="27"/>
      <c r="WLY146" s="27"/>
      <c r="WLZ146" s="27"/>
      <c r="WMA146" s="27"/>
      <c r="WMB146" s="27"/>
      <c r="WMC146" s="27"/>
      <c r="WMD146" s="27"/>
      <c r="WME146" s="27"/>
      <c r="WMF146" s="27"/>
      <c r="WMG146" s="27"/>
      <c r="WMH146" s="27"/>
      <c r="WMI146" s="27"/>
      <c r="WMJ146" s="27"/>
      <c r="WMK146" s="27"/>
      <c r="WML146" s="27"/>
      <c r="WMM146" s="27"/>
      <c r="WMN146" s="27"/>
      <c r="WMO146" s="27"/>
      <c r="WMP146" s="27"/>
      <c r="WMQ146" s="27"/>
      <c r="WMR146" s="27"/>
      <c r="WMS146" s="27"/>
      <c r="WMT146" s="27"/>
      <c r="WMU146" s="27"/>
      <c r="WMV146" s="27"/>
      <c r="WMW146" s="27"/>
      <c r="WMX146" s="27"/>
      <c r="WMY146" s="27"/>
      <c r="WMZ146" s="27"/>
      <c r="WNA146" s="27"/>
      <c r="WNB146" s="27"/>
      <c r="WNC146" s="27"/>
      <c r="WND146" s="27"/>
      <c r="WNE146" s="27"/>
      <c r="WNF146" s="27"/>
      <c r="WNG146" s="27"/>
      <c r="WNH146" s="27"/>
      <c r="WNI146" s="27"/>
      <c r="WNJ146" s="27"/>
      <c r="WNK146" s="27"/>
      <c r="WNL146" s="27"/>
      <c r="WNM146" s="27"/>
      <c r="WNN146" s="27"/>
      <c r="WNO146" s="27"/>
      <c r="WNP146" s="27"/>
      <c r="WNQ146" s="27"/>
      <c r="WNR146" s="27"/>
      <c r="WNS146" s="27"/>
      <c r="WNT146" s="27"/>
      <c r="WNU146" s="27"/>
      <c r="WNV146" s="27"/>
      <c r="WNW146" s="27"/>
      <c r="WNX146" s="27"/>
      <c r="WNY146" s="27"/>
      <c r="WNZ146" s="27"/>
      <c r="WOA146" s="27"/>
      <c r="WOB146" s="27"/>
      <c r="WOC146" s="27"/>
      <c r="WOD146" s="27"/>
      <c r="WOE146" s="27"/>
      <c r="WOF146" s="27"/>
      <c r="WOG146" s="27"/>
      <c r="WOH146" s="27"/>
      <c r="WOI146" s="27"/>
      <c r="WOJ146" s="27"/>
      <c r="WOK146" s="27"/>
      <c r="WOL146" s="27"/>
      <c r="WOM146" s="27"/>
      <c r="WON146" s="27"/>
      <c r="WOO146" s="27"/>
      <c r="WOP146" s="27"/>
      <c r="WOQ146" s="27"/>
      <c r="WOR146" s="27"/>
      <c r="WOS146" s="27"/>
      <c r="WOT146" s="27"/>
      <c r="WOU146" s="27"/>
      <c r="WOV146" s="27"/>
      <c r="WOW146" s="27"/>
      <c r="WOX146" s="27"/>
      <c r="WOY146" s="27"/>
      <c r="WOZ146" s="27"/>
      <c r="WPA146" s="27"/>
      <c r="WPB146" s="27"/>
      <c r="WPC146" s="27"/>
      <c r="WPD146" s="27"/>
      <c r="WPE146" s="27"/>
      <c r="WPF146" s="27"/>
      <c r="WPG146" s="27"/>
      <c r="WPH146" s="27"/>
      <c r="WPI146" s="27"/>
      <c r="WPJ146" s="27"/>
      <c r="WPK146" s="27"/>
      <c r="WPL146" s="27"/>
      <c r="WPM146" s="27"/>
      <c r="WPN146" s="27"/>
      <c r="WPO146" s="27"/>
      <c r="WPP146" s="27"/>
      <c r="WPQ146" s="27"/>
      <c r="WPR146" s="27"/>
      <c r="WPS146" s="27"/>
      <c r="WPT146" s="27"/>
      <c r="WPU146" s="27"/>
      <c r="WPV146" s="27"/>
      <c r="WPW146" s="27"/>
      <c r="WPX146" s="27"/>
      <c r="WPY146" s="27"/>
      <c r="WPZ146" s="27"/>
      <c r="WQA146" s="27"/>
      <c r="WQB146" s="27"/>
      <c r="WQC146" s="27"/>
      <c r="WQD146" s="27"/>
      <c r="WQE146" s="27"/>
      <c r="WQF146" s="27"/>
      <c r="WQG146" s="27"/>
      <c r="WQH146" s="27"/>
      <c r="WQI146" s="27"/>
      <c r="WQJ146" s="27"/>
      <c r="WQK146" s="27"/>
      <c r="WQL146" s="27"/>
      <c r="WQM146" s="27"/>
      <c r="WQN146" s="27"/>
      <c r="WQO146" s="27"/>
      <c r="WQP146" s="27"/>
      <c r="WQQ146" s="27"/>
      <c r="WQR146" s="27"/>
      <c r="WQS146" s="27"/>
      <c r="WQT146" s="27"/>
      <c r="WQU146" s="27"/>
      <c r="WQV146" s="27"/>
      <c r="WQW146" s="27"/>
      <c r="WQX146" s="27"/>
      <c r="WQY146" s="27"/>
      <c r="WQZ146" s="27"/>
      <c r="WRA146" s="27"/>
      <c r="WRB146" s="27"/>
      <c r="WRC146" s="27"/>
      <c r="WRD146" s="27"/>
      <c r="WRE146" s="27"/>
      <c r="WRF146" s="27"/>
      <c r="WRG146" s="27"/>
      <c r="WRH146" s="27"/>
      <c r="WRI146" s="27"/>
      <c r="WRJ146" s="27"/>
      <c r="WRK146" s="27"/>
      <c r="WRL146" s="27"/>
      <c r="WRM146" s="27"/>
      <c r="WRN146" s="27"/>
      <c r="WRO146" s="27"/>
      <c r="WRP146" s="27"/>
      <c r="WRQ146" s="27"/>
      <c r="WRR146" s="27"/>
      <c r="WRS146" s="27"/>
      <c r="WRT146" s="27"/>
      <c r="WRU146" s="27"/>
      <c r="WRV146" s="27"/>
      <c r="WRW146" s="27"/>
      <c r="WRX146" s="27"/>
      <c r="WRY146" s="27"/>
      <c r="WRZ146" s="27"/>
      <c r="WSA146" s="27"/>
      <c r="WSB146" s="27"/>
      <c r="WSC146" s="27"/>
      <c r="WSD146" s="27"/>
      <c r="WSE146" s="27"/>
      <c r="WSF146" s="27"/>
      <c r="WSG146" s="27"/>
      <c r="WSH146" s="27"/>
      <c r="WSI146" s="27"/>
      <c r="WSJ146" s="27"/>
      <c r="WSK146" s="27"/>
      <c r="WSL146" s="27"/>
      <c r="WSM146" s="27"/>
      <c r="WSN146" s="27"/>
      <c r="WSO146" s="27"/>
      <c r="WSP146" s="27"/>
      <c r="WSQ146" s="27"/>
      <c r="WSR146" s="27"/>
      <c r="WSS146" s="27"/>
      <c r="WST146" s="27"/>
      <c r="WSU146" s="27"/>
      <c r="WSV146" s="27"/>
      <c r="WSW146" s="27"/>
      <c r="WSX146" s="27"/>
      <c r="WSY146" s="27"/>
      <c r="WSZ146" s="27"/>
      <c r="WTA146" s="27"/>
      <c r="WTB146" s="27"/>
      <c r="WTC146" s="27"/>
      <c r="WTD146" s="27"/>
      <c r="WTE146" s="27"/>
      <c r="WTF146" s="27"/>
      <c r="WTG146" s="27"/>
      <c r="WTH146" s="27"/>
      <c r="WTI146" s="27"/>
      <c r="WTJ146" s="27"/>
      <c r="WTK146" s="27"/>
      <c r="WTL146" s="27"/>
      <c r="WTM146" s="27"/>
      <c r="WTN146" s="27"/>
      <c r="WTO146" s="27"/>
      <c r="WTP146" s="27"/>
      <c r="WTQ146" s="27"/>
      <c r="WTR146" s="27"/>
      <c r="WTS146" s="27"/>
      <c r="WTT146" s="27"/>
      <c r="WTU146" s="27"/>
      <c r="WTV146" s="27"/>
      <c r="WTW146" s="27"/>
      <c r="WTX146" s="27"/>
      <c r="WTY146" s="27"/>
      <c r="WTZ146" s="27"/>
      <c r="WUA146" s="27"/>
      <c r="WUB146" s="27"/>
      <c r="WUC146" s="27"/>
      <c r="WUD146" s="27"/>
      <c r="WUE146" s="27"/>
      <c r="WUF146" s="27"/>
      <c r="WUG146" s="27"/>
      <c r="WUH146" s="27"/>
      <c r="WUI146" s="27"/>
      <c r="WUJ146" s="27"/>
      <c r="WUK146" s="27"/>
      <c r="WUL146" s="27"/>
      <c r="WUM146" s="27"/>
      <c r="WUN146" s="27"/>
      <c r="WUO146" s="27"/>
      <c r="WUP146" s="27"/>
      <c r="WUQ146" s="27"/>
      <c r="WUR146" s="27"/>
      <c r="WUS146" s="27"/>
      <c r="WUT146" s="27"/>
      <c r="WUU146" s="27"/>
      <c r="WUV146" s="27"/>
      <c r="WUW146" s="27"/>
      <c r="WUX146" s="27"/>
      <c r="WUY146" s="27"/>
      <c r="WUZ146" s="27"/>
      <c r="WVA146" s="27"/>
      <c r="WVB146" s="27"/>
      <c r="WVC146" s="27"/>
      <c r="WVD146" s="27"/>
      <c r="WVE146" s="27"/>
      <c r="WVF146" s="27"/>
      <c r="WVG146" s="27"/>
      <c r="WVH146" s="27"/>
      <c r="WVI146" s="27"/>
      <c r="WVJ146" s="27"/>
      <c r="WVK146" s="27"/>
      <c r="WVL146" s="27"/>
      <c r="WVM146" s="27"/>
      <c r="WVN146" s="27"/>
      <c r="WVO146" s="27"/>
      <c r="WVP146" s="27"/>
      <c r="WVQ146" s="27"/>
      <c r="WVR146" s="27"/>
      <c r="WVS146" s="27"/>
      <c r="WVT146" s="27"/>
      <c r="WVU146" s="27"/>
      <c r="WVV146" s="27"/>
      <c r="WVW146" s="27"/>
      <c r="WVX146" s="27"/>
      <c r="WVY146" s="27"/>
      <c r="WVZ146" s="27"/>
      <c r="WWA146" s="27"/>
      <c r="WWB146" s="27"/>
      <c r="WWC146" s="27"/>
      <c r="WWD146" s="27"/>
      <c r="WWE146" s="27"/>
      <c r="WWF146" s="27"/>
      <c r="WWG146" s="27"/>
      <c r="WWH146" s="27"/>
      <c r="WWI146" s="27"/>
      <c r="WWJ146" s="27"/>
      <c r="WWK146" s="27"/>
      <c r="WWL146" s="27"/>
      <c r="WWM146" s="27"/>
      <c r="WWN146" s="27"/>
      <c r="WWO146" s="27"/>
      <c r="WWP146" s="27"/>
      <c r="WWQ146" s="27"/>
      <c r="WWR146" s="27"/>
      <c r="WWS146" s="27"/>
      <c r="WWT146" s="27"/>
      <c r="WWU146" s="27"/>
      <c r="WWV146" s="27"/>
      <c r="WWW146" s="27"/>
      <c r="WWX146" s="27"/>
      <c r="WWY146" s="27"/>
      <c r="WWZ146" s="27"/>
      <c r="WXA146" s="27"/>
      <c r="WXB146" s="27"/>
      <c r="WXC146" s="27"/>
      <c r="WXD146" s="27"/>
      <c r="WXE146" s="27"/>
      <c r="WXF146" s="27"/>
      <c r="WXG146" s="27"/>
      <c r="WXH146" s="27"/>
      <c r="WXI146" s="27"/>
      <c r="WXJ146" s="27"/>
      <c r="WXK146" s="27"/>
      <c r="WXL146" s="27"/>
      <c r="WXM146" s="27"/>
      <c r="WXN146" s="27"/>
      <c r="WXO146" s="27"/>
      <c r="WXP146" s="27"/>
      <c r="WXQ146" s="27"/>
      <c r="WXR146" s="27"/>
      <c r="WXS146" s="27"/>
      <c r="WXT146" s="27"/>
      <c r="WXU146" s="27"/>
      <c r="WXV146" s="27"/>
      <c r="WXW146" s="27"/>
      <c r="WXX146" s="27"/>
      <c r="WXY146" s="27"/>
      <c r="WXZ146" s="27"/>
      <c r="WYA146" s="27"/>
      <c r="WYB146" s="27"/>
      <c r="WYC146" s="27"/>
      <c r="WYD146" s="27"/>
      <c r="WYE146" s="27"/>
      <c r="WYF146" s="27"/>
      <c r="WYG146" s="27"/>
      <c r="WYH146" s="27"/>
      <c r="WYI146" s="27"/>
      <c r="WYJ146" s="27"/>
      <c r="WYK146" s="27"/>
      <c r="WYL146" s="27"/>
      <c r="WYM146" s="27"/>
      <c r="WYN146" s="27"/>
      <c r="WYO146" s="27"/>
      <c r="WYP146" s="27"/>
      <c r="WYQ146" s="27"/>
      <c r="WYR146" s="27"/>
      <c r="WYS146" s="27"/>
      <c r="WYT146" s="27"/>
      <c r="WYU146" s="27"/>
      <c r="WYV146" s="27"/>
      <c r="WYW146" s="27"/>
      <c r="WYX146" s="27"/>
      <c r="WYY146" s="27"/>
      <c r="WYZ146" s="27"/>
      <c r="WZA146" s="27"/>
      <c r="WZB146" s="27"/>
      <c r="WZC146" s="27"/>
      <c r="WZD146" s="27"/>
      <c r="WZE146" s="27"/>
      <c r="WZF146" s="27"/>
      <c r="WZG146" s="27"/>
      <c r="WZH146" s="27"/>
      <c r="WZI146" s="27"/>
      <c r="WZJ146" s="27"/>
      <c r="WZK146" s="27"/>
      <c r="WZL146" s="27"/>
      <c r="WZM146" s="27"/>
      <c r="WZN146" s="27"/>
      <c r="WZO146" s="27"/>
      <c r="WZP146" s="27"/>
      <c r="WZQ146" s="27"/>
      <c r="WZR146" s="27"/>
      <c r="WZS146" s="27"/>
      <c r="WZT146" s="27"/>
      <c r="WZU146" s="27"/>
      <c r="WZV146" s="27"/>
      <c r="WZW146" s="27"/>
      <c r="WZX146" s="27"/>
      <c r="WZY146" s="27"/>
      <c r="WZZ146" s="27"/>
      <c r="XAA146" s="27"/>
      <c r="XAB146" s="27"/>
      <c r="XAC146" s="27"/>
      <c r="XAD146" s="27"/>
      <c r="XAE146" s="27"/>
      <c r="XAF146" s="27"/>
      <c r="XAG146" s="27"/>
      <c r="XAH146" s="27"/>
      <c r="XAI146" s="27"/>
      <c r="XAJ146" s="27"/>
      <c r="XAK146" s="27"/>
      <c r="XAL146" s="27"/>
      <c r="XAM146" s="27"/>
      <c r="XAN146" s="27"/>
      <c r="XAO146" s="27"/>
      <c r="XAP146" s="27"/>
      <c r="XAQ146" s="27"/>
      <c r="XAR146" s="27"/>
      <c r="XAS146" s="27"/>
      <c r="XAT146" s="27"/>
      <c r="XAU146" s="27"/>
      <c r="XAV146" s="27"/>
      <c r="XAW146" s="27"/>
      <c r="XAX146" s="27"/>
      <c r="XAY146" s="27"/>
      <c r="XAZ146" s="27"/>
      <c r="XBA146" s="27"/>
      <c r="XBB146" s="27"/>
      <c r="XBC146" s="27"/>
      <c r="XBD146" s="27"/>
      <c r="XBE146" s="27"/>
      <c r="XBF146" s="27"/>
      <c r="XBG146" s="27"/>
      <c r="XBH146" s="27"/>
      <c r="XBI146" s="27"/>
      <c r="XBJ146" s="27"/>
      <c r="XBK146" s="27"/>
      <c r="XBL146" s="27"/>
      <c r="XBM146" s="27"/>
      <c r="XBN146" s="27"/>
      <c r="XBO146" s="27"/>
      <c r="XBP146" s="27"/>
      <c r="XBQ146" s="27"/>
      <c r="XBR146" s="27"/>
      <c r="XBS146" s="27"/>
      <c r="XBT146" s="27"/>
      <c r="XBU146" s="27"/>
      <c r="XBV146" s="27"/>
      <c r="XBW146" s="27"/>
      <c r="XBX146" s="27"/>
      <c r="XBY146" s="27"/>
      <c r="XBZ146" s="27"/>
      <c r="XCA146" s="27"/>
      <c r="XCB146" s="27"/>
      <c r="XCC146" s="27"/>
      <c r="XCD146" s="27"/>
      <c r="XCE146" s="27"/>
      <c r="XCF146" s="27"/>
      <c r="XCG146" s="27"/>
      <c r="XCH146" s="27"/>
      <c r="XCI146" s="27"/>
      <c r="XCJ146" s="27"/>
      <c r="XCK146" s="27"/>
      <c r="XCL146" s="27"/>
      <c r="XCM146" s="27"/>
      <c r="XCN146" s="27"/>
      <c r="XCO146" s="27"/>
      <c r="XCP146" s="27"/>
      <c r="XCQ146" s="27"/>
      <c r="XCR146" s="27"/>
      <c r="XCS146" s="27"/>
      <c r="XCT146" s="27"/>
      <c r="XCU146" s="27"/>
      <c r="XCV146" s="27"/>
      <c r="XCW146" s="27"/>
      <c r="XCX146" s="27"/>
      <c r="XCY146" s="27"/>
      <c r="XCZ146" s="27"/>
      <c r="XDA146" s="27"/>
      <c r="XDB146" s="27"/>
      <c r="XDC146" s="27"/>
      <c r="XDD146" s="27"/>
      <c r="XDE146" s="27"/>
      <c r="XDF146" s="27"/>
      <c r="XDG146" s="27"/>
      <c r="XDH146" s="27"/>
      <c r="XDI146" s="27"/>
      <c r="XDJ146" s="27"/>
      <c r="XDK146" s="27"/>
      <c r="XDL146" s="27"/>
      <c r="XDM146" s="27"/>
      <c r="XDN146" s="27"/>
      <c r="XDO146" s="27"/>
      <c r="XDP146" s="27"/>
      <c r="XDQ146" s="27"/>
      <c r="XDR146" s="27"/>
      <c r="XDS146" s="27"/>
      <c r="XDT146" s="27"/>
      <c r="XDU146" s="27"/>
      <c r="XDV146" s="27"/>
      <c r="XDW146" s="27"/>
      <c r="XDX146" s="27"/>
      <c r="XDY146" s="27"/>
      <c r="XDZ146" s="27"/>
      <c r="XEA146" s="27"/>
      <c r="XEB146" s="27"/>
      <c r="XEC146" s="27"/>
      <c r="XED146" s="27"/>
      <c r="XEE146" s="27"/>
      <c r="XEF146" s="27"/>
      <c r="XEG146" s="27"/>
      <c r="XEH146" s="27"/>
      <c r="XEI146" s="27"/>
      <c r="XEJ146" s="27"/>
      <c r="XEK146" s="27"/>
      <c r="XEL146" s="27"/>
      <c r="XEM146" s="27"/>
      <c r="XEN146" s="27"/>
      <c r="XEO146" s="27"/>
      <c r="XEP146" s="27"/>
      <c r="XEQ146" s="27"/>
      <c r="XER146" s="27"/>
      <c r="XES146" s="27"/>
      <c r="XET146" s="27"/>
      <c r="XEU146" s="27"/>
      <c r="XEV146" s="27"/>
      <c r="XEW146" s="27"/>
      <c r="XEX146" s="27"/>
      <c r="XEY146" s="27"/>
      <c r="XEZ146" s="27"/>
      <c r="XFA146" s="27"/>
      <c r="XFB146" s="27"/>
      <c r="XFC146" s="23"/>
    </row>
    <row r="147" spans="1:16383" s="99" customFormat="1" ht="16.5" customHeight="1" x14ac:dyDescent="0.35">
      <c r="A147" s="21">
        <v>127</v>
      </c>
      <c r="B147" s="25">
        <v>254.92382014121145</v>
      </c>
      <c r="C147" s="19">
        <v>2744</v>
      </c>
      <c r="D147" s="21" t="s">
        <v>238</v>
      </c>
      <c r="E147" s="21">
        <v>1</v>
      </c>
      <c r="F147" s="21">
        <v>1</v>
      </c>
      <c r="G147" s="21">
        <v>1</v>
      </c>
      <c r="H147" s="21">
        <v>2</v>
      </c>
      <c r="I147" s="21">
        <v>1</v>
      </c>
      <c r="J147" s="21">
        <v>1</v>
      </c>
      <c r="K147" s="21">
        <v>1</v>
      </c>
      <c r="L147" s="21">
        <v>1</v>
      </c>
      <c r="M147" s="100">
        <v>1</v>
      </c>
      <c r="N147" s="100">
        <v>1</v>
      </c>
      <c r="O147" s="100">
        <v>1</v>
      </c>
      <c r="P147" s="97">
        <f>(((G147/E147*10)+(40/(1+E147)*H147)+(7.5/(E147)*I147)+(7.5/(E147)*J147)+(10/E147*K147)+(10/E147*L147)+(5/E147*M147)+(5/E147*N147)+(5/E147*O147))/100)</f>
        <v>1</v>
      </c>
      <c r="Q147" s="97">
        <f>((((F147/E147)*20)+((G147/E147)*25)+(30/(E147+1)*H147)+(5/E147*I147)+(5/E147*J147)+(5/E147*K147)+(5/E147*L147)+(0/E147*M147)+(0/E147*N147)+(5/E147*O147))/100)</f>
        <v>1</v>
      </c>
      <c r="R147" s="98" t="str">
        <f>(IF(P147&gt;99%,"All work completed. Please provide OC.",IF(P147&gt;89.8%,"Plinth, RCC, Brick, Plaster, Flooring, Painting work Completed. Finishing work is in process.",(IF(F147=0,"Work not yet Started.",IF(F147=25%*E147,"Piling work in process",IF(F147=50%*E147,"Excavation work in process",IF(F147=E147,"Excavation work Completed. ","0")))&amp;(IF(G147=0%,"",IF(G147=25%*E147,"Footing work is process",IF(G147=50%*E147,"Footing work Completed",IF(G147=75%*E147,"Plinth work is process",IF(G147=E147,"Plinth work completed","0")))))))&amp;(IF(H147=(1+E147),", RCC Slab",IF(H147&gt;0,", RCC upto "&amp;H147&amp;" Slab",""))&amp;(IF(I147=E147,", Brickwork",IF(I147&gt;0,", Brickwork upto "&amp;I147&amp;" Floor",""))&amp;(IF(J147=E147,", Internal Plaster",IF(J147&gt;0,", Internal Plaster upto "&amp;J147&amp;" Floor",""))&amp;(IF(K147=E147,", External Plaster",IF(K147&gt;0,", External Plaster upto "&amp;K147&amp;" Floor",""))&amp;(IF(L147=E147,", Flooring",IF(L147&gt;0,", Flooring upto "&amp;L147&amp;" Floor",""))&amp;(IF(M147=E147,", Painting",IF(M147&gt;0,", Painting upto "&amp;M147&amp;" Floor",""))&amp;(IF(N147&gt;0,", Finishing upto "&amp;N147&amp;" Floor","")&amp;(IF(H147&gt;0.5," Completed","")))))))))))))</f>
        <v>All work completed. Please provide OC.</v>
      </c>
    </row>
    <row r="148" spans="1:16383" s="99" customFormat="1" ht="15.5" x14ac:dyDescent="0.35">
      <c r="A148" s="21">
        <v>128</v>
      </c>
      <c r="B148" s="25">
        <v>262.91341508732813</v>
      </c>
      <c r="C148" s="19">
        <v>2830</v>
      </c>
      <c r="D148" s="21" t="s">
        <v>238</v>
      </c>
      <c r="E148" s="21">
        <v>1</v>
      </c>
      <c r="F148" s="21">
        <v>1</v>
      </c>
      <c r="G148" s="21">
        <v>1</v>
      </c>
      <c r="H148" s="21">
        <v>1</v>
      </c>
      <c r="I148" s="21">
        <v>0.5</v>
      </c>
      <c r="J148" s="21">
        <v>0.5</v>
      </c>
      <c r="K148" s="21">
        <v>0</v>
      </c>
      <c r="L148" s="21"/>
      <c r="M148" s="100"/>
      <c r="N148" s="100"/>
      <c r="O148" s="100"/>
      <c r="P148" s="97">
        <f>(((G148/E148*10)+(40/(1+E148)*H148)+(7.5/(E148)*I148)+(7.5/(E148)*J148)+(10/E148*K148)+(10/E148*L148)+(5/E148*M148)+(5/E148*N148)+(5/E148*O148))/100)</f>
        <v>0.375</v>
      </c>
      <c r="Q148" s="97">
        <f>((((F148/E148)*20)+((G148/E148)*25)+(30/(E148+1)*H148)+(5/E148*I148)+(5/E148*J148)+(5/E148*K148)+(5/E148*L148)+(0/E148*M148)+(0/E148*N148)+(5/E148*O148))/100)</f>
        <v>0.65</v>
      </c>
      <c r="R148" s="98" t="str">
        <f>(IF(P148&gt;99%,"All work completed. Please provide OC.",IF(P148&gt;89.8%,"Plinth, RCC, Brick, Plaster, Flooring, Painting work Completed. Finishing work is in process.",(IF(F148=0,"Work not yet Started.",IF(F148=25%*E148,"Piling work in process",IF(F148=50%*E148,"Excavation work in process",IF(F148=E148,"Excavation work Completed. ","0")))&amp;(IF(G148=0%,"",IF(G148=25%*E148,"Footing work is process",IF(G148=50%*E148,"Footing work Completed",IF(G148=75%*E148,"Plinth work is process",IF(G148=E148,"Plinth work completed","0")))))))&amp;(IF(H148=(1+E148),", RCC Slab",IF(H148&gt;0,", RCC upto "&amp;H148&amp;" Slab",""))&amp;(IF(I148=E148,", Brickwork",IF(I148&gt;0,", Brickwork upto "&amp;I148&amp;" Floor",""))&amp;(IF(J148=E148,", Internal Plaster",IF(J148&gt;0,", Internal Plaster upto "&amp;J148&amp;" Floor",""))&amp;(IF(K148=E148,", External Plaster",IF(K148&gt;0,", External Plaster upto "&amp;K148&amp;" Floor",""))&amp;(IF(L148=E148,", Flooring",IF(L148&gt;0,", Flooring upto "&amp;L148&amp;" Floor",""))&amp;(IF(M148=E148,", Painting",IF(M148&gt;0,", Painting upto "&amp;M148&amp;" Floor",""))&amp;(IF(N148&gt;0,", Finishing upto "&amp;N148&amp;" Floor","")&amp;(IF(H148&gt;0.5," Completed","")))))))))))))</f>
        <v>Excavation work Completed. Plinth work completed, RCC upto 1 Slab, Brickwork upto 0.5 Floor, Internal Plaster upto 0.5 Floor Completed</v>
      </c>
    </row>
  </sheetData>
  <autoFilter ref="A1:R148">
    <filterColumn colId="0">
      <colorFilter dxfId="0"/>
    </filterColumn>
    <filterColumn colId="3" showButton="0"/>
  </autoFilter>
  <mergeCells count="1">
    <mergeCell ref="D1:E1"/>
  </mergeCells>
  <pageMargins left="1.0899999999999999" right="0.7" top="0.75" bottom="0.75" header="0.3" footer="0.3"/>
  <pageSetup scale="92" orientation="portrait" horizontalDpi="30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E2:H170"/>
  <sheetViews>
    <sheetView topLeftCell="A76" workbookViewId="0">
      <selection activeCell="J95" sqref="J95"/>
    </sheetView>
  </sheetViews>
  <sheetFormatPr defaultRowHeight="14.5" x14ac:dyDescent="0.35"/>
  <cols>
    <col min="5" max="5" width="9.1796875" style="18"/>
    <col min="6" max="6" width="9.1796875" style="20"/>
  </cols>
  <sheetData>
    <row r="2" spans="5:8" x14ac:dyDescent="0.35">
      <c r="E2" s="18" t="s">
        <v>199</v>
      </c>
      <c r="F2" s="18"/>
    </row>
    <row r="3" spans="5:8" x14ac:dyDescent="0.35">
      <c r="E3" s="19">
        <v>1</v>
      </c>
      <c r="F3" s="131">
        <v>191.93608324043109</v>
      </c>
      <c r="G3" s="131"/>
      <c r="H3">
        <v>2066</v>
      </c>
    </row>
    <row r="4" spans="5:8" x14ac:dyDescent="0.35">
      <c r="E4" s="19">
        <v>2</v>
      </c>
      <c r="F4" s="131">
        <v>191.93608324043109</v>
      </c>
      <c r="G4" s="131"/>
      <c r="H4">
        <v>2066</v>
      </c>
    </row>
    <row r="5" spans="5:8" x14ac:dyDescent="0.35">
      <c r="E5" s="19">
        <v>3</v>
      </c>
      <c r="F5" s="131">
        <v>191.93608324043109</v>
      </c>
      <c r="G5" s="131"/>
      <c r="H5">
        <v>2066</v>
      </c>
    </row>
    <row r="6" spans="5:8" x14ac:dyDescent="0.35">
      <c r="E6" s="19">
        <v>4</v>
      </c>
      <c r="F6" s="131">
        <v>191.93608324043109</v>
      </c>
      <c r="G6" s="131"/>
      <c r="H6">
        <v>2066</v>
      </c>
    </row>
    <row r="7" spans="5:8" x14ac:dyDescent="0.35">
      <c r="E7" s="19">
        <v>5</v>
      </c>
      <c r="F7" s="131">
        <v>191.93608324043109</v>
      </c>
      <c r="G7" s="131"/>
      <c r="H7">
        <v>2066</v>
      </c>
    </row>
    <row r="8" spans="5:8" x14ac:dyDescent="0.35">
      <c r="E8" s="19">
        <v>6</v>
      </c>
      <c r="F8" s="131">
        <v>191.93608324043109</v>
      </c>
      <c r="G8" s="131"/>
      <c r="H8">
        <v>2066</v>
      </c>
    </row>
    <row r="9" spans="5:8" x14ac:dyDescent="0.35">
      <c r="E9" s="19">
        <v>7</v>
      </c>
      <c r="F9" s="131">
        <v>191.93608324043109</v>
      </c>
      <c r="G9" s="131"/>
      <c r="H9">
        <v>2066</v>
      </c>
    </row>
    <row r="10" spans="5:8" x14ac:dyDescent="0.35">
      <c r="E10" s="19">
        <v>8</v>
      </c>
      <c r="F10" s="131">
        <v>224.91638795986623</v>
      </c>
      <c r="G10" s="131"/>
      <c r="H10">
        <v>2421</v>
      </c>
    </row>
    <row r="11" spans="5:8" x14ac:dyDescent="0.35">
      <c r="E11" s="19">
        <v>9</v>
      </c>
      <c r="F11" s="131">
        <v>183.94648829431441</v>
      </c>
      <c r="G11" s="131"/>
      <c r="H11">
        <v>1980</v>
      </c>
    </row>
    <row r="12" spans="5:8" x14ac:dyDescent="0.35">
      <c r="E12" s="19">
        <v>10</v>
      </c>
      <c r="F12" s="131">
        <v>183.94648829431441</v>
      </c>
      <c r="G12" s="131"/>
      <c r="H12">
        <v>1980</v>
      </c>
    </row>
    <row r="13" spans="5:8" x14ac:dyDescent="0.35">
      <c r="E13" s="19">
        <v>11</v>
      </c>
      <c r="F13" s="131">
        <v>184.96841322928282</v>
      </c>
      <c r="G13" s="131"/>
      <c r="H13">
        <v>1991</v>
      </c>
    </row>
    <row r="14" spans="5:8" x14ac:dyDescent="0.35">
      <c r="E14" s="19">
        <v>12</v>
      </c>
      <c r="F14" s="131">
        <v>192.9580081753995</v>
      </c>
      <c r="G14" s="131"/>
      <c r="H14">
        <v>2077</v>
      </c>
    </row>
    <row r="15" spans="5:8" x14ac:dyDescent="0.35">
      <c r="E15" s="19">
        <v>13</v>
      </c>
      <c r="F15" s="131">
        <v>192.9580081753995</v>
      </c>
      <c r="G15" s="131"/>
      <c r="H15">
        <v>2077</v>
      </c>
    </row>
    <row r="16" spans="5:8" x14ac:dyDescent="0.35">
      <c r="E16" s="19">
        <v>14</v>
      </c>
      <c r="F16" s="131">
        <v>193.88703084355259</v>
      </c>
      <c r="G16" s="131"/>
      <c r="H16">
        <v>2087</v>
      </c>
    </row>
    <row r="17" spans="5:8" x14ac:dyDescent="0.35">
      <c r="E17" s="19">
        <v>15</v>
      </c>
      <c r="F17" s="131">
        <v>193.88703084355259</v>
      </c>
      <c r="G17" s="131"/>
      <c r="H17">
        <v>2087</v>
      </c>
    </row>
    <row r="18" spans="5:8" x14ac:dyDescent="0.35">
      <c r="E18" s="19">
        <v>16</v>
      </c>
      <c r="F18" s="131">
        <v>193.88703084355259</v>
      </c>
      <c r="G18" s="131"/>
      <c r="H18">
        <v>2087</v>
      </c>
    </row>
    <row r="19" spans="5:8" x14ac:dyDescent="0.35">
      <c r="E19" s="19">
        <v>17</v>
      </c>
      <c r="F19" s="131">
        <v>194.908955778521</v>
      </c>
      <c r="G19" s="131"/>
      <c r="H19">
        <v>2098</v>
      </c>
    </row>
    <row r="20" spans="5:8" s="22" customFormat="1" x14ac:dyDescent="0.35">
      <c r="E20" s="21">
        <v>18</v>
      </c>
      <c r="F20" s="262">
        <v>338.907469342252</v>
      </c>
      <c r="G20" s="262"/>
      <c r="H20" s="22">
        <v>3648</v>
      </c>
    </row>
    <row r="21" spans="5:8" x14ac:dyDescent="0.35">
      <c r="E21" s="19" t="s">
        <v>195</v>
      </c>
      <c r="F21" s="131">
        <v>100.47380156075809</v>
      </c>
      <c r="G21" s="131"/>
      <c r="H21">
        <v>1081.5</v>
      </c>
    </row>
    <row r="22" spans="5:8" x14ac:dyDescent="0.35">
      <c r="E22" s="19" t="s">
        <v>196</v>
      </c>
      <c r="F22" s="131">
        <v>100.47380156075809</v>
      </c>
      <c r="G22" s="131"/>
      <c r="H22">
        <v>1081.5</v>
      </c>
    </row>
    <row r="23" spans="5:8" x14ac:dyDescent="0.35">
      <c r="E23" s="19" t="s">
        <v>197</v>
      </c>
      <c r="F23" s="131">
        <v>100.47380156075809</v>
      </c>
      <c r="G23" s="131"/>
      <c r="H23">
        <v>1081.5</v>
      </c>
    </row>
    <row r="24" spans="5:8" s="22" customFormat="1" x14ac:dyDescent="0.35">
      <c r="E24" s="21" t="s">
        <v>198</v>
      </c>
      <c r="F24" s="262">
        <v>100.47380156075809</v>
      </c>
      <c r="G24" s="262"/>
      <c r="H24" s="22">
        <v>1081.5</v>
      </c>
    </row>
    <row r="25" spans="5:8" x14ac:dyDescent="0.35">
      <c r="E25" s="19" t="s">
        <v>200</v>
      </c>
      <c r="F25" s="131">
        <v>113.48011891490152</v>
      </c>
      <c r="G25" s="131"/>
      <c r="H25">
        <v>1221.5</v>
      </c>
    </row>
    <row r="26" spans="5:8" x14ac:dyDescent="0.35">
      <c r="E26" s="19" t="s">
        <v>201</v>
      </c>
      <c r="F26" s="131">
        <v>113.48011891490152</v>
      </c>
      <c r="G26" s="131"/>
      <c r="H26">
        <v>1221.5</v>
      </c>
    </row>
    <row r="27" spans="5:8" x14ac:dyDescent="0.35">
      <c r="E27" s="19">
        <v>22</v>
      </c>
      <c r="F27" s="131">
        <v>222.77963582311409</v>
      </c>
      <c r="G27" s="131"/>
      <c r="H27">
        <v>2398</v>
      </c>
    </row>
    <row r="28" spans="5:8" x14ac:dyDescent="0.35">
      <c r="E28" s="19" t="s">
        <v>202</v>
      </c>
      <c r="F28" s="131">
        <v>106.46599777034561</v>
      </c>
      <c r="G28" s="131"/>
      <c r="H28">
        <v>1146</v>
      </c>
    </row>
    <row r="29" spans="5:8" x14ac:dyDescent="0.35">
      <c r="E29" s="19" t="s">
        <v>203</v>
      </c>
      <c r="F29" s="131">
        <v>106.46599777034561</v>
      </c>
      <c r="G29" s="131"/>
      <c r="H29">
        <v>1146</v>
      </c>
    </row>
    <row r="30" spans="5:8" x14ac:dyDescent="0.35">
      <c r="E30" s="19" t="s">
        <v>204</v>
      </c>
      <c r="F30" s="131">
        <v>101.44927536231884</v>
      </c>
      <c r="G30" s="131"/>
      <c r="H30">
        <v>1092</v>
      </c>
    </row>
    <row r="31" spans="5:8" s="22" customFormat="1" x14ac:dyDescent="0.35">
      <c r="E31" s="21" t="s">
        <v>149</v>
      </c>
      <c r="F31" s="262">
        <v>101.44927536231884</v>
      </c>
      <c r="G31" s="262"/>
      <c r="H31" s="22">
        <v>1092</v>
      </c>
    </row>
    <row r="32" spans="5:8" x14ac:dyDescent="0.35">
      <c r="E32" s="19">
        <v>25</v>
      </c>
      <c r="F32" s="131">
        <v>193.79412857673728</v>
      </c>
      <c r="G32" s="131"/>
      <c r="H32">
        <v>2086</v>
      </c>
    </row>
    <row r="33" spans="5:8" x14ac:dyDescent="0.35">
      <c r="E33" s="19" t="s">
        <v>205</v>
      </c>
      <c r="F33" s="131">
        <v>96.943515421776297</v>
      </c>
      <c r="G33" s="131"/>
      <c r="H33">
        <v>1043.5</v>
      </c>
    </row>
    <row r="34" spans="5:8" x14ac:dyDescent="0.35">
      <c r="E34" s="19" t="s">
        <v>206</v>
      </c>
      <c r="F34" s="131">
        <v>96.943515421776297</v>
      </c>
      <c r="G34" s="131"/>
      <c r="H34">
        <v>1043.5</v>
      </c>
    </row>
    <row r="35" spans="5:8" x14ac:dyDescent="0.35">
      <c r="E35" s="19" t="s">
        <v>207</v>
      </c>
      <c r="F35" s="131">
        <v>96.479004087699749</v>
      </c>
      <c r="G35" s="131"/>
      <c r="H35">
        <v>1038.5</v>
      </c>
    </row>
    <row r="36" spans="5:8" x14ac:dyDescent="0.35">
      <c r="E36" s="19" t="s">
        <v>208</v>
      </c>
      <c r="F36" s="131">
        <v>96.479004087699749</v>
      </c>
      <c r="G36" s="131"/>
      <c r="H36">
        <v>1038.5</v>
      </c>
    </row>
    <row r="37" spans="5:8" x14ac:dyDescent="0.35">
      <c r="E37" s="19">
        <v>28</v>
      </c>
      <c r="F37" s="131">
        <v>192.9580081753995</v>
      </c>
      <c r="G37" s="131"/>
      <c r="H37">
        <v>2077</v>
      </c>
    </row>
    <row r="38" spans="5:8" x14ac:dyDescent="0.35">
      <c r="E38" s="19">
        <v>29</v>
      </c>
      <c r="F38" s="131">
        <v>192.9580081753995</v>
      </c>
      <c r="G38" s="131"/>
      <c r="H38">
        <v>2077</v>
      </c>
    </row>
    <row r="39" spans="5:8" x14ac:dyDescent="0.35">
      <c r="E39" s="19" t="s">
        <v>209</v>
      </c>
      <c r="F39" s="131">
        <v>96.479004087699749</v>
      </c>
      <c r="G39" s="131"/>
      <c r="H39">
        <v>1038.5</v>
      </c>
    </row>
    <row r="40" spans="5:8" s="22" customFormat="1" x14ac:dyDescent="0.35">
      <c r="E40" s="21" t="s">
        <v>210</v>
      </c>
      <c r="F40" s="262">
        <v>96.479004087699749</v>
      </c>
      <c r="G40" s="262"/>
      <c r="H40" s="22">
        <v>1038.5</v>
      </c>
    </row>
    <row r="41" spans="5:8" x14ac:dyDescent="0.35">
      <c r="E41" s="19" t="s">
        <v>211</v>
      </c>
      <c r="F41" s="131">
        <v>96.479004087699707</v>
      </c>
      <c r="G41" s="131"/>
      <c r="H41">
        <v>1038.5</v>
      </c>
    </row>
    <row r="42" spans="5:8" x14ac:dyDescent="0.35">
      <c r="E42" s="19" t="s">
        <v>212</v>
      </c>
      <c r="F42" s="131">
        <v>96.479004087699749</v>
      </c>
      <c r="G42" s="131"/>
      <c r="H42">
        <v>1038.5</v>
      </c>
    </row>
    <row r="43" spans="5:8" x14ac:dyDescent="0.35">
      <c r="E43" s="19" t="s">
        <v>213</v>
      </c>
      <c r="F43" s="131">
        <v>96.479004087699749</v>
      </c>
      <c r="G43" s="131"/>
      <c r="H43">
        <v>1038.5</v>
      </c>
    </row>
    <row r="44" spans="5:8" x14ac:dyDescent="0.35">
      <c r="E44" s="19" t="s">
        <v>214</v>
      </c>
      <c r="F44" s="131">
        <v>96.479004087699749</v>
      </c>
      <c r="G44" s="131"/>
      <c r="H44">
        <v>1038.5</v>
      </c>
    </row>
    <row r="45" spans="5:8" x14ac:dyDescent="0.35">
      <c r="E45" s="19" t="s">
        <v>215</v>
      </c>
      <c r="F45" s="131">
        <v>96.479004087699749</v>
      </c>
      <c r="G45" s="131"/>
      <c r="H45">
        <v>1038.5</v>
      </c>
    </row>
    <row r="46" spans="5:8" x14ac:dyDescent="0.35">
      <c r="E46" s="19" t="s">
        <v>216</v>
      </c>
      <c r="F46" s="131">
        <v>96.479004087699749</v>
      </c>
      <c r="G46" s="131"/>
      <c r="H46">
        <v>1038.5</v>
      </c>
    </row>
    <row r="47" spans="5:8" x14ac:dyDescent="0.35">
      <c r="E47" s="19">
        <v>34</v>
      </c>
      <c r="F47" s="131">
        <v>175.9568933481977</v>
      </c>
      <c r="G47" s="131"/>
      <c r="H47">
        <v>1894</v>
      </c>
    </row>
    <row r="48" spans="5:8" x14ac:dyDescent="0.35">
      <c r="E48" s="19">
        <v>35</v>
      </c>
      <c r="F48" s="131">
        <v>258.91861761426981</v>
      </c>
      <c r="G48" s="131"/>
      <c r="H48">
        <v>2787</v>
      </c>
    </row>
    <row r="49" spans="5:8" x14ac:dyDescent="0.35">
      <c r="E49" s="19">
        <v>36</v>
      </c>
      <c r="F49" s="131">
        <v>351.91378669639539</v>
      </c>
      <c r="G49" s="131"/>
      <c r="H49">
        <v>3788</v>
      </c>
    </row>
    <row r="50" spans="5:8" x14ac:dyDescent="0.35">
      <c r="E50" s="19">
        <v>37</v>
      </c>
      <c r="F50" s="131">
        <v>173.91304347826087</v>
      </c>
      <c r="G50" s="131"/>
      <c r="H50">
        <v>1872</v>
      </c>
    </row>
    <row r="51" spans="5:8" x14ac:dyDescent="0.35">
      <c r="E51" s="19" t="s">
        <v>217</v>
      </c>
      <c r="F51" s="131">
        <v>154.40356744704573</v>
      </c>
      <c r="G51" s="131"/>
      <c r="H51">
        <v>1662</v>
      </c>
    </row>
    <row r="52" spans="5:8" x14ac:dyDescent="0.35">
      <c r="E52" s="19" t="s">
        <v>218</v>
      </c>
      <c r="F52" s="131">
        <v>154.40356744704573</v>
      </c>
      <c r="G52" s="131"/>
      <c r="H52">
        <v>1662</v>
      </c>
    </row>
    <row r="53" spans="5:8" x14ac:dyDescent="0.35">
      <c r="E53" s="19" t="s">
        <v>219</v>
      </c>
      <c r="F53" s="131">
        <v>110.9253065774805</v>
      </c>
      <c r="G53" s="131"/>
      <c r="H53">
        <v>1194</v>
      </c>
    </row>
    <row r="54" spans="5:8" x14ac:dyDescent="0.35">
      <c r="E54" s="19" t="s">
        <v>220</v>
      </c>
      <c r="F54" s="131">
        <v>110.9253065774805</v>
      </c>
      <c r="G54" s="131"/>
      <c r="H54">
        <v>1194</v>
      </c>
    </row>
    <row r="55" spans="5:8" x14ac:dyDescent="0.35">
      <c r="E55" s="19">
        <v>40</v>
      </c>
      <c r="F55" s="131">
        <v>503.80899293942775</v>
      </c>
      <c r="G55" s="131"/>
      <c r="H55">
        <v>5423</v>
      </c>
    </row>
    <row r="56" spans="5:8" x14ac:dyDescent="0.35">
      <c r="E56" s="19">
        <v>41</v>
      </c>
      <c r="F56" s="131">
        <v>154.96098104793757</v>
      </c>
      <c r="G56" s="131"/>
      <c r="H56">
        <v>1668</v>
      </c>
    </row>
    <row r="57" spans="5:8" x14ac:dyDescent="0.35">
      <c r="E57" s="19">
        <v>42</v>
      </c>
      <c r="F57" s="131">
        <v>99.962839093273885</v>
      </c>
      <c r="G57" s="131"/>
      <c r="H57">
        <v>1076</v>
      </c>
    </row>
    <row r="58" spans="5:8" x14ac:dyDescent="0.35">
      <c r="E58" s="19">
        <v>43</v>
      </c>
      <c r="F58" s="131">
        <v>99.962839093273885</v>
      </c>
      <c r="G58" s="131"/>
      <c r="H58">
        <v>1076</v>
      </c>
    </row>
    <row r="59" spans="5:8" x14ac:dyDescent="0.35">
      <c r="E59" s="19">
        <v>44</v>
      </c>
      <c r="F59" s="131">
        <v>99.962839093273885</v>
      </c>
      <c r="G59" s="131"/>
      <c r="H59">
        <v>1076</v>
      </c>
    </row>
    <row r="60" spans="5:8" s="22" customFormat="1" x14ac:dyDescent="0.35">
      <c r="E60" s="21">
        <v>45</v>
      </c>
      <c r="F60" s="262">
        <v>99.962839093273885</v>
      </c>
      <c r="G60" s="262"/>
      <c r="H60" s="22">
        <v>1076</v>
      </c>
    </row>
    <row r="61" spans="5:8" x14ac:dyDescent="0.35">
      <c r="E61" s="19">
        <v>46</v>
      </c>
      <c r="F61" s="131">
        <v>99.962839093273885</v>
      </c>
      <c r="G61" s="131"/>
      <c r="H61">
        <v>1076</v>
      </c>
    </row>
    <row r="62" spans="5:8" x14ac:dyDescent="0.35">
      <c r="E62" s="19">
        <v>47</v>
      </c>
      <c r="F62" s="131">
        <v>195.93088071348942</v>
      </c>
      <c r="G62" s="131"/>
      <c r="H62">
        <v>2109</v>
      </c>
    </row>
    <row r="63" spans="5:8" x14ac:dyDescent="0.35">
      <c r="E63" s="19">
        <v>48</v>
      </c>
      <c r="F63" s="131">
        <v>150.96618357487924</v>
      </c>
      <c r="G63" s="131"/>
      <c r="H63">
        <v>1625</v>
      </c>
    </row>
    <row r="64" spans="5:8" s="22" customFormat="1" x14ac:dyDescent="0.35">
      <c r="E64" s="21">
        <v>49</v>
      </c>
      <c r="F64" s="262">
        <v>99.962839093273885</v>
      </c>
      <c r="G64" s="262"/>
      <c r="H64" s="22">
        <v>1076</v>
      </c>
    </row>
    <row r="65" spans="5:8" x14ac:dyDescent="0.35">
      <c r="E65" s="19">
        <v>50</v>
      </c>
      <c r="F65" s="131">
        <v>99.962839093273885</v>
      </c>
      <c r="G65" s="131"/>
      <c r="H65">
        <v>1076</v>
      </c>
    </row>
    <row r="66" spans="5:8" x14ac:dyDescent="0.35">
      <c r="E66" s="19">
        <v>51</v>
      </c>
      <c r="F66" s="131">
        <v>99.962839093273885</v>
      </c>
      <c r="G66" s="131"/>
      <c r="H66">
        <v>1076</v>
      </c>
    </row>
    <row r="67" spans="5:8" x14ac:dyDescent="0.35">
      <c r="E67" s="19">
        <v>52</v>
      </c>
      <c r="F67" s="131">
        <v>99.962839093273885</v>
      </c>
      <c r="G67" s="131"/>
      <c r="H67">
        <v>1076</v>
      </c>
    </row>
    <row r="68" spans="5:8" x14ac:dyDescent="0.35">
      <c r="E68" s="19">
        <v>53</v>
      </c>
      <c r="F68" s="131">
        <v>99.962839093273885</v>
      </c>
      <c r="G68" s="131"/>
      <c r="H68">
        <v>1076</v>
      </c>
    </row>
    <row r="69" spans="5:8" x14ac:dyDescent="0.35">
      <c r="E69" s="19">
        <v>54</v>
      </c>
      <c r="F69" s="131">
        <v>99.962839093273885</v>
      </c>
      <c r="G69" s="131"/>
      <c r="H69">
        <v>1076</v>
      </c>
    </row>
    <row r="70" spans="5:8" x14ac:dyDescent="0.35">
      <c r="E70" s="19">
        <v>55</v>
      </c>
      <c r="F70" s="131">
        <v>99.962839093273885</v>
      </c>
      <c r="G70" s="131"/>
      <c r="H70">
        <v>1076</v>
      </c>
    </row>
    <row r="71" spans="5:8" x14ac:dyDescent="0.35">
      <c r="E71" s="19">
        <v>56</v>
      </c>
      <c r="F71" s="131">
        <v>99.962839093273885</v>
      </c>
      <c r="G71" s="131"/>
      <c r="H71">
        <v>1076</v>
      </c>
    </row>
    <row r="72" spans="5:8" x14ac:dyDescent="0.35">
      <c r="E72" s="19">
        <v>57</v>
      </c>
      <c r="F72" s="131">
        <v>149.94425863991083</v>
      </c>
      <c r="G72" s="131"/>
      <c r="H72">
        <v>1614</v>
      </c>
    </row>
    <row r="73" spans="5:8" x14ac:dyDescent="0.35">
      <c r="E73" s="19">
        <v>58</v>
      </c>
      <c r="F73" s="131">
        <v>175.9568933481977</v>
      </c>
      <c r="G73" s="131"/>
      <c r="H73">
        <v>1894</v>
      </c>
    </row>
    <row r="74" spans="5:8" x14ac:dyDescent="0.35">
      <c r="E74" s="19">
        <v>59</v>
      </c>
      <c r="F74" s="131">
        <v>99.962839093273885</v>
      </c>
      <c r="G74" s="131"/>
      <c r="H74">
        <v>1076</v>
      </c>
    </row>
    <row r="75" spans="5:8" x14ac:dyDescent="0.35">
      <c r="E75" s="19">
        <v>60</v>
      </c>
      <c r="F75" s="131">
        <v>99.962839093273885</v>
      </c>
      <c r="G75" s="131"/>
      <c r="H75">
        <v>1076</v>
      </c>
    </row>
    <row r="76" spans="5:8" x14ac:dyDescent="0.35">
      <c r="E76" s="19">
        <v>61</v>
      </c>
      <c r="F76" s="131">
        <v>99.962839093273885</v>
      </c>
      <c r="G76" s="131"/>
      <c r="H76">
        <v>1076</v>
      </c>
    </row>
    <row r="77" spans="5:8" x14ac:dyDescent="0.35">
      <c r="E77" s="19">
        <v>62</v>
      </c>
      <c r="F77" s="131">
        <v>99.962839093273885</v>
      </c>
      <c r="G77" s="131"/>
      <c r="H77">
        <v>1076</v>
      </c>
    </row>
    <row r="78" spans="5:8" x14ac:dyDescent="0.35">
      <c r="E78" s="19">
        <v>63</v>
      </c>
      <c r="F78" s="131">
        <v>99.962839093273885</v>
      </c>
      <c r="G78" s="131"/>
      <c r="H78">
        <v>1076</v>
      </c>
    </row>
    <row r="79" spans="5:8" x14ac:dyDescent="0.35">
      <c r="E79" s="19">
        <v>64</v>
      </c>
      <c r="F79" s="131">
        <v>99.962839093273885</v>
      </c>
      <c r="G79" s="131"/>
      <c r="H79">
        <v>1076</v>
      </c>
    </row>
    <row r="80" spans="5:8" x14ac:dyDescent="0.35">
      <c r="E80" s="19">
        <v>65</v>
      </c>
      <c r="F80" s="131">
        <v>99.962839093273885</v>
      </c>
      <c r="G80" s="131"/>
      <c r="H80">
        <v>1076</v>
      </c>
    </row>
    <row r="81" spans="5:8" x14ac:dyDescent="0.35">
      <c r="E81" s="19">
        <v>66</v>
      </c>
      <c r="F81" s="131">
        <v>99.962839093273885</v>
      </c>
      <c r="G81" s="131"/>
      <c r="H81">
        <v>1076</v>
      </c>
    </row>
    <row r="82" spans="5:8" x14ac:dyDescent="0.35">
      <c r="E82" s="19">
        <v>67</v>
      </c>
      <c r="F82" s="131">
        <v>99.962839093273885</v>
      </c>
      <c r="G82" s="131"/>
      <c r="H82">
        <v>1076</v>
      </c>
    </row>
    <row r="83" spans="5:8" x14ac:dyDescent="0.35">
      <c r="E83" s="19">
        <v>68</v>
      </c>
      <c r="F83" s="131">
        <v>99.962839093273885</v>
      </c>
      <c r="G83" s="131"/>
      <c r="H83">
        <v>1076</v>
      </c>
    </row>
    <row r="84" spans="5:8" x14ac:dyDescent="0.35">
      <c r="E84" s="19">
        <v>69</v>
      </c>
      <c r="F84" s="131">
        <v>184.96841322928282</v>
      </c>
      <c r="G84" s="131"/>
      <c r="H84">
        <v>1991</v>
      </c>
    </row>
    <row r="85" spans="5:8" x14ac:dyDescent="0.35">
      <c r="E85" s="19">
        <v>70</v>
      </c>
      <c r="F85" s="131">
        <v>184.96841322928282</v>
      </c>
      <c r="G85" s="131"/>
      <c r="H85">
        <v>1991</v>
      </c>
    </row>
    <row r="86" spans="5:8" x14ac:dyDescent="0.35">
      <c r="E86" s="19">
        <v>71</v>
      </c>
      <c r="F86" s="131">
        <v>99.962839093273885</v>
      </c>
      <c r="G86" s="131"/>
      <c r="H86">
        <v>1076</v>
      </c>
    </row>
    <row r="87" spans="5:8" x14ac:dyDescent="0.35">
      <c r="E87" s="19">
        <v>72</v>
      </c>
      <c r="F87" s="131">
        <v>99.962839093273885</v>
      </c>
      <c r="G87" s="131"/>
      <c r="H87">
        <v>1076</v>
      </c>
    </row>
    <row r="88" spans="5:8" x14ac:dyDescent="0.35">
      <c r="E88" s="19">
        <v>73</v>
      </c>
      <c r="F88" s="131">
        <v>99.962839093273885</v>
      </c>
      <c r="G88" s="131"/>
      <c r="H88">
        <v>1076</v>
      </c>
    </row>
    <row r="89" spans="5:8" x14ac:dyDescent="0.35">
      <c r="E89" s="19">
        <v>74</v>
      </c>
      <c r="F89" s="131">
        <v>99.962839093273885</v>
      </c>
      <c r="G89" s="131"/>
      <c r="H89">
        <v>1076</v>
      </c>
    </row>
    <row r="90" spans="5:8" s="22" customFormat="1" x14ac:dyDescent="0.35">
      <c r="E90" s="21">
        <v>75</v>
      </c>
      <c r="F90" s="262">
        <v>99.962839093273885</v>
      </c>
      <c r="G90" s="262"/>
      <c r="H90" s="22">
        <v>1076</v>
      </c>
    </row>
    <row r="91" spans="5:8" s="22" customFormat="1" x14ac:dyDescent="0.35">
      <c r="E91" s="21">
        <v>76</v>
      </c>
      <c r="F91" s="262">
        <v>99.962839093273885</v>
      </c>
      <c r="G91" s="262"/>
      <c r="H91" s="22">
        <v>1076</v>
      </c>
    </row>
    <row r="92" spans="5:8" x14ac:dyDescent="0.35">
      <c r="E92" s="19">
        <v>77</v>
      </c>
      <c r="F92" s="131">
        <v>99.962839093273885</v>
      </c>
      <c r="G92" s="131"/>
      <c r="H92">
        <v>1076</v>
      </c>
    </row>
    <row r="93" spans="5:8" x14ac:dyDescent="0.35">
      <c r="E93" s="19">
        <v>78</v>
      </c>
      <c r="F93" s="131">
        <v>99.962839093273885</v>
      </c>
      <c r="G93" s="131"/>
      <c r="H93">
        <v>1076</v>
      </c>
    </row>
    <row r="94" spans="5:8" x14ac:dyDescent="0.35">
      <c r="E94" s="19">
        <v>79</v>
      </c>
      <c r="F94" s="131">
        <v>99.962839093273885</v>
      </c>
      <c r="G94" s="131"/>
      <c r="H94">
        <v>1076</v>
      </c>
    </row>
    <row r="95" spans="5:8" x14ac:dyDescent="0.35">
      <c r="E95" s="19">
        <v>80</v>
      </c>
      <c r="F95" s="131">
        <v>99.962839093273885</v>
      </c>
      <c r="G95" s="131"/>
      <c r="H95">
        <v>1076</v>
      </c>
    </row>
    <row r="96" spans="5:8" s="22" customFormat="1" x14ac:dyDescent="0.35">
      <c r="E96" s="21">
        <v>81</v>
      </c>
      <c r="F96" s="262">
        <v>99.962839093273885</v>
      </c>
      <c r="G96" s="262"/>
      <c r="H96" s="22">
        <v>1076</v>
      </c>
    </row>
    <row r="97" spans="5:8" x14ac:dyDescent="0.35">
      <c r="E97" s="19">
        <v>82</v>
      </c>
      <c r="F97" s="131">
        <v>149.94425863991083</v>
      </c>
      <c r="G97" s="131"/>
      <c r="H97">
        <v>1614</v>
      </c>
    </row>
    <row r="98" spans="5:8" x14ac:dyDescent="0.35">
      <c r="E98" s="19">
        <v>83</v>
      </c>
      <c r="F98" s="131">
        <v>149.94425863991083</v>
      </c>
      <c r="G98" s="131"/>
      <c r="H98">
        <v>1614</v>
      </c>
    </row>
    <row r="99" spans="5:8" x14ac:dyDescent="0.35">
      <c r="E99" s="19">
        <v>84</v>
      </c>
      <c r="F99" s="131">
        <v>99.962839093273885</v>
      </c>
      <c r="G99" s="131"/>
      <c r="H99">
        <v>1076</v>
      </c>
    </row>
    <row r="100" spans="5:8" x14ac:dyDescent="0.35">
      <c r="E100" s="19">
        <v>85</v>
      </c>
      <c r="F100" s="131">
        <v>99.962839093273885</v>
      </c>
      <c r="G100" s="131"/>
      <c r="H100">
        <v>1076</v>
      </c>
    </row>
    <row r="101" spans="5:8" s="22" customFormat="1" x14ac:dyDescent="0.35">
      <c r="E101" s="21">
        <v>86</v>
      </c>
      <c r="F101" s="262">
        <v>99.962839093273885</v>
      </c>
      <c r="G101" s="262"/>
      <c r="H101" s="22">
        <v>1076</v>
      </c>
    </row>
    <row r="102" spans="5:8" x14ac:dyDescent="0.35">
      <c r="E102" s="19">
        <v>87</v>
      </c>
      <c r="F102" s="131">
        <v>99.962839093273885</v>
      </c>
      <c r="G102" s="131"/>
      <c r="H102">
        <v>1076</v>
      </c>
    </row>
    <row r="103" spans="5:8" x14ac:dyDescent="0.35">
      <c r="E103" s="19">
        <v>88</v>
      </c>
      <c r="F103" s="131">
        <v>99.962839093273885</v>
      </c>
      <c r="G103" s="131"/>
      <c r="H103">
        <v>1076</v>
      </c>
    </row>
    <row r="104" spans="5:8" x14ac:dyDescent="0.35">
      <c r="E104" s="19">
        <v>89</v>
      </c>
      <c r="F104" s="131">
        <v>99.962839093273885</v>
      </c>
      <c r="G104" s="131"/>
      <c r="H104">
        <v>1076</v>
      </c>
    </row>
    <row r="105" spans="5:8" x14ac:dyDescent="0.35">
      <c r="E105" s="19">
        <v>90</v>
      </c>
      <c r="F105" s="131">
        <v>99.962839093273885</v>
      </c>
      <c r="G105" s="131"/>
      <c r="H105">
        <v>1076</v>
      </c>
    </row>
    <row r="106" spans="5:8" x14ac:dyDescent="0.35">
      <c r="E106" s="19">
        <v>91</v>
      </c>
      <c r="F106" s="131">
        <v>99.962839093273885</v>
      </c>
      <c r="G106" s="131"/>
      <c r="H106">
        <v>1076</v>
      </c>
    </row>
    <row r="107" spans="5:8" x14ac:dyDescent="0.35">
      <c r="E107" s="19">
        <v>92</v>
      </c>
      <c r="F107" s="131">
        <v>99.962839093273885</v>
      </c>
      <c r="G107" s="131"/>
      <c r="H107">
        <v>1076</v>
      </c>
    </row>
    <row r="108" spans="5:8" x14ac:dyDescent="0.35">
      <c r="E108" s="19">
        <v>93</v>
      </c>
      <c r="F108" s="131">
        <v>99.962839093273885</v>
      </c>
      <c r="G108" s="131"/>
      <c r="H108">
        <v>1076</v>
      </c>
    </row>
    <row r="109" spans="5:8" x14ac:dyDescent="0.35">
      <c r="E109" s="19">
        <v>94</v>
      </c>
      <c r="F109" s="131">
        <v>99.962839093273885</v>
      </c>
      <c r="G109" s="131"/>
      <c r="H109">
        <v>1076</v>
      </c>
    </row>
    <row r="110" spans="5:8" x14ac:dyDescent="0.35">
      <c r="E110" s="19">
        <v>95</v>
      </c>
      <c r="F110" s="131">
        <v>149.94425863991083</v>
      </c>
      <c r="G110" s="131"/>
      <c r="H110">
        <v>1614</v>
      </c>
    </row>
    <row r="111" spans="5:8" s="22" customFormat="1" x14ac:dyDescent="0.35">
      <c r="E111" s="21">
        <v>96</v>
      </c>
      <c r="F111" s="262">
        <v>174.93496841322929</v>
      </c>
      <c r="G111" s="262"/>
      <c r="H111" s="22">
        <v>1883</v>
      </c>
    </row>
    <row r="112" spans="5:8" x14ac:dyDescent="0.35">
      <c r="E112" s="19">
        <v>97</v>
      </c>
      <c r="F112" s="131">
        <v>149.94425863991083</v>
      </c>
      <c r="G112" s="131"/>
      <c r="H112">
        <v>1614</v>
      </c>
    </row>
    <row r="113" spans="5:8" x14ac:dyDescent="0.35">
      <c r="E113" s="19">
        <v>98</v>
      </c>
      <c r="F113" s="131">
        <v>149.94425863991083</v>
      </c>
      <c r="G113" s="131"/>
      <c r="H113">
        <v>1614</v>
      </c>
    </row>
    <row r="114" spans="5:8" x14ac:dyDescent="0.35">
      <c r="E114" s="19">
        <v>99</v>
      </c>
      <c r="F114" s="131">
        <v>149.94425863991083</v>
      </c>
      <c r="G114" s="131"/>
      <c r="H114">
        <v>1614</v>
      </c>
    </row>
    <row r="115" spans="5:8" x14ac:dyDescent="0.35">
      <c r="E115" s="19">
        <v>100</v>
      </c>
      <c r="F115" s="131">
        <v>149.94425863991083</v>
      </c>
      <c r="G115" s="131"/>
      <c r="H115">
        <v>1614</v>
      </c>
    </row>
    <row r="116" spans="5:8" x14ac:dyDescent="0.35">
      <c r="E116" s="19">
        <v>101</v>
      </c>
      <c r="F116" s="131">
        <v>149.94425863991083</v>
      </c>
      <c r="G116" s="131"/>
      <c r="H116">
        <v>1614</v>
      </c>
    </row>
    <row r="117" spans="5:8" x14ac:dyDescent="0.35">
      <c r="E117" s="19">
        <v>102</v>
      </c>
      <c r="F117" s="131">
        <v>149.94425863991083</v>
      </c>
      <c r="G117" s="131"/>
      <c r="H117">
        <v>1614</v>
      </c>
    </row>
    <row r="118" spans="5:8" x14ac:dyDescent="0.35">
      <c r="E118" s="19">
        <v>103</v>
      </c>
      <c r="F118" s="131">
        <v>149.94425863991083</v>
      </c>
      <c r="G118" s="131"/>
      <c r="H118">
        <v>1614</v>
      </c>
    </row>
    <row r="119" spans="5:8" x14ac:dyDescent="0.35">
      <c r="E119" s="19">
        <v>104</v>
      </c>
      <c r="F119" s="131">
        <v>149.94425863991083</v>
      </c>
      <c r="G119" s="131"/>
      <c r="H119">
        <v>1614</v>
      </c>
    </row>
    <row r="120" spans="5:8" x14ac:dyDescent="0.35">
      <c r="E120" s="19">
        <v>105</v>
      </c>
      <c r="F120" s="131">
        <v>149.94425863991083</v>
      </c>
      <c r="G120" s="131"/>
      <c r="H120">
        <v>1614</v>
      </c>
    </row>
    <row r="121" spans="5:8" x14ac:dyDescent="0.35">
      <c r="E121" s="19">
        <v>106</v>
      </c>
      <c r="F121" s="131">
        <v>149.94425863991083</v>
      </c>
      <c r="G121" s="131"/>
      <c r="H121">
        <v>1614</v>
      </c>
    </row>
    <row r="122" spans="5:8" x14ac:dyDescent="0.35">
      <c r="E122" s="19">
        <v>107</v>
      </c>
      <c r="F122" s="131">
        <v>149.94425863991083</v>
      </c>
      <c r="G122" s="131"/>
      <c r="H122">
        <v>1614</v>
      </c>
    </row>
    <row r="123" spans="5:8" x14ac:dyDescent="0.35">
      <c r="E123" s="19">
        <v>108</v>
      </c>
      <c r="F123" s="131">
        <v>149.94425863991083</v>
      </c>
      <c r="G123" s="131"/>
      <c r="H123">
        <v>1614</v>
      </c>
    </row>
    <row r="124" spans="5:8" x14ac:dyDescent="0.35">
      <c r="E124" s="19">
        <v>109</v>
      </c>
      <c r="F124" s="131">
        <v>149.94425863991083</v>
      </c>
      <c r="G124" s="131"/>
      <c r="H124">
        <v>1614</v>
      </c>
    </row>
    <row r="125" spans="5:8" x14ac:dyDescent="0.35">
      <c r="E125" s="19">
        <v>110</v>
      </c>
      <c r="F125" s="131">
        <v>149.94425863991083</v>
      </c>
      <c r="G125" s="131"/>
      <c r="H125">
        <v>1614</v>
      </c>
    </row>
    <row r="126" spans="5:8" s="22" customFormat="1" x14ac:dyDescent="0.35">
      <c r="E126" s="21">
        <v>111</v>
      </c>
      <c r="F126" s="262">
        <v>149.94425863991083</v>
      </c>
      <c r="G126" s="262"/>
      <c r="H126" s="22">
        <v>1614</v>
      </c>
    </row>
    <row r="127" spans="5:8" x14ac:dyDescent="0.35">
      <c r="E127" s="19">
        <v>112</v>
      </c>
      <c r="F127" s="131">
        <v>149.94425863991083</v>
      </c>
      <c r="G127" s="131"/>
      <c r="H127">
        <v>1614</v>
      </c>
    </row>
    <row r="128" spans="5:8" x14ac:dyDescent="0.35">
      <c r="E128" s="19">
        <v>113</v>
      </c>
      <c r="F128" s="131">
        <v>149.94425863991083</v>
      </c>
      <c r="G128" s="131"/>
      <c r="H128">
        <v>1614</v>
      </c>
    </row>
    <row r="129" spans="5:8" x14ac:dyDescent="0.35">
      <c r="E129" s="19">
        <v>114</v>
      </c>
      <c r="F129" s="131">
        <v>149.94425863991083</v>
      </c>
      <c r="G129" s="131"/>
      <c r="H129">
        <v>1614</v>
      </c>
    </row>
    <row r="130" spans="5:8" x14ac:dyDescent="0.35">
      <c r="E130" s="19">
        <v>115</v>
      </c>
      <c r="F130" s="131">
        <v>149.94425863991083</v>
      </c>
      <c r="G130" s="131"/>
      <c r="H130">
        <v>1614</v>
      </c>
    </row>
    <row r="131" spans="5:8" x14ac:dyDescent="0.35">
      <c r="E131" s="19">
        <v>116</v>
      </c>
      <c r="F131" s="131">
        <v>149.94425863991083</v>
      </c>
      <c r="G131" s="131"/>
      <c r="H131">
        <v>1614</v>
      </c>
    </row>
    <row r="132" spans="5:8" x14ac:dyDescent="0.35">
      <c r="E132" s="19">
        <v>117</v>
      </c>
      <c r="F132" s="131">
        <v>149.94425863991083</v>
      </c>
      <c r="G132" s="131"/>
      <c r="H132">
        <v>1614</v>
      </c>
    </row>
    <row r="133" spans="5:8" x14ac:dyDescent="0.35">
      <c r="E133" s="19">
        <v>118</v>
      </c>
      <c r="F133" s="131">
        <v>149.94425863991083</v>
      </c>
      <c r="G133" s="131"/>
      <c r="H133">
        <v>1614</v>
      </c>
    </row>
    <row r="134" spans="5:8" x14ac:dyDescent="0.35">
      <c r="E134" s="19">
        <v>119</v>
      </c>
      <c r="F134" s="131">
        <v>149.94425863991083</v>
      </c>
      <c r="G134" s="131"/>
      <c r="H134">
        <v>1614</v>
      </c>
    </row>
    <row r="135" spans="5:8" x14ac:dyDescent="0.35">
      <c r="E135" s="19">
        <v>120</v>
      </c>
      <c r="F135" s="131">
        <v>171.96209587513937</v>
      </c>
      <c r="G135" s="131"/>
      <c r="H135">
        <v>1851</v>
      </c>
    </row>
    <row r="136" spans="5:8" x14ac:dyDescent="0.35">
      <c r="E136" s="19" t="s">
        <v>221</v>
      </c>
      <c r="F136" s="131">
        <v>127.46191007060573</v>
      </c>
      <c r="G136" s="131"/>
      <c r="H136">
        <v>1372</v>
      </c>
    </row>
    <row r="137" spans="5:8" x14ac:dyDescent="0.35">
      <c r="E137" s="19" t="s">
        <v>222</v>
      </c>
      <c r="F137" s="131">
        <v>127.46191007060573</v>
      </c>
      <c r="G137" s="131"/>
      <c r="H137">
        <v>1372</v>
      </c>
    </row>
    <row r="138" spans="5:8" x14ac:dyDescent="0.35">
      <c r="E138" s="19" t="s">
        <v>223</v>
      </c>
      <c r="F138" s="131">
        <v>127.46191007060573</v>
      </c>
      <c r="G138" s="131"/>
      <c r="H138">
        <v>1372</v>
      </c>
    </row>
    <row r="139" spans="5:8" s="22" customFormat="1" x14ac:dyDescent="0.35">
      <c r="E139" s="21" t="s">
        <v>224</v>
      </c>
      <c r="F139" s="262">
        <v>127.46191007060573</v>
      </c>
      <c r="G139" s="262"/>
      <c r="H139" s="22">
        <v>1372</v>
      </c>
    </row>
    <row r="140" spans="5:8" x14ac:dyDescent="0.35">
      <c r="E140" s="19" t="s">
        <v>225</v>
      </c>
      <c r="F140" s="131">
        <v>127.46191007060573</v>
      </c>
      <c r="G140" s="131"/>
      <c r="H140">
        <v>1372</v>
      </c>
    </row>
    <row r="141" spans="5:8" x14ac:dyDescent="0.35">
      <c r="E141" s="19" t="s">
        <v>226</v>
      </c>
      <c r="F141" s="131">
        <v>127.46191007060573</v>
      </c>
      <c r="G141" s="131"/>
      <c r="H141">
        <v>1372</v>
      </c>
    </row>
    <row r="142" spans="5:8" x14ac:dyDescent="0.35">
      <c r="E142" s="19" t="s">
        <v>227</v>
      </c>
      <c r="F142" s="131">
        <v>127.46191007060573</v>
      </c>
      <c r="G142" s="131"/>
      <c r="H142">
        <v>1372</v>
      </c>
    </row>
    <row r="143" spans="5:8" x14ac:dyDescent="0.35">
      <c r="E143" s="19" t="s">
        <v>228</v>
      </c>
      <c r="F143" s="131">
        <v>127.46191007060573</v>
      </c>
      <c r="G143" s="131"/>
      <c r="H143">
        <v>1372</v>
      </c>
    </row>
    <row r="144" spans="5:8" x14ac:dyDescent="0.35">
      <c r="E144" s="19" t="s">
        <v>229</v>
      </c>
      <c r="F144" s="131">
        <v>127.46191007060573</v>
      </c>
      <c r="G144" s="131"/>
      <c r="H144">
        <v>1372</v>
      </c>
    </row>
    <row r="145" spans="5:8" x14ac:dyDescent="0.35">
      <c r="E145" s="19" t="s">
        <v>181</v>
      </c>
      <c r="F145" s="131">
        <v>127.46191007060573</v>
      </c>
      <c r="G145" s="131"/>
      <c r="H145">
        <v>1372</v>
      </c>
    </row>
    <row r="146" spans="5:8" x14ac:dyDescent="0.35">
      <c r="E146" s="19" t="s">
        <v>230</v>
      </c>
      <c r="F146" s="131">
        <v>127.46191007060573</v>
      </c>
      <c r="G146" s="131"/>
      <c r="H146">
        <v>1372</v>
      </c>
    </row>
    <row r="147" spans="5:8" x14ac:dyDescent="0.35">
      <c r="E147" s="19" t="s">
        <v>231</v>
      </c>
      <c r="F147" s="131">
        <v>127.46191007060573</v>
      </c>
      <c r="G147" s="131"/>
      <c r="H147">
        <v>1372</v>
      </c>
    </row>
    <row r="148" spans="5:8" x14ac:dyDescent="0.35">
      <c r="E148" s="19">
        <v>127</v>
      </c>
      <c r="F148" s="131">
        <v>254.92382014121145</v>
      </c>
      <c r="G148" s="131"/>
      <c r="H148">
        <v>2744</v>
      </c>
    </row>
    <row r="149" spans="5:8" x14ac:dyDescent="0.35">
      <c r="E149" s="19">
        <v>128</v>
      </c>
      <c r="F149" s="131">
        <v>262.91341508732813</v>
      </c>
      <c r="G149" s="131"/>
      <c r="H149">
        <v>2830</v>
      </c>
    </row>
    <row r="150" spans="5:8" x14ac:dyDescent="0.35">
      <c r="F150" s="18"/>
    </row>
    <row r="151" spans="5:8" x14ac:dyDescent="0.35">
      <c r="F151" s="18"/>
    </row>
    <row r="152" spans="5:8" x14ac:dyDescent="0.35">
      <c r="F152" s="18"/>
    </row>
    <row r="153" spans="5:8" x14ac:dyDescent="0.35">
      <c r="F153" s="18"/>
    </row>
    <row r="154" spans="5:8" x14ac:dyDescent="0.35">
      <c r="F154" s="18"/>
    </row>
    <row r="155" spans="5:8" x14ac:dyDescent="0.35">
      <c r="F155" s="18"/>
    </row>
    <row r="156" spans="5:8" x14ac:dyDescent="0.35">
      <c r="F156" s="18"/>
    </row>
    <row r="157" spans="5:8" x14ac:dyDescent="0.35">
      <c r="F157" s="18"/>
    </row>
    <row r="158" spans="5:8" x14ac:dyDescent="0.35">
      <c r="F158" s="18"/>
    </row>
    <row r="159" spans="5:8" x14ac:dyDescent="0.35">
      <c r="F159" s="18"/>
    </row>
    <row r="160" spans="5:8" x14ac:dyDescent="0.35">
      <c r="F160" s="18"/>
    </row>
    <row r="161" spans="6:6" x14ac:dyDescent="0.35">
      <c r="F161" s="18"/>
    </row>
    <row r="162" spans="6:6" x14ac:dyDescent="0.35">
      <c r="F162" s="18"/>
    </row>
    <row r="163" spans="6:6" x14ac:dyDescent="0.35">
      <c r="F163" s="18"/>
    </row>
    <row r="164" spans="6:6" x14ac:dyDescent="0.35">
      <c r="F164" s="18"/>
    </row>
    <row r="165" spans="6:6" x14ac:dyDescent="0.35">
      <c r="F165" s="18"/>
    </row>
    <row r="166" spans="6:6" x14ac:dyDescent="0.35">
      <c r="F166" s="18"/>
    </row>
    <row r="167" spans="6:6" x14ac:dyDescent="0.35">
      <c r="F167" s="18"/>
    </row>
    <row r="168" spans="6:6" x14ac:dyDescent="0.35">
      <c r="F168" s="18"/>
    </row>
    <row r="169" spans="6:6" x14ac:dyDescent="0.35">
      <c r="F169" s="18"/>
    </row>
    <row r="170" spans="6:6" x14ac:dyDescent="0.35">
      <c r="F170" s="18"/>
    </row>
  </sheetData>
  <mergeCells count="147">
    <mergeCell ref="F12:G12"/>
    <mergeCell ref="F13:G13"/>
    <mergeCell ref="F14:G14"/>
    <mergeCell ref="F15:G15"/>
    <mergeCell ref="F16:G16"/>
    <mergeCell ref="F17:G17"/>
    <mergeCell ref="F3:G3"/>
    <mergeCell ref="F4:G4"/>
    <mergeCell ref="F5:G5"/>
    <mergeCell ref="F6:G6"/>
    <mergeCell ref="F7:G7"/>
    <mergeCell ref="F8:G8"/>
    <mergeCell ref="F9:G9"/>
    <mergeCell ref="F10:G10"/>
    <mergeCell ref="F11:G11"/>
    <mergeCell ref="F24:G24"/>
    <mergeCell ref="F25:G25"/>
    <mergeCell ref="F26:G26"/>
    <mergeCell ref="F27:G27"/>
    <mergeCell ref="F28:G28"/>
    <mergeCell ref="F29:G29"/>
    <mergeCell ref="F18:G18"/>
    <mergeCell ref="F19:G19"/>
    <mergeCell ref="F20:G20"/>
    <mergeCell ref="F21:G21"/>
    <mergeCell ref="F22:G22"/>
    <mergeCell ref="F23:G23"/>
    <mergeCell ref="F36:G36"/>
    <mergeCell ref="F37:G37"/>
    <mergeCell ref="F38:G38"/>
    <mergeCell ref="F39:G39"/>
    <mergeCell ref="F40:G40"/>
    <mergeCell ref="F41:G41"/>
    <mergeCell ref="F30:G30"/>
    <mergeCell ref="F31:G31"/>
    <mergeCell ref="F32:G32"/>
    <mergeCell ref="F33:G33"/>
    <mergeCell ref="F34:G34"/>
    <mergeCell ref="F35:G35"/>
    <mergeCell ref="F48:G48"/>
    <mergeCell ref="F49:G49"/>
    <mergeCell ref="F50:G50"/>
    <mergeCell ref="F51:G51"/>
    <mergeCell ref="F52:G52"/>
    <mergeCell ref="F53:G53"/>
    <mergeCell ref="F42:G42"/>
    <mergeCell ref="F43:G43"/>
    <mergeCell ref="F44:G44"/>
    <mergeCell ref="F45:G45"/>
    <mergeCell ref="F46:G46"/>
    <mergeCell ref="F47:G47"/>
    <mergeCell ref="F60:G60"/>
    <mergeCell ref="F61:G61"/>
    <mergeCell ref="F62:G62"/>
    <mergeCell ref="F63:G63"/>
    <mergeCell ref="F64:G64"/>
    <mergeCell ref="F65:G65"/>
    <mergeCell ref="F54:G54"/>
    <mergeCell ref="F55:G55"/>
    <mergeCell ref="F56:G56"/>
    <mergeCell ref="F57:G57"/>
    <mergeCell ref="F58:G58"/>
    <mergeCell ref="F59:G59"/>
    <mergeCell ref="F72:G72"/>
    <mergeCell ref="F73:G73"/>
    <mergeCell ref="F74:G74"/>
    <mergeCell ref="F75:G75"/>
    <mergeCell ref="F76:G76"/>
    <mergeCell ref="F77:G77"/>
    <mergeCell ref="F66:G66"/>
    <mergeCell ref="F67:G67"/>
    <mergeCell ref="F68:G68"/>
    <mergeCell ref="F69:G69"/>
    <mergeCell ref="F70:G70"/>
    <mergeCell ref="F71:G71"/>
    <mergeCell ref="F84:G84"/>
    <mergeCell ref="F85:G85"/>
    <mergeCell ref="F86:G86"/>
    <mergeCell ref="F87:G87"/>
    <mergeCell ref="F88:G88"/>
    <mergeCell ref="F89:G89"/>
    <mergeCell ref="F78:G78"/>
    <mergeCell ref="F79:G79"/>
    <mergeCell ref="F80:G80"/>
    <mergeCell ref="F81:G81"/>
    <mergeCell ref="F82:G82"/>
    <mergeCell ref="F83:G83"/>
    <mergeCell ref="F96:G96"/>
    <mergeCell ref="F97:G97"/>
    <mergeCell ref="F98:G98"/>
    <mergeCell ref="F99:G99"/>
    <mergeCell ref="F100:G100"/>
    <mergeCell ref="F101:G101"/>
    <mergeCell ref="F90:G90"/>
    <mergeCell ref="F91:G91"/>
    <mergeCell ref="F92:G92"/>
    <mergeCell ref="F93:G93"/>
    <mergeCell ref="F94:G94"/>
    <mergeCell ref="F95:G95"/>
    <mergeCell ref="F108:G108"/>
    <mergeCell ref="F109:G109"/>
    <mergeCell ref="F110:G110"/>
    <mergeCell ref="F111:G111"/>
    <mergeCell ref="F112:G112"/>
    <mergeCell ref="F113:G113"/>
    <mergeCell ref="F102:G102"/>
    <mergeCell ref="F103:G103"/>
    <mergeCell ref="F104:G104"/>
    <mergeCell ref="F105:G105"/>
    <mergeCell ref="F106:G106"/>
    <mergeCell ref="F107:G107"/>
    <mergeCell ref="F120:G120"/>
    <mergeCell ref="F121:G121"/>
    <mergeCell ref="F122:G122"/>
    <mergeCell ref="F123:G123"/>
    <mergeCell ref="F124:G124"/>
    <mergeCell ref="F125:G125"/>
    <mergeCell ref="F114:G114"/>
    <mergeCell ref="F115:G115"/>
    <mergeCell ref="F116:G116"/>
    <mergeCell ref="F117:G117"/>
    <mergeCell ref="F118:G118"/>
    <mergeCell ref="F119:G119"/>
    <mergeCell ref="F132:G132"/>
    <mergeCell ref="F133:G133"/>
    <mergeCell ref="F134:G134"/>
    <mergeCell ref="F135:G135"/>
    <mergeCell ref="F136:G136"/>
    <mergeCell ref="F137:G137"/>
    <mergeCell ref="F126:G126"/>
    <mergeCell ref="F127:G127"/>
    <mergeCell ref="F128:G128"/>
    <mergeCell ref="F129:G129"/>
    <mergeCell ref="F130:G130"/>
    <mergeCell ref="F131:G131"/>
    <mergeCell ref="F144:G144"/>
    <mergeCell ref="F145:G145"/>
    <mergeCell ref="F146:G146"/>
    <mergeCell ref="F147:G147"/>
    <mergeCell ref="F148:G148"/>
    <mergeCell ref="F149:G149"/>
    <mergeCell ref="F138:G138"/>
    <mergeCell ref="F139:G139"/>
    <mergeCell ref="F140:G140"/>
    <mergeCell ref="F141:G141"/>
    <mergeCell ref="F142:G142"/>
    <mergeCell ref="F143:G143"/>
  </mergeCell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dimension ref="B2:M34"/>
  <sheetViews>
    <sheetView topLeftCell="A22" workbookViewId="0">
      <selection activeCell="F34" sqref="F34"/>
    </sheetView>
  </sheetViews>
  <sheetFormatPr defaultRowHeight="14.5" x14ac:dyDescent="0.35"/>
  <sheetData>
    <row r="2" spans="2:13" x14ac:dyDescent="0.35">
      <c r="C2" s="4" t="s">
        <v>76</v>
      </c>
      <c r="D2" s="263"/>
      <c r="E2" s="263"/>
    </row>
    <row r="3" spans="2:13" x14ac:dyDescent="0.35">
      <c r="E3" s="3"/>
      <c r="F3" s="3"/>
      <c r="G3" s="3"/>
      <c r="H3" s="3"/>
      <c r="I3" s="3"/>
      <c r="J3" s="3"/>
    </row>
    <row r="4" spans="2:13" x14ac:dyDescent="0.35">
      <c r="B4" s="4" t="s">
        <v>77</v>
      </c>
      <c r="C4" s="2" t="s">
        <v>57</v>
      </c>
      <c r="D4" s="264" t="s">
        <v>58</v>
      </c>
      <c r="E4" s="264"/>
      <c r="F4" s="264"/>
      <c r="G4" s="5"/>
      <c r="H4" s="264" t="s">
        <v>59</v>
      </c>
      <c r="I4" s="264"/>
      <c r="J4" s="264"/>
      <c r="K4" s="264" t="s">
        <v>60</v>
      </c>
      <c r="L4" s="264"/>
      <c r="M4" s="264"/>
    </row>
    <row r="5" spans="2:13" x14ac:dyDescent="0.35">
      <c r="B5" s="4">
        <v>1</v>
      </c>
      <c r="C5" s="2"/>
      <c r="D5" s="2" t="s">
        <v>61</v>
      </c>
      <c r="E5" s="2" t="s">
        <v>62</v>
      </c>
      <c r="F5" s="2" t="s">
        <v>63</v>
      </c>
      <c r="G5" s="2"/>
      <c r="H5" s="2" t="s">
        <v>61</v>
      </c>
      <c r="I5" s="2" t="s">
        <v>62</v>
      </c>
      <c r="J5" s="2" t="s">
        <v>63</v>
      </c>
      <c r="K5" s="2" t="s">
        <v>61</v>
      </c>
      <c r="L5" s="2" t="s">
        <v>62</v>
      </c>
      <c r="M5" s="2" t="s">
        <v>63</v>
      </c>
    </row>
    <row r="6" spans="2:13" x14ac:dyDescent="0.35">
      <c r="C6" s="1" t="s">
        <v>64</v>
      </c>
      <c r="D6" s="1">
        <v>5.88</v>
      </c>
      <c r="E6" s="1">
        <v>2.98</v>
      </c>
      <c r="F6" s="1">
        <f>D6*E6</f>
        <v>17.522400000000001</v>
      </c>
      <c r="G6" s="1" t="s">
        <v>78</v>
      </c>
      <c r="H6" s="1">
        <v>1</v>
      </c>
      <c r="I6" s="1">
        <v>2.75</v>
      </c>
      <c r="J6" s="1">
        <f>H6*I6</f>
        <v>2.75</v>
      </c>
      <c r="K6" s="1"/>
      <c r="L6" s="1"/>
      <c r="M6" s="1">
        <f>K6*L6</f>
        <v>0</v>
      </c>
    </row>
    <row r="7" spans="2:13" x14ac:dyDescent="0.35">
      <c r="C7" s="1"/>
      <c r="D7" s="1"/>
      <c r="E7" s="1"/>
      <c r="F7" s="1">
        <f t="shared" ref="F7:F33" si="0">D7*E7</f>
        <v>0</v>
      </c>
      <c r="G7" s="1" t="s">
        <v>79</v>
      </c>
      <c r="H7" s="1">
        <v>1</v>
      </c>
      <c r="I7" s="1">
        <v>3.24</v>
      </c>
      <c r="J7" s="1">
        <f t="shared" ref="J7:J29" si="1">H7*I7</f>
        <v>3.24</v>
      </c>
      <c r="K7" s="1"/>
      <c r="L7" s="1"/>
      <c r="M7" s="1">
        <f t="shared" ref="M7:M29" si="2">K7*L7</f>
        <v>0</v>
      </c>
    </row>
    <row r="8" spans="2:13" x14ac:dyDescent="0.35">
      <c r="C8" s="1"/>
      <c r="D8" s="1"/>
      <c r="E8" s="1"/>
      <c r="F8" s="1">
        <f t="shared" si="0"/>
        <v>0</v>
      </c>
      <c r="G8" s="1"/>
      <c r="H8" s="1"/>
      <c r="I8" s="1"/>
      <c r="J8" s="1">
        <f t="shared" si="1"/>
        <v>0</v>
      </c>
      <c r="K8" s="1"/>
      <c r="L8" s="1"/>
      <c r="M8" s="1">
        <f t="shared" si="2"/>
        <v>0</v>
      </c>
    </row>
    <row r="9" spans="2:13" x14ac:dyDescent="0.35">
      <c r="C9" s="1" t="s">
        <v>67</v>
      </c>
      <c r="D9" s="1">
        <v>2.0299999999999998</v>
      </c>
      <c r="E9" s="1">
        <v>2.4</v>
      </c>
      <c r="F9" s="1">
        <f t="shared" si="0"/>
        <v>4.871999999999999</v>
      </c>
      <c r="G9" s="1" t="s">
        <v>78</v>
      </c>
      <c r="H9" s="1"/>
      <c r="I9" s="1"/>
      <c r="J9" s="1">
        <f t="shared" si="1"/>
        <v>0</v>
      </c>
      <c r="K9" s="1"/>
      <c r="L9" s="1"/>
      <c r="M9" s="1">
        <f t="shared" si="2"/>
        <v>0</v>
      </c>
    </row>
    <row r="10" spans="2:13" x14ac:dyDescent="0.35">
      <c r="C10" s="1"/>
      <c r="D10" s="1"/>
      <c r="E10" s="1"/>
      <c r="F10" s="1">
        <f t="shared" si="0"/>
        <v>0</v>
      </c>
      <c r="G10" s="1" t="s">
        <v>79</v>
      </c>
      <c r="H10" s="1"/>
      <c r="I10" s="1"/>
      <c r="J10" s="1">
        <f t="shared" si="1"/>
        <v>0</v>
      </c>
      <c r="K10" s="1"/>
      <c r="L10" s="1"/>
      <c r="M10" s="1">
        <f t="shared" si="2"/>
        <v>0</v>
      </c>
    </row>
    <row r="11" spans="2:13" x14ac:dyDescent="0.35">
      <c r="C11" s="1"/>
      <c r="D11" s="1"/>
      <c r="E11" s="1"/>
      <c r="F11" s="1">
        <f t="shared" si="0"/>
        <v>0</v>
      </c>
      <c r="G11" s="1"/>
      <c r="H11" s="1"/>
      <c r="I11" s="1"/>
      <c r="J11" s="1">
        <f t="shared" si="1"/>
        <v>0</v>
      </c>
      <c r="K11" s="1"/>
      <c r="L11" s="1"/>
      <c r="M11" s="1">
        <f t="shared" si="2"/>
        <v>0</v>
      </c>
    </row>
    <row r="12" spans="2:13" x14ac:dyDescent="0.35">
      <c r="C12" s="1"/>
      <c r="D12" s="1"/>
      <c r="E12" s="1"/>
      <c r="F12" s="1">
        <f t="shared" si="0"/>
        <v>0</v>
      </c>
      <c r="G12" s="1"/>
      <c r="H12" s="1"/>
      <c r="I12" s="1"/>
      <c r="J12" s="1">
        <f t="shared" si="1"/>
        <v>0</v>
      </c>
      <c r="K12" s="1"/>
      <c r="L12" s="1"/>
      <c r="M12" s="1">
        <f t="shared" si="2"/>
        <v>0</v>
      </c>
    </row>
    <row r="13" spans="2:13" x14ac:dyDescent="0.35">
      <c r="C13" s="1" t="s">
        <v>65</v>
      </c>
      <c r="D13" s="1">
        <v>3.65</v>
      </c>
      <c r="E13" s="1">
        <v>3.85</v>
      </c>
      <c r="F13" s="1">
        <f t="shared" si="0"/>
        <v>14.0525</v>
      </c>
      <c r="G13" s="1" t="s">
        <v>78</v>
      </c>
      <c r="H13" s="1"/>
      <c r="I13" s="1"/>
      <c r="J13" s="1">
        <f t="shared" si="1"/>
        <v>0</v>
      </c>
      <c r="K13" s="1"/>
      <c r="L13" s="1"/>
      <c r="M13" s="1">
        <f t="shared" si="2"/>
        <v>0</v>
      </c>
    </row>
    <row r="14" spans="2:13" x14ac:dyDescent="0.35">
      <c r="C14" s="1"/>
      <c r="D14" s="1"/>
      <c r="E14" s="1"/>
      <c r="F14" s="1">
        <f t="shared" si="0"/>
        <v>0</v>
      </c>
      <c r="G14" s="1" t="s">
        <v>79</v>
      </c>
      <c r="H14" s="1"/>
      <c r="I14" s="1"/>
      <c r="J14" s="1">
        <f t="shared" si="1"/>
        <v>0</v>
      </c>
      <c r="K14" s="1"/>
      <c r="L14" s="1"/>
      <c r="M14" s="1">
        <f t="shared" si="2"/>
        <v>0</v>
      </c>
    </row>
    <row r="15" spans="2:13" x14ac:dyDescent="0.35">
      <c r="C15" s="1"/>
      <c r="D15" s="1"/>
      <c r="E15" s="1"/>
      <c r="F15" s="1">
        <f t="shared" si="0"/>
        <v>0</v>
      </c>
      <c r="G15" s="1"/>
      <c r="H15" s="1"/>
      <c r="I15" s="1"/>
      <c r="J15" s="1">
        <f t="shared" si="1"/>
        <v>0</v>
      </c>
      <c r="K15" s="1"/>
      <c r="L15" s="1"/>
      <c r="M15" s="1">
        <f t="shared" si="2"/>
        <v>0</v>
      </c>
    </row>
    <row r="16" spans="2:13" x14ac:dyDescent="0.35">
      <c r="C16" s="1"/>
      <c r="D16" s="1"/>
      <c r="E16" s="1"/>
      <c r="F16" s="1">
        <f t="shared" si="0"/>
        <v>0</v>
      </c>
      <c r="G16" s="1"/>
      <c r="H16" s="1"/>
      <c r="I16" s="1"/>
      <c r="J16" s="1">
        <f t="shared" si="1"/>
        <v>0</v>
      </c>
      <c r="K16" s="1"/>
      <c r="L16" s="1"/>
      <c r="M16" s="1">
        <f t="shared" si="2"/>
        <v>0</v>
      </c>
    </row>
    <row r="17" spans="3:13" x14ac:dyDescent="0.35">
      <c r="C17" s="1" t="s">
        <v>66</v>
      </c>
      <c r="D17" s="1"/>
      <c r="E17" s="1"/>
      <c r="F17" s="1">
        <f t="shared" si="0"/>
        <v>0</v>
      </c>
      <c r="G17" s="1" t="s">
        <v>78</v>
      </c>
      <c r="H17" s="1"/>
      <c r="I17" s="1"/>
      <c r="J17" s="1">
        <f t="shared" si="1"/>
        <v>0</v>
      </c>
      <c r="K17" s="1"/>
      <c r="L17" s="1"/>
      <c r="M17" s="1">
        <f t="shared" si="2"/>
        <v>0</v>
      </c>
    </row>
    <row r="18" spans="3:13" x14ac:dyDescent="0.35">
      <c r="C18" s="1"/>
      <c r="D18" s="1"/>
      <c r="E18" s="1"/>
      <c r="F18" s="1">
        <f t="shared" si="0"/>
        <v>0</v>
      </c>
      <c r="G18" s="1" t="s">
        <v>79</v>
      </c>
      <c r="H18" s="1"/>
      <c r="I18" s="1"/>
      <c r="J18" s="1">
        <f t="shared" si="1"/>
        <v>0</v>
      </c>
      <c r="K18" s="1"/>
      <c r="L18" s="1"/>
      <c r="M18" s="1">
        <f t="shared" si="2"/>
        <v>0</v>
      </c>
    </row>
    <row r="19" spans="3:13" x14ac:dyDescent="0.35">
      <c r="C19" s="1"/>
      <c r="D19" s="1"/>
      <c r="E19" s="1"/>
      <c r="F19" s="1">
        <f t="shared" si="0"/>
        <v>0</v>
      </c>
      <c r="G19" s="1"/>
      <c r="H19" s="1"/>
      <c r="I19" s="1"/>
      <c r="J19" s="1">
        <f t="shared" si="1"/>
        <v>0</v>
      </c>
      <c r="K19" s="1"/>
      <c r="L19" s="1"/>
      <c r="M19" s="1">
        <f t="shared" si="2"/>
        <v>0</v>
      </c>
    </row>
    <row r="20" spans="3:13" x14ac:dyDescent="0.35">
      <c r="C20" s="1" t="s">
        <v>66</v>
      </c>
      <c r="D20" s="1"/>
      <c r="E20" s="1"/>
      <c r="F20" s="1">
        <f t="shared" si="0"/>
        <v>0</v>
      </c>
      <c r="G20" s="1" t="s">
        <v>78</v>
      </c>
      <c r="H20" s="1"/>
      <c r="I20" s="1"/>
      <c r="J20" s="1">
        <f t="shared" si="1"/>
        <v>0</v>
      </c>
      <c r="K20" s="1"/>
      <c r="L20" s="1"/>
      <c r="M20" s="1">
        <f t="shared" si="2"/>
        <v>0</v>
      </c>
    </row>
    <row r="21" spans="3:13" x14ac:dyDescent="0.35">
      <c r="C21" s="1"/>
      <c r="D21" s="1"/>
      <c r="E21" s="1"/>
      <c r="F21" s="1">
        <f t="shared" si="0"/>
        <v>0</v>
      </c>
      <c r="G21" s="1" t="s">
        <v>79</v>
      </c>
      <c r="H21" s="1"/>
      <c r="I21" s="1"/>
      <c r="J21" s="1">
        <f t="shared" si="1"/>
        <v>0</v>
      </c>
      <c r="K21" s="1"/>
      <c r="L21" s="1"/>
      <c r="M21" s="1">
        <f t="shared" si="2"/>
        <v>0</v>
      </c>
    </row>
    <row r="22" spans="3:13" x14ac:dyDescent="0.35">
      <c r="C22" s="1"/>
      <c r="D22" s="1"/>
      <c r="E22" s="1"/>
      <c r="F22" s="1">
        <f t="shared" si="0"/>
        <v>0</v>
      </c>
      <c r="G22" s="1"/>
      <c r="H22" s="1"/>
      <c r="I22" s="1"/>
      <c r="J22" s="1">
        <f t="shared" si="1"/>
        <v>0</v>
      </c>
      <c r="K22" s="1"/>
      <c r="L22" s="1"/>
      <c r="M22" s="1">
        <f t="shared" si="2"/>
        <v>0</v>
      </c>
    </row>
    <row r="23" spans="3:13" x14ac:dyDescent="0.35">
      <c r="C23" s="1" t="s">
        <v>72</v>
      </c>
      <c r="D23" s="1">
        <v>2.4300000000000002</v>
      </c>
      <c r="E23" s="1">
        <v>1.35</v>
      </c>
      <c r="F23" s="1">
        <f t="shared" si="0"/>
        <v>3.2805000000000004</v>
      </c>
      <c r="G23" s="1" t="s">
        <v>80</v>
      </c>
      <c r="H23" s="1"/>
      <c r="I23" s="1"/>
      <c r="J23" s="1">
        <f t="shared" si="1"/>
        <v>0</v>
      </c>
      <c r="K23" s="1"/>
      <c r="L23" s="1"/>
      <c r="M23" s="1">
        <f t="shared" si="2"/>
        <v>0</v>
      </c>
    </row>
    <row r="24" spans="3:13" x14ac:dyDescent="0.35">
      <c r="C24" s="1" t="s">
        <v>73</v>
      </c>
      <c r="D24" s="1"/>
      <c r="E24" s="1"/>
      <c r="F24" s="1">
        <f t="shared" si="0"/>
        <v>0</v>
      </c>
      <c r="G24" s="1" t="s">
        <v>80</v>
      </c>
      <c r="H24" s="1"/>
      <c r="I24" s="1"/>
      <c r="J24" s="1">
        <f t="shared" si="1"/>
        <v>0</v>
      </c>
      <c r="K24" s="1"/>
      <c r="L24" s="1"/>
      <c r="M24" s="1">
        <f t="shared" si="2"/>
        <v>0</v>
      </c>
    </row>
    <row r="25" spans="3:13" x14ac:dyDescent="0.35">
      <c r="C25" s="1" t="s">
        <v>74</v>
      </c>
      <c r="D25" s="1"/>
      <c r="E25" s="1"/>
      <c r="F25" s="1">
        <f t="shared" si="0"/>
        <v>0</v>
      </c>
      <c r="G25" s="1" t="s">
        <v>80</v>
      </c>
      <c r="H25" s="1"/>
      <c r="I25" s="1"/>
      <c r="J25" s="1">
        <f t="shared" si="1"/>
        <v>0</v>
      </c>
      <c r="K25" s="1"/>
      <c r="L25" s="1"/>
      <c r="M25" s="1">
        <f t="shared" si="2"/>
        <v>0</v>
      </c>
    </row>
    <row r="26" spans="3:13" x14ac:dyDescent="0.35">
      <c r="C26" s="1"/>
      <c r="D26" s="1"/>
      <c r="E26" s="1"/>
      <c r="F26" s="1">
        <f t="shared" si="0"/>
        <v>0</v>
      </c>
      <c r="G26" s="1"/>
      <c r="H26" s="1"/>
      <c r="I26" s="1"/>
      <c r="J26" s="1">
        <f t="shared" si="1"/>
        <v>0</v>
      </c>
      <c r="K26" s="1"/>
      <c r="L26" s="1"/>
      <c r="M26" s="1">
        <f t="shared" si="2"/>
        <v>0</v>
      </c>
    </row>
    <row r="27" spans="3:13" x14ac:dyDescent="0.35">
      <c r="C27" s="1" t="s">
        <v>68</v>
      </c>
      <c r="D27" s="1"/>
      <c r="E27" s="1"/>
      <c r="F27" s="1">
        <f t="shared" si="0"/>
        <v>0</v>
      </c>
      <c r="G27" s="1"/>
      <c r="H27" s="1"/>
      <c r="I27" s="1"/>
      <c r="J27" s="1">
        <f t="shared" si="1"/>
        <v>0</v>
      </c>
      <c r="K27" s="1"/>
      <c r="L27" s="1"/>
      <c r="M27" s="1">
        <f t="shared" si="2"/>
        <v>0</v>
      </c>
    </row>
    <row r="28" spans="3:13" x14ac:dyDescent="0.35">
      <c r="C28" s="1" t="s">
        <v>69</v>
      </c>
      <c r="D28" s="1"/>
      <c r="E28" s="1"/>
      <c r="F28" s="1">
        <f t="shared" si="0"/>
        <v>0</v>
      </c>
      <c r="G28" s="1"/>
      <c r="H28" s="1"/>
      <c r="I28" s="1"/>
      <c r="J28" s="1">
        <f t="shared" si="1"/>
        <v>0</v>
      </c>
      <c r="K28" s="1"/>
      <c r="L28" s="1"/>
      <c r="M28" s="1">
        <f t="shared" si="2"/>
        <v>0</v>
      </c>
    </row>
    <row r="29" spans="3:13" x14ac:dyDescent="0.35">
      <c r="C29" s="1" t="s">
        <v>70</v>
      </c>
      <c r="D29" s="1"/>
      <c r="E29" s="1"/>
      <c r="F29" s="1">
        <f t="shared" si="0"/>
        <v>0</v>
      </c>
      <c r="G29" s="1"/>
      <c r="H29" s="1"/>
      <c r="I29" s="1"/>
      <c r="J29" s="1">
        <f t="shared" si="1"/>
        <v>0</v>
      </c>
      <c r="K29" s="1"/>
      <c r="L29" s="1"/>
      <c r="M29" s="1">
        <f t="shared" si="2"/>
        <v>0</v>
      </c>
    </row>
    <row r="30" spans="3:13" x14ac:dyDescent="0.35">
      <c r="C30" s="1" t="s">
        <v>71</v>
      </c>
      <c r="D30" s="1"/>
      <c r="E30" s="1"/>
      <c r="F30" s="1">
        <f t="shared" si="0"/>
        <v>0</v>
      </c>
      <c r="G30" s="1"/>
      <c r="H30" s="1"/>
      <c r="I30" s="1"/>
      <c r="J30" s="1">
        <f>H30*I30</f>
        <v>0</v>
      </c>
      <c r="K30" s="1"/>
      <c r="L30" s="1"/>
      <c r="M30" s="1">
        <f>K30*L30</f>
        <v>0</v>
      </c>
    </row>
    <row r="31" spans="3:13" x14ac:dyDescent="0.35">
      <c r="C31" s="1"/>
      <c r="D31" s="1"/>
      <c r="E31" s="1"/>
      <c r="F31" s="1">
        <f t="shared" si="0"/>
        <v>0</v>
      </c>
      <c r="G31" s="1"/>
      <c r="H31" s="1"/>
      <c r="I31" s="1"/>
      <c r="J31" s="1">
        <f>H31*I31</f>
        <v>0</v>
      </c>
      <c r="K31" s="1"/>
      <c r="L31" s="1"/>
      <c r="M31" s="1">
        <f>K31*L31</f>
        <v>0</v>
      </c>
    </row>
    <row r="32" spans="3:13" x14ac:dyDescent="0.35">
      <c r="C32" s="1"/>
      <c r="D32" s="1"/>
      <c r="E32" s="1"/>
      <c r="F32" s="1">
        <f t="shared" si="0"/>
        <v>0</v>
      </c>
      <c r="G32" s="1"/>
      <c r="H32" s="1"/>
      <c r="I32" s="1"/>
      <c r="J32" s="1">
        <f>H32*I32</f>
        <v>0</v>
      </c>
      <c r="K32" s="1"/>
      <c r="L32" s="1"/>
      <c r="M32" s="1">
        <f>K32*L32</f>
        <v>0</v>
      </c>
    </row>
    <row r="33" spans="3:13" x14ac:dyDescent="0.35">
      <c r="C33" s="1"/>
      <c r="D33" s="1"/>
      <c r="E33" s="1"/>
      <c r="F33" s="1">
        <f t="shared" si="0"/>
        <v>0</v>
      </c>
      <c r="G33" s="1"/>
      <c r="H33" s="1"/>
      <c r="I33" s="1"/>
      <c r="J33" s="1">
        <f>H33*I33</f>
        <v>0</v>
      </c>
      <c r="K33" s="1"/>
      <c r="L33" s="1"/>
      <c r="M33" s="1">
        <f>K33*L33</f>
        <v>0</v>
      </c>
    </row>
    <row r="34" spans="3:13" x14ac:dyDescent="0.35">
      <c r="C34" s="1" t="s">
        <v>75</v>
      </c>
      <c r="D34" s="1"/>
      <c r="E34" s="1">
        <f>F34*10.764</f>
        <v>427.62573359999999</v>
      </c>
      <c r="F34" s="1">
        <f>SUM(F6:F33)</f>
        <v>39.727400000000003</v>
      </c>
      <c r="G34" s="1"/>
      <c r="H34" s="1"/>
      <c r="I34" s="1">
        <f>J34*10.764</f>
        <v>64.47636</v>
      </c>
      <c r="J34" s="1">
        <f>SUM(J6:J33)</f>
        <v>5.99</v>
      </c>
      <c r="K34" s="1"/>
      <c r="L34" s="1">
        <f>M34*10.764</f>
        <v>0</v>
      </c>
      <c r="M34" s="1">
        <f>SUM(M6:M33)</f>
        <v>0</v>
      </c>
    </row>
  </sheetData>
  <mergeCells count="4">
    <mergeCell ref="D2:E2"/>
    <mergeCell ref="D4:F4"/>
    <mergeCell ref="H4:J4"/>
    <mergeCell ref="K4:M4"/>
  </mergeCell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
  <dimension ref="B3:M35"/>
  <sheetViews>
    <sheetView workbookViewId="0">
      <selection activeCell="G7" sqref="G7:G8"/>
    </sheetView>
  </sheetViews>
  <sheetFormatPr defaultRowHeight="14.5" x14ac:dyDescent="0.35"/>
  <sheetData>
    <row r="3" spans="2:13" x14ac:dyDescent="0.35">
      <c r="C3" s="4" t="s">
        <v>76</v>
      </c>
      <c r="D3" s="263"/>
      <c r="E3" s="263"/>
    </row>
    <row r="4" spans="2:13" x14ac:dyDescent="0.35">
      <c r="E4" s="3"/>
      <c r="F4" s="3"/>
      <c r="G4" s="3"/>
      <c r="H4" s="3"/>
      <c r="I4" s="3"/>
      <c r="J4" s="3"/>
    </row>
    <row r="5" spans="2:13" x14ac:dyDescent="0.35">
      <c r="B5" s="4" t="s">
        <v>77</v>
      </c>
      <c r="C5" s="2" t="s">
        <v>57</v>
      </c>
      <c r="D5" s="264" t="s">
        <v>58</v>
      </c>
      <c r="E5" s="264"/>
      <c r="F5" s="264"/>
      <c r="G5" s="5"/>
      <c r="H5" s="264" t="s">
        <v>59</v>
      </c>
      <c r="I5" s="264"/>
      <c r="J5" s="264"/>
      <c r="K5" s="264" t="s">
        <v>60</v>
      </c>
      <c r="L5" s="264"/>
      <c r="M5" s="264"/>
    </row>
    <row r="6" spans="2:13" x14ac:dyDescent="0.35">
      <c r="B6" s="4">
        <v>1</v>
      </c>
      <c r="C6" s="2"/>
      <c r="D6" s="2" t="s">
        <v>61</v>
      </c>
      <c r="E6" s="2" t="s">
        <v>62</v>
      </c>
      <c r="F6" s="2" t="s">
        <v>63</v>
      </c>
      <c r="G6" s="2"/>
      <c r="H6" s="2" t="s">
        <v>61</v>
      </c>
      <c r="I6" s="2" t="s">
        <v>62</v>
      </c>
      <c r="J6" s="2" t="s">
        <v>63</v>
      </c>
      <c r="K6" s="2" t="s">
        <v>61</v>
      </c>
      <c r="L6" s="2" t="s">
        <v>62</v>
      </c>
      <c r="M6" s="2" t="s">
        <v>63</v>
      </c>
    </row>
    <row r="7" spans="2:13" x14ac:dyDescent="0.35">
      <c r="C7" s="1" t="s">
        <v>64</v>
      </c>
      <c r="D7" s="1"/>
      <c r="E7" s="1"/>
      <c r="F7" s="1">
        <f>D7*E7</f>
        <v>0</v>
      </c>
      <c r="G7" s="1" t="s">
        <v>78</v>
      </c>
      <c r="H7" s="1"/>
      <c r="I7" s="1"/>
      <c r="J7" s="1">
        <f>H7*I7</f>
        <v>0</v>
      </c>
      <c r="K7" s="1"/>
      <c r="L7" s="1"/>
      <c r="M7" s="1">
        <f>K7*L7</f>
        <v>0</v>
      </c>
    </row>
    <row r="8" spans="2:13" x14ac:dyDescent="0.35">
      <c r="C8" s="1"/>
      <c r="D8" s="1"/>
      <c r="E8" s="1"/>
      <c r="F8" s="1">
        <f t="shared" ref="F8:F34" si="0">D8*E8</f>
        <v>0</v>
      </c>
      <c r="G8" s="1" t="s">
        <v>79</v>
      </c>
      <c r="H8" s="1"/>
      <c r="I8" s="1"/>
      <c r="J8" s="1">
        <f t="shared" ref="J8:J34" si="1">H8*I8</f>
        <v>0</v>
      </c>
      <c r="K8" s="1"/>
      <c r="L8" s="1"/>
      <c r="M8" s="1">
        <f t="shared" ref="M8:M34" si="2">K8*L8</f>
        <v>0</v>
      </c>
    </row>
    <row r="9" spans="2:13" x14ac:dyDescent="0.35">
      <c r="C9" s="1"/>
      <c r="D9" s="1"/>
      <c r="E9" s="1"/>
      <c r="F9" s="1">
        <f t="shared" si="0"/>
        <v>0</v>
      </c>
      <c r="G9" s="1"/>
      <c r="H9" s="1"/>
      <c r="I9" s="1"/>
      <c r="J9" s="1">
        <f t="shared" si="1"/>
        <v>0</v>
      </c>
      <c r="K9" s="1"/>
      <c r="L9" s="1"/>
      <c r="M9" s="1">
        <f t="shared" si="2"/>
        <v>0</v>
      </c>
    </row>
    <row r="10" spans="2:13" x14ac:dyDescent="0.35">
      <c r="C10" s="1" t="s">
        <v>67</v>
      </c>
      <c r="D10" s="1"/>
      <c r="E10" s="1"/>
      <c r="F10" s="1">
        <f t="shared" si="0"/>
        <v>0</v>
      </c>
      <c r="G10" s="1" t="s">
        <v>78</v>
      </c>
      <c r="H10" s="1"/>
      <c r="I10" s="1"/>
      <c r="J10" s="1">
        <f t="shared" si="1"/>
        <v>0</v>
      </c>
      <c r="K10" s="1"/>
      <c r="L10" s="1"/>
      <c r="M10" s="1">
        <f t="shared" si="2"/>
        <v>0</v>
      </c>
    </row>
    <row r="11" spans="2:13" x14ac:dyDescent="0.35">
      <c r="C11" s="1"/>
      <c r="D11" s="1"/>
      <c r="E11" s="1"/>
      <c r="F11" s="1">
        <f t="shared" si="0"/>
        <v>0</v>
      </c>
      <c r="G11" s="1" t="s">
        <v>79</v>
      </c>
      <c r="H11" s="1"/>
      <c r="I11" s="1"/>
      <c r="J11" s="1">
        <f t="shared" si="1"/>
        <v>0</v>
      </c>
      <c r="K11" s="1"/>
      <c r="L11" s="1"/>
      <c r="M11" s="1">
        <f t="shared" si="2"/>
        <v>0</v>
      </c>
    </row>
    <row r="12" spans="2:13" x14ac:dyDescent="0.35">
      <c r="C12" s="1"/>
      <c r="D12" s="1"/>
      <c r="E12" s="1"/>
      <c r="F12" s="1">
        <f t="shared" si="0"/>
        <v>0</v>
      </c>
      <c r="G12" s="1"/>
      <c r="H12" s="1"/>
      <c r="I12" s="1"/>
      <c r="J12" s="1">
        <f t="shared" si="1"/>
        <v>0</v>
      </c>
      <c r="K12" s="1"/>
      <c r="L12" s="1"/>
      <c r="M12" s="1">
        <f t="shared" si="2"/>
        <v>0</v>
      </c>
    </row>
    <row r="13" spans="2:13" x14ac:dyDescent="0.35">
      <c r="C13" s="1"/>
      <c r="D13" s="1"/>
      <c r="E13" s="1"/>
      <c r="F13" s="1">
        <f t="shared" si="0"/>
        <v>0</v>
      </c>
      <c r="G13" s="1"/>
      <c r="H13" s="1"/>
      <c r="I13" s="1"/>
      <c r="J13" s="1">
        <f t="shared" si="1"/>
        <v>0</v>
      </c>
      <c r="K13" s="1"/>
      <c r="L13" s="1"/>
      <c r="M13" s="1">
        <f t="shared" si="2"/>
        <v>0</v>
      </c>
    </row>
    <row r="14" spans="2:13" x14ac:dyDescent="0.35">
      <c r="C14" s="1" t="s">
        <v>65</v>
      </c>
      <c r="D14" s="1"/>
      <c r="E14" s="1"/>
      <c r="F14" s="1">
        <f t="shared" si="0"/>
        <v>0</v>
      </c>
      <c r="G14" s="1" t="s">
        <v>78</v>
      </c>
      <c r="H14" s="1"/>
      <c r="I14" s="1"/>
      <c r="J14" s="1">
        <f t="shared" si="1"/>
        <v>0</v>
      </c>
      <c r="K14" s="1"/>
      <c r="L14" s="1"/>
      <c r="M14" s="1">
        <f t="shared" si="2"/>
        <v>0</v>
      </c>
    </row>
    <row r="15" spans="2:13" x14ac:dyDescent="0.35">
      <c r="C15" s="1"/>
      <c r="D15" s="1"/>
      <c r="E15" s="1"/>
      <c r="F15" s="1">
        <f t="shared" si="0"/>
        <v>0</v>
      </c>
      <c r="G15" s="1" t="s">
        <v>79</v>
      </c>
      <c r="H15" s="1"/>
      <c r="I15" s="1"/>
      <c r="J15" s="1">
        <f t="shared" si="1"/>
        <v>0</v>
      </c>
      <c r="K15" s="1"/>
      <c r="L15" s="1"/>
      <c r="M15" s="1">
        <f t="shared" si="2"/>
        <v>0</v>
      </c>
    </row>
    <row r="16" spans="2:13" x14ac:dyDescent="0.35">
      <c r="C16" s="1"/>
      <c r="D16" s="1"/>
      <c r="E16" s="1"/>
      <c r="F16" s="1">
        <f t="shared" si="0"/>
        <v>0</v>
      </c>
      <c r="G16" s="1"/>
      <c r="H16" s="1"/>
      <c r="I16" s="1"/>
      <c r="J16" s="1">
        <f t="shared" si="1"/>
        <v>0</v>
      </c>
      <c r="K16" s="1"/>
      <c r="L16" s="1"/>
      <c r="M16" s="1">
        <f t="shared" si="2"/>
        <v>0</v>
      </c>
    </row>
    <row r="17" spans="3:13" x14ac:dyDescent="0.35">
      <c r="C17" s="1"/>
      <c r="D17" s="1"/>
      <c r="E17" s="1"/>
      <c r="F17" s="1">
        <f t="shared" si="0"/>
        <v>0</v>
      </c>
      <c r="G17" s="1"/>
      <c r="H17" s="1"/>
      <c r="I17" s="1"/>
      <c r="J17" s="1">
        <f t="shared" si="1"/>
        <v>0</v>
      </c>
      <c r="K17" s="1"/>
      <c r="L17" s="1"/>
      <c r="M17" s="1">
        <f t="shared" si="2"/>
        <v>0</v>
      </c>
    </row>
    <row r="18" spans="3:13" x14ac:dyDescent="0.35">
      <c r="C18" s="1" t="s">
        <v>66</v>
      </c>
      <c r="D18" s="1"/>
      <c r="E18" s="1"/>
      <c r="F18" s="1">
        <f t="shared" si="0"/>
        <v>0</v>
      </c>
      <c r="G18" s="1" t="s">
        <v>78</v>
      </c>
      <c r="H18" s="1"/>
      <c r="I18" s="1"/>
      <c r="J18" s="1">
        <f t="shared" si="1"/>
        <v>0</v>
      </c>
      <c r="K18" s="1"/>
      <c r="L18" s="1"/>
      <c r="M18" s="1">
        <f t="shared" si="2"/>
        <v>0</v>
      </c>
    </row>
    <row r="19" spans="3:13" x14ac:dyDescent="0.35">
      <c r="C19" s="1"/>
      <c r="D19" s="1"/>
      <c r="E19" s="1"/>
      <c r="F19" s="1">
        <f t="shared" si="0"/>
        <v>0</v>
      </c>
      <c r="G19" s="1" t="s">
        <v>79</v>
      </c>
      <c r="H19" s="1"/>
      <c r="I19" s="1"/>
      <c r="J19" s="1">
        <f t="shared" si="1"/>
        <v>0</v>
      </c>
      <c r="K19" s="1"/>
      <c r="L19" s="1"/>
      <c r="M19" s="1">
        <f t="shared" si="2"/>
        <v>0</v>
      </c>
    </row>
    <row r="20" spans="3:13" x14ac:dyDescent="0.35">
      <c r="C20" s="1"/>
      <c r="D20" s="1"/>
      <c r="E20" s="1"/>
      <c r="F20" s="1">
        <f t="shared" si="0"/>
        <v>0</v>
      </c>
      <c r="G20" s="1"/>
      <c r="H20" s="1"/>
      <c r="I20" s="1"/>
      <c r="J20" s="1">
        <f t="shared" si="1"/>
        <v>0</v>
      </c>
      <c r="K20" s="1"/>
      <c r="L20" s="1"/>
      <c r="M20" s="1">
        <f t="shared" si="2"/>
        <v>0</v>
      </c>
    </row>
    <row r="21" spans="3:13" x14ac:dyDescent="0.35">
      <c r="C21" s="1" t="s">
        <v>66</v>
      </c>
      <c r="D21" s="1"/>
      <c r="E21" s="1"/>
      <c r="F21" s="1">
        <f t="shared" si="0"/>
        <v>0</v>
      </c>
      <c r="G21" s="1" t="s">
        <v>78</v>
      </c>
      <c r="H21" s="1"/>
      <c r="I21" s="1"/>
      <c r="J21" s="1">
        <f t="shared" si="1"/>
        <v>0</v>
      </c>
      <c r="K21" s="1"/>
      <c r="L21" s="1"/>
      <c r="M21" s="1">
        <f t="shared" si="2"/>
        <v>0</v>
      </c>
    </row>
    <row r="22" spans="3:13" x14ac:dyDescent="0.35">
      <c r="C22" s="1"/>
      <c r="D22" s="1"/>
      <c r="E22" s="1"/>
      <c r="F22" s="1">
        <f t="shared" si="0"/>
        <v>0</v>
      </c>
      <c r="G22" s="1" t="s">
        <v>79</v>
      </c>
      <c r="H22" s="1"/>
      <c r="I22" s="1"/>
      <c r="J22" s="1">
        <f t="shared" si="1"/>
        <v>0</v>
      </c>
      <c r="K22" s="1"/>
      <c r="L22" s="1"/>
      <c r="M22" s="1">
        <f t="shared" si="2"/>
        <v>0</v>
      </c>
    </row>
    <row r="23" spans="3:13" x14ac:dyDescent="0.35">
      <c r="C23" s="1"/>
      <c r="D23" s="1"/>
      <c r="E23" s="1"/>
      <c r="F23" s="1">
        <f t="shared" si="0"/>
        <v>0</v>
      </c>
      <c r="G23" s="1"/>
      <c r="H23" s="1"/>
      <c r="I23" s="1"/>
      <c r="J23" s="1">
        <f t="shared" si="1"/>
        <v>0</v>
      </c>
      <c r="K23" s="1"/>
      <c r="L23" s="1"/>
      <c r="M23" s="1">
        <f t="shared" si="2"/>
        <v>0</v>
      </c>
    </row>
    <row r="24" spans="3:13" x14ac:dyDescent="0.35">
      <c r="C24" s="1" t="s">
        <v>72</v>
      </c>
      <c r="D24" s="1"/>
      <c r="E24" s="1"/>
      <c r="F24" s="1">
        <f t="shared" si="0"/>
        <v>0</v>
      </c>
      <c r="G24" s="1" t="s">
        <v>80</v>
      </c>
      <c r="H24" s="1"/>
      <c r="I24" s="1"/>
      <c r="J24" s="1">
        <f t="shared" si="1"/>
        <v>0</v>
      </c>
      <c r="K24" s="1"/>
      <c r="L24" s="1"/>
      <c r="M24" s="1">
        <f t="shared" si="2"/>
        <v>0</v>
      </c>
    </row>
    <row r="25" spans="3:13" x14ac:dyDescent="0.35">
      <c r="C25" s="1" t="s">
        <v>73</v>
      </c>
      <c r="D25" s="1"/>
      <c r="E25" s="1"/>
      <c r="F25" s="1">
        <f t="shared" si="0"/>
        <v>0</v>
      </c>
      <c r="G25" s="1" t="s">
        <v>80</v>
      </c>
      <c r="H25" s="1"/>
      <c r="I25" s="1"/>
      <c r="J25" s="1">
        <f t="shared" si="1"/>
        <v>0</v>
      </c>
      <c r="K25" s="1"/>
      <c r="L25" s="1"/>
      <c r="M25" s="1">
        <f t="shared" si="2"/>
        <v>0</v>
      </c>
    </row>
    <row r="26" spans="3:13" x14ac:dyDescent="0.35">
      <c r="C26" s="1" t="s">
        <v>74</v>
      </c>
      <c r="D26" s="1"/>
      <c r="E26" s="1"/>
      <c r="F26" s="1">
        <f t="shared" si="0"/>
        <v>0</v>
      </c>
      <c r="G26" s="1" t="s">
        <v>80</v>
      </c>
      <c r="H26" s="1"/>
      <c r="I26" s="1"/>
      <c r="J26" s="1">
        <f t="shared" si="1"/>
        <v>0</v>
      </c>
      <c r="K26" s="1"/>
      <c r="L26" s="1"/>
      <c r="M26" s="1">
        <f t="shared" si="2"/>
        <v>0</v>
      </c>
    </row>
    <row r="27" spans="3:13" x14ac:dyDescent="0.35">
      <c r="C27" s="1"/>
      <c r="D27" s="1"/>
      <c r="E27" s="1"/>
      <c r="F27" s="1">
        <f t="shared" si="0"/>
        <v>0</v>
      </c>
      <c r="G27" s="1"/>
      <c r="H27" s="1"/>
      <c r="I27" s="1"/>
      <c r="J27" s="1">
        <f t="shared" si="1"/>
        <v>0</v>
      </c>
      <c r="K27" s="1"/>
      <c r="L27" s="1"/>
      <c r="M27" s="1">
        <f t="shared" si="2"/>
        <v>0</v>
      </c>
    </row>
    <row r="28" spans="3:13" x14ac:dyDescent="0.35">
      <c r="C28" s="1" t="s">
        <v>68</v>
      </c>
      <c r="D28" s="1"/>
      <c r="E28" s="1"/>
      <c r="F28" s="1">
        <f t="shared" si="0"/>
        <v>0</v>
      </c>
      <c r="G28" s="1"/>
      <c r="H28" s="1"/>
      <c r="I28" s="1"/>
      <c r="J28" s="1">
        <f t="shared" si="1"/>
        <v>0</v>
      </c>
      <c r="K28" s="1"/>
      <c r="L28" s="1"/>
      <c r="M28" s="1">
        <f t="shared" si="2"/>
        <v>0</v>
      </c>
    </row>
    <row r="29" spans="3:13" x14ac:dyDescent="0.35">
      <c r="C29" s="1" t="s">
        <v>69</v>
      </c>
      <c r="D29" s="1"/>
      <c r="E29" s="1"/>
      <c r="F29" s="1">
        <f t="shared" si="0"/>
        <v>0</v>
      </c>
      <c r="G29" s="1"/>
      <c r="H29" s="1"/>
      <c r="I29" s="1"/>
      <c r="J29" s="1">
        <f t="shared" si="1"/>
        <v>0</v>
      </c>
      <c r="K29" s="1"/>
      <c r="L29" s="1"/>
      <c r="M29" s="1">
        <f t="shared" si="2"/>
        <v>0</v>
      </c>
    </row>
    <row r="30" spans="3:13" x14ac:dyDescent="0.35">
      <c r="C30" s="1" t="s">
        <v>70</v>
      </c>
      <c r="D30" s="1"/>
      <c r="E30" s="1"/>
      <c r="F30" s="1">
        <f t="shared" si="0"/>
        <v>0</v>
      </c>
      <c r="G30" s="1"/>
      <c r="H30" s="1"/>
      <c r="I30" s="1"/>
      <c r="J30" s="1">
        <f t="shared" si="1"/>
        <v>0</v>
      </c>
      <c r="K30" s="1"/>
      <c r="L30" s="1"/>
      <c r="M30" s="1">
        <f t="shared" si="2"/>
        <v>0</v>
      </c>
    </row>
    <row r="31" spans="3:13" x14ac:dyDescent="0.35">
      <c r="C31" s="1" t="s">
        <v>71</v>
      </c>
      <c r="D31" s="1"/>
      <c r="E31" s="1"/>
      <c r="F31" s="1">
        <f t="shared" si="0"/>
        <v>0</v>
      </c>
      <c r="G31" s="1"/>
      <c r="H31" s="1"/>
      <c r="I31" s="1"/>
      <c r="J31" s="1">
        <f t="shared" si="1"/>
        <v>0</v>
      </c>
      <c r="K31" s="1"/>
      <c r="L31" s="1"/>
      <c r="M31" s="1">
        <f t="shared" si="2"/>
        <v>0</v>
      </c>
    </row>
    <row r="32" spans="3:13" x14ac:dyDescent="0.35">
      <c r="C32" s="1"/>
      <c r="D32" s="1"/>
      <c r="E32" s="1"/>
      <c r="F32" s="1">
        <f t="shared" si="0"/>
        <v>0</v>
      </c>
      <c r="G32" s="1"/>
      <c r="H32" s="1"/>
      <c r="I32" s="1"/>
      <c r="J32" s="1">
        <f t="shared" si="1"/>
        <v>0</v>
      </c>
      <c r="K32" s="1"/>
      <c r="L32" s="1"/>
      <c r="M32" s="1">
        <f t="shared" si="2"/>
        <v>0</v>
      </c>
    </row>
    <row r="33" spans="3:13" x14ac:dyDescent="0.35">
      <c r="C33" s="1"/>
      <c r="D33" s="1"/>
      <c r="E33" s="1"/>
      <c r="F33" s="1">
        <f t="shared" si="0"/>
        <v>0</v>
      </c>
      <c r="G33" s="1"/>
      <c r="H33" s="1"/>
      <c r="I33" s="1"/>
      <c r="J33" s="1">
        <f t="shared" si="1"/>
        <v>0</v>
      </c>
      <c r="K33" s="1"/>
      <c r="L33" s="1"/>
      <c r="M33" s="1">
        <f t="shared" si="2"/>
        <v>0</v>
      </c>
    </row>
    <row r="34" spans="3:13" x14ac:dyDescent="0.35">
      <c r="C34" s="1"/>
      <c r="D34" s="1"/>
      <c r="E34" s="1"/>
      <c r="F34" s="1">
        <f t="shared" si="0"/>
        <v>0</v>
      </c>
      <c r="G34" s="1"/>
      <c r="H34" s="1"/>
      <c r="I34" s="1"/>
      <c r="J34" s="1">
        <f t="shared" si="1"/>
        <v>0</v>
      </c>
      <c r="K34" s="1"/>
      <c r="L34" s="1"/>
      <c r="M34" s="1">
        <f t="shared" si="2"/>
        <v>0</v>
      </c>
    </row>
    <row r="35" spans="3:13" x14ac:dyDescent="0.35">
      <c r="C35" s="1" t="s">
        <v>75</v>
      </c>
      <c r="D35" s="1"/>
      <c r="E35" s="1">
        <f>F35*10.764</f>
        <v>0</v>
      </c>
      <c r="F35" s="1">
        <f>SUM(F7:F34)</f>
        <v>0</v>
      </c>
      <c r="G35" s="1"/>
      <c r="H35" s="1"/>
      <c r="I35" s="1">
        <f>J35*10.764</f>
        <v>0</v>
      </c>
      <c r="J35" s="1">
        <f>SUM(J7:J34)</f>
        <v>0</v>
      </c>
      <c r="K35" s="1"/>
      <c r="L35" s="1">
        <f>M35*10.764</f>
        <v>0</v>
      </c>
      <c r="M35" s="1">
        <f>SUM(M7:M34)</f>
        <v>0</v>
      </c>
    </row>
  </sheetData>
  <mergeCells count="4">
    <mergeCell ref="D3:E3"/>
    <mergeCell ref="D5:F5"/>
    <mergeCell ref="H5:J5"/>
    <mergeCell ref="K5:M5"/>
  </mergeCells>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dimension ref="C3:N35"/>
  <sheetViews>
    <sheetView workbookViewId="0">
      <selection activeCell="Q3" sqref="Q3"/>
    </sheetView>
  </sheetViews>
  <sheetFormatPr defaultRowHeight="14.5" x14ac:dyDescent="0.35"/>
  <sheetData>
    <row r="3" spans="3:14" x14ac:dyDescent="0.35">
      <c r="D3" s="4" t="s">
        <v>76</v>
      </c>
      <c r="E3" s="263"/>
      <c r="F3" s="263"/>
    </row>
    <row r="4" spans="3:14" x14ac:dyDescent="0.35">
      <c r="F4" s="3"/>
      <c r="G4" s="3"/>
      <c r="H4" s="3"/>
      <c r="I4" s="3"/>
      <c r="J4" s="3"/>
      <c r="K4" s="3"/>
    </row>
    <row r="5" spans="3:14" x14ac:dyDescent="0.35">
      <c r="C5" s="4" t="s">
        <v>77</v>
      </c>
      <c r="D5" s="2" t="s">
        <v>57</v>
      </c>
      <c r="E5" s="264" t="s">
        <v>58</v>
      </c>
      <c r="F5" s="264"/>
      <c r="G5" s="264"/>
      <c r="H5" s="5"/>
      <c r="I5" s="264" t="s">
        <v>59</v>
      </c>
      <c r="J5" s="264"/>
      <c r="K5" s="264"/>
      <c r="L5" s="264" t="s">
        <v>60</v>
      </c>
      <c r="M5" s="264"/>
      <c r="N5" s="264"/>
    </row>
    <row r="6" spans="3:14" x14ac:dyDescent="0.35">
      <c r="C6" s="4">
        <v>1</v>
      </c>
      <c r="D6" s="2"/>
      <c r="E6" s="2" t="s">
        <v>61</v>
      </c>
      <c r="F6" s="2" t="s">
        <v>62</v>
      </c>
      <c r="G6" s="2" t="s">
        <v>63</v>
      </c>
      <c r="H6" s="2"/>
      <c r="I6" s="2" t="s">
        <v>61</v>
      </c>
      <c r="J6" s="2" t="s">
        <v>62</v>
      </c>
      <c r="K6" s="2" t="s">
        <v>63</v>
      </c>
      <c r="L6" s="2" t="s">
        <v>61</v>
      </c>
      <c r="M6" s="2" t="s">
        <v>62</v>
      </c>
      <c r="N6" s="2" t="s">
        <v>63</v>
      </c>
    </row>
    <row r="7" spans="3:14" x14ac:dyDescent="0.35">
      <c r="D7" s="1" t="s">
        <v>64</v>
      </c>
      <c r="E7" s="1"/>
      <c r="F7" s="1"/>
      <c r="G7" s="1">
        <f>E7*F7</f>
        <v>0</v>
      </c>
      <c r="H7" s="1" t="s">
        <v>78</v>
      </c>
      <c r="I7" s="1"/>
      <c r="J7" s="1"/>
      <c r="K7" s="1">
        <f>I7*J7</f>
        <v>0</v>
      </c>
      <c r="L7" s="1"/>
      <c r="M7" s="1"/>
      <c r="N7" s="1">
        <f>L7*M7</f>
        <v>0</v>
      </c>
    </row>
    <row r="8" spans="3:14" x14ac:dyDescent="0.35">
      <c r="D8" s="1"/>
      <c r="E8" s="1"/>
      <c r="F8" s="1"/>
      <c r="G8" s="1">
        <f t="shared" ref="G8:G34" si="0">E8*F8</f>
        <v>0</v>
      </c>
      <c r="H8" s="1" t="s">
        <v>79</v>
      </c>
      <c r="I8" s="1"/>
      <c r="J8" s="1"/>
      <c r="K8" s="1">
        <f t="shared" ref="K8:K34" si="1">I8*J8</f>
        <v>0</v>
      </c>
      <c r="L8" s="1"/>
      <c r="M8" s="1"/>
      <c r="N8" s="1">
        <f t="shared" ref="N8:N34" si="2">L8*M8</f>
        <v>0</v>
      </c>
    </row>
    <row r="9" spans="3:14" x14ac:dyDescent="0.35">
      <c r="D9" s="1"/>
      <c r="E9" s="1"/>
      <c r="F9" s="1"/>
      <c r="G9" s="1">
        <f t="shared" si="0"/>
        <v>0</v>
      </c>
      <c r="H9" s="1"/>
      <c r="I9" s="1"/>
      <c r="J9" s="1"/>
      <c r="K9" s="1">
        <f t="shared" si="1"/>
        <v>0</v>
      </c>
      <c r="L9" s="1"/>
      <c r="M9" s="1"/>
      <c r="N9" s="1">
        <f t="shared" si="2"/>
        <v>0</v>
      </c>
    </row>
    <row r="10" spans="3:14" x14ac:dyDescent="0.35">
      <c r="D10" s="1" t="s">
        <v>67</v>
      </c>
      <c r="E10" s="1"/>
      <c r="F10" s="1"/>
      <c r="G10" s="1">
        <f t="shared" si="0"/>
        <v>0</v>
      </c>
      <c r="H10" s="1" t="s">
        <v>78</v>
      </c>
      <c r="I10" s="1"/>
      <c r="J10" s="1"/>
      <c r="K10" s="1">
        <f t="shared" si="1"/>
        <v>0</v>
      </c>
      <c r="L10" s="1"/>
      <c r="M10" s="1"/>
      <c r="N10" s="1">
        <f t="shared" si="2"/>
        <v>0</v>
      </c>
    </row>
    <row r="11" spans="3:14" x14ac:dyDescent="0.35">
      <c r="D11" s="1"/>
      <c r="E11" s="1"/>
      <c r="F11" s="1"/>
      <c r="G11" s="1">
        <f t="shared" si="0"/>
        <v>0</v>
      </c>
      <c r="H11" s="1" t="s">
        <v>79</v>
      </c>
      <c r="I11" s="1"/>
      <c r="J11" s="1"/>
      <c r="K11" s="1">
        <f t="shared" si="1"/>
        <v>0</v>
      </c>
      <c r="L11" s="1"/>
      <c r="M11" s="1"/>
      <c r="N11" s="1">
        <f t="shared" si="2"/>
        <v>0</v>
      </c>
    </row>
    <row r="12" spans="3:14" x14ac:dyDescent="0.35">
      <c r="D12" s="1"/>
      <c r="E12" s="1"/>
      <c r="F12" s="1"/>
      <c r="G12" s="1">
        <f t="shared" si="0"/>
        <v>0</v>
      </c>
      <c r="H12" s="1"/>
      <c r="I12" s="1"/>
      <c r="J12" s="1"/>
      <c r="K12" s="1">
        <f t="shared" si="1"/>
        <v>0</v>
      </c>
      <c r="L12" s="1"/>
      <c r="M12" s="1"/>
      <c r="N12" s="1">
        <f t="shared" si="2"/>
        <v>0</v>
      </c>
    </row>
    <row r="13" spans="3:14" x14ac:dyDescent="0.35">
      <c r="D13" s="1"/>
      <c r="E13" s="1"/>
      <c r="F13" s="1"/>
      <c r="G13" s="1">
        <f t="shared" si="0"/>
        <v>0</v>
      </c>
      <c r="H13" s="1"/>
      <c r="I13" s="1"/>
      <c r="J13" s="1"/>
      <c r="K13" s="1">
        <f t="shared" si="1"/>
        <v>0</v>
      </c>
      <c r="L13" s="1"/>
      <c r="M13" s="1"/>
      <c r="N13" s="1">
        <f t="shared" si="2"/>
        <v>0</v>
      </c>
    </row>
    <row r="14" spans="3:14" x14ac:dyDescent="0.35">
      <c r="D14" s="1" t="s">
        <v>65</v>
      </c>
      <c r="E14" s="1"/>
      <c r="F14" s="1"/>
      <c r="G14" s="1">
        <f t="shared" si="0"/>
        <v>0</v>
      </c>
      <c r="H14" s="1" t="s">
        <v>78</v>
      </c>
      <c r="I14" s="1"/>
      <c r="J14" s="1"/>
      <c r="K14" s="1">
        <f t="shared" si="1"/>
        <v>0</v>
      </c>
      <c r="L14" s="1"/>
      <c r="M14" s="1"/>
      <c r="N14" s="1">
        <f t="shared" si="2"/>
        <v>0</v>
      </c>
    </row>
    <row r="15" spans="3:14" x14ac:dyDescent="0.35">
      <c r="D15" s="1"/>
      <c r="E15" s="1"/>
      <c r="F15" s="1"/>
      <c r="G15" s="1">
        <f t="shared" si="0"/>
        <v>0</v>
      </c>
      <c r="H15" s="1" t="s">
        <v>79</v>
      </c>
      <c r="I15" s="1"/>
      <c r="J15" s="1"/>
      <c r="K15" s="1">
        <f t="shared" si="1"/>
        <v>0</v>
      </c>
      <c r="L15" s="1"/>
      <c r="M15" s="1"/>
      <c r="N15" s="1">
        <f t="shared" si="2"/>
        <v>0</v>
      </c>
    </row>
    <row r="16" spans="3:14" x14ac:dyDescent="0.35">
      <c r="D16" s="1"/>
      <c r="E16" s="1"/>
      <c r="F16" s="1"/>
      <c r="G16" s="1">
        <f t="shared" si="0"/>
        <v>0</v>
      </c>
      <c r="H16" s="1"/>
      <c r="I16" s="1"/>
      <c r="J16" s="1"/>
      <c r="K16" s="1">
        <f t="shared" si="1"/>
        <v>0</v>
      </c>
      <c r="L16" s="1"/>
      <c r="M16" s="1"/>
      <c r="N16" s="1">
        <f t="shared" si="2"/>
        <v>0</v>
      </c>
    </row>
    <row r="17" spans="4:14" x14ac:dyDescent="0.35">
      <c r="D17" s="1"/>
      <c r="E17" s="1"/>
      <c r="F17" s="1"/>
      <c r="G17" s="1">
        <f t="shared" si="0"/>
        <v>0</v>
      </c>
      <c r="H17" s="1"/>
      <c r="I17" s="1"/>
      <c r="J17" s="1"/>
      <c r="K17" s="1">
        <f t="shared" si="1"/>
        <v>0</v>
      </c>
      <c r="L17" s="1"/>
      <c r="M17" s="1"/>
      <c r="N17" s="1">
        <f t="shared" si="2"/>
        <v>0</v>
      </c>
    </row>
    <row r="18" spans="4:14" x14ac:dyDescent="0.35">
      <c r="D18" s="1" t="s">
        <v>66</v>
      </c>
      <c r="E18" s="1"/>
      <c r="F18" s="1"/>
      <c r="G18" s="1">
        <f t="shared" si="0"/>
        <v>0</v>
      </c>
      <c r="H18" s="1" t="s">
        <v>78</v>
      </c>
      <c r="I18" s="1"/>
      <c r="J18" s="1"/>
      <c r="K18" s="1">
        <f t="shared" si="1"/>
        <v>0</v>
      </c>
      <c r="L18" s="1"/>
      <c r="M18" s="1"/>
      <c r="N18" s="1">
        <f t="shared" si="2"/>
        <v>0</v>
      </c>
    </row>
    <row r="19" spans="4:14" x14ac:dyDescent="0.35">
      <c r="D19" s="1"/>
      <c r="E19" s="1"/>
      <c r="F19" s="1"/>
      <c r="G19" s="1">
        <f t="shared" si="0"/>
        <v>0</v>
      </c>
      <c r="H19" s="1" t="s">
        <v>79</v>
      </c>
      <c r="I19" s="1"/>
      <c r="J19" s="1"/>
      <c r="K19" s="1">
        <f t="shared" si="1"/>
        <v>0</v>
      </c>
      <c r="L19" s="1"/>
      <c r="M19" s="1"/>
      <c r="N19" s="1">
        <f t="shared" si="2"/>
        <v>0</v>
      </c>
    </row>
    <row r="20" spans="4:14" x14ac:dyDescent="0.35">
      <c r="D20" s="1"/>
      <c r="E20" s="1"/>
      <c r="F20" s="1"/>
      <c r="G20" s="1">
        <f t="shared" si="0"/>
        <v>0</v>
      </c>
      <c r="H20" s="1"/>
      <c r="I20" s="1"/>
      <c r="J20" s="1"/>
      <c r="K20" s="1">
        <f t="shared" si="1"/>
        <v>0</v>
      </c>
      <c r="L20" s="1"/>
      <c r="M20" s="1"/>
      <c r="N20" s="1">
        <f t="shared" si="2"/>
        <v>0</v>
      </c>
    </row>
    <row r="21" spans="4:14" x14ac:dyDescent="0.35">
      <c r="D21" s="1" t="s">
        <v>66</v>
      </c>
      <c r="E21" s="1"/>
      <c r="F21" s="1"/>
      <c r="G21" s="1">
        <f t="shared" si="0"/>
        <v>0</v>
      </c>
      <c r="H21" s="1" t="s">
        <v>78</v>
      </c>
      <c r="I21" s="1"/>
      <c r="J21" s="1"/>
      <c r="K21" s="1">
        <f t="shared" si="1"/>
        <v>0</v>
      </c>
      <c r="L21" s="1"/>
      <c r="M21" s="1"/>
      <c r="N21" s="1">
        <f t="shared" si="2"/>
        <v>0</v>
      </c>
    </row>
    <row r="22" spans="4:14" x14ac:dyDescent="0.35">
      <c r="D22" s="1"/>
      <c r="E22" s="1"/>
      <c r="F22" s="1"/>
      <c r="G22" s="1">
        <f t="shared" si="0"/>
        <v>0</v>
      </c>
      <c r="H22" s="1" t="s">
        <v>79</v>
      </c>
      <c r="I22" s="1"/>
      <c r="J22" s="1"/>
      <c r="K22" s="1">
        <f t="shared" si="1"/>
        <v>0</v>
      </c>
      <c r="L22" s="1"/>
      <c r="M22" s="1"/>
      <c r="N22" s="1">
        <f t="shared" si="2"/>
        <v>0</v>
      </c>
    </row>
    <row r="23" spans="4:14" x14ac:dyDescent="0.35">
      <c r="D23" s="1"/>
      <c r="E23" s="1"/>
      <c r="F23" s="1"/>
      <c r="G23" s="1">
        <f t="shared" si="0"/>
        <v>0</v>
      </c>
      <c r="H23" s="1"/>
      <c r="I23" s="1"/>
      <c r="J23" s="1"/>
      <c r="K23" s="1">
        <f t="shared" si="1"/>
        <v>0</v>
      </c>
      <c r="L23" s="1"/>
      <c r="M23" s="1"/>
      <c r="N23" s="1">
        <f t="shared" si="2"/>
        <v>0</v>
      </c>
    </row>
    <row r="24" spans="4:14" x14ac:dyDescent="0.35">
      <c r="D24" s="1" t="s">
        <v>72</v>
      </c>
      <c r="E24" s="1"/>
      <c r="F24" s="1"/>
      <c r="G24" s="1">
        <f t="shared" si="0"/>
        <v>0</v>
      </c>
      <c r="H24" s="1" t="s">
        <v>80</v>
      </c>
      <c r="I24" s="1"/>
      <c r="J24" s="1"/>
      <c r="K24" s="1">
        <f t="shared" si="1"/>
        <v>0</v>
      </c>
      <c r="L24" s="1"/>
      <c r="M24" s="1"/>
      <c r="N24" s="1">
        <f t="shared" si="2"/>
        <v>0</v>
      </c>
    </row>
    <row r="25" spans="4:14" x14ac:dyDescent="0.35">
      <c r="D25" s="1" t="s">
        <v>73</v>
      </c>
      <c r="E25" s="1"/>
      <c r="F25" s="1"/>
      <c r="G25" s="1">
        <f t="shared" si="0"/>
        <v>0</v>
      </c>
      <c r="H25" s="1" t="s">
        <v>80</v>
      </c>
      <c r="I25" s="1"/>
      <c r="J25" s="1"/>
      <c r="K25" s="1">
        <f t="shared" si="1"/>
        <v>0</v>
      </c>
      <c r="L25" s="1"/>
      <c r="M25" s="1"/>
      <c r="N25" s="1">
        <f t="shared" si="2"/>
        <v>0</v>
      </c>
    </row>
    <row r="26" spans="4:14" x14ac:dyDescent="0.35">
      <c r="D26" s="1" t="s">
        <v>74</v>
      </c>
      <c r="E26" s="1"/>
      <c r="F26" s="1"/>
      <c r="G26" s="1">
        <f t="shared" si="0"/>
        <v>0</v>
      </c>
      <c r="H26" s="1" t="s">
        <v>80</v>
      </c>
      <c r="I26" s="1"/>
      <c r="J26" s="1"/>
      <c r="K26" s="1">
        <f t="shared" si="1"/>
        <v>0</v>
      </c>
      <c r="L26" s="1"/>
      <c r="M26" s="1"/>
      <c r="N26" s="1">
        <f t="shared" si="2"/>
        <v>0</v>
      </c>
    </row>
    <row r="27" spans="4:14" x14ac:dyDescent="0.35">
      <c r="D27" s="1"/>
      <c r="E27" s="1"/>
      <c r="F27" s="1"/>
      <c r="G27" s="1">
        <f t="shared" si="0"/>
        <v>0</v>
      </c>
      <c r="H27" s="1"/>
      <c r="I27" s="1"/>
      <c r="J27" s="1"/>
      <c r="K27" s="1">
        <f t="shared" si="1"/>
        <v>0</v>
      </c>
      <c r="L27" s="1"/>
      <c r="M27" s="1"/>
      <c r="N27" s="1">
        <f t="shared" si="2"/>
        <v>0</v>
      </c>
    </row>
    <row r="28" spans="4:14" x14ac:dyDescent="0.35">
      <c r="D28" s="1" t="s">
        <v>68</v>
      </c>
      <c r="E28" s="1"/>
      <c r="F28" s="1"/>
      <c r="G28" s="1">
        <f t="shared" si="0"/>
        <v>0</v>
      </c>
      <c r="H28" s="1"/>
      <c r="I28" s="1"/>
      <c r="J28" s="1"/>
      <c r="K28" s="1">
        <f t="shared" si="1"/>
        <v>0</v>
      </c>
      <c r="L28" s="1"/>
      <c r="M28" s="1"/>
      <c r="N28" s="1">
        <f t="shared" si="2"/>
        <v>0</v>
      </c>
    </row>
    <row r="29" spans="4:14" x14ac:dyDescent="0.35">
      <c r="D29" s="1" t="s">
        <v>69</v>
      </c>
      <c r="E29" s="1"/>
      <c r="F29" s="1"/>
      <c r="G29" s="1">
        <f t="shared" si="0"/>
        <v>0</v>
      </c>
      <c r="H29" s="1"/>
      <c r="I29" s="1"/>
      <c r="J29" s="1"/>
      <c r="K29" s="1">
        <f t="shared" si="1"/>
        <v>0</v>
      </c>
      <c r="L29" s="1"/>
      <c r="M29" s="1"/>
      <c r="N29" s="1">
        <f t="shared" si="2"/>
        <v>0</v>
      </c>
    </row>
    <row r="30" spans="4:14" x14ac:dyDescent="0.35">
      <c r="D30" s="1" t="s">
        <v>70</v>
      </c>
      <c r="E30" s="1"/>
      <c r="F30" s="1"/>
      <c r="G30" s="1">
        <f t="shared" si="0"/>
        <v>0</v>
      </c>
      <c r="H30" s="1"/>
      <c r="I30" s="1"/>
      <c r="J30" s="1"/>
      <c r="K30" s="1">
        <f t="shared" si="1"/>
        <v>0</v>
      </c>
      <c r="L30" s="1"/>
      <c r="M30" s="1"/>
      <c r="N30" s="1">
        <f t="shared" si="2"/>
        <v>0</v>
      </c>
    </row>
    <row r="31" spans="4:14" x14ac:dyDescent="0.35">
      <c r="D31" s="1" t="s">
        <v>71</v>
      </c>
      <c r="E31" s="1"/>
      <c r="F31" s="1"/>
      <c r="G31" s="1">
        <f t="shared" si="0"/>
        <v>0</v>
      </c>
      <c r="H31" s="1"/>
      <c r="I31" s="1"/>
      <c r="J31" s="1"/>
      <c r="K31" s="1">
        <f t="shared" si="1"/>
        <v>0</v>
      </c>
      <c r="L31" s="1"/>
      <c r="M31" s="1"/>
      <c r="N31" s="1">
        <f t="shared" si="2"/>
        <v>0</v>
      </c>
    </row>
    <row r="32" spans="4:14" x14ac:dyDescent="0.35">
      <c r="D32" s="1"/>
      <c r="E32" s="1"/>
      <c r="F32" s="1"/>
      <c r="G32" s="1">
        <f t="shared" si="0"/>
        <v>0</v>
      </c>
      <c r="H32" s="1"/>
      <c r="I32" s="1"/>
      <c r="J32" s="1"/>
      <c r="K32" s="1">
        <f t="shared" si="1"/>
        <v>0</v>
      </c>
      <c r="L32" s="1"/>
      <c r="M32" s="1"/>
      <c r="N32" s="1">
        <f t="shared" si="2"/>
        <v>0</v>
      </c>
    </row>
    <row r="33" spans="4:14" x14ac:dyDescent="0.35">
      <c r="D33" s="1"/>
      <c r="E33" s="1"/>
      <c r="F33" s="1"/>
      <c r="G33" s="1">
        <f t="shared" si="0"/>
        <v>0</v>
      </c>
      <c r="H33" s="1"/>
      <c r="I33" s="1"/>
      <c r="J33" s="1"/>
      <c r="K33" s="1">
        <f t="shared" si="1"/>
        <v>0</v>
      </c>
      <c r="L33" s="1"/>
      <c r="M33" s="1"/>
      <c r="N33" s="1">
        <f t="shared" si="2"/>
        <v>0</v>
      </c>
    </row>
    <row r="34" spans="4:14" x14ac:dyDescent="0.35">
      <c r="D34" s="1"/>
      <c r="E34" s="1"/>
      <c r="F34" s="1"/>
      <c r="G34" s="1">
        <f t="shared" si="0"/>
        <v>0</v>
      </c>
      <c r="H34" s="1"/>
      <c r="I34" s="1"/>
      <c r="J34" s="1"/>
      <c r="K34" s="1">
        <f t="shared" si="1"/>
        <v>0</v>
      </c>
      <c r="L34" s="1"/>
      <c r="M34" s="1"/>
      <c r="N34" s="1">
        <f t="shared" si="2"/>
        <v>0</v>
      </c>
    </row>
    <row r="35" spans="4:14" x14ac:dyDescent="0.35">
      <c r="D35" s="1" t="s">
        <v>75</v>
      </c>
      <c r="E35" s="1"/>
      <c r="F35" s="1">
        <f>G35*10.764</f>
        <v>0</v>
      </c>
      <c r="G35" s="1">
        <f>SUM(G7:G34)</f>
        <v>0</v>
      </c>
      <c r="H35" s="1"/>
      <c r="I35" s="1"/>
      <c r="J35" s="1">
        <f>K35*10.764</f>
        <v>0</v>
      </c>
      <c r="K35" s="1">
        <f>SUM(K7:K34)</f>
        <v>0</v>
      </c>
      <c r="L35" s="1"/>
      <c r="M35" s="1">
        <f>N35*10.764</f>
        <v>0</v>
      </c>
      <c r="N35" s="1">
        <f>SUM(N7:N34)</f>
        <v>0</v>
      </c>
    </row>
  </sheetData>
  <mergeCells count="4">
    <mergeCell ref="E3:F3"/>
    <mergeCell ref="E5:G5"/>
    <mergeCell ref="I5:K5"/>
    <mergeCell ref="L5:N5"/>
  </mergeCells>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46"/>
  <sheetViews>
    <sheetView topLeftCell="A55" workbookViewId="0">
      <selection activeCell="K57" sqref="K57:R58"/>
    </sheetView>
  </sheetViews>
  <sheetFormatPr defaultRowHeight="14.5" x14ac:dyDescent="0.35"/>
  <cols>
    <col min="6" max="6" width="4.26953125" customWidth="1"/>
    <col min="7" max="7" width="6.453125" customWidth="1"/>
    <col min="8" max="8" width="4.26953125" customWidth="1"/>
    <col min="9" max="9" width="5.26953125" customWidth="1"/>
    <col min="10" max="10" width="4.1796875" customWidth="1"/>
    <col min="11" max="11" width="67.1796875" customWidth="1"/>
  </cols>
  <sheetData>
    <row r="1" spans="1:11" x14ac:dyDescent="0.35">
      <c r="A1" s="53" t="s">
        <v>100</v>
      </c>
      <c r="B1" s="270" t="s">
        <v>240</v>
      </c>
      <c r="C1" s="270"/>
      <c r="D1" s="270"/>
      <c r="E1" s="270"/>
      <c r="F1" s="270"/>
      <c r="G1" s="270" t="s">
        <v>158</v>
      </c>
      <c r="H1" s="270"/>
      <c r="I1" s="270" t="s">
        <v>159</v>
      </c>
      <c r="J1" s="270"/>
      <c r="K1" s="54"/>
    </row>
    <row r="2" spans="1:11" ht="45" customHeight="1" x14ac:dyDescent="0.35">
      <c r="A2" s="44">
        <v>1</v>
      </c>
      <c r="B2" s="265" t="s">
        <v>280</v>
      </c>
      <c r="C2" s="265"/>
      <c r="D2" s="265"/>
      <c r="E2" s="265"/>
      <c r="F2" s="265"/>
      <c r="G2" s="175">
        <v>0.75</v>
      </c>
      <c r="H2" s="175"/>
      <c r="I2" s="175">
        <v>0.9</v>
      </c>
      <c r="J2" s="175"/>
      <c r="K2" s="55"/>
    </row>
    <row r="3" spans="1:11" ht="45" customHeight="1" x14ac:dyDescent="0.35">
      <c r="A3" s="44">
        <v>16</v>
      </c>
      <c r="B3" s="265" t="s">
        <v>280</v>
      </c>
      <c r="C3" s="265"/>
      <c r="D3" s="265"/>
      <c r="E3" s="265"/>
      <c r="F3" s="265"/>
      <c r="G3" s="175">
        <v>0.75</v>
      </c>
      <c r="H3" s="175"/>
      <c r="I3" s="175">
        <v>0.9</v>
      </c>
      <c r="J3" s="175"/>
      <c r="K3" s="55"/>
    </row>
    <row r="4" spans="1:11" ht="30.75" customHeight="1" x14ac:dyDescent="0.35">
      <c r="A4" s="44">
        <v>17</v>
      </c>
      <c r="B4" s="265" t="s">
        <v>281</v>
      </c>
      <c r="C4" s="265"/>
      <c r="D4" s="265"/>
      <c r="E4" s="265"/>
      <c r="F4" s="265"/>
      <c r="G4" s="175">
        <v>0.1</v>
      </c>
      <c r="H4" s="175"/>
      <c r="I4" s="175">
        <v>0.45</v>
      </c>
      <c r="J4" s="175"/>
      <c r="K4" s="55"/>
    </row>
    <row r="5" spans="1:11" ht="45" customHeight="1" x14ac:dyDescent="0.35">
      <c r="A5" s="44" t="s">
        <v>195</v>
      </c>
      <c r="B5" s="265" t="s">
        <v>282</v>
      </c>
      <c r="C5" s="265"/>
      <c r="D5" s="265"/>
      <c r="E5" s="265"/>
      <c r="F5" s="265"/>
      <c r="G5" s="175">
        <v>0.53749999999999998</v>
      </c>
      <c r="H5" s="175"/>
      <c r="I5" s="175">
        <v>0.77500000000000002</v>
      </c>
      <c r="J5" s="175"/>
      <c r="K5" s="55"/>
    </row>
    <row r="6" spans="1:11" ht="45" customHeight="1" x14ac:dyDescent="0.35">
      <c r="A6" s="44" t="s">
        <v>149</v>
      </c>
      <c r="B6" s="265" t="s">
        <v>283</v>
      </c>
      <c r="C6" s="265"/>
      <c r="D6" s="265"/>
      <c r="E6" s="265"/>
      <c r="F6" s="265"/>
      <c r="G6" s="175">
        <v>0.5</v>
      </c>
      <c r="H6" s="175"/>
      <c r="I6" s="175">
        <v>0.75</v>
      </c>
      <c r="J6" s="175"/>
      <c r="K6" s="55"/>
    </row>
    <row r="7" spans="1:11" ht="45" customHeight="1" x14ac:dyDescent="0.35">
      <c r="A7" s="52">
        <v>25</v>
      </c>
      <c r="B7" s="268" t="s">
        <v>281</v>
      </c>
      <c r="C7" s="268"/>
      <c r="D7" s="268"/>
      <c r="E7" s="268"/>
      <c r="F7" s="268"/>
      <c r="G7" s="269">
        <v>0.1</v>
      </c>
      <c r="H7" s="269"/>
      <c r="I7" s="269">
        <v>0.45</v>
      </c>
      <c r="J7" s="269"/>
      <c r="K7" s="55"/>
    </row>
    <row r="8" spans="1:11" ht="45" customHeight="1" x14ac:dyDescent="0.35">
      <c r="A8" s="44" t="s">
        <v>207</v>
      </c>
      <c r="B8" s="265" t="s">
        <v>281</v>
      </c>
      <c r="C8" s="265"/>
      <c r="D8" s="265"/>
      <c r="E8" s="265"/>
      <c r="F8" s="265"/>
      <c r="G8" s="175">
        <v>0.1</v>
      </c>
      <c r="H8" s="175"/>
      <c r="I8" s="175">
        <v>0.45</v>
      </c>
      <c r="J8" s="175"/>
      <c r="K8" s="55"/>
    </row>
    <row r="9" spans="1:11" ht="45" customHeight="1" x14ac:dyDescent="0.35">
      <c r="A9" s="44" t="s">
        <v>209</v>
      </c>
      <c r="B9" s="265" t="s">
        <v>284</v>
      </c>
      <c r="C9" s="265"/>
      <c r="D9" s="265"/>
      <c r="E9" s="265"/>
      <c r="F9" s="265"/>
      <c r="G9" s="175">
        <v>0.51875000000000004</v>
      </c>
      <c r="H9" s="175"/>
      <c r="I9" s="175">
        <v>0.76249999999999996</v>
      </c>
      <c r="J9" s="175"/>
      <c r="K9" s="55"/>
    </row>
    <row r="10" spans="1:11" ht="45" customHeight="1" x14ac:dyDescent="0.35">
      <c r="A10" s="44" t="s">
        <v>210</v>
      </c>
      <c r="B10" s="265" t="s">
        <v>285</v>
      </c>
      <c r="C10" s="265"/>
      <c r="D10" s="265"/>
      <c r="E10" s="265"/>
      <c r="F10" s="265"/>
      <c r="G10" s="175">
        <v>0.3</v>
      </c>
      <c r="H10" s="175"/>
      <c r="I10" s="175">
        <v>0.6</v>
      </c>
      <c r="J10" s="175"/>
      <c r="K10" s="55"/>
    </row>
    <row r="11" spans="1:11" ht="45" customHeight="1" x14ac:dyDescent="0.35">
      <c r="A11" s="44" t="s">
        <v>242</v>
      </c>
      <c r="B11" s="265" t="s">
        <v>283</v>
      </c>
      <c r="C11" s="265"/>
      <c r="D11" s="265"/>
      <c r="E11" s="265"/>
      <c r="F11" s="265"/>
      <c r="G11" s="175">
        <v>0.5</v>
      </c>
      <c r="H11" s="175"/>
      <c r="I11" s="175">
        <v>0.75</v>
      </c>
      <c r="J11" s="175"/>
      <c r="K11" s="55"/>
    </row>
    <row r="12" spans="1:11" ht="45" customHeight="1" x14ac:dyDescent="0.35">
      <c r="A12" s="44">
        <v>36</v>
      </c>
      <c r="B12" s="265" t="s">
        <v>285</v>
      </c>
      <c r="C12" s="265"/>
      <c r="D12" s="265"/>
      <c r="E12" s="265"/>
      <c r="F12" s="265"/>
      <c r="G12" s="175">
        <v>0.3</v>
      </c>
      <c r="H12" s="175"/>
      <c r="I12" s="175">
        <v>0.6</v>
      </c>
      <c r="J12" s="175"/>
      <c r="K12" s="55"/>
    </row>
    <row r="13" spans="1:11" ht="45" customHeight="1" x14ac:dyDescent="0.35">
      <c r="A13" s="44">
        <v>44</v>
      </c>
      <c r="B13" s="265" t="s">
        <v>285</v>
      </c>
      <c r="C13" s="265"/>
      <c r="D13" s="265"/>
      <c r="E13" s="265"/>
      <c r="F13" s="265"/>
      <c r="G13" s="175">
        <v>0.3</v>
      </c>
      <c r="H13" s="175"/>
      <c r="I13" s="175">
        <v>0.6</v>
      </c>
      <c r="J13" s="175"/>
      <c r="K13" s="55"/>
    </row>
    <row r="14" spans="1:11" ht="45" customHeight="1" x14ac:dyDescent="0.35">
      <c r="A14" s="44">
        <v>45</v>
      </c>
      <c r="B14" s="265" t="s">
        <v>281</v>
      </c>
      <c r="C14" s="265"/>
      <c r="D14" s="265"/>
      <c r="E14" s="265"/>
      <c r="F14" s="265"/>
      <c r="G14" s="175">
        <v>0.1</v>
      </c>
      <c r="H14" s="175"/>
      <c r="I14" s="175">
        <v>0.45</v>
      </c>
      <c r="J14" s="175"/>
      <c r="K14" s="55"/>
    </row>
    <row r="15" spans="1:11" ht="45" customHeight="1" x14ac:dyDescent="0.35">
      <c r="A15" s="44">
        <v>48</v>
      </c>
      <c r="B15" s="265" t="s">
        <v>286</v>
      </c>
      <c r="C15" s="265"/>
      <c r="D15" s="265"/>
      <c r="E15" s="265"/>
      <c r="F15" s="265"/>
      <c r="G15" s="175">
        <v>0.54500000000000004</v>
      </c>
      <c r="H15" s="175"/>
      <c r="I15" s="175">
        <v>0.78</v>
      </c>
      <c r="J15" s="175"/>
      <c r="K15" s="55"/>
    </row>
    <row r="16" spans="1:11" ht="45" customHeight="1" x14ac:dyDescent="0.35">
      <c r="A16" s="44">
        <v>49</v>
      </c>
      <c r="B16" s="265" t="s">
        <v>280</v>
      </c>
      <c r="C16" s="265"/>
      <c r="D16" s="265"/>
      <c r="E16" s="265"/>
      <c r="F16" s="265"/>
      <c r="G16" s="175">
        <v>0.75</v>
      </c>
      <c r="H16" s="175"/>
      <c r="I16" s="175">
        <v>0.9</v>
      </c>
      <c r="J16" s="175"/>
      <c r="K16" s="55"/>
    </row>
    <row r="17" spans="1:11" ht="45" customHeight="1" x14ac:dyDescent="0.35">
      <c r="A17" s="44">
        <v>52</v>
      </c>
      <c r="B17" s="265" t="s">
        <v>283</v>
      </c>
      <c r="C17" s="265"/>
      <c r="D17" s="265"/>
      <c r="E17" s="265"/>
      <c r="F17" s="265"/>
      <c r="G17" s="175">
        <v>0.5</v>
      </c>
      <c r="H17" s="175"/>
      <c r="I17" s="175">
        <v>0.75</v>
      </c>
      <c r="J17" s="175"/>
      <c r="K17" s="55"/>
    </row>
    <row r="18" spans="1:11" ht="45" customHeight="1" x14ac:dyDescent="0.35">
      <c r="A18" s="44">
        <v>58</v>
      </c>
      <c r="B18" s="265" t="s">
        <v>287</v>
      </c>
      <c r="C18" s="265"/>
      <c r="D18" s="265"/>
      <c r="E18" s="265"/>
      <c r="F18" s="265"/>
      <c r="G18" s="175">
        <v>0.72499999999999998</v>
      </c>
      <c r="H18" s="175"/>
      <c r="I18" s="175">
        <v>0.88749999999999996</v>
      </c>
      <c r="J18" s="175"/>
      <c r="K18" s="55"/>
    </row>
    <row r="19" spans="1:11" ht="45" customHeight="1" x14ac:dyDescent="0.35">
      <c r="A19" s="44">
        <v>62</v>
      </c>
      <c r="B19" s="265" t="s">
        <v>288</v>
      </c>
      <c r="C19" s="265"/>
      <c r="D19" s="265"/>
      <c r="E19" s="265"/>
      <c r="F19" s="265"/>
      <c r="G19" s="175">
        <v>0.66249999999999998</v>
      </c>
      <c r="H19" s="175"/>
      <c r="I19" s="175">
        <v>0.85</v>
      </c>
      <c r="J19" s="175"/>
      <c r="K19" s="55"/>
    </row>
    <row r="20" spans="1:11" ht="45" customHeight="1" x14ac:dyDescent="0.35">
      <c r="A20" s="44">
        <v>63</v>
      </c>
      <c r="B20" s="265" t="s">
        <v>289</v>
      </c>
      <c r="C20" s="265"/>
      <c r="D20" s="265"/>
      <c r="E20" s="265"/>
      <c r="F20" s="265"/>
      <c r="G20" s="175">
        <v>0.57499999999999996</v>
      </c>
      <c r="H20" s="175"/>
      <c r="I20" s="175">
        <v>0.8</v>
      </c>
      <c r="J20" s="175"/>
      <c r="K20" s="55"/>
    </row>
    <row r="21" spans="1:11" ht="45" customHeight="1" x14ac:dyDescent="0.35">
      <c r="A21" s="44">
        <v>64</v>
      </c>
      <c r="B21" s="265" t="s">
        <v>280</v>
      </c>
      <c r="C21" s="265"/>
      <c r="D21" s="265"/>
      <c r="E21" s="265"/>
      <c r="F21" s="265"/>
      <c r="G21" s="175">
        <v>0.75</v>
      </c>
      <c r="H21" s="175"/>
      <c r="I21" s="175">
        <v>0.9</v>
      </c>
      <c r="J21" s="175"/>
      <c r="K21" s="55"/>
    </row>
    <row r="22" spans="1:11" ht="45" customHeight="1" x14ac:dyDescent="0.35">
      <c r="A22" s="44">
        <v>72</v>
      </c>
      <c r="B22" s="265" t="s">
        <v>285</v>
      </c>
      <c r="C22" s="265"/>
      <c r="D22" s="265"/>
      <c r="E22" s="265"/>
      <c r="F22" s="265"/>
      <c r="G22" s="175">
        <v>0.3</v>
      </c>
      <c r="H22" s="175"/>
      <c r="I22" s="175">
        <v>0.6</v>
      </c>
      <c r="J22" s="175"/>
      <c r="K22" s="55"/>
    </row>
    <row r="23" spans="1:11" ht="45" customHeight="1" x14ac:dyDescent="0.35">
      <c r="A23" s="44">
        <v>75</v>
      </c>
      <c r="B23" s="265" t="s">
        <v>282</v>
      </c>
      <c r="C23" s="265"/>
      <c r="D23" s="265"/>
      <c r="E23" s="265"/>
      <c r="F23" s="265"/>
      <c r="G23" s="175">
        <v>0.53749999999999998</v>
      </c>
      <c r="H23" s="175"/>
      <c r="I23" s="175">
        <v>0.77500000000000002</v>
      </c>
      <c r="J23" s="175"/>
      <c r="K23" s="55"/>
    </row>
    <row r="24" spans="1:11" ht="45" customHeight="1" x14ac:dyDescent="0.35">
      <c r="A24" s="44">
        <v>81</v>
      </c>
      <c r="B24" s="265" t="s">
        <v>290</v>
      </c>
      <c r="C24" s="265"/>
      <c r="D24" s="265"/>
      <c r="E24" s="265"/>
      <c r="F24" s="265"/>
      <c r="G24" s="175">
        <v>0.47499999999999998</v>
      </c>
      <c r="H24" s="175"/>
      <c r="I24" s="175">
        <v>0.72499999999999998</v>
      </c>
      <c r="J24" s="175"/>
      <c r="K24" s="55"/>
    </row>
    <row r="25" spans="1:11" ht="45" customHeight="1" x14ac:dyDescent="0.35">
      <c r="A25" s="44">
        <v>84</v>
      </c>
      <c r="B25" s="265" t="s">
        <v>291</v>
      </c>
      <c r="C25" s="265"/>
      <c r="D25" s="265"/>
      <c r="E25" s="265"/>
      <c r="F25" s="265"/>
      <c r="G25" s="175">
        <v>1</v>
      </c>
      <c r="H25" s="175"/>
      <c r="I25" s="175">
        <v>1</v>
      </c>
      <c r="J25" s="175"/>
      <c r="K25" s="55"/>
    </row>
    <row r="26" spans="1:11" ht="45" customHeight="1" x14ac:dyDescent="0.35">
      <c r="A26" s="44">
        <v>86</v>
      </c>
      <c r="B26" s="265" t="s">
        <v>292</v>
      </c>
      <c r="C26" s="265"/>
      <c r="D26" s="265"/>
      <c r="E26" s="265"/>
      <c r="F26" s="265"/>
      <c r="G26" s="175">
        <v>0.59499999999999997</v>
      </c>
      <c r="H26" s="175"/>
      <c r="I26" s="175">
        <v>0.81</v>
      </c>
      <c r="J26" s="175"/>
      <c r="K26" s="55"/>
    </row>
    <row r="27" spans="1:11" ht="45" customHeight="1" x14ac:dyDescent="0.35">
      <c r="A27" s="44">
        <v>89</v>
      </c>
      <c r="B27" s="265" t="s">
        <v>289</v>
      </c>
      <c r="C27" s="265"/>
      <c r="D27" s="265"/>
      <c r="E27" s="265"/>
      <c r="F27" s="265"/>
      <c r="G27" s="175">
        <v>0.57499999999999996</v>
      </c>
      <c r="H27" s="175"/>
      <c r="I27" s="175">
        <v>0.8</v>
      </c>
      <c r="J27" s="175"/>
      <c r="K27" s="55"/>
    </row>
    <row r="28" spans="1:11" ht="45" customHeight="1" x14ac:dyDescent="0.35">
      <c r="A28" s="44">
        <v>91</v>
      </c>
      <c r="B28" s="265" t="s">
        <v>289</v>
      </c>
      <c r="C28" s="265"/>
      <c r="D28" s="265"/>
      <c r="E28" s="265"/>
      <c r="F28" s="265"/>
      <c r="G28" s="175">
        <v>0.57499999999999996</v>
      </c>
      <c r="H28" s="175"/>
      <c r="I28" s="175">
        <v>0.8</v>
      </c>
      <c r="J28" s="175"/>
      <c r="K28" s="55"/>
    </row>
    <row r="29" spans="1:11" ht="45" customHeight="1" x14ac:dyDescent="0.35">
      <c r="A29" s="44">
        <v>92</v>
      </c>
      <c r="B29" s="265" t="s">
        <v>281</v>
      </c>
      <c r="C29" s="265"/>
      <c r="D29" s="265"/>
      <c r="E29" s="265"/>
      <c r="F29" s="265"/>
      <c r="G29" s="175">
        <v>0.1</v>
      </c>
      <c r="H29" s="175"/>
      <c r="I29" s="175">
        <v>0.45</v>
      </c>
      <c r="J29" s="175"/>
      <c r="K29" s="55"/>
    </row>
    <row r="30" spans="1:11" ht="45" customHeight="1" x14ac:dyDescent="0.35">
      <c r="A30" s="44">
        <v>93</v>
      </c>
      <c r="B30" s="265" t="s">
        <v>293</v>
      </c>
      <c r="C30" s="265"/>
      <c r="D30" s="265"/>
      <c r="E30" s="265"/>
      <c r="F30" s="265"/>
      <c r="G30" s="175">
        <v>0.7</v>
      </c>
      <c r="H30" s="175"/>
      <c r="I30" s="175">
        <v>0.875</v>
      </c>
      <c r="J30" s="175"/>
      <c r="K30" s="55"/>
    </row>
    <row r="31" spans="1:11" ht="45" customHeight="1" x14ac:dyDescent="0.35">
      <c r="A31" s="44">
        <v>94</v>
      </c>
      <c r="B31" s="265" t="s">
        <v>281</v>
      </c>
      <c r="C31" s="265"/>
      <c r="D31" s="265"/>
      <c r="E31" s="265"/>
      <c r="F31" s="265"/>
      <c r="G31" s="175">
        <v>0.1</v>
      </c>
      <c r="H31" s="175"/>
      <c r="I31" s="175">
        <v>0.45</v>
      </c>
      <c r="J31" s="175"/>
      <c r="K31" s="55"/>
    </row>
    <row r="32" spans="1:11" ht="45" customHeight="1" x14ac:dyDescent="0.35">
      <c r="A32" s="44">
        <v>96</v>
      </c>
      <c r="B32" s="265" t="s">
        <v>289</v>
      </c>
      <c r="C32" s="265"/>
      <c r="D32" s="265"/>
      <c r="E32" s="265"/>
      <c r="F32" s="265"/>
      <c r="G32" s="175">
        <v>0.57499999999999996</v>
      </c>
      <c r="H32" s="175"/>
      <c r="I32" s="175">
        <v>0.8</v>
      </c>
      <c r="J32" s="175"/>
      <c r="K32" s="55"/>
    </row>
    <row r="33" spans="1:11" ht="45" customHeight="1" x14ac:dyDescent="0.35">
      <c r="A33" s="44">
        <v>101</v>
      </c>
      <c r="B33" s="265" t="s">
        <v>294</v>
      </c>
      <c r="C33" s="265"/>
      <c r="D33" s="265"/>
      <c r="E33" s="265"/>
      <c r="F33" s="265"/>
      <c r="G33" s="175">
        <v>0.65</v>
      </c>
      <c r="H33" s="175"/>
      <c r="I33" s="175">
        <v>0.85</v>
      </c>
      <c r="J33" s="175"/>
      <c r="K33" s="55"/>
    </row>
    <row r="34" spans="1:11" ht="45" customHeight="1" x14ac:dyDescent="0.35">
      <c r="A34" s="44">
        <v>108</v>
      </c>
      <c r="B34" s="265" t="s">
        <v>290</v>
      </c>
      <c r="C34" s="265"/>
      <c r="D34" s="265"/>
      <c r="E34" s="265"/>
      <c r="F34" s="265"/>
      <c r="G34" s="175">
        <v>0.47499999999999998</v>
      </c>
      <c r="H34" s="175"/>
      <c r="I34" s="175">
        <v>0.72499999999999998</v>
      </c>
      <c r="J34" s="175"/>
      <c r="K34" s="55"/>
    </row>
    <row r="35" spans="1:11" ht="45" customHeight="1" x14ac:dyDescent="0.35">
      <c r="A35" s="44">
        <v>109</v>
      </c>
      <c r="B35" s="265" t="s">
        <v>295</v>
      </c>
      <c r="C35" s="265"/>
      <c r="D35" s="265"/>
      <c r="E35" s="265"/>
      <c r="F35" s="265"/>
      <c r="G35" s="175">
        <v>0.63500000000000001</v>
      </c>
      <c r="H35" s="175"/>
      <c r="I35" s="175">
        <v>0.83</v>
      </c>
      <c r="J35" s="175"/>
      <c r="K35" s="55"/>
    </row>
    <row r="36" spans="1:11" ht="45" customHeight="1" x14ac:dyDescent="0.35">
      <c r="A36" s="44">
        <v>110</v>
      </c>
      <c r="B36" s="265" t="s">
        <v>287</v>
      </c>
      <c r="C36" s="265"/>
      <c r="D36" s="265"/>
      <c r="E36" s="265"/>
      <c r="F36" s="265"/>
      <c r="G36" s="175">
        <v>0.72499999999999998</v>
      </c>
      <c r="H36" s="175"/>
      <c r="I36" s="175">
        <v>0.88749999999999996</v>
      </c>
      <c r="J36" s="175"/>
      <c r="K36" s="55"/>
    </row>
    <row r="37" spans="1:11" ht="45" customHeight="1" x14ac:dyDescent="0.35">
      <c r="A37" s="44">
        <v>111</v>
      </c>
      <c r="B37" s="265" t="s">
        <v>284</v>
      </c>
      <c r="C37" s="265"/>
      <c r="D37" s="265"/>
      <c r="E37" s="265"/>
      <c r="F37" s="265"/>
      <c r="G37" s="175">
        <v>0.31874999999999998</v>
      </c>
      <c r="H37" s="175"/>
      <c r="I37" s="175">
        <v>0.61250000000000004</v>
      </c>
      <c r="J37" s="175"/>
      <c r="K37" s="55"/>
    </row>
    <row r="38" spans="1:11" ht="45" customHeight="1" x14ac:dyDescent="0.35">
      <c r="A38" s="44">
        <v>112</v>
      </c>
      <c r="B38" s="265" t="s">
        <v>285</v>
      </c>
      <c r="C38" s="265"/>
      <c r="D38" s="265"/>
      <c r="E38" s="265"/>
      <c r="F38" s="265"/>
      <c r="G38" s="175">
        <v>0.3</v>
      </c>
      <c r="H38" s="175"/>
      <c r="I38" s="175">
        <v>0.6</v>
      </c>
      <c r="J38" s="175"/>
      <c r="K38" s="55"/>
    </row>
    <row r="39" spans="1:11" ht="45" customHeight="1" x14ac:dyDescent="0.35">
      <c r="A39" s="44">
        <v>114</v>
      </c>
      <c r="B39" s="265" t="s">
        <v>285</v>
      </c>
      <c r="C39" s="265"/>
      <c r="D39" s="265"/>
      <c r="E39" s="265"/>
      <c r="F39" s="265"/>
      <c r="G39" s="175">
        <v>0.3</v>
      </c>
      <c r="H39" s="175"/>
      <c r="I39" s="175">
        <v>0.6</v>
      </c>
      <c r="J39" s="175"/>
      <c r="K39" s="55"/>
    </row>
    <row r="40" spans="1:11" ht="45" customHeight="1" x14ac:dyDescent="0.35">
      <c r="A40" s="44">
        <v>118</v>
      </c>
      <c r="B40" s="265" t="s">
        <v>285</v>
      </c>
      <c r="C40" s="265"/>
      <c r="D40" s="265"/>
      <c r="E40" s="265"/>
      <c r="F40" s="265"/>
      <c r="G40" s="175">
        <v>0.3</v>
      </c>
      <c r="H40" s="175"/>
      <c r="I40" s="175">
        <v>0.6</v>
      </c>
      <c r="J40" s="175"/>
      <c r="K40" s="55"/>
    </row>
    <row r="41" spans="1:11" ht="45" customHeight="1" x14ac:dyDescent="0.35">
      <c r="A41" s="44">
        <v>119</v>
      </c>
      <c r="B41" s="265" t="s">
        <v>296</v>
      </c>
      <c r="C41" s="265"/>
      <c r="D41" s="265"/>
      <c r="E41" s="265"/>
      <c r="F41" s="265"/>
      <c r="G41" s="175">
        <v>0.64500000000000002</v>
      </c>
      <c r="H41" s="175"/>
      <c r="I41" s="175">
        <v>0.83499999999999996</v>
      </c>
      <c r="J41" s="175"/>
      <c r="K41" s="55"/>
    </row>
    <row r="42" spans="1:11" ht="45" customHeight="1" x14ac:dyDescent="0.35">
      <c r="A42" s="44">
        <v>120</v>
      </c>
      <c r="B42" s="265" t="s">
        <v>280</v>
      </c>
      <c r="C42" s="265"/>
      <c r="D42" s="265"/>
      <c r="E42" s="265"/>
      <c r="F42" s="265"/>
      <c r="G42" s="175">
        <v>0.75</v>
      </c>
      <c r="H42" s="175"/>
      <c r="I42" s="175">
        <v>0.9</v>
      </c>
      <c r="J42" s="175"/>
      <c r="K42" s="55"/>
    </row>
    <row r="43" spans="1:11" ht="45" customHeight="1" x14ac:dyDescent="0.35">
      <c r="A43" s="44" t="s">
        <v>223</v>
      </c>
      <c r="B43" s="265" t="s">
        <v>289</v>
      </c>
      <c r="C43" s="265"/>
      <c r="D43" s="265"/>
      <c r="E43" s="265"/>
      <c r="F43" s="265"/>
      <c r="G43" s="175">
        <v>0.57499999999999996</v>
      </c>
      <c r="H43" s="175"/>
      <c r="I43" s="175">
        <v>0.8</v>
      </c>
      <c r="J43" s="175"/>
      <c r="K43" s="55"/>
    </row>
    <row r="44" spans="1:11" ht="45" customHeight="1" x14ac:dyDescent="0.35">
      <c r="A44" s="44" t="s">
        <v>224</v>
      </c>
      <c r="B44" s="265" t="s">
        <v>289</v>
      </c>
      <c r="C44" s="265"/>
      <c r="D44" s="265"/>
      <c r="E44" s="265"/>
      <c r="F44" s="265"/>
      <c r="G44" s="175">
        <v>0.57499999999999996</v>
      </c>
      <c r="H44" s="175"/>
      <c r="I44" s="175">
        <v>0.8</v>
      </c>
      <c r="J44" s="175"/>
      <c r="K44" s="55"/>
    </row>
    <row r="45" spans="1:11" ht="45" customHeight="1" x14ac:dyDescent="0.35">
      <c r="A45" s="44" t="s">
        <v>181</v>
      </c>
      <c r="B45" s="265" t="s">
        <v>282</v>
      </c>
      <c r="C45" s="265"/>
      <c r="D45" s="265"/>
      <c r="E45" s="265"/>
      <c r="F45" s="265"/>
      <c r="G45" s="175">
        <v>0.53749999999999998</v>
      </c>
      <c r="H45" s="175"/>
      <c r="I45" s="175">
        <v>0.77500000000000002</v>
      </c>
      <c r="J45" s="175"/>
      <c r="K45" s="55"/>
    </row>
    <row r="46" spans="1:11" ht="45" customHeight="1" thickBot="1" x14ac:dyDescent="0.4">
      <c r="A46" s="56">
        <v>128</v>
      </c>
      <c r="B46" s="266" t="s">
        <v>285</v>
      </c>
      <c r="C46" s="266"/>
      <c r="D46" s="266"/>
      <c r="E46" s="266"/>
      <c r="F46" s="266"/>
      <c r="G46" s="267">
        <v>0.3</v>
      </c>
      <c r="H46" s="267"/>
      <c r="I46" s="267">
        <v>0.6</v>
      </c>
      <c r="J46" s="267"/>
      <c r="K46" s="57"/>
    </row>
  </sheetData>
  <mergeCells count="138">
    <mergeCell ref="B1:F1"/>
    <mergeCell ref="G1:H1"/>
    <mergeCell ref="I1:J1"/>
    <mergeCell ref="B2:F2"/>
    <mergeCell ref="G2:H2"/>
    <mergeCell ref="I2:J2"/>
    <mergeCell ref="B5:F5"/>
    <mergeCell ref="G5:H5"/>
    <mergeCell ref="I5:J5"/>
    <mergeCell ref="B6:F6"/>
    <mergeCell ref="G6:H6"/>
    <mergeCell ref="I6:J6"/>
    <mergeCell ref="B3:F3"/>
    <mergeCell ref="G3:H3"/>
    <mergeCell ref="I3:J3"/>
    <mergeCell ref="B4:F4"/>
    <mergeCell ref="G4:H4"/>
    <mergeCell ref="I4:J4"/>
    <mergeCell ref="B9:F9"/>
    <mergeCell ref="G9:H9"/>
    <mergeCell ref="I9:J9"/>
    <mergeCell ref="B10:F10"/>
    <mergeCell ref="G10:H10"/>
    <mergeCell ref="I10:J10"/>
    <mergeCell ref="B7:F7"/>
    <mergeCell ref="G7:H7"/>
    <mergeCell ref="I7:J7"/>
    <mergeCell ref="B8:F8"/>
    <mergeCell ref="G8:H8"/>
    <mergeCell ref="I8:J8"/>
    <mergeCell ref="B13:F13"/>
    <mergeCell ref="G13:H13"/>
    <mergeCell ref="I13:J13"/>
    <mergeCell ref="B14:F14"/>
    <mergeCell ref="G14:H14"/>
    <mergeCell ref="I14:J14"/>
    <mergeCell ref="B11:F11"/>
    <mergeCell ref="G11:H11"/>
    <mergeCell ref="I11:J11"/>
    <mergeCell ref="B12:F12"/>
    <mergeCell ref="G12:H12"/>
    <mergeCell ref="I12:J12"/>
    <mergeCell ref="B17:F17"/>
    <mergeCell ref="G17:H17"/>
    <mergeCell ref="I17:J17"/>
    <mergeCell ref="B18:F18"/>
    <mergeCell ref="G18:H18"/>
    <mergeCell ref="I18:J18"/>
    <mergeCell ref="B15:F15"/>
    <mergeCell ref="G15:H15"/>
    <mergeCell ref="I15:J15"/>
    <mergeCell ref="B16:F16"/>
    <mergeCell ref="G16:H16"/>
    <mergeCell ref="I16:J16"/>
    <mergeCell ref="B21:F21"/>
    <mergeCell ref="G21:H21"/>
    <mergeCell ref="I21:J21"/>
    <mergeCell ref="B22:F22"/>
    <mergeCell ref="G22:H22"/>
    <mergeCell ref="I22:J22"/>
    <mergeCell ref="B19:F19"/>
    <mergeCell ref="G19:H19"/>
    <mergeCell ref="I19:J19"/>
    <mergeCell ref="B20:F20"/>
    <mergeCell ref="G20:H20"/>
    <mergeCell ref="I20:J20"/>
    <mergeCell ref="B25:F25"/>
    <mergeCell ref="G25:H25"/>
    <mergeCell ref="I25:J25"/>
    <mergeCell ref="B26:F26"/>
    <mergeCell ref="G26:H26"/>
    <mergeCell ref="I26:J26"/>
    <mergeCell ref="B23:F23"/>
    <mergeCell ref="G23:H23"/>
    <mergeCell ref="I23:J23"/>
    <mergeCell ref="B24:F24"/>
    <mergeCell ref="G24:H24"/>
    <mergeCell ref="I24:J24"/>
    <mergeCell ref="B29:F29"/>
    <mergeCell ref="G29:H29"/>
    <mergeCell ref="I29:J29"/>
    <mergeCell ref="B30:F30"/>
    <mergeCell ref="G30:H30"/>
    <mergeCell ref="I30:J30"/>
    <mergeCell ref="B27:F27"/>
    <mergeCell ref="G27:H27"/>
    <mergeCell ref="I27:J27"/>
    <mergeCell ref="B28:F28"/>
    <mergeCell ref="G28:H28"/>
    <mergeCell ref="I28:J28"/>
    <mergeCell ref="B33:F33"/>
    <mergeCell ref="G33:H33"/>
    <mergeCell ref="I33:J33"/>
    <mergeCell ref="B34:F34"/>
    <mergeCell ref="G34:H34"/>
    <mergeCell ref="I34:J34"/>
    <mergeCell ref="B31:F31"/>
    <mergeCell ref="G31:H31"/>
    <mergeCell ref="I31:J31"/>
    <mergeCell ref="B32:F32"/>
    <mergeCell ref="G32:H32"/>
    <mergeCell ref="I32:J32"/>
    <mergeCell ref="B37:F37"/>
    <mergeCell ref="G37:H37"/>
    <mergeCell ref="I37:J37"/>
    <mergeCell ref="B38:F38"/>
    <mergeCell ref="G38:H38"/>
    <mergeCell ref="I38:J38"/>
    <mergeCell ref="B35:F35"/>
    <mergeCell ref="G35:H35"/>
    <mergeCell ref="I35:J35"/>
    <mergeCell ref="B36:F36"/>
    <mergeCell ref="G36:H36"/>
    <mergeCell ref="I36:J36"/>
    <mergeCell ref="B41:F41"/>
    <mergeCell ref="G41:H41"/>
    <mergeCell ref="I41:J41"/>
    <mergeCell ref="B42:F42"/>
    <mergeCell ref="G42:H42"/>
    <mergeCell ref="I42:J42"/>
    <mergeCell ref="B39:F39"/>
    <mergeCell ref="G39:H39"/>
    <mergeCell ref="I39:J39"/>
    <mergeCell ref="B40:F40"/>
    <mergeCell ref="G40:H40"/>
    <mergeCell ref="I40:J40"/>
    <mergeCell ref="B45:F45"/>
    <mergeCell ref="G45:H45"/>
    <mergeCell ref="I45:J45"/>
    <mergeCell ref="B46:F46"/>
    <mergeCell ref="G46:H46"/>
    <mergeCell ref="I46:J46"/>
    <mergeCell ref="B43:F43"/>
    <mergeCell ref="G43:H43"/>
    <mergeCell ref="I43:J43"/>
    <mergeCell ref="B44:F44"/>
    <mergeCell ref="G44:H44"/>
    <mergeCell ref="I44:J44"/>
  </mergeCells>
  <pageMargins left="0.31496062992125984" right="0.31496062992125984" top="0.35433070866141736" bottom="0.35433070866141736" header="0.31496062992125984" footer="0.31496062992125984"/>
  <pageSetup paperSize="9" orientation="landscape"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3:H4"/>
  <sheetViews>
    <sheetView topLeftCell="A9" zoomScale="115" zoomScaleNormal="115" workbookViewId="0">
      <selection activeCell="A3" sqref="A3:D4"/>
    </sheetView>
  </sheetViews>
  <sheetFormatPr defaultRowHeight="14.5" x14ac:dyDescent="0.35"/>
  <sheetData>
    <row r="3" spans="1:8" x14ac:dyDescent="0.35">
      <c r="A3" s="271" t="s">
        <v>315</v>
      </c>
      <c r="B3" s="272"/>
      <c r="C3" s="272"/>
      <c r="D3" s="273"/>
      <c r="E3" s="277" t="s">
        <v>44</v>
      </c>
      <c r="F3" s="271" t="s">
        <v>314</v>
      </c>
      <c r="G3" s="272"/>
      <c r="H3" s="273"/>
    </row>
    <row r="4" spans="1:8" ht="408.75" customHeight="1" x14ac:dyDescent="0.35">
      <c r="A4" s="274"/>
      <c r="B4" s="275"/>
      <c r="C4" s="275"/>
      <c r="D4" s="276"/>
      <c r="E4" s="278"/>
      <c r="F4" s="274"/>
      <c r="G4" s="275"/>
      <c r="H4" s="276"/>
    </row>
  </sheetData>
  <mergeCells count="3">
    <mergeCell ref="A3:D4"/>
    <mergeCell ref="E3:E4"/>
    <mergeCell ref="F3:H4"/>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8</vt:i4>
      </vt:variant>
      <vt:variant>
        <vt:lpstr>Named Ranges</vt:lpstr>
      </vt:variant>
      <vt:variant>
        <vt:i4>2</vt:i4>
      </vt:variant>
    </vt:vector>
  </HeadingPairs>
  <TitlesOfParts>
    <vt:vector size="10" baseType="lpstr">
      <vt:lpstr>Sheet1</vt:lpstr>
      <vt:lpstr>C%</vt:lpstr>
      <vt:lpstr>pLOT aREA</vt:lpstr>
      <vt:lpstr>Wing A</vt:lpstr>
      <vt:lpstr>Wing B</vt:lpstr>
      <vt:lpstr>Wing C</vt:lpstr>
      <vt:lpstr>Sheet2</vt:lpstr>
      <vt:lpstr>Sheet3</vt:lpstr>
      <vt:lpstr>Sheet1!Print_Area</vt:lpstr>
      <vt:lpstr>Sheet2!Print_Area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Lenovo</dc:creator>
  <cp:lastModifiedBy>Hp Elitebook 840 G6</cp:lastModifiedBy>
  <cp:lastPrinted>2025-05-23T10:33:14Z</cp:lastPrinted>
  <dcterms:created xsi:type="dcterms:W3CDTF">2013-11-23T05:32:33Z</dcterms:created>
  <dcterms:modified xsi:type="dcterms:W3CDTF">2025-08-20T13:06:08Z</dcterms:modified>
</cp:coreProperties>
</file>