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0B38CA82-B41D-4ADB-9F1B-7EFCEDAD55EC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8" i="1" l="1"/>
  <c r="I201" i="1"/>
  <c r="I200" i="1"/>
  <c r="J146" i="1"/>
  <c r="I149" i="1"/>
  <c r="D146" i="1"/>
  <c r="I146" i="1"/>
  <c r="D222" i="1" l="1"/>
  <c r="F222" i="1" s="1"/>
  <c r="D220" i="1"/>
  <c r="D219" i="1"/>
  <c r="F219" i="1" s="1"/>
  <c r="D218" i="1"/>
  <c r="F218" i="1" s="1"/>
  <c r="D217" i="1"/>
  <c r="F217" i="1" s="1"/>
  <c r="D216" i="1"/>
  <c r="F216" i="1" s="1"/>
  <c r="D214" i="1"/>
  <c r="F214" i="1" s="1"/>
  <c r="D213" i="1"/>
  <c r="F213" i="1" s="1"/>
  <c r="I213" i="1" s="1"/>
  <c r="D212" i="1"/>
  <c r="F212" i="1" s="1"/>
  <c r="D208" i="1"/>
  <c r="F208" i="1" s="1"/>
  <c r="D207" i="1"/>
  <c r="F207" i="1" s="1"/>
  <c r="D206" i="1"/>
  <c r="F206" i="1" s="1"/>
  <c r="D205" i="1"/>
  <c r="F205" i="1" s="1"/>
  <c r="D204" i="1"/>
  <c r="F204" i="1" s="1"/>
  <c r="D202" i="1"/>
  <c r="D201" i="1"/>
  <c r="D200" i="1"/>
  <c r="D196" i="1"/>
  <c r="D195" i="1"/>
  <c r="D194" i="1"/>
  <c r="D193" i="1"/>
  <c r="D192" i="1"/>
  <c r="D180" i="1"/>
  <c r="F180" i="1" s="1"/>
  <c r="D179" i="1"/>
  <c r="F179" i="1" s="1"/>
  <c r="D178" i="1"/>
  <c r="F178" i="1" s="1"/>
  <c r="D177" i="1"/>
  <c r="F177" i="1" s="1"/>
  <c r="D176" i="1"/>
  <c r="F176" i="1" s="1"/>
  <c r="D174" i="1"/>
  <c r="F174" i="1" s="1"/>
  <c r="D173" i="1"/>
  <c r="F173" i="1" s="1"/>
  <c r="I173" i="1" s="1"/>
  <c r="D172" i="1"/>
  <c r="F172" i="1" s="1"/>
  <c r="D171" i="1"/>
  <c r="F171" i="1" s="1"/>
  <c r="D170" i="1"/>
  <c r="F170" i="1" s="1"/>
  <c r="D168" i="1"/>
  <c r="F168" i="1" s="1"/>
  <c r="D167" i="1"/>
  <c r="F167" i="1" s="1"/>
  <c r="D166" i="1"/>
  <c r="F166" i="1" s="1"/>
  <c r="D165" i="1"/>
  <c r="F165" i="1" s="1"/>
  <c r="D164" i="1"/>
  <c r="F164" i="1" s="1"/>
  <c r="D162" i="1"/>
  <c r="F162" i="1" s="1"/>
  <c r="D161" i="1"/>
  <c r="F161" i="1" s="1"/>
  <c r="D158" i="1"/>
  <c r="F158" i="1" s="1"/>
  <c r="D156" i="1"/>
  <c r="F156" i="1" s="1"/>
  <c r="D155" i="1"/>
  <c r="F155" i="1" s="1"/>
  <c r="D154" i="1"/>
  <c r="F154" i="1" s="1"/>
  <c r="D153" i="1"/>
  <c r="F153" i="1" s="1"/>
  <c r="D152" i="1"/>
  <c r="F152" i="1" s="1"/>
  <c r="D150" i="1"/>
  <c r="D149" i="1"/>
  <c r="D144" i="1"/>
  <c r="D143" i="1"/>
  <c r="D142" i="1"/>
  <c r="D141" i="1"/>
  <c r="D140" i="1"/>
  <c r="J139" i="1"/>
  <c r="G222" i="1"/>
  <c r="A171" i="1"/>
  <c r="A172" i="1" s="1"/>
  <c r="A173" i="1" s="1"/>
  <c r="A174" i="1" s="1"/>
  <c r="G170" i="1"/>
  <c r="G171" i="1" s="1"/>
  <c r="G172" i="1" s="1"/>
  <c r="G173" i="1" s="1"/>
  <c r="G174" i="1" s="1"/>
  <c r="A211" i="1"/>
  <c r="A212" i="1" s="1"/>
  <c r="A213" i="1" s="1"/>
  <c r="A214" i="1" s="1"/>
  <c r="G210" i="1"/>
  <c r="G211" i="1" s="1"/>
  <c r="G212" i="1" s="1"/>
  <c r="G213" i="1" s="1"/>
  <c r="G214" i="1" s="1"/>
  <c r="A159" i="1"/>
  <c r="A160" i="1" s="1"/>
  <c r="A161" i="1" s="1"/>
  <c r="A162" i="1" s="1"/>
  <c r="G158" i="1"/>
  <c r="G159" i="1" s="1"/>
  <c r="G160" i="1" s="1"/>
  <c r="G161" i="1" s="1"/>
  <c r="G162" i="1" s="1"/>
  <c r="F220" i="1"/>
  <c r="A217" i="1"/>
  <c r="A218" i="1" s="1"/>
  <c r="A219" i="1" s="1"/>
  <c r="A220" i="1" s="1"/>
  <c r="G216" i="1"/>
  <c r="G217" i="1" s="1"/>
  <c r="G218" i="1" s="1"/>
  <c r="G219" i="1" s="1"/>
  <c r="G220" i="1" s="1"/>
  <c r="A165" i="1"/>
  <c r="A166" i="1" s="1"/>
  <c r="A167" i="1" s="1"/>
  <c r="A168" i="1" s="1"/>
  <c r="G164" i="1"/>
  <c r="G165" i="1" s="1"/>
  <c r="G166" i="1" s="1"/>
  <c r="G167" i="1" s="1"/>
  <c r="G168" i="1" s="1"/>
  <c r="A205" i="1"/>
  <c r="A206" i="1" s="1"/>
  <c r="A207" i="1" s="1"/>
  <c r="A208" i="1" s="1"/>
  <c r="G204" i="1"/>
  <c r="G205" i="1" s="1"/>
  <c r="G206" i="1" s="1"/>
  <c r="G207" i="1" s="1"/>
  <c r="G208" i="1" s="1"/>
  <c r="A177" i="1"/>
  <c r="A178" i="1" s="1"/>
  <c r="A179" i="1" s="1"/>
  <c r="A180" i="1" s="1"/>
  <c r="G176" i="1"/>
  <c r="G177" i="1" s="1"/>
  <c r="G178" i="1" s="1"/>
  <c r="G179" i="1" s="1"/>
  <c r="G180" i="1" s="1"/>
  <c r="A153" i="1"/>
  <c r="A154" i="1" s="1"/>
  <c r="A155" i="1" s="1"/>
  <c r="A156" i="1" s="1"/>
  <c r="G152" i="1"/>
  <c r="G153" i="1" s="1"/>
  <c r="G154" i="1" s="1"/>
  <c r="G155" i="1" s="1"/>
  <c r="G156" i="1" s="1"/>
  <c r="C121" i="1" l="1"/>
  <c r="E121" i="1"/>
  <c r="C118" i="1"/>
  <c r="E118" i="1"/>
  <c r="C119" i="1"/>
  <c r="E119" i="1"/>
  <c r="C120" i="1"/>
  <c r="E120" i="1"/>
  <c r="F202" i="1"/>
  <c r="F201" i="1"/>
  <c r="F200" i="1"/>
  <c r="A199" i="1"/>
  <c r="A200" i="1" s="1"/>
  <c r="A201" i="1" s="1"/>
  <c r="A202" i="1" s="1"/>
  <c r="G198" i="1"/>
  <c r="G199" i="1" s="1"/>
  <c r="G200" i="1" s="1"/>
  <c r="G201" i="1" s="1"/>
  <c r="G202" i="1" s="1"/>
  <c r="F150" i="1"/>
  <c r="F149" i="1"/>
  <c r="F146" i="1"/>
  <c r="F194" i="1"/>
  <c r="J194" i="1"/>
  <c r="F193" i="1"/>
  <c r="F195" i="1"/>
  <c r="J192" i="1"/>
  <c r="F228" i="1"/>
  <c r="F196" i="1"/>
  <c r="A193" i="1"/>
  <c r="A194" i="1" s="1"/>
  <c r="A195" i="1" s="1"/>
  <c r="A196" i="1" s="1"/>
  <c r="G192" i="1"/>
  <c r="G193" i="1" s="1"/>
  <c r="G194" i="1" s="1"/>
  <c r="G195" i="1" s="1"/>
  <c r="G196" i="1" s="1"/>
  <c r="F192" i="1"/>
  <c r="F144" i="1"/>
  <c r="F143" i="1"/>
  <c r="F142" i="1"/>
  <c r="F141" i="1"/>
  <c r="I141" i="1" s="1"/>
  <c r="F140" i="1"/>
  <c r="J140" i="1"/>
  <c r="A147" i="1"/>
  <c r="A148" i="1" s="1"/>
  <c r="A149" i="1" s="1"/>
  <c r="A150" i="1" s="1"/>
  <c r="G146" i="1"/>
  <c r="G147" i="1" s="1"/>
  <c r="G148" i="1" s="1"/>
  <c r="G149" i="1" s="1"/>
  <c r="G150" i="1" s="1"/>
  <c r="F186" i="1"/>
  <c r="A141" i="1"/>
  <c r="A142" i="1" s="1"/>
  <c r="A143" i="1" s="1"/>
  <c r="A144" i="1" s="1"/>
  <c r="G140" i="1"/>
  <c r="G141" i="1" s="1"/>
  <c r="G142" i="1" s="1"/>
  <c r="G143" i="1" s="1"/>
  <c r="G144" i="1" s="1"/>
  <c r="F185" i="1"/>
  <c r="F184" i="1"/>
  <c r="F183" i="1"/>
  <c r="A183" i="1"/>
  <c r="A184" i="1" s="1"/>
  <c r="A185" i="1" s="1"/>
  <c r="A186" i="1" s="1"/>
  <c r="G182" i="1"/>
  <c r="G183" i="1" s="1"/>
  <c r="G184" i="1" s="1"/>
  <c r="G185" i="1" s="1"/>
  <c r="G186" i="1" s="1"/>
  <c r="F182" i="1"/>
  <c r="G118" i="1" l="1"/>
  <c r="I142" i="1"/>
  <c r="G119" i="1"/>
  <c r="G121" i="1"/>
  <c r="E122" i="1"/>
  <c r="C122" i="1"/>
  <c r="G120" i="1"/>
  <c r="C15" i="1"/>
  <c r="G122" i="1" l="1"/>
  <c r="E30" i="1"/>
  <c r="F225" i="1" l="1"/>
  <c r="F226" i="1"/>
  <c r="F227" i="1"/>
  <c r="F224" i="1"/>
  <c r="A225" i="1"/>
  <c r="A226" i="1" s="1"/>
  <c r="A227" i="1" s="1"/>
  <c r="A228" i="1" s="1"/>
  <c r="G224" i="1"/>
  <c r="G225" i="1" s="1"/>
  <c r="G226" i="1" s="1"/>
  <c r="G227" i="1" s="1"/>
  <c r="G228" i="1" s="1"/>
  <c r="F110" i="1" l="1"/>
  <c r="F129" i="1" l="1"/>
  <c r="F130" i="1"/>
  <c r="F131" i="1"/>
  <c r="F128" i="1"/>
  <c r="B255" i="1" l="1"/>
  <c r="A236" i="1"/>
  <c r="A242" i="1"/>
  <c r="A248" i="1"/>
  <c r="F252" i="1" l="1"/>
  <c r="F251" i="1"/>
  <c r="F250" i="1"/>
  <c r="F249" i="1"/>
  <c r="F248" i="1"/>
  <c r="F246" i="1"/>
  <c r="F245" i="1"/>
  <c r="F244" i="1"/>
  <c r="F243" i="1"/>
  <c r="F242" i="1"/>
  <c r="F240" i="1"/>
  <c r="F239" i="1"/>
  <c r="F238" i="1"/>
  <c r="F237" i="1"/>
  <c r="F236" i="1"/>
  <c r="F234" i="1"/>
  <c r="F233" i="1"/>
  <c r="F231" i="1"/>
  <c r="F230" i="1"/>
  <c r="F232" i="1"/>
  <c r="A243" i="1"/>
  <c r="A237" i="1"/>
  <c r="A249" i="1"/>
  <c r="B256" i="1" l="1"/>
  <c r="A238" i="1"/>
  <c r="A250" i="1"/>
  <c r="A24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9" i="1"/>
  <c r="G248" i="1"/>
  <c r="G249" i="1" s="1"/>
  <c r="G250" i="1" s="1"/>
  <c r="G251" i="1" s="1"/>
  <c r="G252" i="1" s="1"/>
  <c r="G242" i="1"/>
  <c r="G243" i="1" s="1"/>
  <c r="G244" i="1" s="1"/>
  <c r="G245" i="1" s="1"/>
  <c r="G246" i="1" s="1"/>
  <c r="G236" i="1"/>
  <c r="G237" i="1" s="1"/>
  <c r="G238" i="1" s="1"/>
  <c r="G239" i="1" s="1"/>
  <c r="G240" i="1" s="1"/>
  <c r="G230" i="1"/>
  <c r="G231" i="1" s="1"/>
  <c r="G232" i="1" s="1"/>
  <c r="G233" i="1" s="1"/>
  <c r="G234" i="1" s="1"/>
  <c r="A230" i="1"/>
  <c r="A231" i="1" s="1"/>
  <c r="A232" i="1" s="1"/>
  <c r="A233" i="1" s="1"/>
  <c r="A234" i="1" s="1"/>
  <c r="A129" i="1"/>
  <c r="A130" i="1" s="1"/>
  <c r="A131" i="1" s="1"/>
  <c r="G128" i="1"/>
  <c r="G129" i="1" s="1"/>
  <c r="G130" i="1" s="1"/>
  <c r="G131" i="1" s="1"/>
  <c r="J94" i="1"/>
  <c r="J93" i="1"/>
  <c r="J92" i="1"/>
  <c r="J91" i="1"/>
  <c r="C83" i="1"/>
  <c r="J80" i="1"/>
  <c r="J79" i="1"/>
  <c r="J78" i="1"/>
  <c r="J77" i="1"/>
  <c r="C69" i="1"/>
  <c r="D57" i="1"/>
  <c r="G50" i="1"/>
  <c r="C50" i="1"/>
  <c r="E43" i="1"/>
  <c r="E44" i="1" s="1"/>
  <c r="E27" i="1"/>
  <c r="E25" i="1"/>
  <c r="E7" i="1"/>
  <c r="E3" i="1"/>
  <c r="H84" i="1"/>
  <c r="A245" i="1"/>
  <c r="H70" i="1"/>
  <c r="A239" i="1"/>
  <c r="A251" i="1"/>
  <c r="D63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9" i="1"/>
  <c r="D81" i="1"/>
  <c r="D77" i="1"/>
  <c r="J73" i="1"/>
  <c r="J74" i="1"/>
  <c r="J72" i="1"/>
  <c r="J75" i="1"/>
  <c r="J76" i="1" s="1"/>
  <c r="J81" i="1" s="1"/>
  <c r="J82" i="1" s="1"/>
  <c r="J89" i="1"/>
  <c r="J87" i="1"/>
  <c r="J88" i="1"/>
  <c r="C87" i="1" s="1"/>
  <c r="J86" i="1"/>
  <c r="A252" i="1"/>
  <c r="A240" i="1"/>
  <c r="A246" i="1"/>
  <c r="J90" i="1" l="1"/>
  <c r="J95" i="1" s="1"/>
  <c r="J96" i="1" s="1"/>
  <c r="C88" i="1" s="1"/>
  <c r="D88" i="1" s="1"/>
  <c r="D89" i="1"/>
  <c r="D75" i="1"/>
  <c r="J71" i="1"/>
  <c r="E73" i="1"/>
  <c r="D74" i="1"/>
  <c r="G73" i="1"/>
  <c r="D67" i="1" s="1"/>
  <c r="D68" i="1" s="1"/>
  <c r="D73" i="1"/>
  <c r="D87" i="1"/>
  <c r="E87" i="1" l="1"/>
  <c r="G87" i="1"/>
  <c r="J84" i="1"/>
  <c r="I70" i="1"/>
  <c r="J70" i="1"/>
  <c r="I84" i="1"/>
  <c r="F68" i="1"/>
  <c r="I71" i="1" l="1"/>
  <c r="I69" i="1" s="1"/>
  <c r="C71" i="1" s="1"/>
  <c r="I85" i="1"/>
  <c r="I83" i="1" s="1"/>
  <c r="C85" i="1" s="1"/>
</calcChain>
</file>

<file path=xl/sharedStrings.xml><?xml version="1.0" encoding="utf-8"?>
<sst xmlns="http://schemas.openxmlformats.org/spreadsheetml/2006/main" count="395" uniqueCount="253">
  <si>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</si>
  <si>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</si>
  <si>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</si>
  <si>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</si>
  <si>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</si>
  <si>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</si>
  <si>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</si>
  <si>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</si>
  <si>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</si>
  <si>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</si>
  <si>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</si>
  <si>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</si>
  <si>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</si>
  <si>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</si>
  <si>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</si>
  <si>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</si>
  <si>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</si>
  <si>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</si>
  <si>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</si>
  <si>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</si>
  <si>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</si>
  <si>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</si>
  <si>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</si>
  <si>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</si>
  <si>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</si>
  <si>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</si>
  <si>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</si>
  <si>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</si>
  <si>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</si>
  <si>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</si>
  <si>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</si>
  <si>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</si>
  <si>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</si>
  <si>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</si>
  <si>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</si>
  <si>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</si>
  <si>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</si>
  <si>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</si>
  <si>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</si>
  <si>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</si>
  <si>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</si>
  <si>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</si>
  <si>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</si>
  <si>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</si>
  <si>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</si>
  <si>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</si>
  <si>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</si>
  <si>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</si>
  <si>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</si>
  <si>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</si>
  <si>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</si>
  <si>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</si>
  <si>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</si>
  <si>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</si>
  <si>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</si>
  <si>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</si>
  <si>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</si>
  <si>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</si>
  <si>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</si>
  <si>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</si>
  <si>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</si>
  <si>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</si>
  <si>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</si>
  <si>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</si>
  <si>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</si>
  <si>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</si>
  <si>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</si>
  <si>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</si>
  <si>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</si>
  <si>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</si>
  <si>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</si>
  <si>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</si>
  <si>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</si>
  <si>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</si>
  <si>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</si>
  <si>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</si>
  <si>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</si>
  <si>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</si>
  <si>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</si>
  <si>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</si>
  <si>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</si>
  <si>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</si>
  <si>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</si>
  <si>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</si>
  <si>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</si>
  <si>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</si>
  <si>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</si>
  <si>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</si>
  <si>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</si>
  <si>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</si>
  <si>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</si>
  <si>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</si>
  <si>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</si>
  <si>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</si>
  <si>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</si>
  <si>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</si>
  <si>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</si>
  <si>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</si>
  <si>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</si>
  <si>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</si>
  <si>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</si>
  <si>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</si>
  <si>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</si>
  <si>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</si>
  <si>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</si>
  <si>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</si>
  <si>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</si>
  <si>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</si>
  <si>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</si>
  <si>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</si>
  <si>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</si>
  <si>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</si>
  <si>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</si>
  <si>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</si>
  <si>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</si>
  <si>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</si>
  <si>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</si>
  <si>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</si>
  <si>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</si>
  <si>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</si>
  <si>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</si>
  <si>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</si>
  <si>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</si>
  <si>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</si>
  <si>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</si>
  <si>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</si>
  <si>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</si>
  <si>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</si>
  <si>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</si>
  <si>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</si>
  <si>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</si>
  <si>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</si>
  <si>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</si>
  <si>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</si>
  <si>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</si>
  <si>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</si>
  <si>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</si>
  <si>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</si>
  <si>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</si>
  <si>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</si>
  <si>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</si>
  <si>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</si>
  <si>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</si>
  <si>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</si>
  <si>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</si>
  <si>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</si>
  <si>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</si>
  <si>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</si>
  <si>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</si>
  <si>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</si>
  <si>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</si>
  <si>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</si>
  <si>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</si>
  <si>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</si>
  <si>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</si>
  <si>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</si>
  <si>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</si>
  <si>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</si>
  <si>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</si>
  <si>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</si>
  <si>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</si>
  <si>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</si>
  <si>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</si>
  <si>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</si>
  <si>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</si>
  <si>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</si>
  <si>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</si>
  <si>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</si>
  <si>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</si>
  <si>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</si>
  <si>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</si>
  <si>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</si>
  <si>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</si>
  <si>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</si>
  <si>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</si>
  <si>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</si>
  <si>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</si>
  <si>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</si>
  <si>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0.950KM from Bandra Railway Station</t>
  </si>
  <si>
    <t>Axis Goregaon</t>
  </si>
  <si>
    <t>022-23514427/ 23538110</t>
  </si>
  <si>
    <t>Existing Building Name</t>
  </si>
  <si>
    <t>Building No.12 (Sukhada Co-oprative Housing Society)</t>
  </si>
  <si>
    <t>Wing A &amp; B</t>
  </si>
  <si>
    <t>Approved Plans, CC, Sale Plans</t>
  </si>
  <si>
    <t xml:space="preserve">P51800046486 </t>
  </si>
  <si>
    <t>Survey No</t>
  </si>
  <si>
    <t>341(Pt), CTS No.606(Pt) &amp; Existing Building Name - Sukhada Co-oprative Housing Society</t>
  </si>
  <si>
    <t>Bandra</t>
  </si>
  <si>
    <t>Mumbai</t>
  </si>
  <si>
    <t>Andheri</t>
  </si>
  <si>
    <t>Bandra East</t>
  </si>
  <si>
    <t>Sarvoday Apartments</t>
  </si>
  <si>
    <t>Shakti Sadan Chs</t>
  </si>
  <si>
    <t>2 Wings</t>
  </si>
  <si>
    <t>Mhada-95/959/2022</t>
  </si>
  <si>
    <t>As per RERA - 31/12/2025</t>
  </si>
  <si>
    <t>Ground Floor For Parking</t>
  </si>
  <si>
    <t>1st, 2nd &amp; 3rd Floor For Parking</t>
  </si>
  <si>
    <t>4th Floor For Amenities</t>
  </si>
  <si>
    <t>5th, 7th &amp; 8th Floor For Residential</t>
  </si>
  <si>
    <t>6th Floor (Part Refuge Area)</t>
  </si>
  <si>
    <t>Rehab</t>
  </si>
  <si>
    <t>Sale</t>
  </si>
  <si>
    <t>1.5BHK</t>
  </si>
  <si>
    <t>Refuge Area</t>
  </si>
  <si>
    <t>9th to 12th, 14th &amp; 15th Floor</t>
  </si>
  <si>
    <t>16th to 18th Floor</t>
  </si>
  <si>
    <t>13th Floor (Part Refuge Area)</t>
  </si>
  <si>
    <t>19th Floor</t>
  </si>
  <si>
    <t>19th Floor (Part Terrace Area)</t>
  </si>
  <si>
    <t>20th Floor</t>
  </si>
  <si>
    <t>B Wing (Flats)</t>
  </si>
  <si>
    <t>check</t>
  </si>
  <si>
    <t>B C Corp Arista</t>
  </si>
  <si>
    <t xml:space="preserve">AAI NOC No
Valid Up to: </t>
  </si>
  <si>
    <t>SNCR/WEST/B/090621/573962</t>
  </si>
  <si>
    <t>Wing A = Rehab Flats - 40, Sale Flats - 36
Wing B = Rehab Flats - 14, Sale Flats - 53</t>
  </si>
  <si>
    <t>The Airport Authority of India's provided NOC is valid up to the 15th floor; therefore, for flats above the 15th floor the Airport Authority of India's NOC should be checked before disbursement.</t>
  </si>
  <si>
    <t>Tristar Development LLP</t>
  </si>
  <si>
    <t>Kherwadi</t>
  </si>
  <si>
    <t>Road Number -7</t>
  </si>
  <si>
    <t>Road Number - 4</t>
  </si>
  <si>
    <t>Vivekaanand CHS</t>
  </si>
  <si>
    <t>Maharashtra Housing and Area Development Authority (MHADA)</t>
  </si>
  <si>
    <t>Permissible Top Elevation in mtrs Above Mean Sea Level  (AMSL) - 57.13M</t>
  </si>
  <si>
    <t>Wing A = Gr + 3P + 4A + 5th to 20th Floor
Wing B = Gr + 3P + 4A + 5th to 19th Floor</t>
  </si>
  <si>
    <t xml:space="preserve">Wing A = Gr + 3P + 4A + 5th to 20th Floor
</t>
  </si>
  <si>
    <t>No. of Flats</t>
  </si>
  <si>
    <t xml:space="preserve"> Wing A </t>
  </si>
  <si>
    <t>Wing B</t>
  </si>
  <si>
    <t>We considered Gross carpet area = Net carpet + Dry balcony + Balcony.</t>
  </si>
  <si>
    <t>Layout Plan :</t>
  </si>
  <si>
    <t>Referance to Remark No. 9 :</t>
  </si>
  <si>
    <t>visitor</t>
  </si>
  <si>
    <t>Sale / Rehab Unit</t>
  </si>
  <si>
    <t>Wing A</t>
  </si>
  <si>
    <t>This further CC is issue for the extended work " upto top of 20th floor level with ht. 69.58mt. From AGL + LMR + OHT of wing A and upto top of 19th part floor level with ht. 66.60mt. From AGL + LMR + OHT of wing B, as per approved amended plans dt.18.12.2023.</t>
  </si>
  <si>
    <t>MH/EE/BP/GM/MHADA-95/959/2023</t>
  </si>
  <si>
    <t>We have updated latest revised CC on (11/01/2024).</t>
  </si>
  <si>
    <t>Construction work is in process at the time of Visit. Internal photographs was not allowed</t>
  </si>
  <si>
    <t>Wing B = Gr + 3P + 4A + 5th to 20th Floor</t>
  </si>
  <si>
    <t>ConsPlease provide revised approved CC for Wing B, As the construction work goes beyond the CC permission.</t>
  </si>
  <si>
    <t>07/02/2025 Check for Slabs of Wing B next visit</t>
  </si>
  <si>
    <t>Please provide revised approved plans &amp; CC.</t>
  </si>
  <si>
    <t>Office No. 1031, Wing J, Akshar Business Park, Plot No. 03 Sector 25, Near APMC Market,
Vashi, Navi Mumbai, Maharashtra 400703 TEL: 022-46090378/79/80  
 Email : vsjcapf@gmail.com. Web site : www.vsjadon.com</t>
  </si>
  <si>
    <t>Ms Nidhi Pangal  CRM  8356051630</t>
  </si>
  <si>
    <t>Gaurav Panchal</t>
  </si>
  <si>
    <t>Tushar Bhuwad</t>
  </si>
  <si>
    <t>Latitude &amp; Longitude</t>
  </si>
  <si>
    <t>19.058595, 72.845756</t>
  </si>
  <si>
    <t>https://maps.app.goo.gl/7Tm1ujdN3HA1Agos9</t>
  </si>
  <si>
    <t>changed on 18/08/2025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</si>
</sst>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/>
    </xf>
    <xf numFmtId="0" fontId="27" fillId="0" borderId="0" xfId="1" applyFont="1"/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268944</xdr:colOff>
      <xdr:row>428</xdr:row>
      <xdr:rowOff>69477</xdr:rowOff>
    </xdr:from>
    <xdr:to>
      <xdr:col>6</xdr:col>
      <xdr:colOff>522008</xdr:colOff>
      <xdr:row>448</xdr:row>
      <xdr:rowOff>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973" y="70532065"/>
          <a:ext cx="4724211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268945</xdr:colOff>
      <xdr:row>407</xdr:row>
      <xdr:rowOff>190500</xdr:rowOff>
    </xdr:from>
    <xdr:to>
      <xdr:col>6</xdr:col>
      <xdr:colOff>522009</xdr:colOff>
      <xdr:row>427</xdr:row>
      <xdr:rowOff>116382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974" y="66417265"/>
          <a:ext cx="4724211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179296</xdr:colOff>
      <xdr:row>365</xdr:row>
      <xdr:rowOff>0</xdr:rowOff>
    </xdr:from>
    <xdr:to>
      <xdr:col>7</xdr:col>
      <xdr:colOff>1681</xdr:colOff>
      <xdr:row>398</xdr:row>
      <xdr:rowOff>183706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325" y="57755118"/>
          <a:ext cx="5130000" cy="68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67236</xdr:colOff>
      <xdr:row>319</xdr:row>
      <xdr:rowOff>190500</xdr:rowOff>
    </xdr:from>
    <xdr:to>
      <xdr:col>7</xdr:col>
      <xdr:colOff>35647</xdr:colOff>
      <xdr:row>339</xdr:row>
      <xdr:rowOff>116383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265" y="58595559"/>
          <a:ext cx="528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67236</xdr:colOff>
      <xdr:row>340</xdr:row>
      <xdr:rowOff>69477</xdr:rowOff>
    </xdr:from>
    <xdr:to>
      <xdr:col>7</xdr:col>
      <xdr:colOff>35647</xdr:colOff>
      <xdr:row>360</xdr:row>
      <xdr:rowOff>215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265" y="62710359"/>
          <a:ext cx="528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510540</xdr:colOff>
      <xdr:row>279</xdr:row>
      <xdr:rowOff>167640</xdr:rowOff>
    </xdr:from>
    <xdr:to>
      <xdr:col>16</xdr:col>
      <xdr:colOff>291343</xdr:colOff>
      <xdr:row>314</xdr:row>
      <xdr:rowOff>152140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1ED4E70-C58B-DFCD-0A87-48787A8F611B}"/>
            </a:ext>
          </a:extLst>
        </xdr:cNvPr>
        <xdr:cNvGrpSpPr/>
      </xdr:nvGrpSpPr>
      <xdr:grpSpPr>
        <a:xfrm>
          <a:off x="7454265" y="47792640"/>
          <a:ext cx="6181603" cy="6975850"/>
          <a:chOff x="126705" y="152251"/>
          <a:chExt cx="6364483" cy="7215880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BEEF3A3-65A1-A821-9625-E2252E564D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705" y="5568131"/>
            <a:ext cx="179833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7E03025-E252-B03B-65B7-C1016F4347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6206" y="2877182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04BFB04-CC25-F06D-6660-8264FF640E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8595" y="2877182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97D1FF4-EDED-1C00-77E6-8AB9666773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2854" y="5568131"/>
            <a:ext cx="179833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9E331FD6-3C74-D4ED-A942-F1B6F2C40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5772" y="5568131"/>
            <a:ext cx="238893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9AEB2FB4-0F8E-6D4D-1C04-9EC66E71CE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8595" y="186233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F7395C43-9FB9-BDDD-8B4D-2BD21136F6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6207" y="186233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0" name="TextBox 17">
            <a:extLst>
              <a:ext uri="{FF2B5EF4-FFF2-40B4-BE49-F238E27FC236}">
                <a16:creationId xmlns:a16="http://schemas.microsoft.com/office/drawing/2014/main" id="{94E9C22E-6230-99C6-42AC-80926AD3A03D}"/>
              </a:ext>
            </a:extLst>
          </xdr:cNvPr>
          <xdr:cNvSpPr txBox="1"/>
        </xdr:nvSpPr>
        <xdr:spPr>
          <a:xfrm>
            <a:off x="1384662" y="186233"/>
            <a:ext cx="34015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/>
              <a:t>A</a:t>
            </a:r>
          </a:p>
        </xdr:txBody>
      </xdr:sp>
      <xdr:sp macro="" textlink="">
        <xdr:nvSpPr>
          <xdr:cNvPr id="21" name="TextBox 18">
            <a:extLst>
              <a:ext uri="{FF2B5EF4-FFF2-40B4-BE49-F238E27FC236}">
                <a16:creationId xmlns:a16="http://schemas.microsoft.com/office/drawing/2014/main" id="{CE972225-5E31-8412-C9E8-9AB8C2D61371}"/>
              </a:ext>
            </a:extLst>
          </xdr:cNvPr>
          <xdr:cNvSpPr txBox="1"/>
        </xdr:nvSpPr>
        <xdr:spPr>
          <a:xfrm>
            <a:off x="5251863" y="152251"/>
            <a:ext cx="34015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/>
              <a:t>B</a:t>
            </a:r>
          </a:p>
        </xdr:txBody>
      </xdr:sp>
      <xdr:sp macro="" textlink="">
        <xdr:nvSpPr>
          <xdr:cNvPr id="24" name="TextBox 19">
            <a:extLst>
              <a:ext uri="{FF2B5EF4-FFF2-40B4-BE49-F238E27FC236}">
                <a16:creationId xmlns:a16="http://schemas.microsoft.com/office/drawing/2014/main" id="{D59EAE06-3807-B542-2E42-094BB8369696}"/>
              </a:ext>
            </a:extLst>
          </xdr:cNvPr>
          <xdr:cNvSpPr txBox="1"/>
        </xdr:nvSpPr>
        <xdr:spPr>
          <a:xfrm>
            <a:off x="855793" y="3042645"/>
            <a:ext cx="34015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/>
              <a:t>A</a:t>
            </a:r>
          </a:p>
        </xdr:txBody>
      </xdr:sp>
      <xdr:sp macro="" textlink="">
        <xdr:nvSpPr>
          <xdr:cNvPr id="25" name="TextBox 20">
            <a:extLst>
              <a:ext uri="{FF2B5EF4-FFF2-40B4-BE49-F238E27FC236}">
                <a16:creationId xmlns:a16="http://schemas.microsoft.com/office/drawing/2014/main" id="{58AEC603-0280-D4F1-90AA-5FC3F74F27AA}"/>
              </a:ext>
            </a:extLst>
          </xdr:cNvPr>
          <xdr:cNvSpPr txBox="1"/>
        </xdr:nvSpPr>
        <xdr:spPr>
          <a:xfrm>
            <a:off x="2373085" y="2877182"/>
            <a:ext cx="34015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/>
              <a:t>B</a:t>
            </a:r>
          </a:p>
        </xdr:txBody>
      </xdr:sp>
      <xdr:sp macro="" textlink="">
        <xdr:nvSpPr>
          <xdr:cNvPr id="26" name="TextBox 21">
            <a:extLst>
              <a:ext uri="{FF2B5EF4-FFF2-40B4-BE49-F238E27FC236}">
                <a16:creationId xmlns:a16="http://schemas.microsoft.com/office/drawing/2014/main" id="{410A13B7-A293-0398-24EC-B1E4B2960BE4}"/>
              </a:ext>
            </a:extLst>
          </xdr:cNvPr>
          <xdr:cNvSpPr txBox="1"/>
        </xdr:nvSpPr>
        <xdr:spPr>
          <a:xfrm>
            <a:off x="4007755" y="2795546"/>
            <a:ext cx="340158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/>
              <a:t>A</a:t>
            </a:r>
          </a:p>
        </xdr:txBody>
      </xdr:sp>
    </xdr:grpSp>
    <xdr:clientData/>
  </xdr:twoCellAnchor>
  <xdr:twoCellAnchor>
    <xdr:from>
      <xdr:col>8</xdr:col>
      <xdr:colOff>624841</xdr:colOff>
      <xdr:row>278</xdr:row>
      <xdr:rowOff>43816</xdr:rowOff>
    </xdr:from>
    <xdr:to>
      <xdr:col>15</xdr:col>
      <xdr:colOff>708661</xdr:colOff>
      <xdr:row>314</xdr:row>
      <xdr:rowOff>114301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44F2184-1707-6A99-77E7-B68BAF771711}"/>
            </a:ext>
          </a:extLst>
        </xdr:cNvPr>
        <xdr:cNvGrpSpPr/>
      </xdr:nvGrpSpPr>
      <xdr:grpSpPr>
        <a:xfrm>
          <a:off x="7568566" y="47468791"/>
          <a:ext cx="5703570" cy="7261860"/>
          <a:chOff x="400177" y="111483"/>
          <a:chExt cx="5908823" cy="8488161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ED6C65E6-A9AB-B2B4-C116-C6733F225D80}"/>
              </a:ext>
            </a:extLst>
          </xdr:cNvPr>
          <xdr:cNvGrpSpPr/>
        </xdr:nvGrpSpPr>
        <xdr:grpSpPr>
          <a:xfrm>
            <a:off x="1166114" y="6799644"/>
            <a:ext cx="4376948" cy="1800000"/>
            <a:chOff x="1932052" y="6799644"/>
            <a:chExt cx="4376948" cy="1800000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099310A-74A9-AACB-103D-235655C94A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46463" y="679964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1DE8305A-F9EA-4521-C810-4F9A1EBB06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60875" y="679964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124CF3A4-DACF-4421-2905-E386DDD658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32052" y="679964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130A983-1A32-5597-4698-FE133AF18FAD}"/>
              </a:ext>
            </a:extLst>
          </xdr:cNvPr>
          <xdr:cNvGrpSpPr/>
        </xdr:nvGrpSpPr>
        <xdr:grpSpPr>
          <a:xfrm>
            <a:off x="1386181" y="4127157"/>
            <a:ext cx="3936814" cy="2520000"/>
            <a:chOff x="1379561" y="4127157"/>
            <a:chExt cx="3936814" cy="2520000"/>
          </a:xfrm>
        </xdr:grpSpPr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F7F14692-24A7-2A3A-F146-E33F06D167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79561" y="412715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70BFA20B-A43A-0DF4-18DA-F4159F56FE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412715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616CA90-6003-599C-DE00-FADBA798DB40}"/>
              </a:ext>
            </a:extLst>
          </xdr:cNvPr>
          <xdr:cNvGrpSpPr/>
        </xdr:nvGrpSpPr>
        <xdr:grpSpPr>
          <a:xfrm>
            <a:off x="400177" y="111483"/>
            <a:ext cx="5908823" cy="3863187"/>
            <a:chOff x="400177" y="111483"/>
            <a:chExt cx="5908823" cy="3863187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4DD00520-9EF4-F4E0-3B1B-010E8419C7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0177" y="129329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C2B94D19-F726-0573-C1E9-3858BCBA786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29329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0" name="TextBox 19">
              <a:extLst>
                <a:ext uri="{FF2B5EF4-FFF2-40B4-BE49-F238E27FC236}">
                  <a16:creationId xmlns:a16="http://schemas.microsoft.com/office/drawing/2014/main" id="{588740B6-7D3F-8241-AD72-5B3757128146}"/>
                </a:ext>
              </a:extLst>
            </xdr:cNvPr>
            <xdr:cNvSpPr txBox="1"/>
          </xdr:nvSpPr>
          <xdr:spPr>
            <a:xfrm>
              <a:off x="4085314" y="111483"/>
              <a:ext cx="875561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Wing B</a:t>
              </a:r>
              <a:endParaRPr lang="en-IN" b="1"/>
            </a:p>
          </xdr:txBody>
        </xdr:sp>
        <xdr:sp macro="" textlink="">
          <xdr:nvSpPr>
            <xdr:cNvPr id="27" name="TextBox 20">
              <a:extLst>
                <a:ext uri="{FF2B5EF4-FFF2-40B4-BE49-F238E27FC236}">
                  <a16:creationId xmlns:a16="http://schemas.microsoft.com/office/drawing/2014/main" id="{D2792977-175B-EC21-7C92-719E477BEFE3}"/>
                </a:ext>
              </a:extLst>
            </xdr:cNvPr>
            <xdr:cNvSpPr txBox="1"/>
          </xdr:nvSpPr>
          <xdr:spPr>
            <a:xfrm>
              <a:off x="2323249" y="645572"/>
              <a:ext cx="31451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B</a:t>
              </a:r>
              <a:endParaRPr lang="en-IN" b="1"/>
            </a:p>
          </xdr:txBody>
        </xdr:sp>
        <xdr:sp macro="" textlink="">
          <xdr:nvSpPr>
            <xdr:cNvPr id="28" name="TextBox 21">
              <a:extLst>
                <a:ext uri="{FF2B5EF4-FFF2-40B4-BE49-F238E27FC236}">
                  <a16:creationId xmlns:a16="http://schemas.microsoft.com/office/drawing/2014/main" id="{EB96228B-722C-7CEB-B886-A146820EB949}"/>
                </a:ext>
              </a:extLst>
            </xdr:cNvPr>
            <xdr:cNvSpPr txBox="1"/>
          </xdr:nvSpPr>
          <xdr:spPr>
            <a:xfrm>
              <a:off x="549000" y="228183"/>
              <a:ext cx="3241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A</a:t>
              </a:r>
              <a:endParaRPr lang="en-IN" b="1"/>
            </a:p>
          </xdr:txBody>
        </xdr:sp>
      </xdr:grpSp>
    </xdr:grpSp>
    <xdr:clientData/>
  </xdr:twoCellAnchor>
  <xdr:twoCellAnchor>
    <xdr:from>
      <xdr:col>0</xdr:col>
      <xdr:colOff>752475</xdr:colOff>
      <xdr:row>279</xdr:row>
      <xdr:rowOff>76200</xdr:rowOff>
    </xdr:from>
    <xdr:to>
      <xdr:col>7</xdr:col>
      <xdr:colOff>665125</xdr:colOff>
      <xdr:row>316</xdr:row>
      <xdr:rowOff>114300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E6F264AD-3BF2-4E7C-B6C5-25FD0E136A47}"/>
            </a:ext>
          </a:extLst>
        </xdr:cNvPr>
        <xdr:cNvGrpSpPr/>
      </xdr:nvGrpSpPr>
      <xdr:grpSpPr>
        <a:xfrm>
          <a:off x="752475" y="47701200"/>
          <a:ext cx="5608600" cy="7229475"/>
          <a:chOff x="811626" y="203199"/>
          <a:chExt cx="5608600" cy="7536002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846F7D5F-47FF-423A-BBC9-A2E5CB742D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5367" y="203199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BC43CE04-3494-4D0C-8ED7-5833856F5F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1300" y="203199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CE10F19F-7EEA-429B-9661-9781875630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0898" y="3248533"/>
            <a:ext cx="175256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B98D59C2-001D-42EE-A4E1-71FB6AD537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626" y="3248533"/>
            <a:ext cx="175256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AB82276C-C19A-4464-AA9D-9EFAD34914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67663" y="3251200"/>
            <a:ext cx="175256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268BBFBF-6E83-4BB0-928E-DBAA141C95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9429" y="5759201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F7B71095-5B10-4BE2-81AC-F03EDF30E1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1300" y="5759201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TextBox 50">
            <a:extLst>
              <a:ext uri="{FF2B5EF4-FFF2-40B4-BE49-F238E27FC236}">
                <a16:creationId xmlns:a16="http://schemas.microsoft.com/office/drawing/2014/main" id="{0F064F1F-43D2-4BB5-9222-1133B0836A6B}"/>
              </a:ext>
            </a:extLst>
          </xdr:cNvPr>
          <xdr:cNvSpPr txBox="1"/>
        </xdr:nvSpPr>
        <xdr:spPr>
          <a:xfrm>
            <a:off x="1335367" y="203199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43" name="TextBox 51">
            <a:extLst>
              <a:ext uri="{FF2B5EF4-FFF2-40B4-BE49-F238E27FC236}">
                <a16:creationId xmlns:a16="http://schemas.microsoft.com/office/drawing/2014/main" id="{26310377-FE56-4C3F-AEA0-0A4508B385F1}"/>
              </a:ext>
            </a:extLst>
          </xdr:cNvPr>
          <xdr:cNvSpPr txBox="1"/>
        </xdr:nvSpPr>
        <xdr:spPr>
          <a:xfrm>
            <a:off x="2750898" y="322398"/>
            <a:ext cx="314510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  <xdr:sp macro="" textlink="">
        <xdr:nvSpPr>
          <xdr:cNvPr id="44" name="TextBox 52">
            <a:extLst>
              <a:ext uri="{FF2B5EF4-FFF2-40B4-BE49-F238E27FC236}">
                <a16:creationId xmlns:a16="http://schemas.microsoft.com/office/drawing/2014/main" id="{BB91A12D-93D3-4954-A534-2F677D11AF26}"/>
              </a:ext>
            </a:extLst>
          </xdr:cNvPr>
          <xdr:cNvSpPr txBox="1"/>
        </xdr:nvSpPr>
        <xdr:spPr>
          <a:xfrm>
            <a:off x="3832683" y="203199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45" name="TextBox 53">
            <a:extLst>
              <a:ext uri="{FF2B5EF4-FFF2-40B4-BE49-F238E27FC236}">
                <a16:creationId xmlns:a16="http://schemas.microsoft.com/office/drawing/2014/main" id="{3113A5A6-1282-4BA1-9B05-58BA870645FF}"/>
              </a:ext>
            </a:extLst>
          </xdr:cNvPr>
          <xdr:cNvSpPr txBox="1"/>
        </xdr:nvSpPr>
        <xdr:spPr>
          <a:xfrm>
            <a:off x="3994747" y="3248533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  <xdr:sp macro="" textlink="">
        <xdr:nvSpPr>
          <xdr:cNvPr id="46" name="TextBox 54">
            <a:extLst>
              <a:ext uri="{FF2B5EF4-FFF2-40B4-BE49-F238E27FC236}">
                <a16:creationId xmlns:a16="http://schemas.microsoft.com/office/drawing/2014/main" id="{1AFF5365-B213-400A-BC0F-6876677E32BA}"/>
              </a:ext>
            </a:extLst>
          </xdr:cNvPr>
          <xdr:cNvSpPr txBox="1"/>
        </xdr:nvSpPr>
        <xdr:spPr>
          <a:xfrm>
            <a:off x="870386" y="3292076"/>
            <a:ext cx="324128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183988</xdr:rowOff>
    </xdr:from>
    <xdr:to>
      <xdr:col>3</xdr:col>
      <xdr:colOff>217561</xdr:colOff>
      <xdr:row>54</xdr:row>
      <xdr:rowOff>47488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8005694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28</xdr:row>
      <xdr:rowOff>91994</xdr:rowOff>
    </xdr:from>
    <xdr:to>
      <xdr:col>3</xdr:col>
      <xdr:colOff>217561</xdr:colOff>
      <xdr:row>40</xdr:row>
      <xdr:rowOff>145994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5437200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15</xdr:row>
      <xdr:rowOff>0</xdr:rowOff>
    </xdr:from>
    <xdr:to>
      <xdr:col>3</xdr:col>
      <xdr:colOff>217562</xdr:colOff>
      <xdr:row>27</xdr:row>
      <xdr:rowOff>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7" y="2868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7Tm1ujdN3HA1Agos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7"/>
  <sheetViews>
    <sheetView tabSelected="1" view="pageBreakPreview" topLeftCell="A34" zoomScaleNormal="100" zoomScaleSheetLayoutView="100" workbookViewId="0">
      <selection activeCell="J41" sqref="J41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8.71093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68" t="s">
        <v>245</v>
      </c>
      <c r="B1" s="168"/>
      <c r="C1" s="168"/>
      <c r="D1" s="168"/>
      <c r="E1" s="168"/>
      <c r="F1" s="168"/>
      <c r="G1" s="168"/>
      <c r="H1" s="168"/>
    </row>
    <row r="2" spans="1:12" ht="16.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</row>
    <row r="3" spans="1:12" x14ac:dyDescent="0.25">
      <c r="A3" s="125" t="s">
        <v>1</v>
      </c>
      <c r="B3" s="125"/>
      <c r="C3" s="125"/>
      <c r="D3" s="125"/>
      <c r="E3" s="125" t="str">
        <f ca="1">TEXT(TODAY(),"DD/MM/YYYY")</f>
        <v>18/08/2025</v>
      </c>
      <c r="F3" s="125"/>
      <c r="G3" s="125"/>
      <c r="H3" s="125"/>
    </row>
    <row r="4" spans="1:12" ht="15" customHeight="1" x14ac:dyDescent="0.25">
      <c r="A4" s="125" t="s">
        <v>2</v>
      </c>
      <c r="B4" s="125"/>
      <c r="C4" s="125"/>
      <c r="D4" s="125"/>
      <c r="E4" s="125" t="s">
        <v>179</v>
      </c>
      <c r="F4" s="125"/>
      <c r="G4" s="125"/>
      <c r="H4" s="125"/>
    </row>
    <row r="5" spans="1:12" x14ac:dyDescent="0.25">
      <c r="A5" s="125" t="s">
        <v>3</v>
      </c>
      <c r="B5" s="125"/>
      <c r="C5" s="125"/>
      <c r="D5" s="125"/>
      <c r="E5" s="169">
        <v>45881</v>
      </c>
      <c r="F5" s="125"/>
      <c r="G5" s="125"/>
      <c r="H5" s="125"/>
    </row>
    <row r="6" spans="1:12" ht="16.5" customHeight="1" x14ac:dyDescent="0.25">
      <c r="A6" s="125" t="s">
        <v>4</v>
      </c>
      <c r="B6" s="125"/>
      <c r="C6" s="125"/>
      <c r="D6" s="125"/>
      <c r="E6" s="125" t="s">
        <v>219</v>
      </c>
      <c r="F6" s="125"/>
      <c r="G6" s="125"/>
      <c r="H6" s="125"/>
    </row>
    <row r="7" spans="1:12" ht="15" customHeight="1" x14ac:dyDescent="0.25">
      <c r="A7" s="125" t="s">
        <v>5</v>
      </c>
      <c r="B7" s="125"/>
      <c r="C7" s="125"/>
      <c r="D7" s="125"/>
      <c r="E7" s="125" t="str">
        <f>E6</f>
        <v>Tristar Development LLP</v>
      </c>
      <c r="F7" s="125"/>
      <c r="G7" s="125"/>
      <c r="H7" s="125"/>
    </row>
    <row r="8" spans="1:12" x14ac:dyDescent="0.25">
      <c r="A8" s="125" t="s">
        <v>6</v>
      </c>
      <c r="B8" s="125"/>
      <c r="C8" s="125"/>
      <c r="D8" s="125"/>
      <c r="E8" s="137" t="s">
        <v>214</v>
      </c>
      <c r="F8" s="125"/>
      <c r="G8" s="125"/>
      <c r="H8" s="125"/>
    </row>
    <row r="9" spans="1:12" x14ac:dyDescent="0.25">
      <c r="A9" s="125" t="s">
        <v>181</v>
      </c>
      <c r="B9" s="125"/>
      <c r="C9" s="125"/>
      <c r="D9" s="125"/>
      <c r="E9" s="80" t="s">
        <v>182</v>
      </c>
      <c r="F9" s="80"/>
      <c r="G9" s="80"/>
      <c r="H9" s="80"/>
    </row>
    <row r="10" spans="1:12" x14ac:dyDescent="0.25">
      <c r="A10" s="125" t="s">
        <v>176</v>
      </c>
      <c r="B10" s="125"/>
      <c r="C10" s="125"/>
      <c r="D10" s="125"/>
      <c r="E10" s="125" t="s">
        <v>180</v>
      </c>
      <c r="F10" s="125"/>
      <c r="G10" s="125"/>
      <c r="H10" s="125"/>
    </row>
    <row r="11" spans="1:12" x14ac:dyDescent="0.25">
      <c r="A11" s="125" t="s">
        <v>177</v>
      </c>
      <c r="B11" s="125"/>
      <c r="C11" s="125"/>
      <c r="D11" s="125"/>
      <c r="E11" s="125" t="s">
        <v>246</v>
      </c>
      <c r="F11" s="125"/>
      <c r="G11" s="125"/>
      <c r="H11" s="125"/>
      <c r="I11" s="125">
        <v>9892929113</v>
      </c>
      <c r="J11" s="125"/>
      <c r="K11" s="125"/>
      <c r="L11" s="125"/>
    </row>
    <row r="12" spans="1:12" x14ac:dyDescent="0.25">
      <c r="A12" s="125" t="s">
        <v>7</v>
      </c>
      <c r="B12" s="125"/>
      <c r="C12" s="125"/>
      <c r="D12" s="125"/>
      <c r="E12" s="125" t="s">
        <v>183</v>
      </c>
      <c r="F12" s="125"/>
      <c r="G12" s="125"/>
      <c r="H12" s="125"/>
      <c r="I12" s="63" t="s">
        <v>243</v>
      </c>
    </row>
    <row r="13" spans="1:12" ht="18" customHeight="1" x14ac:dyDescent="0.25">
      <c r="A13" s="82" t="s">
        <v>8</v>
      </c>
      <c r="B13" s="82"/>
      <c r="C13" s="82"/>
      <c r="D13" s="82"/>
      <c r="E13" s="80" t="s">
        <v>184</v>
      </c>
      <c r="F13" s="80"/>
      <c r="G13" s="80"/>
      <c r="H13" s="80"/>
    </row>
    <row r="14" spans="1:12" x14ac:dyDescent="0.25">
      <c r="A14" s="82" t="s">
        <v>9</v>
      </c>
      <c r="B14" s="82"/>
      <c r="C14" s="82"/>
      <c r="D14" s="82"/>
      <c r="E14" s="80" t="s">
        <v>185</v>
      </c>
      <c r="F14" s="125"/>
      <c r="G14" s="125"/>
      <c r="H14" s="125"/>
    </row>
    <row r="15" spans="1:12" ht="50.25" customHeight="1" x14ac:dyDescent="0.25">
      <c r="A15" s="124" t="s">
        <v>10</v>
      </c>
      <c r="B15" s="124"/>
      <c r="C15" s="12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B C Corp Arista, Survey No.341(Pt), CTS No.606(Pt) &amp; Existing Building Name - Sukhada Co-oprative Housing Society, near Sarvoday Apartments, Road Number -7, Kherwadi, Bandra, Bandra East, Andheri, Mumbai - 400051.</v>
      </c>
      <c r="D15" s="124"/>
      <c r="E15" s="124"/>
      <c r="F15" s="124"/>
      <c r="G15" s="124"/>
      <c r="H15" s="124"/>
    </row>
    <row r="16" spans="1:12" ht="32.25" customHeight="1" x14ac:dyDescent="0.25">
      <c r="A16" s="80" t="s">
        <v>186</v>
      </c>
      <c r="B16" s="80"/>
      <c r="C16" s="80" t="s">
        <v>187</v>
      </c>
      <c r="D16" s="80"/>
      <c r="E16" s="80"/>
      <c r="F16" s="80"/>
      <c r="G16" s="80"/>
      <c r="H16" s="80"/>
    </row>
    <row r="17" spans="1:8" ht="15.75" customHeight="1" x14ac:dyDescent="0.25">
      <c r="A17" s="80" t="s">
        <v>175</v>
      </c>
      <c r="B17" s="80"/>
      <c r="C17" s="80" t="s">
        <v>220</v>
      </c>
      <c r="D17" s="80"/>
      <c r="E17" s="80"/>
      <c r="F17" s="80"/>
      <c r="G17" s="80"/>
      <c r="H17" s="80"/>
    </row>
    <row r="18" spans="1:8" ht="15.75" customHeight="1" x14ac:dyDescent="0.25">
      <c r="A18" s="124" t="s">
        <v>11</v>
      </c>
      <c r="B18" s="124"/>
      <c r="C18" s="125" t="s">
        <v>221</v>
      </c>
      <c r="D18" s="125"/>
      <c r="E18" s="124" t="s">
        <v>75</v>
      </c>
      <c r="F18" s="124"/>
      <c r="G18" s="80" t="s">
        <v>188</v>
      </c>
      <c r="H18" s="80"/>
    </row>
    <row r="19" spans="1:8" x14ac:dyDescent="0.25">
      <c r="A19" s="82" t="s">
        <v>13</v>
      </c>
      <c r="B19" s="82"/>
      <c r="C19" s="80" t="s">
        <v>191</v>
      </c>
      <c r="D19" s="80"/>
      <c r="E19" s="124" t="s">
        <v>12</v>
      </c>
      <c r="F19" s="124"/>
      <c r="G19" s="170" t="s">
        <v>189</v>
      </c>
      <c r="H19" s="170"/>
    </row>
    <row r="20" spans="1:8" x14ac:dyDescent="0.25">
      <c r="A20" s="82" t="s">
        <v>76</v>
      </c>
      <c r="B20" s="82"/>
      <c r="C20" s="80" t="s">
        <v>190</v>
      </c>
      <c r="D20" s="80"/>
      <c r="E20" s="124" t="s">
        <v>14</v>
      </c>
      <c r="F20" s="124"/>
      <c r="G20" s="80">
        <v>400051</v>
      </c>
      <c r="H20" s="80"/>
    </row>
    <row r="21" spans="1:8" ht="32.25" customHeight="1" x14ac:dyDescent="0.25">
      <c r="A21" s="82" t="s">
        <v>129</v>
      </c>
      <c r="B21" s="82"/>
      <c r="C21" s="80" t="s">
        <v>192</v>
      </c>
      <c r="D21" s="80"/>
      <c r="E21" s="124" t="s">
        <v>15</v>
      </c>
      <c r="F21" s="124"/>
      <c r="G21" s="80" t="s">
        <v>178</v>
      </c>
      <c r="H21" s="80"/>
    </row>
    <row r="22" spans="1:8" ht="15" customHeight="1" x14ac:dyDescent="0.25">
      <c r="A22" s="124" t="s">
        <v>79</v>
      </c>
      <c r="B22" s="124"/>
      <c r="C22" s="124"/>
      <c r="D22" s="124"/>
      <c r="E22" s="125" t="s">
        <v>16</v>
      </c>
      <c r="F22" s="125"/>
      <c r="G22" s="125"/>
      <c r="H22" s="125"/>
    </row>
    <row r="23" spans="1:8" ht="18.75" customHeight="1" x14ac:dyDescent="0.25">
      <c r="A23" s="124"/>
      <c r="B23" s="124"/>
      <c r="C23" s="124"/>
      <c r="D23" s="124"/>
      <c r="E23" s="125"/>
      <c r="F23" s="125"/>
      <c r="G23" s="125"/>
      <c r="H23" s="125"/>
    </row>
    <row r="24" spans="1:8" ht="15" customHeight="1" x14ac:dyDescent="0.25">
      <c r="A24" s="124" t="s">
        <v>17</v>
      </c>
      <c r="B24" s="124"/>
      <c r="C24" s="124"/>
      <c r="D24" s="124"/>
      <c r="E24" s="80" t="s">
        <v>18</v>
      </c>
      <c r="F24" s="80"/>
      <c r="G24" s="80"/>
      <c r="H24" s="80"/>
    </row>
    <row r="25" spans="1:8" ht="15" customHeight="1" x14ac:dyDescent="0.25">
      <c r="A25" s="82" t="s">
        <v>19</v>
      </c>
      <c r="B25" s="82"/>
      <c r="C25" s="82"/>
      <c r="D25" s="82"/>
      <c r="E25" s="80" t="str">
        <f>IF(AND(G19="Mumbai"),"Upper Class","Middle Class")</f>
        <v>Upper Class</v>
      </c>
      <c r="F25" s="80"/>
      <c r="G25" s="80"/>
      <c r="H25" s="80"/>
    </row>
    <row r="26" spans="1:8" x14ac:dyDescent="0.25">
      <c r="A26" s="82" t="s">
        <v>20</v>
      </c>
      <c r="B26" s="82"/>
      <c r="C26" s="82"/>
      <c r="D26" s="82"/>
      <c r="E26" s="80" t="s">
        <v>21</v>
      </c>
      <c r="F26" s="80"/>
      <c r="G26" s="80"/>
      <c r="H26" s="80"/>
    </row>
    <row r="27" spans="1:8" ht="15.75" customHeight="1" x14ac:dyDescent="0.25">
      <c r="A27" s="82" t="s">
        <v>22</v>
      </c>
      <c r="B27" s="82"/>
      <c r="C27" s="82"/>
      <c r="D27" s="82"/>
      <c r="E27" s="80" t="str">
        <f>IF(AND(G19="Mumbai"),"Developed","Developing")</f>
        <v>Developed</v>
      </c>
      <c r="F27" s="80"/>
      <c r="G27" s="80"/>
      <c r="H27" s="80"/>
    </row>
    <row r="28" spans="1:8" x14ac:dyDescent="0.25">
      <c r="A28" s="82" t="s">
        <v>23</v>
      </c>
      <c r="B28" s="82"/>
      <c r="C28" s="82"/>
      <c r="D28" s="82"/>
      <c r="E28" s="80" t="s">
        <v>24</v>
      </c>
      <c r="F28" s="80"/>
      <c r="G28" s="80"/>
      <c r="H28" s="80"/>
    </row>
    <row r="29" spans="1:8" ht="15.75" customHeight="1" x14ac:dyDescent="0.25">
      <c r="A29" s="82" t="s">
        <v>84</v>
      </c>
      <c r="B29" s="82"/>
      <c r="C29" s="82"/>
      <c r="D29" s="82"/>
      <c r="E29" s="80" t="s">
        <v>85</v>
      </c>
      <c r="F29" s="80"/>
      <c r="G29" s="80"/>
      <c r="H29" s="80"/>
    </row>
    <row r="30" spans="1:8" ht="15" customHeight="1" x14ac:dyDescent="0.25">
      <c r="A30" s="82" t="s">
        <v>33</v>
      </c>
      <c r="B30" s="82"/>
      <c r="C30" s="82"/>
      <c r="D30" s="82"/>
      <c r="E30" s="80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80"/>
      <c r="G30" s="80"/>
      <c r="H30" s="80"/>
    </row>
    <row r="31" spans="1:8" ht="15.75" customHeight="1" x14ac:dyDescent="0.25">
      <c r="A31" s="82" t="s">
        <v>96</v>
      </c>
      <c r="B31" s="82"/>
      <c r="C31" s="82"/>
      <c r="D31" s="82"/>
      <c r="E31" s="80" t="s">
        <v>34</v>
      </c>
      <c r="F31" s="80"/>
      <c r="G31" s="80"/>
      <c r="H31" s="80"/>
    </row>
    <row r="32" spans="1:8" s="22" customFormat="1" x14ac:dyDescent="0.25">
      <c r="A32" s="174" t="s">
        <v>97</v>
      </c>
      <c r="B32" s="174"/>
      <c r="C32" s="173" t="s">
        <v>29</v>
      </c>
      <c r="D32" s="173"/>
      <c r="E32" s="173"/>
      <c r="F32" s="173" t="s">
        <v>31</v>
      </c>
      <c r="G32" s="173"/>
      <c r="H32" s="173"/>
    </row>
    <row r="33" spans="1:12" s="22" customFormat="1" x14ac:dyDescent="0.25">
      <c r="A33" s="171" t="s">
        <v>25</v>
      </c>
      <c r="B33" s="171" t="s">
        <v>30</v>
      </c>
      <c r="C33" s="172" t="s">
        <v>30</v>
      </c>
      <c r="D33" s="172"/>
      <c r="E33" s="172"/>
      <c r="F33" s="172" t="s">
        <v>192</v>
      </c>
      <c r="G33" s="172"/>
      <c r="H33" s="172"/>
    </row>
    <row r="34" spans="1:12" x14ac:dyDescent="0.25">
      <c r="A34" s="171" t="s">
        <v>26</v>
      </c>
      <c r="B34" s="171" t="s">
        <v>30</v>
      </c>
      <c r="C34" s="172" t="s">
        <v>30</v>
      </c>
      <c r="D34" s="172"/>
      <c r="E34" s="172"/>
      <c r="F34" s="172" t="s">
        <v>222</v>
      </c>
      <c r="G34" s="172"/>
      <c r="H34" s="172"/>
    </row>
    <row r="35" spans="1:12" s="22" customFormat="1" x14ac:dyDescent="0.25">
      <c r="A35" s="171" t="s">
        <v>28</v>
      </c>
      <c r="B35" s="171" t="s">
        <v>30</v>
      </c>
      <c r="C35" s="172" t="s">
        <v>30</v>
      </c>
      <c r="D35" s="172"/>
      <c r="E35" s="172"/>
      <c r="F35" s="172" t="s">
        <v>223</v>
      </c>
      <c r="G35" s="172"/>
      <c r="H35" s="172"/>
    </row>
    <row r="36" spans="1:12" x14ac:dyDescent="0.25">
      <c r="A36" s="171" t="s">
        <v>27</v>
      </c>
      <c r="B36" s="171" t="s">
        <v>30</v>
      </c>
      <c r="C36" s="172" t="s">
        <v>30</v>
      </c>
      <c r="D36" s="172"/>
      <c r="E36" s="172"/>
      <c r="F36" s="172" t="s">
        <v>193</v>
      </c>
      <c r="G36" s="172"/>
      <c r="H36" s="172"/>
    </row>
    <row r="37" spans="1:12" x14ac:dyDescent="0.25">
      <c r="A37" s="82" t="s">
        <v>32</v>
      </c>
      <c r="B37" s="82"/>
      <c r="C37" s="82"/>
      <c r="D37" s="82"/>
      <c r="E37" s="82"/>
      <c r="F37" s="82"/>
      <c r="G37" s="82"/>
      <c r="H37" s="82"/>
      <c r="I37" s="22" t="s">
        <v>252</v>
      </c>
    </row>
    <row r="38" spans="1:12" ht="15.75" customHeight="1" x14ac:dyDescent="0.25">
      <c r="A38" s="126" t="s">
        <v>249</v>
      </c>
      <c r="B38" s="126"/>
      <c r="C38" s="66" t="s">
        <v>250</v>
      </c>
      <c r="D38" s="67"/>
      <c r="E38" s="67"/>
      <c r="F38" s="67"/>
      <c r="G38" s="67"/>
      <c r="H38" s="68"/>
      <c r="I38" s="64">
        <v>19.058266</v>
      </c>
      <c r="J38" s="64"/>
      <c r="K38" s="65">
        <v>72.845731000000001</v>
      </c>
      <c r="L38" s="65"/>
    </row>
    <row r="39" spans="1:12" x14ac:dyDescent="0.25">
      <c r="A39" s="126" t="s">
        <v>174</v>
      </c>
      <c r="B39" s="126"/>
      <c r="C39" s="176" t="s">
        <v>251</v>
      </c>
      <c r="D39" s="80"/>
      <c r="E39" s="80"/>
      <c r="F39" s="80"/>
      <c r="G39" s="80"/>
      <c r="H39" s="80"/>
    </row>
    <row r="40" spans="1:12" x14ac:dyDescent="0.25">
      <c r="A40" s="166" t="s">
        <v>35</v>
      </c>
      <c r="B40" s="166"/>
      <c r="C40" s="166"/>
      <c r="D40" s="166"/>
      <c r="E40" s="166"/>
      <c r="F40" s="166"/>
      <c r="G40" s="166"/>
      <c r="H40" s="166"/>
    </row>
    <row r="41" spans="1:12" x14ac:dyDescent="0.25">
      <c r="A41" s="82" t="s">
        <v>36</v>
      </c>
      <c r="B41" s="82"/>
      <c r="C41" s="82"/>
      <c r="D41" s="82"/>
      <c r="E41" s="175">
        <v>1547.46</v>
      </c>
      <c r="F41" s="175"/>
      <c r="G41" s="175"/>
      <c r="H41" s="175"/>
    </row>
    <row r="42" spans="1:12" x14ac:dyDescent="0.25">
      <c r="A42" s="82" t="s">
        <v>37</v>
      </c>
      <c r="B42" s="82"/>
      <c r="C42" s="82"/>
      <c r="D42" s="82"/>
      <c r="E42" s="81">
        <v>3</v>
      </c>
      <c r="F42" s="81"/>
      <c r="G42" s="81"/>
      <c r="H42" s="81"/>
    </row>
    <row r="43" spans="1:12" x14ac:dyDescent="0.25">
      <c r="A43" s="82" t="s">
        <v>38</v>
      </c>
      <c r="B43" s="82"/>
      <c r="C43" s="82"/>
      <c r="D43" s="82"/>
      <c r="E43" s="81">
        <f>E45/E41-E42</f>
        <v>1.3378116397192823</v>
      </c>
      <c r="F43" s="81"/>
      <c r="G43" s="81"/>
      <c r="H43" s="81"/>
    </row>
    <row r="44" spans="1:12" x14ac:dyDescent="0.25">
      <c r="A44" s="82" t="s">
        <v>39</v>
      </c>
      <c r="B44" s="82"/>
      <c r="C44" s="82"/>
      <c r="D44" s="82"/>
      <c r="E44" s="81">
        <f>E42+E43</f>
        <v>4.3378116397192823</v>
      </c>
      <c r="F44" s="81"/>
      <c r="G44" s="81"/>
      <c r="H44" s="81"/>
    </row>
    <row r="45" spans="1:12" x14ac:dyDescent="0.25">
      <c r="A45" s="82" t="s">
        <v>95</v>
      </c>
      <c r="B45" s="82"/>
      <c r="C45" s="82"/>
      <c r="D45" s="82"/>
      <c r="E45" s="186">
        <v>6712.59</v>
      </c>
      <c r="F45" s="186"/>
      <c r="G45" s="186"/>
      <c r="H45" s="186"/>
    </row>
    <row r="46" spans="1:12" x14ac:dyDescent="0.25">
      <c r="A46" s="125" t="s">
        <v>40</v>
      </c>
      <c r="B46" s="125"/>
      <c r="C46" s="125"/>
      <c r="D46" s="125"/>
      <c r="E46" s="125" t="s">
        <v>194</v>
      </c>
      <c r="F46" s="125"/>
      <c r="G46" s="125"/>
      <c r="H46" s="125"/>
    </row>
    <row r="47" spans="1:12" x14ac:dyDescent="0.25">
      <c r="A47" s="166" t="s">
        <v>41</v>
      </c>
      <c r="B47" s="166"/>
      <c r="C47" s="166"/>
      <c r="D47" s="166"/>
      <c r="E47" s="166"/>
      <c r="F47" s="166"/>
      <c r="G47" s="166"/>
      <c r="H47" s="166"/>
    </row>
    <row r="48" spans="1:12" ht="33.75" customHeight="1" x14ac:dyDescent="0.25">
      <c r="A48" s="90" t="s">
        <v>162</v>
      </c>
      <c r="B48" s="91"/>
      <c r="C48" s="187" t="s">
        <v>224</v>
      </c>
      <c r="D48" s="188"/>
      <c r="E48" s="188"/>
      <c r="F48" s="188"/>
      <c r="G48" s="188"/>
      <c r="H48" s="189"/>
    </row>
    <row r="49" spans="1:14" ht="15.75" customHeight="1" x14ac:dyDescent="0.25">
      <c r="A49" s="90" t="s">
        <v>42</v>
      </c>
      <c r="B49" s="91"/>
      <c r="C49" s="90" t="s">
        <v>195</v>
      </c>
      <c r="D49" s="92"/>
      <c r="E49" s="91"/>
      <c r="F49" s="18" t="s">
        <v>43</v>
      </c>
      <c r="G49" s="93">
        <v>44747</v>
      </c>
      <c r="H49" s="91"/>
    </row>
    <row r="50" spans="1:14" x14ac:dyDescent="0.25">
      <c r="A50" s="90" t="s">
        <v>44</v>
      </c>
      <c r="B50" s="91"/>
      <c r="C50" s="90" t="str">
        <f>C49</f>
        <v>Mhada-95/959/2022</v>
      </c>
      <c r="D50" s="92"/>
      <c r="E50" s="91"/>
      <c r="F50" s="18" t="s">
        <v>43</v>
      </c>
      <c r="G50" s="93">
        <f>G49</f>
        <v>44747</v>
      </c>
      <c r="H50" s="94"/>
    </row>
    <row r="51" spans="1:14" s="23" customFormat="1" ht="15.75" customHeight="1" x14ac:dyDescent="0.25">
      <c r="A51" s="179" t="s">
        <v>165</v>
      </c>
      <c r="B51" s="180"/>
      <c r="C51" s="90" t="s">
        <v>238</v>
      </c>
      <c r="D51" s="92"/>
      <c r="E51" s="91"/>
      <c r="F51" s="18" t="s">
        <v>43</v>
      </c>
      <c r="G51" s="93">
        <v>45279</v>
      </c>
      <c r="H51" s="94"/>
    </row>
    <row r="52" spans="1:14" s="23" customFormat="1" ht="51" customHeight="1" x14ac:dyDescent="0.25">
      <c r="A52" s="181"/>
      <c r="B52" s="182"/>
      <c r="C52" s="90" t="s">
        <v>237</v>
      </c>
      <c r="D52" s="92"/>
      <c r="E52" s="92"/>
      <c r="F52" s="92"/>
      <c r="G52" s="92"/>
      <c r="H52" s="91"/>
    </row>
    <row r="53" spans="1:14" s="23" customFormat="1" ht="15.75" customHeight="1" x14ac:dyDescent="0.25">
      <c r="A53" s="179" t="s">
        <v>215</v>
      </c>
      <c r="B53" s="180"/>
      <c r="C53" s="90" t="s">
        <v>216</v>
      </c>
      <c r="D53" s="92"/>
      <c r="E53" s="91"/>
      <c r="F53" s="18" t="s">
        <v>43</v>
      </c>
      <c r="G53" s="93">
        <v>44482</v>
      </c>
      <c r="H53" s="94"/>
    </row>
    <row r="54" spans="1:14" s="23" customFormat="1" ht="33.75" customHeight="1" x14ac:dyDescent="0.25">
      <c r="A54" s="181"/>
      <c r="B54" s="182"/>
      <c r="C54" s="90" t="s">
        <v>225</v>
      </c>
      <c r="D54" s="92"/>
      <c r="E54" s="91"/>
      <c r="F54" s="18" t="s">
        <v>128</v>
      </c>
      <c r="G54" s="93">
        <v>47403</v>
      </c>
      <c r="H54" s="91"/>
    </row>
    <row r="55" spans="1:14" x14ac:dyDescent="0.25">
      <c r="A55" s="101" t="s">
        <v>45</v>
      </c>
      <c r="B55" s="102"/>
      <c r="C55" s="101" t="s">
        <v>109</v>
      </c>
      <c r="D55" s="103"/>
      <c r="E55" s="102"/>
      <c r="F55" s="46" t="s">
        <v>43</v>
      </c>
      <c r="G55" s="111" t="s">
        <v>30</v>
      </c>
      <c r="H55" s="112"/>
    </row>
    <row r="56" spans="1:14" x14ac:dyDescent="0.25">
      <c r="A56" s="123" t="s">
        <v>47</v>
      </c>
      <c r="B56" s="123"/>
      <c r="C56" s="123"/>
      <c r="D56" s="123"/>
      <c r="E56" s="123"/>
      <c r="F56" s="123"/>
      <c r="G56" s="123"/>
      <c r="H56" s="123"/>
    </row>
    <row r="57" spans="1:14" x14ac:dyDescent="0.25">
      <c r="A57" s="124" t="s">
        <v>94</v>
      </c>
      <c r="B57" s="124"/>
      <c r="C57" s="124"/>
      <c r="D57" s="82">
        <f>E45</f>
        <v>6712.59</v>
      </c>
      <c r="E57" s="82"/>
      <c r="F57" s="82"/>
      <c r="G57" s="82"/>
      <c r="H57" s="82"/>
    </row>
    <row r="58" spans="1:14" ht="33.75" customHeight="1" x14ac:dyDescent="0.25">
      <c r="A58" s="80" t="s">
        <v>48</v>
      </c>
      <c r="B58" s="125"/>
      <c r="C58" s="125"/>
      <c r="D58" s="80" t="s">
        <v>217</v>
      </c>
      <c r="E58" s="125"/>
      <c r="F58" s="125"/>
      <c r="G58" s="125"/>
      <c r="H58" s="125"/>
      <c r="I58" s="24"/>
    </row>
    <row r="59" spans="1:14" ht="33" customHeight="1" x14ac:dyDescent="0.25">
      <c r="A59" s="95" t="s">
        <v>49</v>
      </c>
      <c r="B59" s="96"/>
      <c r="C59" s="178"/>
      <c r="D59" s="115" t="s">
        <v>226</v>
      </c>
      <c r="E59" s="177"/>
      <c r="F59" s="177"/>
      <c r="G59" s="177"/>
      <c r="H59" s="177"/>
      <c r="I59" s="21" t="s">
        <v>213</v>
      </c>
    </row>
    <row r="60" spans="1:14" x14ac:dyDescent="0.25">
      <c r="A60" s="95" t="s">
        <v>92</v>
      </c>
      <c r="B60" s="96"/>
      <c r="C60" s="96"/>
      <c r="D60" s="95" t="s">
        <v>227</v>
      </c>
      <c r="E60" s="99"/>
      <c r="F60" s="99"/>
      <c r="G60" s="99"/>
      <c r="H60" s="100"/>
    </row>
    <row r="61" spans="1:14" ht="18" customHeight="1" x14ac:dyDescent="0.25">
      <c r="A61" s="97"/>
      <c r="B61" s="98"/>
      <c r="C61" s="98"/>
      <c r="D61" s="183" t="s">
        <v>241</v>
      </c>
      <c r="E61" s="184"/>
      <c r="F61" s="184"/>
      <c r="G61" s="184"/>
      <c r="H61" s="185"/>
    </row>
    <row r="62" spans="1:14" ht="15.75" customHeight="1" x14ac:dyDescent="0.25">
      <c r="A62" s="82" t="s">
        <v>46</v>
      </c>
      <c r="B62" s="82"/>
      <c r="C62" s="82"/>
      <c r="D62" s="104" t="s">
        <v>196</v>
      </c>
      <c r="E62" s="104"/>
      <c r="F62" s="104"/>
      <c r="G62" s="104"/>
      <c r="H62" s="104"/>
      <c r="J62" s="25"/>
      <c r="K62" s="24"/>
      <c r="N62" s="24"/>
    </row>
    <row r="63" spans="1:14" ht="15.75" customHeight="1" x14ac:dyDescent="0.25">
      <c r="A63" s="82" t="s">
        <v>90</v>
      </c>
      <c r="B63" s="82"/>
      <c r="C63" s="82"/>
      <c r="D63" s="135" t="str">
        <f>(IF(G55="NA","60 Years After Completion",IF(G55&lt;&gt;"NA",""&amp;60-ROUNDDOWN((E3-G55)/360,0)&amp;" Years"," ")))</f>
        <v>60 Years After Completion</v>
      </c>
      <c r="E63" s="135"/>
      <c r="F63" s="135"/>
      <c r="G63" s="135"/>
      <c r="H63" s="135"/>
      <c r="N63" s="24"/>
    </row>
    <row r="64" spans="1:14" ht="15.75" customHeight="1" x14ac:dyDescent="0.25">
      <c r="A64" s="82" t="s">
        <v>91</v>
      </c>
      <c r="B64" s="82"/>
      <c r="C64" s="82"/>
      <c r="D64" s="124" t="s">
        <v>24</v>
      </c>
      <c r="E64" s="124"/>
      <c r="F64" s="124"/>
      <c r="G64" s="124"/>
      <c r="H64" s="124"/>
      <c r="J64" s="26"/>
      <c r="K64" s="26"/>
    </row>
    <row r="65" spans="1:14" ht="15" hidden="1" customHeight="1" x14ac:dyDescent="0.25">
      <c r="A65" s="82" t="s">
        <v>77</v>
      </c>
      <c r="B65" s="82"/>
      <c r="C65" s="82"/>
      <c r="D65" s="80" t="s">
        <v>157</v>
      </c>
      <c r="E65" s="124"/>
      <c r="F65" s="124"/>
      <c r="G65" s="124"/>
      <c r="H65" s="124"/>
    </row>
    <row r="66" spans="1:14" x14ac:dyDescent="0.25">
      <c r="A66" s="124" t="s">
        <v>158</v>
      </c>
      <c r="B66" s="124"/>
      <c r="C66" s="124"/>
      <c r="D66" s="124" t="s">
        <v>30</v>
      </c>
      <c r="E66" s="124"/>
      <c r="F66" s="124"/>
      <c r="G66" s="124"/>
      <c r="H66" s="124"/>
      <c r="I66" s="27"/>
      <c r="J66" s="27"/>
      <c r="K66" s="27"/>
      <c r="L66" s="27"/>
      <c r="M66" s="27"/>
      <c r="N66" s="27"/>
    </row>
    <row r="67" spans="1:14" ht="15.75" customHeight="1" x14ac:dyDescent="0.25">
      <c r="A67" s="114" t="s">
        <v>89</v>
      </c>
      <c r="B67" s="114"/>
      <c r="C67" s="114"/>
      <c r="D67" s="115" t="str">
        <f ca="1">(IF(G73&gt;95%,"Nothing",IF(G73&gt;0%,"Cement, Aggregate, Steel, etc",IF(G73=0%,"Work not yet Started"))))</f>
        <v>Cement, Aggregate, Steel, etc</v>
      </c>
      <c r="E67" s="115"/>
      <c r="F67" s="115"/>
      <c r="G67" s="115"/>
      <c r="H67" s="115"/>
      <c r="J67" s="26"/>
    </row>
    <row r="68" spans="1:14" ht="33.75" customHeight="1" thickBot="1" x14ac:dyDescent="0.3">
      <c r="A68" s="192" t="s">
        <v>122</v>
      </c>
      <c r="B68" s="192"/>
      <c r="C68" s="192"/>
      <c r="D68" s="115" t="str">
        <f ca="1">(IF(D67="Nothing","Yes",IF(D67="Cement, Aggregate, Steel, etc","Under Construction",IF(D67="Work not yet Started","Work not yet Started"))))</f>
        <v>Under Construction</v>
      </c>
      <c r="E68" s="115"/>
      <c r="F68" s="115" t="str">
        <f ca="1">(IF(D67="Nothing","Yes",IF(D67="Cement, Aggregate, Steel, etc","Under Construction",IF(D67="Work not yet Started","Work not yet Started"))))</f>
        <v>Under Construction</v>
      </c>
      <c r="G68" s="115"/>
      <c r="H68" s="115"/>
    </row>
    <row r="69" spans="1:14" x14ac:dyDescent="0.25">
      <c r="A69" s="83" t="s">
        <v>147</v>
      </c>
      <c r="B69" s="84"/>
      <c r="C69" s="85" t="str">
        <f>D60</f>
        <v xml:space="preserve">Wing A = Gr + 3P + 4A + 5th to 20th Floor
</v>
      </c>
      <c r="D69" s="86"/>
      <c r="E69" s="86"/>
      <c r="F69" s="86"/>
      <c r="G69" s="86"/>
      <c r="H69" s="87"/>
      <c r="I69" s="48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Plaster, External Plaster Completed, Flooring upto 14 Floor, Painting upto 8 Floor Completed</v>
      </c>
      <c r="J69" s="4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Flooring upto 14 Floor, Painting upto 8 Floor</v>
      </c>
    </row>
    <row r="70" spans="1:14" x14ac:dyDescent="0.25">
      <c r="A70" s="16" t="s">
        <v>149</v>
      </c>
      <c r="B70" s="53">
        <v>0</v>
      </c>
      <c r="C70" s="53" t="s">
        <v>74</v>
      </c>
      <c r="D70" s="53">
        <v>1</v>
      </c>
      <c r="E70" s="53" t="s">
        <v>73</v>
      </c>
      <c r="F70" s="53">
        <v>0</v>
      </c>
      <c r="G70" s="53" t="s">
        <v>83</v>
      </c>
      <c r="H70" s="17">
        <f ca="1">--TRIM(RIGHT(SUBSTITUTE(LEFT(C69,_xlfn.AGGREGATE(16,6,FIND({0,1,2,3,4,5,6,7,8,9},C69,ROW(INDIRECT("1:"&amp;LEN(C69)))),1))," ",REPT(" ",LEN(C69))),LEN(C69)))</f>
        <v>20</v>
      </c>
      <c r="I70" s="5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</v>
      </c>
      <c r="J70" s="5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3" customHeight="1" x14ac:dyDescent="0.25">
      <c r="A71" s="136" t="s">
        <v>93</v>
      </c>
      <c r="B71" s="137"/>
      <c r="C71" s="190" t="str">
        <f ca="1">I69</f>
        <v>Excavation, Plinth, RCC Slab, Brickwork, Internal Plaster, External Plaster Completed, Flooring upto 14 Floor, Painting upto 8 Floor Completed</v>
      </c>
      <c r="D71" s="190"/>
      <c r="E71" s="190"/>
      <c r="F71" s="190"/>
      <c r="G71" s="190"/>
      <c r="H71" s="191"/>
      <c r="I71" s="50" t="str">
        <f ca="1">IF(I70&lt;&gt;""," Completed","")</f>
        <v xml:space="preserve"> Completed</v>
      </c>
      <c r="J71" s="51" t="str">
        <f ca="1">IF(J69&lt;&gt;"","Completed","")</f>
        <v>Completed</v>
      </c>
    </row>
    <row r="72" spans="1:14" ht="15.75" customHeight="1" x14ac:dyDescent="0.25">
      <c r="A72" s="88" t="s">
        <v>50</v>
      </c>
      <c r="B72" s="89"/>
      <c r="C72" s="44" t="s">
        <v>146</v>
      </c>
      <c r="D72" s="44" t="s">
        <v>86</v>
      </c>
      <c r="E72" s="89" t="s">
        <v>88</v>
      </c>
      <c r="F72" s="89"/>
      <c r="G72" s="89" t="s">
        <v>87</v>
      </c>
      <c r="H72" s="116"/>
      <c r="I72" s="14" t="s">
        <v>148</v>
      </c>
      <c r="J72" s="28">
        <f ca="1">H70*25%</f>
        <v>5</v>
      </c>
    </row>
    <row r="73" spans="1:14" x14ac:dyDescent="0.25">
      <c r="A73" s="88" t="s">
        <v>135</v>
      </c>
      <c r="B73" s="89"/>
      <c r="C73" s="44">
        <v>20</v>
      </c>
      <c r="D73" s="19">
        <f ca="1">((100/H70)*C73)/100</f>
        <v>1</v>
      </c>
      <c r="E73" s="105">
        <f ca="1">(((C74/H70*10)+(40/(D70+F70+H70)*C75)+(7.5/(H70)*C76)+(7.5/(H70)*C77)+(10/H70*C78)+(10/H70*C79)+(5/H70*C80)+(5/H70*C81)+(5/H70*C82))/100)</f>
        <v>0.84</v>
      </c>
      <c r="F73" s="106"/>
      <c r="G73" s="105">
        <f ca="1">((((C73/H70)*20)+((C74/H70)*25)+(30/(H70+F70+D70)*C75)+(5/H70*C76)+(5/H70*C77)+(5/H70*C78)+(5/H70*C79)+(0/H70*C80)+(0/H70*C81)+(5/H70*C82))/100)</f>
        <v>0.93500000000000005</v>
      </c>
      <c r="H73" s="130"/>
      <c r="I73" s="14" t="s">
        <v>104</v>
      </c>
      <c r="J73" s="29">
        <f ca="1">H70*50%</f>
        <v>10</v>
      </c>
    </row>
    <row r="74" spans="1:14" x14ac:dyDescent="0.25">
      <c r="A74" s="88" t="s">
        <v>51</v>
      </c>
      <c r="B74" s="89"/>
      <c r="C74" s="44">
        <v>20</v>
      </c>
      <c r="D74" s="19">
        <f ca="1">((100/H70)*C74)/100</f>
        <v>1</v>
      </c>
      <c r="E74" s="107"/>
      <c r="F74" s="108"/>
      <c r="G74" s="107"/>
      <c r="H74" s="131"/>
      <c r="I74" s="14" t="s">
        <v>105</v>
      </c>
      <c r="J74" s="29">
        <f ca="1">H70</f>
        <v>20</v>
      </c>
    </row>
    <row r="75" spans="1:14" ht="15.75" customHeight="1" x14ac:dyDescent="0.25">
      <c r="A75" s="88" t="s">
        <v>136</v>
      </c>
      <c r="B75" s="89"/>
      <c r="C75" s="44">
        <v>21</v>
      </c>
      <c r="D75" s="19">
        <f ca="1">((100/(D70+F70+H70))*C75)/100</f>
        <v>1</v>
      </c>
      <c r="E75" s="107"/>
      <c r="F75" s="108"/>
      <c r="G75" s="107"/>
      <c r="H75" s="131"/>
      <c r="I75" s="14" t="s">
        <v>106</v>
      </c>
      <c r="J75" s="30">
        <f ca="1">(IF(B70&gt;1,(H70/(B70+2)),H70/4))</f>
        <v>5</v>
      </c>
    </row>
    <row r="76" spans="1:14" ht="15.75" customHeight="1" x14ac:dyDescent="0.25">
      <c r="A76" s="88" t="s">
        <v>143</v>
      </c>
      <c r="B76" s="89" t="s">
        <v>137</v>
      </c>
      <c r="C76" s="44">
        <v>20</v>
      </c>
      <c r="D76" s="19">
        <f ca="1">((100/H70)*C76)/100</f>
        <v>1</v>
      </c>
      <c r="E76" s="107"/>
      <c r="F76" s="108"/>
      <c r="G76" s="107"/>
      <c r="H76" s="131"/>
      <c r="I76" s="14" t="s">
        <v>107</v>
      </c>
      <c r="J76" s="30">
        <f ca="1">(IF(B70&gt;1,(H70/(B70+2)+J75),H70/4+J75))</f>
        <v>10</v>
      </c>
    </row>
    <row r="77" spans="1:14" ht="15.75" customHeight="1" x14ac:dyDescent="0.25">
      <c r="A77" s="88" t="s">
        <v>144</v>
      </c>
      <c r="B77" s="89" t="s">
        <v>137</v>
      </c>
      <c r="C77" s="44">
        <v>20</v>
      </c>
      <c r="D77" s="19">
        <f ca="1">((100/H70)*C77)/100</f>
        <v>1</v>
      </c>
      <c r="E77" s="107"/>
      <c r="F77" s="108"/>
      <c r="G77" s="107"/>
      <c r="H77" s="131"/>
      <c r="I77" s="14" t="s">
        <v>155</v>
      </c>
      <c r="J77" s="30">
        <f>(IF(B70&gt;1,(H70/(B70+2)+J76),0))</f>
        <v>0</v>
      </c>
    </row>
    <row r="78" spans="1:14" ht="15" customHeight="1" x14ac:dyDescent="0.25">
      <c r="A78" s="88" t="s">
        <v>142</v>
      </c>
      <c r="B78" s="89" t="s">
        <v>139</v>
      </c>
      <c r="C78" s="44">
        <v>20</v>
      </c>
      <c r="D78" s="19">
        <f ca="1">((100/(H70))*C78)/100</f>
        <v>1</v>
      </c>
      <c r="E78" s="107"/>
      <c r="F78" s="108"/>
      <c r="G78" s="107"/>
      <c r="H78" s="131"/>
      <c r="I78" s="14" t="s">
        <v>150</v>
      </c>
      <c r="J78" s="30">
        <f>(IF(B70&gt;2,(H70/(B70+2)+J77),0))</f>
        <v>0</v>
      </c>
    </row>
    <row r="79" spans="1:14" ht="15.75" customHeight="1" x14ac:dyDescent="0.25">
      <c r="A79" s="88" t="s">
        <v>138</v>
      </c>
      <c r="B79" s="89" t="s">
        <v>138</v>
      </c>
      <c r="C79" s="44">
        <v>14</v>
      </c>
      <c r="D79" s="19">
        <f ca="1">((100/H70)*C79)/100</f>
        <v>0.7</v>
      </c>
      <c r="E79" s="107"/>
      <c r="F79" s="108"/>
      <c r="G79" s="107"/>
      <c r="H79" s="131"/>
      <c r="I79" s="14" t="s">
        <v>151</v>
      </c>
      <c r="J79" s="31">
        <f>(IF(B70&gt;3,(H70/(B70+2)+J78),0))</f>
        <v>0</v>
      </c>
    </row>
    <row r="80" spans="1:14" ht="15.75" customHeight="1" x14ac:dyDescent="0.25">
      <c r="A80" s="88" t="s">
        <v>145</v>
      </c>
      <c r="B80" s="89"/>
      <c r="C80" s="44">
        <v>8</v>
      </c>
      <c r="D80" s="19">
        <f ca="1">((100/H70)*C80)/100</f>
        <v>0.4</v>
      </c>
      <c r="E80" s="107"/>
      <c r="F80" s="108"/>
      <c r="G80" s="107"/>
      <c r="H80" s="131"/>
      <c r="I80" s="14" t="s">
        <v>152</v>
      </c>
      <c r="J80" s="30">
        <f>(IF(B70&gt;4,(H70/(B70+2)+J79),0))</f>
        <v>0</v>
      </c>
    </row>
    <row r="81" spans="1:11" ht="15.75" customHeight="1" x14ac:dyDescent="0.25">
      <c r="A81" s="88" t="s">
        <v>140</v>
      </c>
      <c r="B81" s="89" t="s">
        <v>140</v>
      </c>
      <c r="C81" s="44">
        <v>0</v>
      </c>
      <c r="D81" s="19">
        <f ca="1">((100/(H70))*C81)/100</f>
        <v>0</v>
      </c>
      <c r="E81" s="107"/>
      <c r="F81" s="108"/>
      <c r="G81" s="107"/>
      <c r="H81" s="131"/>
      <c r="I81" s="14" t="s">
        <v>156</v>
      </c>
      <c r="J81" s="30">
        <f ca="1">(IF(B70=1,(H70/(B70+3)+J76),IF(B70=0,(H70/4+J76),IF(B70&gt;1,0))))</f>
        <v>15</v>
      </c>
    </row>
    <row r="82" spans="1:11" ht="16.5" thickBot="1" x14ac:dyDescent="0.3">
      <c r="A82" s="133" t="s">
        <v>141</v>
      </c>
      <c r="B82" s="134"/>
      <c r="C82" s="45">
        <v>0</v>
      </c>
      <c r="D82" s="20">
        <f ca="1">((100/(H70))*C82)/100</f>
        <v>0</v>
      </c>
      <c r="E82" s="109"/>
      <c r="F82" s="110"/>
      <c r="G82" s="109"/>
      <c r="H82" s="132"/>
      <c r="I82" s="15" t="s">
        <v>108</v>
      </c>
      <c r="J82" s="32">
        <f ca="1">(IF(B70&gt;1.5,(H70/(B70+2)+J76+MAX(0,J77-J76)+MAX(0,J78-J77)+MAX(0,J79-J78)+MAX(0,J80-J79)+MAX(0,J81-J80)),IF(B70=1,(H70/(B70+3)+J81),IF(B70=0,H70/4+J81))))</f>
        <v>20</v>
      </c>
    </row>
    <row r="83" spans="1:11" ht="15.75" customHeight="1" x14ac:dyDescent="0.25">
      <c r="A83" s="83" t="s">
        <v>147</v>
      </c>
      <c r="B83" s="84"/>
      <c r="C83" s="85" t="str">
        <f>D61</f>
        <v>Wing B = Gr + 3P + 4A + 5th to 20th Floor</v>
      </c>
      <c r="D83" s="86"/>
      <c r="E83" s="86"/>
      <c r="F83" s="86"/>
      <c r="G83" s="86"/>
      <c r="H83" s="87"/>
      <c r="I83" s="48" t="str">
        <f ca="1">IF(D96=100%,"All work Completed. Possession granted to the Building.",IF(D95=100%,"All work Completed, Waiting for OC",I84&amp;""&amp;I85&amp;""&amp;J84&amp;""&amp;J83&amp;" "&amp;J85))</f>
        <v>Excavation, Plinth, RCC Slab, Brickwork Completed, Internal Plaster upto 15 Floor, External Plaster upto 15 Floor, Flooring upto 12 Floor, Painting upto 4 Floor Completed</v>
      </c>
      <c r="J83" s="4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Internal Plaster upto 15 Floor, External Plaster upto 15 Floor, Flooring upto 12 Floor, Painting upto 4 Floor</v>
      </c>
    </row>
    <row r="84" spans="1:11" x14ac:dyDescent="0.25">
      <c r="A84" s="16" t="s">
        <v>149</v>
      </c>
      <c r="B84" s="53">
        <v>0</v>
      </c>
      <c r="C84" s="53" t="s">
        <v>74</v>
      </c>
      <c r="D84" s="53">
        <v>1</v>
      </c>
      <c r="E84" s="53" t="s">
        <v>73</v>
      </c>
      <c r="F84" s="53">
        <v>0</v>
      </c>
      <c r="G84" s="47" t="s">
        <v>83</v>
      </c>
      <c r="H84" s="17">
        <f ca="1">--TRIM(RIGHT(SUBSTITUTE(LEFT(C83,_xlfn.AGGREGATE(16,6,FIND({0,1,2,3,4,5,6,7,8,9},C83,ROW(INDIRECT("1:"&amp;LEN(C83)))),1))," ",REPT(" ",LEN(C83))),LEN(C83)))</f>
        <v>20</v>
      </c>
      <c r="I84" s="5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</v>
      </c>
      <c r="J84" s="5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1" ht="33" customHeight="1" x14ac:dyDescent="0.25">
      <c r="A85" s="136" t="s">
        <v>93</v>
      </c>
      <c r="B85" s="137"/>
      <c r="C85" s="190" t="str">
        <f ca="1">(IF($G$55="NA",I83,"All work Completed. OC Received."))</f>
        <v>Excavation, Plinth, RCC Slab, Brickwork Completed, Internal Plaster upto 15 Floor, External Plaster upto 15 Floor, Flooring upto 12 Floor, Painting upto 4 Floor Completed</v>
      </c>
      <c r="D85" s="190"/>
      <c r="E85" s="190"/>
      <c r="F85" s="190"/>
      <c r="G85" s="190"/>
      <c r="H85" s="191"/>
      <c r="I85" s="50" t="str">
        <f ca="1">IF(I84&lt;&gt;""," Completed","")</f>
        <v xml:space="preserve"> Completed</v>
      </c>
      <c r="J85" s="51" t="str">
        <f ca="1">IF(J83&lt;&gt;"","Completed","")</f>
        <v>Completed</v>
      </c>
      <c r="K85" s="63" t="s">
        <v>243</v>
      </c>
    </row>
    <row r="86" spans="1:11" ht="15.75" customHeight="1" x14ac:dyDescent="0.25">
      <c r="A86" s="88" t="s">
        <v>50</v>
      </c>
      <c r="B86" s="89"/>
      <c r="C86" s="44" t="s">
        <v>146</v>
      </c>
      <c r="D86" s="44" t="s">
        <v>86</v>
      </c>
      <c r="E86" s="89" t="s">
        <v>88</v>
      </c>
      <c r="F86" s="89"/>
      <c r="G86" s="89" t="s">
        <v>87</v>
      </c>
      <c r="H86" s="116"/>
      <c r="I86" s="14" t="s">
        <v>148</v>
      </c>
      <c r="J86" s="28">
        <f ca="1">H84*25%</f>
        <v>5</v>
      </c>
    </row>
    <row r="87" spans="1:11" x14ac:dyDescent="0.25">
      <c r="A87" s="88" t="s">
        <v>135</v>
      </c>
      <c r="B87" s="89"/>
      <c r="C87" s="44">
        <f ca="1">J88</f>
        <v>20</v>
      </c>
      <c r="D87" s="19">
        <f ca="1">((100/H84)*C87)/100</f>
        <v>1</v>
      </c>
      <c r="E87" s="105">
        <f ca="1">(((C88/H84*10)+(40/(D84+F84+H84)*C89)+(7.5/(H84)*C90)+(7.5/(H84)*C91)+(10/H84*C92)+(10/H84*C93)+(5/H84*C94)+(5/H84*C95)+(5/H84*C96))/100)</f>
        <v>0.77625</v>
      </c>
      <c r="F87" s="106"/>
      <c r="G87" s="105">
        <f ca="1">((((C87/H84)*20)+((C88/H84)*25)+(30/(H84+F84+D84)*C89)+(5/H84*C90)+(5/H84*C91)+(5/H84*C92)+(5/H84*C93)+(0/H84*C94)+(0/H84*C95)+(5/H84*C96))/100)</f>
        <v>0.90500000000000003</v>
      </c>
      <c r="H87" s="130"/>
      <c r="I87" s="14" t="s">
        <v>104</v>
      </c>
      <c r="J87" s="29">
        <f ca="1">H84*50%</f>
        <v>10</v>
      </c>
    </row>
    <row r="88" spans="1:11" x14ac:dyDescent="0.25">
      <c r="A88" s="88" t="s">
        <v>51</v>
      </c>
      <c r="B88" s="89"/>
      <c r="C88" s="56">
        <f ca="1">J96</f>
        <v>20</v>
      </c>
      <c r="D88" s="19">
        <f ca="1">((100/H84)*C88)/100</f>
        <v>1</v>
      </c>
      <c r="E88" s="107"/>
      <c r="F88" s="108"/>
      <c r="G88" s="107"/>
      <c r="H88" s="131"/>
      <c r="I88" s="14" t="s">
        <v>105</v>
      </c>
      <c r="J88" s="29">
        <f ca="1">H84</f>
        <v>20</v>
      </c>
    </row>
    <row r="89" spans="1:11" ht="15.75" customHeight="1" x14ac:dyDescent="0.25">
      <c r="A89" s="88" t="s">
        <v>136</v>
      </c>
      <c r="B89" s="89"/>
      <c r="C89" s="44">
        <v>21</v>
      </c>
      <c r="D89" s="19">
        <f ca="1">((100/(D84+F84+H84))*C89)/100</f>
        <v>1</v>
      </c>
      <c r="E89" s="107"/>
      <c r="F89" s="108"/>
      <c r="G89" s="107"/>
      <c r="H89" s="131"/>
      <c r="I89" s="14" t="s">
        <v>106</v>
      </c>
      <c r="J89" s="30">
        <f ca="1">(IF(B84&gt;1,(H84/(B84+2)),H84/4))</f>
        <v>5</v>
      </c>
    </row>
    <row r="90" spans="1:11" ht="15.75" customHeight="1" x14ac:dyDescent="0.25">
      <c r="A90" s="88" t="s">
        <v>143</v>
      </c>
      <c r="B90" s="89" t="s">
        <v>137</v>
      </c>
      <c r="C90" s="44">
        <v>20</v>
      </c>
      <c r="D90" s="19">
        <f ca="1">((100/H84)*C90)/100</f>
        <v>1</v>
      </c>
      <c r="E90" s="107"/>
      <c r="F90" s="108"/>
      <c r="G90" s="107"/>
      <c r="H90" s="131"/>
      <c r="I90" s="14" t="s">
        <v>107</v>
      </c>
      <c r="J90" s="30">
        <f ca="1">(IF(B84&gt;1,(H84/(B84+2)+J89),H84/4+J89))</f>
        <v>10</v>
      </c>
    </row>
    <row r="91" spans="1:11" ht="15.75" customHeight="1" x14ac:dyDescent="0.25">
      <c r="A91" s="88" t="s">
        <v>144</v>
      </c>
      <c r="B91" s="89" t="s">
        <v>137</v>
      </c>
      <c r="C91" s="44">
        <v>15</v>
      </c>
      <c r="D91" s="19">
        <f ca="1">((100/H84)*C91)/100</f>
        <v>0.75</v>
      </c>
      <c r="E91" s="107"/>
      <c r="F91" s="108"/>
      <c r="G91" s="107"/>
      <c r="H91" s="131"/>
      <c r="I91" s="14" t="s">
        <v>155</v>
      </c>
      <c r="J91" s="30">
        <f>(IF(B84&gt;1,(H84/(B84+2)+J90),0))</f>
        <v>0</v>
      </c>
    </row>
    <row r="92" spans="1:11" ht="15" customHeight="1" x14ac:dyDescent="0.25">
      <c r="A92" s="88" t="s">
        <v>142</v>
      </c>
      <c r="B92" s="89" t="s">
        <v>139</v>
      </c>
      <c r="C92" s="44">
        <v>15</v>
      </c>
      <c r="D92" s="19">
        <f ca="1">((100/(H84))*C92)/100</f>
        <v>0.75</v>
      </c>
      <c r="E92" s="107"/>
      <c r="F92" s="108"/>
      <c r="G92" s="107"/>
      <c r="H92" s="131"/>
      <c r="I92" s="14" t="s">
        <v>150</v>
      </c>
      <c r="J92" s="30">
        <f>(IF(B84&gt;2,(H84/(B84+2)+J91),0))</f>
        <v>0</v>
      </c>
    </row>
    <row r="93" spans="1:11" ht="15.75" customHeight="1" x14ac:dyDescent="0.25">
      <c r="A93" s="88" t="s">
        <v>138</v>
      </c>
      <c r="B93" s="89" t="s">
        <v>138</v>
      </c>
      <c r="C93" s="44">
        <v>12</v>
      </c>
      <c r="D93" s="19">
        <f ca="1">((100/H84)*C93)/100</f>
        <v>0.6</v>
      </c>
      <c r="E93" s="107"/>
      <c r="F93" s="108"/>
      <c r="G93" s="107"/>
      <c r="H93" s="131"/>
      <c r="I93" s="14" t="s">
        <v>151</v>
      </c>
      <c r="J93" s="31">
        <f>(IF(B84&gt;3,(H84/(B84+2)+J92),0))</f>
        <v>0</v>
      </c>
    </row>
    <row r="94" spans="1:11" ht="15.75" customHeight="1" x14ac:dyDescent="0.25">
      <c r="A94" s="88" t="s">
        <v>145</v>
      </c>
      <c r="B94" s="89"/>
      <c r="C94" s="44">
        <v>4</v>
      </c>
      <c r="D94" s="19">
        <f ca="1">((100/H84)*C94)/100</f>
        <v>0.2</v>
      </c>
      <c r="E94" s="107"/>
      <c r="F94" s="108"/>
      <c r="G94" s="107"/>
      <c r="H94" s="131"/>
      <c r="I94" s="14" t="s">
        <v>152</v>
      </c>
      <c r="J94" s="30">
        <f>(IF(B84&gt;4,(H84/(B84+2)+J93),0))</f>
        <v>0</v>
      </c>
    </row>
    <row r="95" spans="1:11" ht="15.75" customHeight="1" x14ac:dyDescent="0.25">
      <c r="A95" s="88" t="s">
        <v>140</v>
      </c>
      <c r="B95" s="89" t="s">
        <v>140</v>
      </c>
      <c r="C95" s="44">
        <v>0</v>
      </c>
      <c r="D95" s="19">
        <f ca="1">((100/(H84))*C95)/100</f>
        <v>0</v>
      </c>
      <c r="E95" s="107"/>
      <c r="F95" s="108"/>
      <c r="G95" s="107"/>
      <c r="H95" s="131"/>
      <c r="I95" s="14" t="s">
        <v>156</v>
      </c>
      <c r="J95" s="30">
        <f ca="1">(IF(B84=1,(H84/(B84+3)+J90),IF(B84=0,(H84/4+J90),IF(B84&gt;1,0))))</f>
        <v>15</v>
      </c>
    </row>
    <row r="96" spans="1:11" ht="16.5" thickBot="1" x14ac:dyDescent="0.3">
      <c r="A96" s="133" t="s">
        <v>141</v>
      </c>
      <c r="B96" s="134"/>
      <c r="C96" s="45">
        <v>0</v>
      </c>
      <c r="D96" s="20">
        <f ca="1">((100/(H84))*C96)/100</f>
        <v>0</v>
      </c>
      <c r="E96" s="109"/>
      <c r="F96" s="110"/>
      <c r="G96" s="109"/>
      <c r="H96" s="132"/>
      <c r="I96" s="15" t="s">
        <v>108</v>
      </c>
      <c r="J96" s="32">
        <f ca="1">(IF(B84&gt;1.5,(H84/(B84+2)+J90+MAX(0,J91-J90)+MAX(0,J92-J91)+MAX(0,J93-J92)+MAX(0,J94-J93)+MAX(0,J95-J94)),IF(B84=1,(H84/(B84+3)+J95),IF(B84=0,H84/4+J95))))</f>
        <v>20</v>
      </c>
    </row>
    <row r="97" spans="1:8" x14ac:dyDescent="0.25">
      <c r="A97" s="194" t="s">
        <v>167</v>
      </c>
      <c r="B97" s="194"/>
      <c r="C97" s="194"/>
      <c r="D97" s="194"/>
      <c r="E97" s="194"/>
      <c r="F97" s="193" t="s">
        <v>172</v>
      </c>
      <c r="G97" s="193"/>
      <c r="H97" s="193"/>
    </row>
    <row r="98" spans="1:8" x14ac:dyDescent="0.25">
      <c r="A98" s="82" t="s">
        <v>170</v>
      </c>
      <c r="B98" s="82"/>
      <c r="C98" s="82"/>
      <c r="D98" s="82"/>
      <c r="E98" s="82"/>
      <c r="F98" s="151">
        <v>23000</v>
      </c>
      <c r="G98" s="151"/>
      <c r="H98" s="151"/>
    </row>
    <row r="99" spans="1:8" hidden="1" x14ac:dyDescent="0.25">
      <c r="A99" s="82" t="s">
        <v>169</v>
      </c>
      <c r="B99" s="82"/>
      <c r="C99" s="82"/>
      <c r="D99" s="82"/>
      <c r="E99" s="82"/>
      <c r="F99" s="151"/>
      <c r="G99" s="151"/>
      <c r="H99" s="151"/>
    </row>
    <row r="100" spans="1:8" hidden="1" x14ac:dyDescent="0.25">
      <c r="A100" s="82" t="s">
        <v>171</v>
      </c>
      <c r="B100" s="82"/>
      <c r="C100" s="82"/>
      <c r="D100" s="82"/>
      <c r="E100" s="82"/>
      <c r="F100" s="151"/>
      <c r="G100" s="151"/>
      <c r="H100" s="151"/>
    </row>
    <row r="101" spans="1:8" s="33" customFormat="1" hidden="1" x14ac:dyDescent="0.25">
      <c r="A101" s="82" t="s">
        <v>168</v>
      </c>
      <c r="B101" s="82"/>
      <c r="C101" s="82"/>
      <c r="D101" s="82"/>
      <c r="E101" s="82"/>
      <c r="F101" s="151"/>
      <c r="G101" s="151"/>
      <c r="H101" s="151"/>
    </row>
    <row r="102" spans="1:8" s="33" customFormat="1" hidden="1" x14ac:dyDescent="0.25">
      <c r="A102" s="82" t="s">
        <v>98</v>
      </c>
      <c r="B102" s="82"/>
      <c r="C102" s="82"/>
      <c r="D102" s="82"/>
      <c r="E102" s="82"/>
      <c r="F102" s="151"/>
      <c r="G102" s="151"/>
      <c r="H102" s="151"/>
    </row>
    <row r="103" spans="1:8" s="33" customFormat="1" hidden="1" x14ac:dyDescent="0.25">
      <c r="A103" s="82" t="s">
        <v>99</v>
      </c>
      <c r="B103" s="82"/>
      <c r="C103" s="82"/>
      <c r="D103" s="82"/>
      <c r="E103" s="82"/>
      <c r="F103" s="151"/>
      <c r="G103" s="151"/>
      <c r="H103" s="151"/>
    </row>
    <row r="104" spans="1:8" s="33" customFormat="1" hidden="1" x14ac:dyDescent="0.25">
      <c r="A104" s="82" t="s">
        <v>173</v>
      </c>
      <c r="B104" s="82"/>
      <c r="C104" s="82"/>
      <c r="D104" s="82"/>
      <c r="E104" s="82"/>
      <c r="F104" s="151"/>
      <c r="G104" s="151"/>
      <c r="H104" s="151"/>
    </row>
    <row r="105" spans="1:8" s="33" customFormat="1" hidden="1" x14ac:dyDescent="0.25">
      <c r="A105" s="82" t="s">
        <v>100</v>
      </c>
      <c r="B105" s="82"/>
      <c r="C105" s="82"/>
      <c r="D105" s="82"/>
      <c r="E105" s="82"/>
      <c r="F105" s="151"/>
      <c r="G105" s="151"/>
      <c r="H105" s="151"/>
    </row>
    <row r="106" spans="1:8" s="33" customFormat="1" hidden="1" x14ac:dyDescent="0.25">
      <c r="A106" s="82" t="s">
        <v>101</v>
      </c>
      <c r="B106" s="82"/>
      <c r="C106" s="82"/>
      <c r="D106" s="82"/>
      <c r="E106" s="82"/>
      <c r="F106" s="151"/>
      <c r="G106" s="151"/>
      <c r="H106" s="151"/>
    </row>
    <row r="107" spans="1:8" s="33" customFormat="1" hidden="1" x14ac:dyDescent="0.25">
      <c r="A107" s="82" t="s">
        <v>102</v>
      </c>
      <c r="B107" s="82"/>
      <c r="C107" s="82"/>
      <c r="D107" s="82"/>
      <c r="E107" s="82"/>
      <c r="F107" s="151"/>
      <c r="G107" s="151"/>
      <c r="H107" s="151"/>
    </row>
    <row r="108" spans="1:8" s="33" customFormat="1" hidden="1" x14ac:dyDescent="0.25">
      <c r="A108" s="82" t="s">
        <v>103</v>
      </c>
      <c r="B108" s="82"/>
      <c r="C108" s="82"/>
      <c r="D108" s="82"/>
      <c r="E108" s="82"/>
      <c r="F108" s="151"/>
      <c r="G108" s="151"/>
      <c r="H108" s="151"/>
    </row>
    <row r="109" spans="1:8" x14ac:dyDescent="0.25">
      <c r="A109" s="82" t="s">
        <v>52</v>
      </c>
      <c r="B109" s="82"/>
      <c r="C109" s="82"/>
      <c r="D109" s="82"/>
      <c r="E109" s="82"/>
      <c r="F109" s="151">
        <v>1000000</v>
      </c>
      <c r="G109" s="151"/>
      <c r="H109" s="151"/>
    </row>
    <row r="110" spans="1:8" s="34" customFormat="1" x14ac:dyDescent="0.25">
      <c r="A110" s="166" t="s">
        <v>53</v>
      </c>
      <c r="B110" s="166"/>
      <c r="C110" s="166"/>
      <c r="D110" s="166"/>
      <c r="E110" s="166"/>
      <c r="F110" s="151">
        <f>F98*0.8</f>
        <v>18400</v>
      </c>
      <c r="G110" s="151"/>
      <c r="H110" s="151"/>
    </row>
    <row r="111" spans="1:8" s="35" customFormat="1" ht="15.75" hidden="1" customHeight="1" x14ac:dyDescent="0.25">
      <c r="A111" s="153" t="s">
        <v>78</v>
      </c>
      <c r="B111" s="153"/>
      <c r="C111" s="153"/>
      <c r="D111" s="153"/>
      <c r="E111" s="153"/>
      <c r="F111" s="153"/>
      <c r="G111" s="153"/>
      <c r="H111" s="153"/>
    </row>
    <row r="112" spans="1:8" s="35" customFormat="1" ht="15.75" hidden="1" customHeight="1" x14ac:dyDescent="0.25">
      <c r="A112" s="127" t="s">
        <v>54</v>
      </c>
      <c r="B112" s="127"/>
      <c r="C112" s="148" t="s">
        <v>81</v>
      </c>
      <c r="D112" s="148"/>
      <c r="E112" s="157" t="s">
        <v>55</v>
      </c>
      <c r="F112" s="157"/>
      <c r="G112" s="127" t="s">
        <v>56</v>
      </c>
      <c r="H112" s="127"/>
    </row>
    <row r="113" spans="1:14" s="35" customFormat="1" hidden="1" x14ac:dyDescent="0.25">
      <c r="A113" s="152"/>
      <c r="B113" s="152"/>
      <c r="C113" s="128"/>
      <c r="D113" s="128"/>
      <c r="E113" s="129"/>
      <c r="F113" s="129"/>
      <c r="G113" s="156"/>
      <c r="H113" s="156"/>
    </row>
    <row r="114" spans="1:14" s="35" customFormat="1" hidden="1" x14ac:dyDescent="0.25">
      <c r="A114" s="152"/>
      <c r="B114" s="152"/>
      <c r="C114" s="128"/>
      <c r="D114" s="128"/>
      <c r="E114" s="129"/>
      <c r="F114" s="129"/>
      <c r="G114" s="156"/>
      <c r="H114" s="156"/>
    </row>
    <row r="115" spans="1:14" s="35" customFormat="1" hidden="1" x14ac:dyDescent="0.25">
      <c r="A115" s="153" t="s">
        <v>161</v>
      </c>
      <c r="B115" s="153"/>
      <c r="C115" s="148"/>
      <c r="D115" s="148"/>
      <c r="E115" s="157"/>
      <c r="F115" s="157"/>
      <c r="G115" s="127"/>
      <c r="H115" s="127"/>
    </row>
    <row r="116" spans="1:14" s="35" customFormat="1" x14ac:dyDescent="0.25">
      <c r="A116" s="153" t="s">
        <v>72</v>
      </c>
      <c r="B116" s="153"/>
      <c r="C116" s="153"/>
      <c r="D116" s="153"/>
      <c r="E116" s="153"/>
      <c r="F116" s="153"/>
      <c r="G116" s="153"/>
      <c r="H116" s="153"/>
    </row>
    <row r="117" spans="1:14" s="35" customFormat="1" ht="15.75" customHeight="1" x14ac:dyDescent="0.25">
      <c r="A117" s="127" t="s">
        <v>54</v>
      </c>
      <c r="B117" s="127"/>
      <c r="C117" s="148" t="s">
        <v>228</v>
      </c>
      <c r="D117" s="148"/>
      <c r="E117" s="157" t="s">
        <v>55</v>
      </c>
      <c r="F117" s="157"/>
      <c r="G117" s="127" t="s">
        <v>56</v>
      </c>
      <c r="H117" s="127"/>
      <c r="J117" s="35" t="s">
        <v>234</v>
      </c>
    </row>
    <row r="118" spans="1:14" s="35" customFormat="1" ht="15.75" customHeight="1" x14ac:dyDescent="0.25">
      <c r="A118" s="154" t="s">
        <v>229</v>
      </c>
      <c r="B118" s="54" t="s">
        <v>202</v>
      </c>
      <c r="C118" s="128">
        <f>COUNT(D140:D141,D143:D144)*3+COUNT(D149:D150)+COUNT(D152:D153,D155:D156)*6+COUNT(D161:D162)</f>
        <v>40</v>
      </c>
      <c r="D118" s="128"/>
      <c r="E118" s="147">
        <f>SUM(D140:D141,D143:D144)*3+SUM(D149:D150)+SUM(D152:D153,D155:D156)*6+SUM(D161:D162)</f>
        <v>20577.538799999998</v>
      </c>
      <c r="F118" s="147"/>
      <c r="G118" s="147">
        <f>SUM(F140:F141,F143:F144)*3+SUM(F149:F150)+SUM(F152:F153,F155:F156)*6+SUM(F161:F162)</f>
        <v>32924.062080000003</v>
      </c>
      <c r="H118" s="147"/>
      <c r="J118" s="35">
        <v>31900</v>
      </c>
    </row>
    <row r="119" spans="1:14" s="35" customFormat="1" ht="15.75" customHeight="1" x14ac:dyDescent="0.25">
      <c r="A119" s="155"/>
      <c r="B119" s="54" t="s">
        <v>203</v>
      </c>
      <c r="C119" s="128">
        <f>COUNT(D142)*3+COUNT(D146)+COUNT(D154)*6+COUNT(D158)+COUNT(D164:D168)*3+COUNT(D170:D174)+COUNT(D176:D180)</f>
        <v>36</v>
      </c>
      <c r="D119" s="128"/>
      <c r="E119" s="147">
        <f>SUM(D142)*3+SUM(D146)+SUM(D154)*6+SUM(D158)+SUM(D164:D168)*3+SUM(D170:D174)+SUM(D176:D180)</f>
        <v>17205.478992</v>
      </c>
      <c r="F119" s="147"/>
      <c r="G119" s="147">
        <f>SUM(F142)*3+SUM(F146)+SUM(F154)*6+SUM(F158)+SUM(F164:F168)*3+SUM(F170:F174)+SUM(F176:F180)</f>
        <v>27528.766387199998</v>
      </c>
      <c r="H119" s="147"/>
    </row>
    <row r="120" spans="1:14" s="35" customFormat="1" ht="15.75" customHeight="1" x14ac:dyDescent="0.25">
      <c r="A120" s="154" t="s">
        <v>230</v>
      </c>
      <c r="B120" s="54" t="s">
        <v>202</v>
      </c>
      <c r="C120" s="128">
        <f>COUNT(D192:D193,D195:D196)*3+COUNT(D201:D202)</f>
        <v>14</v>
      </c>
      <c r="D120" s="128"/>
      <c r="E120" s="147">
        <f>SUM(D192:D193,D195:D196)*3+SUM(D201:D202)</f>
        <v>8710.228799999999</v>
      </c>
      <c r="F120" s="147"/>
      <c r="G120" s="147">
        <f>SUM(F192:F193,F195:F196)*3+SUM(F201:F202)</f>
        <v>13936.36608</v>
      </c>
      <c r="H120" s="147"/>
    </row>
    <row r="121" spans="1:14" s="35" customFormat="1" ht="15.75" customHeight="1" x14ac:dyDescent="0.25">
      <c r="A121" s="155" t="s">
        <v>212</v>
      </c>
      <c r="B121" s="54" t="s">
        <v>203</v>
      </c>
      <c r="C121" s="128">
        <f>COUNT(D194)*3+COUNT(D200)+COUNT(D204:D208)*6+COUNT(D212:D214)+COUNT(D216:D220)*3+COUNT(D222)</f>
        <v>53</v>
      </c>
      <c r="D121" s="128"/>
      <c r="E121" s="147">
        <f t="shared" ref="E121" si="0">SUM(D194)*3+SUM(D200)+SUM(D204:D208)*6+SUM(D212:D214)+SUM(D216:D220)*3+SUM(D222)</f>
        <v>36830.102400000011</v>
      </c>
      <c r="F121" s="147"/>
      <c r="G121" s="147">
        <f>SUM(F194)*3+SUM(F200)+SUM(F204:F208)*6+SUM(F212:F214)+SUM(F216:F220)*3+SUM(F222)</f>
        <v>58928.163839999994</v>
      </c>
      <c r="H121" s="147"/>
    </row>
    <row r="122" spans="1:14" s="35" customFormat="1" x14ac:dyDescent="0.25">
      <c r="A122" s="153" t="s">
        <v>161</v>
      </c>
      <c r="B122" s="153"/>
      <c r="C122" s="113">
        <f>SUM(C118:D121)</f>
        <v>143</v>
      </c>
      <c r="D122" s="113"/>
      <c r="E122" s="113">
        <f t="shared" ref="E122" si="1">SUM(E118:F121)</f>
        <v>83323.348992000014</v>
      </c>
      <c r="F122" s="113"/>
      <c r="G122" s="113">
        <f t="shared" ref="G122" si="2">SUM(G118:H121)</f>
        <v>133317.35838719999</v>
      </c>
      <c r="H122" s="113"/>
    </row>
    <row r="123" spans="1:14" s="34" customFormat="1" x14ac:dyDescent="0.25">
      <c r="A123" s="126" t="s">
        <v>57</v>
      </c>
      <c r="B123" s="126"/>
      <c r="C123" s="126"/>
      <c r="D123" s="126"/>
      <c r="E123" s="126"/>
      <c r="F123" s="126"/>
      <c r="G123" s="126"/>
      <c r="H123" s="126"/>
    </row>
    <row r="124" spans="1:14" x14ac:dyDescent="0.25">
      <c r="A124" s="126" t="s">
        <v>58</v>
      </c>
      <c r="B124" s="126"/>
      <c r="C124" s="126"/>
      <c r="D124" s="126"/>
      <c r="E124" s="126"/>
      <c r="F124" s="126"/>
      <c r="G124" s="126"/>
      <c r="H124" s="126"/>
    </row>
    <row r="125" spans="1:14" ht="47.25" hidden="1" customHeight="1" x14ac:dyDescent="0.25">
      <c r="A125" s="149" t="s">
        <v>126</v>
      </c>
      <c r="B125" s="149" t="s">
        <v>125</v>
      </c>
      <c r="C125" s="149" t="s">
        <v>59</v>
      </c>
      <c r="D125" s="149" t="s">
        <v>60</v>
      </c>
      <c r="E125" s="158" t="s">
        <v>166</v>
      </c>
      <c r="F125" s="43" t="s">
        <v>159</v>
      </c>
      <c r="G125" s="143" t="s">
        <v>62</v>
      </c>
      <c r="H125" s="144"/>
    </row>
    <row r="126" spans="1:14" s="37" customFormat="1" hidden="1" x14ac:dyDescent="0.25">
      <c r="A126" s="150"/>
      <c r="B126" s="150"/>
      <c r="C126" s="150"/>
      <c r="D126" s="150"/>
      <c r="E126" s="159"/>
      <c r="F126" s="13">
        <v>0.6</v>
      </c>
      <c r="G126" s="145"/>
      <c r="H126" s="146"/>
    </row>
    <row r="127" spans="1:14" s="37" customFormat="1" hidden="1" x14ac:dyDescent="0.25">
      <c r="A127" s="77" t="s">
        <v>123</v>
      </c>
      <c r="B127" s="78"/>
      <c r="C127" s="78"/>
      <c r="D127" s="78"/>
      <c r="E127" s="78"/>
      <c r="F127" s="78"/>
      <c r="G127" s="78"/>
      <c r="H127" s="79"/>
      <c r="J127" s="36"/>
    </row>
    <row r="128" spans="1:14" s="37" customFormat="1" hidden="1" x14ac:dyDescent="0.25">
      <c r="A128" s="75">
        <v>1</v>
      </c>
      <c r="B128" s="76"/>
      <c r="C128" s="42"/>
      <c r="D128" s="42"/>
      <c r="E128" s="42">
        <v>0</v>
      </c>
      <c r="F128" s="42">
        <f>(D128+E128)*(($F$126)+1)</f>
        <v>0</v>
      </c>
      <c r="G128" s="75" t="str">
        <f>A127</f>
        <v>Ground Floor</v>
      </c>
      <c r="H128" s="76"/>
      <c r="I128" s="36"/>
      <c r="L128" s="69"/>
      <c r="M128" s="69"/>
      <c r="N128" s="36"/>
    </row>
    <row r="129" spans="1:14" s="37" customFormat="1" hidden="1" x14ac:dyDescent="0.25">
      <c r="A129" s="75">
        <f t="shared" ref="A129:A131" si="3">A128+1</f>
        <v>2</v>
      </c>
      <c r="B129" s="76"/>
      <c r="C129" s="42"/>
      <c r="D129" s="42"/>
      <c r="E129" s="42">
        <v>0</v>
      </c>
      <c r="F129" s="42">
        <f t="shared" ref="F129:F131" si="4">(D129+E129)*(($F$126)+1)</f>
        <v>0</v>
      </c>
      <c r="G129" s="75" t="str">
        <f t="shared" ref="G129:G131" si="5">G128</f>
        <v>Ground Floor</v>
      </c>
      <c r="H129" s="76"/>
      <c r="I129" s="36"/>
      <c r="L129" s="69"/>
      <c r="M129" s="69"/>
      <c r="N129" s="36"/>
    </row>
    <row r="130" spans="1:14" s="37" customFormat="1" hidden="1" x14ac:dyDescent="0.25">
      <c r="A130" s="75">
        <f t="shared" si="3"/>
        <v>3</v>
      </c>
      <c r="B130" s="76"/>
      <c r="C130" s="42"/>
      <c r="D130" s="42"/>
      <c r="E130" s="42">
        <v>0</v>
      </c>
      <c r="F130" s="42">
        <f t="shared" si="4"/>
        <v>0</v>
      </c>
      <c r="G130" s="75" t="str">
        <f t="shared" si="5"/>
        <v>Ground Floor</v>
      </c>
      <c r="H130" s="76"/>
      <c r="I130" s="36"/>
      <c r="L130" s="69"/>
      <c r="M130" s="69"/>
      <c r="N130" s="36"/>
    </row>
    <row r="131" spans="1:14" s="37" customFormat="1" hidden="1" x14ac:dyDescent="0.25">
      <c r="A131" s="75">
        <f t="shared" si="3"/>
        <v>4</v>
      </c>
      <c r="B131" s="76"/>
      <c r="C131" s="42"/>
      <c r="D131" s="42"/>
      <c r="E131" s="42">
        <v>0</v>
      </c>
      <c r="F131" s="42">
        <f t="shared" si="4"/>
        <v>0</v>
      </c>
      <c r="G131" s="75" t="str">
        <f t="shared" si="5"/>
        <v>Ground Floor</v>
      </c>
      <c r="H131" s="76"/>
      <c r="I131" s="36"/>
      <c r="L131" s="69"/>
      <c r="M131" s="69"/>
      <c r="N131" s="36"/>
    </row>
    <row r="132" spans="1:14" s="37" customFormat="1" hidden="1" x14ac:dyDescent="0.25">
      <c r="A132" s="75"/>
      <c r="B132" s="195"/>
      <c r="C132" s="195"/>
      <c r="D132" s="195"/>
      <c r="E132" s="195"/>
      <c r="F132" s="195"/>
      <c r="G132" s="195"/>
      <c r="H132" s="76"/>
      <c r="I132" s="36"/>
      <c r="N132" s="36"/>
    </row>
    <row r="133" spans="1:14" ht="47.25" customHeight="1" x14ac:dyDescent="0.25">
      <c r="A133" s="143" t="s">
        <v>127</v>
      </c>
      <c r="B133" s="143" t="s">
        <v>235</v>
      </c>
      <c r="C133" s="149" t="s">
        <v>59</v>
      </c>
      <c r="D133" s="149" t="s">
        <v>60</v>
      </c>
      <c r="E133" s="158" t="s">
        <v>61</v>
      </c>
      <c r="F133" s="43" t="s">
        <v>159</v>
      </c>
      <c r="G133" s="143" t="s">
        <v>62</v>
      </c>
      <c r="H133" s="144"/>
      <c r="I133" s="36"/>
    </row>
    <row r="134" spans="1:14" s="37" customFormat="1" x14ac:dyDescent="0.25">
      <c r="A134" s="145"/>
      <c r="B134" s="145"/>
      <c r="C134" s="150"/>
      <c r="D134" s="150"/>
      <c r="E134" s="159"/>
      <c r="F134" s="13">
        <v>0.6</v>
      </c>
      <c r="G134" s="145"/>
      <c r="H134" s="146"/>
      <c r="I134" s="36"/>
    </row>
    <row r="135" spans="1:14" s="37" customFormat="1" x14ac:dyDescent="0.25">
      <c r="A135" s="77" t="s">
        <v>236</v>
      </c>
      <c r="B135" s="78"/>
      <c r="C135" s="78"/>
      <c r="D135" s="78"/>
      <c r="E135" s="78"/>
      <c r="F135" s="78"/>
      <c r="G135" s="78"/>
      <c r="H135" s="79"/>
      <c r="J135" s="36"/>
    </row>
    <row r="136" spans="1:14" s="37" customFormat="1" x14ac:dyDescent="0.25">
      <c r="A136" s="77" t="s">
        <v>197</v>
      </c>
      <c r="B136" s="78"/>
      <c r="C136" s="78"/>
      <c r="D136" s="78"/>
      <c r="E136" s="78"/>
      <c r="F136" s="78"/>
      <c r="G136" s="78"/>
      <c r="H136" s="79"/>
      <c r="J136" s="36"/>
    </row>
    <row r="137" spans="1:14" s="37" customFormat="1" x14ac:dyDescent="0.25">
      <c r="A137" s="77" t="s">
        <v>198</v>
      </c>
      <c r="B137" s="78"/>
      <c r="C137" s="78"/>
      <c r="D137" s="78"/>
      <c r="E137" s="78"/>
      <c r="F137" s="78"/>
      <c r="G137" s="78"/>
      <c r="H137" s="79"/>
      <c r="J137" s="36"/>
    </row>
    <row r="138" spans="1:14" s="37" customFormat="1" x14ac:dyDescent="0.25">
      <c r="A138" s="72" t="s">
        <v>199</v>
      </c>
      <c r="B138" s="73"/>
      <c r="C138" s="73"/>
      <c r="D138" s="73"/>
      <c r="E138" s="73"/>
      <c r="F138" s="73"/>
      <c r="G138" s="73"/>
      <c r="H138" s="74"/>
      <c r="J138" s="36"/>
    </row>
    <row r="139" spans="1:14" s="37" customFormat="1" x14ac:dyDescent="0.25">
      <c r="A139" s="72" t="s">
        <v>200</v>
      </c>
      <c r="B139" s="73"/>
      <c r="C139" s="73"/>
      <c r="D139" s="73"/>
      <c r="E139" s="73"/>
      <c r="F139" s="73"/>
      <c r="G139" s="73"/>
      <c r="H139" s="74"/>
      <c r="J139" s="55">
        <f>10.764</f>
        <v>10.763999999999999</v>
      </c>
    </row>
    <row r="140" spans="1:14" s="37" customFormat="1" x14ac:dyDescent="0.25">
      <c r="A140" s="57">
        <v>1</v>
      </c>
      <c r="B140" s="57" t="s">
        <v>202</v>
      </c>
      <c r="C140" s="58">
        <v>2</v>
      </c>
      <c r="D140" s="59">
        <f>(47.8)*(10.764)</f>
        <v>514.51919999999996</v>
      </c>
      <c r="E140" s="57">
        <v>0</v>
      </c>
      <c r="F140" s="57">
        <f>D140*(($F$134)+1)+(IF(E140&lt;101,E140,IF(E140&lt;201,E140/2,IF(E140&lt;=301,E140/3,E140/4))))</f>
        <v>823.23072000000002</v>
      </c>
      <c r="G140" s="70" t="str">
        <f>A139</f>
        <v>5th, 7th &amp; 8th Floor For Residential</v>
      </c>
      <c r="H140" s="71"/>
      <c r="I140" s="36"/>
      <c r="J140" s="37">
        <f>2.9*5.15+3.35*2.75+2.1*1.12+0.9*1.05+2.3*2.1+1.4*1.35+1.2*2.1+2.1*0.9+2.75*3.05</f>
        <v>46.962000000000003</v>
      </c>
      <c r="L140" s="69"/>
      <c r="M140" s="69"/>
      <c r="N140" s="36"/>
    </row>
    <row r="141" spans="1:14" s="37" customFormat="1" x14ac:dyDescent="0.25">
      <c r="A141" s="57">
        <f t="shared" ref="A141:A144" si="6">A140+1</f>
        <v>2</v>
      </c>
      <c r="B141" s="57" t="s">
        <v>202</v>
      </c>
      <c r="C141" s="58">
        <v>2</v>
      </c>
      <c r="D141" s="59">
        <f>(47.8)*(10.764)</f>
        <v>514.51919999999996</v>
      </c>
      <c r="E141" s="57">
        <v>0</v>
      </c>
      <c r="F141" s="57">
        <f>D141*(($F$134)+1)+(IF(E141&lt;101,E141,IF(E141&lt;201,E141/2,IF(E141&lt;=301,E141/3,E141/4))))</f>
        <v>823.23072000000002</v>
      </c>
      <c r="G141" s="70" t="str">
        <f t="shared" ref="G141:G144" si="7">G140</f>
        <v>5th, 7th &amp; 8th Floor For Residential</v>
      </c>
      <c r="H141" s="71"/>
      <c r="I141" s="36">
        <f>21100000/F141</f>
        <v>25630.724762069131</v>
      </c>
      <c r="L141" s="69"/>
      <c r="M141" s="69"/>
      <c r="N141" s="36"/>
    </row>
    <row r="142" spans="1:14" s="37" customFormat="1" x14ac:dyDescent="0.25">
      <c r="A142" s="57">
        <f t="shared" si="6"/>
        <v>3</v>
      </c>
      <c r="B142" s="57" t="s">
        <v>203</v>
      </c>
      <c r="C142" s="58" t="s">
        <v>204</v>
      </c>
      <c r="D142" s="59">
        <f>(37.06)*(10.764)</f>
        <v>398.91383999999999</v>
      </c>
      <c r="E142" s="57">
        <v>0</v>
      </c>
      <c r="F142" s="57">
        <f>D142*(($F$134)+1)+(IF(E142&lt;101,E142,IF(E142&lt;201,E142/2,IF(E142&lt;=301,E142/3,E142/4))))</f>
        <v>638.26214400000003</v>
      </c>
      <c r="G142" s="70" t="str">
        <f t="shared" si="7"/>
        <v>5th, 7th &amp; 8th Floor For Residential</v>
      </c>
      <c r="H142" s="71"/>
      <c r="I142" s="36">
        <f>21100000/F142</f>
        <v>33058.517097326076</v>
      </c>
      <c r="L142" s="69"/>
      <c r="M142" s="69"/>
      <c r="N142" s="36"/>
    </row>
    <row r="143" spans="1:14" s="37" customFormat="1" x14ac:dyDescent="0.25">
      <c r="A143" s="57">
        <f t="shared" si="6"/>
        <v>4</v>
      </c>
      <c r="B143" s="57" t="s">
        <v>202</v>
      </c>
      <c r="C143" s="58">
        <v>2</v>
      </c>
      <c r="D143" s="59">
        <f>(47.8)*(10.764)</f>
        <v>514.51919999999996</v>
      </c>
      <c r="E143" s="57">
        <v>0</v>
      </c>
      <c r="F143" s="57">
        <f>D143*(($F$134)+1)+(IF(E143&lt;101,E143,IF(E143&lt;201,E143/2,IF(E143&lt;=301,E143/3,E143/4))))</f>
        <v>823.23072000000002</v>
      </c>
      <c r="G143" s="70" t="str">
        <f t="shared" si="7"/>
        <v>5th, 7th &amp; 8th Floor For Residential</v>
      </c>
      <c r="H143" s="71"/>
      <c r="I143" s="36"/>
      <c r="L143" s="69"/>
      <c r="M143" s="69"/>
      <c r="N143" s="36"/>
    </row>
    <row r="144" spans="1:14" s="37" customFormat="1" x14ac:dyDescent="0.25">
      <c r="A144" s="57">
        <f t="shared" si="6"/>
        <v>5</v>
      </c>
      <c r="B144" s="57" t="s">
        <v>202</v>
      </c>
      <c r="C144" s="58">
        <v>2</v>
      </c>
      <c r="D144" s="59">
        <f>(47.8)*(10.764)</f>
        <v>514.51919999999996</v>
      </c>
      <c r="E144" s="57">
        <v>0</v>
      </c>
      <c r="F144" s="57">
        <f>D144*(($F$134)+1)+(IF(E144&lt;101,E144,IF(E144&lt;201,E144/2,IF(E144&lt;=301,E144/3,E144/4))))</f>
        <v>823.23072000000002</v>
      </c>
      <c r="G144" s="70" t="str">
        <f t="shared" si="7"/>
        <v>5th, 7th &amp; 8th Floor For Residential</v>
      </c>
      <c r="H144" s="71"/>
      <c r="I144" s="36"/>
      <c r="L144" s="69"/>
      <c r="M144" s="69"/>
      <c r="N144" s="36"/>
    </row>
    <row r="145" spans="1:14" s="37" customFormat="1" x14ac:dyDescent="0.25">
      <c r="A145" s="72" t="s">
        <v>201</v>
      </c>
      <c r="B145" s="73"/>
      <c r="C145" s="73"/>
      <c r="D145" s="73"/>
      <c r="E145" s="73"/>
      <c r="F145" s="73"/>
      <c r="G145" s="73"/>
      <c r="H145" s="74"/>
      <c r="J145" s="36"/>
    </row>
    <row r="146" spans="1:14" s="37" customFormat="1" x14ac:dyDescent="0.25">
      <c r="A146" s="57">
        <v>1</v>
      </c>
      <c r="B146" s="57" t="s">
        <v>203</v>
      </c>
      <c r="C146" s="58">
        <v>3</v>
      </c>
      <c r="D146" s="60">
        <f>(5.12*5.15+3.35*2.75+2.1*1.2+2.3*2.1+1.2*2.1+2.75*3.05+2.1*0.9+1.4*1.35+0.9*1.05+2.75*4.1)*10.764</f>
        <v>751.73623200000009</v>
      </c>
      <c r="E146" s="57">
        <v>0</v>
      </c>
      <c r="F146" s="57">
        <f>D146*(($F$134)+1)+(IF(E146&lt;101,E146,IF(E146&lt;201,E146/2,IF(E146&lt;=301,E146/3,E146/4))))</f>
        <v>1202.7779712000001</v>
      </c>
      <c r="G146" s="70" t="str">
        <f>A145</f>
        <v>6th Floor (Part Refuge Area)</v>
      </c>
      <c r="H146" s="71"/>
      <c r="I146" s="36">
        <f>(5.12*5.15+3.35*2.75+2.1*1.2+2.3*2.1+1.2*2.1+2.75*3.05+2.1*0.9+1.4*1.35+0.9*1.05+2.75*4.1)</f>
        <v>69.838000000000008</v>
      </c>
      <c r="J146" s="37">
        <f>88.31*10.764</f>
        <v>950.56884000000002</v>
      </c>
      <c r="L146" s="69"/>
      <c r="M146" s="69"/>
      <c r="N146" s="36"/>
    </row>
    <row r="147" spans="1:14" s="37" customFormat="1" x14ac:dyDescent="0.25">
      <c r="A147" s="57">
        <f t="shared" ref="A147:A150" si="8">A146+1</f>
        <v>2</v>
      </c>
      <c r="B147" s="117" t="s">
        <v>205</v>
      </c>
      <c r="C147" s="118"/>
      <c r="D147" s="118"/>
      <c r="E147" s="118"/>
      <c r="F147" s="119"/>
      <c r="G147" s="70" t="str">
        <f t="shared" ref="G147:G150" si="9">G146</f>
        <v>6th Floor (Part Refuge Area)</v>
      </c>
      <c r="H147" s="71"/>
      <c r="I147" s="36"/>
      <c r="L147" s="69"/>
      <c r="M147" s="69"/>
      <c r="N147" s="36"/>
    </row>
    <row r="148" spans="1:14" s="37" customFormat="1" x14ac:dyDescent="0.25">
      <c r="A148" s="57">
        <f t="shared" si="8"/>
        <v>3</v>
      </c>
      <c r="B148" s="120"/>
      <c r="C148" s="121"/>
      <c r="D148" s="121"/>
      <c r="E148" s="121"/>
      <c r="F148" s="122"/>
      <c r="G148" s="70" t="str">
        <f t="shared" si="9"/>
        <v>6th Floor (Part Refuge Area)</v>
      </c>
      <c r="H148" s="71"/>
      <c r="I148" s="36"/>
      <c r="L148" s="69"/>
      <c r="M148" s="69"/>
      <c r="N148" s="36"/>
    </row>
    <row r="149" spans="1:14" s="37" customFormat="1" x14ac:dyDescent="0.25">
      <c r="A149" s="57">
        <f t="shared" si="8"/>
        <v>4</v>
      </c>
      <c r="B149" s="57" t="s">
        <v>202</v>
      </c>
      <c r="C149" s="58">
        <v>2</v>
      </c>
      <c r="D149" s="59">
        <f>(47.8)*(10.764)</f>
        <v>514.51919999999996</v>
      </c>
      <c r="E149" s="57">
        <v>0</v>
      </c>
      <c r="F149" s="57">
        <f>D149*(($F$134)+1)+(IF(E149&lt;101,E149,IF(E149&lt;201,E149/2,IF(E149&lt;=301,E149/3,E149/4))))</f>
        <v>823.23072000000002</v>
      </c>
      <c r="G149" s="70" t="str">
        <f t="shared" si="9"/>
        <v>6th Floor (Part Refuge Area)</v>
      </c>
      <c r="H149" s="71"/>
      <c r="I149" s="36">
        <f>(2.9*5.15+3.35*2.75+2.1*1.2+0.95*1.05+1.35*1.35+2.1*0.9+2.75*3.05+1.2*2.1+2.3*2.1)</f>
        <v>47.115000000000002</v>
      </c>
      <c r="L149" s="69"/>
      <c r="M149" s="69"/>
      <c r="N149" s="36"/>
    </row>
    <row r="150" spans="1:14" s="37" customFormat="1" x14ac:dyDescent="0.25">
      <c r="A150" s="57">
        <f t="shared" si="8"/>
        <v>5</v>
      </c>
      <c r="B150" s="57" t="s">
        <v>202</v>
      </c>
      <c r="C150" s="58">
        <v>2</v>
      </c>
      <c r="D150" s="59">
        <f>(47.8)*(10.764)</f>
        <v>514.51919999999996</v>
      </c>
      <c r="E150" s="57">
        <v>0</v>
      </c>
      <c r="F150" s="57">
        <f>D150*(($F$134)+1)+(IF(E150&lt;101,E150,IF(E150&lt;201,E150/2,IF(E150&lt;=301,E150/3,E150/4))))</f>
        <v>823.23072000000002</v>
      </c>
      <c r="G150" s="70" t="str">
        <f t="shared" si="9"/>
        <v>6th Floor (Part Refuge Area)</v>
      </c>
      <c r="H150" s="71"/>
      <c r="I150" s="36"/>
      <c r="L150" s="69"/>
      <c r="M150" s="69"/>
      <c r="N150" s="36"/>
    </row>
    <row r="151" spans="1:14" s="37" customFormat="1" x14ac:dyDescent="0.25">
      <c r="A151" s="72" t="s">
        <v>206</v>
      </c>
      <c r="B151" s="73"/>
      <c r="C151" s="73"/>
      <c r="D151" s="73"/>
      <c r="E151" s="73"/>
      <c r="F151" s="73"/>
      <c r="G151" s="73"/>
      <c r="H151" s="74"/>
      <c r="J151" s="36"/>
    </row>
    <row r="152" spans="1:14" s="37" customFormat="1" x14ac:dyDescent="0.25">
      <c r="A152" s="57">
        <v>1</v>
      </c>
      <c r="B152" s="57" t="s">
        <v>202</v>
      </c>
      <c r="C152" s="58">
        <v>2</v>
      </c>
      <c r="D152" s="59">
        <f>(47.8)*(10.764)</f>
        <v>514.51919999999996</v>
      </c>
      <c r="E152" s="57">
        <v>0</v>
      </c>
      <c r="F152" s="57">
        <f>D152*(($F$134)+1)+(IF(E152&lt;101,E152,IF(E152&lt;201,E152/2,IF(E152&lt;=301,E152/3,E152/4))))</f>
        <v>823.23072000000002</v>
      </c>
      <c r="G152" s="70" t="str">
        <f>A151</f>
        <v>9th to 12th, 14th &amp; 15th Floor</v>
      </c>
      <c r="H152" s="71"/>
      <c r="I152" s="36"/>
      <c r="L152" s="69"/>
      <c r="M152" s="69"/>
      <c r="N152" s="36"/>
    </row>
    <row r="153" spans="1:14" s="37" customFormat="1" x14ac:dyDescent="0.25">
      <c r="A153" s="57">
        <f t="shared" ref="A153:A156" si="10">A152+1</f>
        <v>2</v>
      </c>
      <c r="B153" s="57" t="s">
        <v>202</v>
      </c>
      <c r="C153" s="58">
        <v>2</v>
      </c>
      <c r="D153" s="59">
        <f>(47.8)*(10.764)</f>
        <v>514.51919999999996</v>
      </c>
      <c r="E153" s="57">
        <v>0</v>
      </c>
      <c r="F153" s="57">
        <f>D153*(($F$134)+1)+(IF(E153&lt;101,E153,IF(E153&lt;201,E153/2,IF(E153&lt;=301,E153/3,E153/4))))</f>
        <v>823.23072000000002</v>
      </c>
      <c r="G153" s="70" t="str">
        <f t="shared" ref="G153:G156" si="11">G152</f>
        <v>9th to 12th, 14th &amp; 15th Floor</v>
      </c>
      <c r="H153" s="71"/>
      <c r="I153" s="36"/>
      <c r="L153" s="69"/>
      <c r="M153" s="69"/>
      <c r="N153" s="36"/>
    </row>
    <row r="154" spans="1:14" s="37" customFormat="1" x14ac:dyDescent="0.25">
      <c r="A154" s="57">
        <f t="shared" si="10"/>
        <v>3</v>
      </c>
      <c r="B154" s="57" t="s">
        <v>203</v>
      </c>
      <c r="C154" s="58" t="s">
        <v>204</v>
      </c>
      <c r="D154" s="59">
        <f>(37.06)*(10.764)</f>
        <v>398.91383999999999</v>
      </c>
      <c r="E154" s="57">
        <v>0</v>
      </c>
      <c r="F154" s="57">
        <f>D154*(($F$134)+1)+(IF(E154&lt;101,E154,IF(E154&lt;201,E154/2,IF(E154&lt;=301,E154/3,E154/4))))</f>
        <v>638.26214400000003</v>
      </c>
      <c r="G154" s="70" t="str">
        <f t="shared" si="11"/>
        <v>9th to 12th, 14th &amp; 15th Floor</v>
      </c>
      <c r="H154" s="71"/>
      <c r="I154" s="36"/>
      <c r="L154" s="69"/>
      <c r="M154" s="69"/>
      <c r="N154" s="36"/>
    </row>
    <row r="155" spans="1:14" s="37" customFormat="1" x14ac:dyDescent="0.25">
      <c r="A155" s="57">
        <f t="shared" si="10"/>
        <v>4</v>
      </c>
      <c r="B155" s="57" t="s">
        <v>202</v>
      </c>
      <c r="C155" s="58">
        <v>2</v>
      </c>
      <c r="D155" s="59">
        <f>(47.8)*(10.764)</f>
        <v>514.51919999999996</v>
      </c>
      <c r="E155" s="57">
        <v>0</v>
      </c>
      <c r="F155" s="57">
        <f>D155*(($F$134)+1)+(IF(E155&lt;101,E155,IF(E155&lt;201,E155/2,IF(E155&lt;=301,E155/3,E155/4))))</f>
        <v>823.23072000000002</v>
      </c>
      <c r="G155" s="70" t="str">
        <f t="shared" si="11"/>
        <v>9th to 12th, 14th &amp; 15th Floor</v>
      </c>
      <c r="H155" s="71"/>
      <c r="I155" s="36"/>
      <c r="L155" s="69"/>
      <c r="M155" s="69"/>
      <c r="N155" s="36"/>
    </row>
    <row r="156" spans="1:14" s="37" customFormat="1" x14ac:dyDescent="0.25">
      <c r="A156" s="57">
        <f t="shared" si="10"/>
        <v>5</v>
      </c>
      <c r="B156" s="57" t="s">
        <v>202</v>
      </c>
      <c r="C156" s="58">
        <v>2</v>
      </c>
      <c r="D156" s="59">
        <f>(47.8)*(10.764)</f>
        <v>514.51919999999996</v>
      </c>
      <c r="E156" s="57">
        <v>0</v>
      </c>
      <c r="F156" s="57">
        <f>D156*(($F$134)+1)+(IF(E156&lt;101,E156,IF(E156&lt;201,E156/2,IF(E156&lt;=301,E156/3,E156/4))))</f>
        <v>823.23072000000002</v>
      </c>
      <c r="G156" s="70" t="str">
        <f t="shared" si="11"/>
        <v>9th to 12th, 14th &amp; 15th Floor</v>
      </c>
      <c r="H156" s="71"/>
      <c r="I156" s="36"/>
      <c r="L156" s="69"/>
      <c r="M156" s="69"/>
      <c r="N156" s="36"/>
    </row>
    <row r="157" spans="1:14" s="37" customFormat="1" x14ac:dyDescent="0.25">
      <c r="A157" s="72" t="s">
        <v>208</v>
      </c>
      <c r="B157" s="73"/>
      <c r="C157" s="73"/>
      <c r="D157" s="73"/>
      <c r="E157" s="73"/>
      <c r="F157" s="73"/>
      <c r="G157" s="73"/>
      <c r="H157" s="74"/>
      <c r="J157" s="36"/>
    </row>
    <row r="158" spans="1:14" s="37" customFormat="1" x14ac:dyDescent="0.25">
      <c r="A158" s="57">
        <v>1</v>
      </c>
      <c r="B158" s="57" t="s">
        <v>203</v>
      </c>
      <c r="C158" s="58">
        <v>2</v>
      </c>
      <c r="D158" s="59">
        <f>(53.75)*(10.764)</f>
        <v>578.56499999999994</v>
      </c>
      <c r="E158" s="57">
        <v>0</v>
      </c>
      <c r="F158" s="57">
        <f>D158*(($F$134)+1)+(IF(E158&lt;101,E158,IF(E158&lt;201,E158/2,IF(E158&lt;=301,E158/3,E158/4))))</f>
        <v>925.70399999999995</v>
      </c>
      <c r="G158" s="70" t="str">
        <f>A157</f>
        <v>13th Floor (Part Refuge Area)</v>
      </c>
      <c r="H158" s="71"/>
      <c r="I158" s="36">
        <f>(2.9*1.65+4.6*3.5+3.35*2.75+2.1*0.9+1.4*1.35+0.9*1.05+2.3*2.1+1.2*2.1+2.75*3.05)</f>
        <v>50.56</v>
      </c>
      <c r="L158" s="69"/>
      <c r="M158" s="69"/>
      <c r="N158" s="36"/>
    </row>
    <row r="159" spans="1:14" s="37" customFormat="1" x14ac:dyDescent="0.25">
      <c r="A159" s="57">
        <f t="shared" ref="A159:A162" si="12">A158+1</f>
        <v>2</v>
      </c>
      <c r="B159" s="117" t="s">
        <v>205</v>
      </c>
      <c r="C159" s="118"/>
      <c r="D159" s="118"/>
      <c r="E159" s="118"/>
      <c r="F159" s="119"/>
      <c r="G159" s="70" t="str">
        <f t="shared" ref="G159:G162" si="13">G158</f>
        <v>13th Floor (Part Refuge Area)</v>
      </c>
      <c r="H159" s="71"/>
      <c r="I159" s="36"/>
      <c r="L159" s="69"/>
      <c r="M159" s="69"/>
      <c r="N159" s="36"/>
    </row>
    <row r="160" spans="1:14" s="37" customFormat="1" x14ac:dyDescent="0.25">
      <c r="A160" s="57">
        <f t="shared" si="12"/>
        <v>3</v>
      </c>
      <c r="B160" s="120"/>
      <c r="C160" s="121"/>
      <c r="D160" s="121"/>
      <c r="E160" s="121"/>
      <c r="F160" s="122"/>
      <c r="G160" s="70" t="str">
        <f t="shared" si="13"/>
        <v>13th Floor (Part Refuge Area)</v>
      </c>
      <c r="H160" s="71"/>
      <c r="I160" s="36"/>
      <c r="L160" s="69"/>
      <c r="M160" s="69"/>
      <c r="N160" s="36"/>
    </row>
    <row r="161" spans="1:14" s="37" customFormat="1" x14ac:dyDescent="0.25">
      <c r="A161" s="57">
        <f t="shared" si="12"/>
        <v>4</v>
      </c>
      <c r="B161" s="57" t="s">
        <v>202</v>
      </c>
      <c r="C161" s="58">
        <v>2</v>
      </c>
      <c r="D161" s="59">
        <f>(47.65)*(10.764)</f>
        <v>512.90459999999996</v>
      </c>
      <c r="E161" s="57">
        <v>0</v>
      </c>
      <c r="F161" s="57">
        <f>D161*(($F$134)+1)+(IF(E161&lt;101,E161,IF(E161&lt;201,E161/2,IF(E161&lt;=301,E161/3,E161/4))))</f>
        <v>820.64735999999994</v>
      </c>
      <c r="G161" s="70" t="str">
        <f t="shared" si="13"/>
        <v>13th Floor (Part Refuge Area)</v>
      </c>
      <c r="H161" s="71"/>
      <c r="I161" s="36"/>
      <c r="L161" s="69"/>
      <c r="M161" s="69"/>
      <c r="N161" s="36"/>
    </row>
    <row r="162" spans="1:14" s="37" customFormat="1" x14ac:dyDescent="0.25">
      <c r="A162" s="57">
        <f t="shared" si="12"/>
        <v>5</v>
      </c>
      <c r="B162" s="57" t="s">
        <v>202</v>
      </c>
      <c r="C162" s="58">
        <v>2</v>
      </c>
      <c r="D162" s="59">
        <f>(47.65)*(10.764)</f>
        <v>512.90459999999996</v>
      </c>
      <c r="E162" s="57">
        <v>0</v>
      </c>
      <c r="F162" s="57">
        <f>D162*(($F$134)+1)+(IF(E162&lt;101,E162,IF(E162&lt;201,E162/2,IF(E162&lt;=301,E162/3,E162/4))))</f>
        <v>820.64735999999994</v>
      </c>
      <c r="G162" s="70" t="str">
        <f t="shared" si="13"/>
        <v>13th Floor (Part Refuge Area)</v>
      </c>
      <c r="H162" s="71"/>
      <c r="I162" s="36"/>
      <c r="L162" s="69"/>
      <c r="M162" s="69"/>
      <c r="N162" s="36"/>
    </row>
    <row r="163" spans="1:14" s="37" customFormat="1" x14ac:dyDescent="0.25">
      <c r="A163" s="72" t="s">
        <v>207</v>
      </c>
      <c r="B163" s="73"/>
      <c r="C163" s="73"/>
      <c r="D163" s="73"/>
      <c r="E163" s="73"/>
      <c r="F163" s="73"/>
      <c r="G163" s="73"/>
      <c r="H163" s="74"/>
      <c r="J163" s="36"/>
    </row>
    <row r="164" spans="1:14" s="37" customFormat="1" x14ac:dyDescent="0.25">
      <c r="A164" s="57">
        <v>1</v>
      </c>
      <c r="B164" s="57" t="s">
        <v>203</v>
      </c>
      <c r="C164" s="58">
        <v>2</v>
      </c>
      <c r="D164" s="59">
        <f>(47.8)*(10.764)</f>
        <v>514.51919999999996</v>
      </c>
      <c r="E164" s="57">
        <v>0</v>
      </c>
      <c r="F164" s="57">
        <f>D164*(($F$134)+1)+(IF(E164&lt;101,E164,IF(E164&lt;201,E164/2,IF(E164&lt;=301,E164/3,E164/4))))</f>
        <v>823.23072000000002</v>
      </c>
      <c r="G164" s="70" t="str">
        <f>A163</f>
        <v>16th to 18th Floor</v>
      </c>
      <c r="H164" s="71"/>
      <c r="I164" s="36"/>
      <c r="L164" s="69"/>
      <c r="M164" s="69"/>
      <c r="N164" s="36"/>
    </row>
    <row r="165" spans="1:14" s="37" customFormat="1" x14ac:dyDescent="0.25">
      <c r="A165" s="57">
        <f t="shared" ref="A165:A168" si="14">A164+1</f>
        <v>2</v>
      </c>
      <c r="B165" s="57" t="s">
        <v>203</v>
      </c>
      <c r="C165" s="58">
        <v>2</v>
      </c>
      <c r="D165" s="59">
        <f>(47.8)*(10.764)</f>
        <v>514.51919999999996</v>
      </c>
      <c r="E165" s="57">
        <v>0</v>
      </c>
      <c r="F165" s="57">
        <f>D165*(($F$134)+1)+(IF(E165&lt;101,E165,IF(E165&lt;201,E165/2,IF(E165&lt;=301,E165/3,E165/4))))</f>
        <v>823.23072000000002</v>
      </c>
      <c r="G165" s="70" t="str">
        <f t="shared" ref="G165:G168" si="15">G164</f>
        <v>16th to 18th Floor</v>
      </c>
      <c r="H165" s="71"/>
      <c r="I165" s="36"/>
      <c r="L165" s="69"/>
      <c r="M165" s="69"/>
      <c r="N165" s="36"/>
    </row>
    <row r="166" spans="1:14" s="37" customFormat="1" x14ac:dyDescent="0.25">
      <c r="A166" s="57">
        <f t="shared" si="14"/>
        <v>3</v>
      </c>
      <c r="B166" s="57" t="s">
        <v>203</v>
      </c>
      <c r="C166" s="58" t="s">
        <v>204</v>
      </c>
      <c r="D166" s="59">
        <f>(37.06)*(10.764)</f>
        <v>398.91383999999999</v>
      </c>
      <c r="E166" s="57">
        <v>0</v>
      </c>
      <c r="F166" s="57">
        <f>D166*(($F$134)+1)+(IF(E166&lt;101,E166,IF(E166&lt;201,E166/2,IF(E166&lt;=301,E166/3,E166/4))))</f>
        <v>638.26214400000003</v>
      </c>
      <c r="G166" s="70" t="str">
        <f t="shared" si="15"/>
        <v>16th to 18th Floor</v>
      </c>
      <c r="H166" s="71"/>
      <c r="I166" s="36"/>
      <c r="L166" s="69"/>
      <c r="M166" s="69"/>
      <c r="N166" s="36"/>
    </row>
    <row r="167" spans="1:14" s="37" customFormat="1" x14ac:dyDescent="0.25">
      <c r="A167" s="57">
        <f t="shared" si="14"/>
        <v>4</v>
      </c>
      <c r="B167" s="57" t="s">
        <v>203</v>
      </c>
      <c r="C167" s="58">
        <v>2</v>
      </c>
      <c r="D167" s="59">
        <f>(47.8)*(10.764)</f>
        <v>514.51919999999996</v>
      </c>
      <c r="E167" s="57">
        <v>0</v>
      </c>
      <c r="F167" s="57">
        <f>D167*(($F$134)+1)+(IF(E167&lt;101,E167,IF(E167&lt;201,E167/2,IF(E167&lt;=301,E167/3,E167/4))))</f>
        <v>823.23072000000002</v>
      </c>
      <c r="G167" s="70" t="str">
        <f t="shared" si="15"/>
        <v>16th to 18th Floor</v>
      </c>
      <c r="H167" s="71"/>
      <c r="I167" s="36"/>
      <c r="L167" s="69"/>
      <c r="M167" s="69"/>
      <c r="N167" s="36"/>
    </row>
    <row r="168" spans="1:14" s="37" customFormat="1" x14ac:dyDescent="0.25">
      <c r="A168" s="57">
        <f t="shared" si="14"/>
        <v>5</v>
      </c>
      <c r="B168" s="57" t="s">
        <v>203</v>
      </c>
      <c r="C168" s="58">
        <v>2</v>
      </c>
      <c r="D168" s="59">
        <f>(47.8)*(10.764)</f>
        <v>514.51919999999996</v>
      </c>
      <c r="E168" s="57">
        <v>0</v>
      </c>
      <c r="F168" s="57">
        <f>D168*(($F$134)+1)+(IF(E168&lt;101,E168,IF(E168&lt;201,E168/2,IF(E168&lt;=301,E168/3,E168/4))))</f>
        <v>823.23072000000002</v>
      </c>
      <c r="G168" s="70" t="str">
        <f t="shared" si="15"/>
        <v>16th to 18th Floor</v>
      </c>
      <c r="H168" s="71"/>
      <c r="I168" s="36"/>
      <c r="L168" s="69"/>
      <c r="M168" s="69"/>
      <c r="N168" s="36"/>
    </row>
    <row r="169" spans="1:14" s="37" customFormat="1" x14ac:dyDescent="0.25">
      <c r="A169" s="72" t="s">
        <v>209</v>
      </c>
      <c r="B169" s="73"/>
      <c r="C169" s="73"/>
      <c r="D169" s="73"/>
      <c r="E169" s="73"/>
      <c r="F169" s="73"/>
      <c r="G169" s="73"/>
      <c r="H169" s="74"/>
      <c r="J169" s="36"/>
    </row>
    <row r="170" spans="1:14" s="37" customFormat="1" x14ac:dyDescent="0.25">
      <c r="A170" s="57">
        <v>1</v>
      </c>
      <c r="B170" s="57" t="s">
        <v>203</v>
      </c>
      <c r="C170" s="58">
        <v>2</v>
      </c>
      <c r="D170" s="59">
        <f>(47.8)*(10.764)</f>
        <v>514.51919999999996</v>
      </c>
      <c r="E170" s="57">
        <v>0</v>
      </c>
      <c r="F170" s="57">
        <f>D170*(($F$134)+1)+(IF(E170&lt;101,E170,IF(E170&lt;201,E170/2,IF(E170&lt;=301,E170/3,E170/4))))</f>
        <v>823.23072000000002</v>
      </c>
      <c r="G170" s="70" t="str">
        <f>A169</f>
        <v>19th Floor</v>
      </c>
      <c r="H170" s="71"/>
      <c r="I170" s="36"/>
      <c r="L170" s="69"/>
      <c r="M170" s="69"/>
      <c r="N170" s="36"/>
    </row>
    <row r="171" spans="1:14" s="37" customFormat="1" x14ac:dyDescent="0.25">
      <c r="A171" s="57">
        <f t="shared" ref="A171:A174" si="16">A170+1</f>
        <v>2</v>
      </c>
      <c r="B171" s="57" t="s">
        <v>203</v>
      </c>
      <c r="C171" s="58">
        <v>2</v>
      </c>
      <c r="D171" s="59">
        <f>(47.8)*(10.764)</f>
        <v>514.51919999999996</v>
      </c>
      <c r="E171" s="57">
        <v>0</v>
      </c>
      <c r="F171" s="57">
        <f>D171*(($F$134)+1)+(IF(E171&lt;101,E171,IF(E171&lt;201,E171/2,IF(E171&lt;=301,E171/3,E171/4))))</f>
        <v>823.23072000000002</v>
      </c>
      <c r="G171" s="70" t="str">
        <f t="shared" ref="G171:G174" si="17">G170</f>
        <v>19th Floor</v>
      </c>
      <c r="H171" s="71"/>
      <c r="I171" s="36"/>
      <c r="L171" s="69"/>
      <c r="M171" s="69"/>
      <c r="N171" s="36"/>
    </row>
    <row r="172" spans="1:14" s="37" customFormat="1" x14ac:dyDescent="0.25">
      <c r="A172" s="57">
        <f t="shared" si="16"/>
        <v>3</v>
      </c>
      <c r="B172" s="57" t="s">
        <v>203</v>
      </c>
      <c r="C172" s="58" t="s">
        <v>204</v>
      </c>
      <c r="D172" s="59">
        <f>(37.06)*(10.764)</f>
        <v>398.91383999999999</v>
      </c>
      <c r="E172" s="57">
        <v>0</v>
      </c>
      <c r="F172" s="57">
        <f>D172*(($F$134)+1)+(IF(E172&lt;101,E172,IF(E172&lt;201,E172/2,IF(E172&lt;=301,E172/3,E172/4))))</f>
        <v>638.26214400000003</v>
      </c>
      <c r="G172" s="70" t="str">
        <f t="shared" si="17"/>
        <v>19th Floor</v>
      </c>
      <c r="H172" s="71"/>
      <c r="I172" s="36"/>
      <c r="L172" s="69"/>
      <c r="M172" s="69"/>
      <c r="N172" s="36"/>
    </row>
    <row r="173" spans="1:14" s="37" customFormat="1" x14ac:dyDescent="0.25">
      <c r="A173" s="57">
        <f t="shared" si="16"/>
        <v>4</v>
      </c>
      <c r="B173" s="57" t="s">
        <v>203</v>
      </c>
      <c r="C173" s="58">
        <v>2</v>
      </c>
      <c r="D173" s="59">
        <f>(47.8)*(10.764)</f>
        <v>514.51919999999996</v>
      </c>
      <c r="E173" s="57">
        <v>0</v>
      </c>
      <c r="F173" s="57">
        <f>D173*(($F$134)+1)+(IF(E173&lt;101,E173,IF(E173&lt;201,E173/2,IF(E173&lt;=301,E173/3,E173/4))))</f>
        <v>823.23072000000002</v>
      </c>
      <c r="G173" s="70" t="str">
        <f t="shared" si="17"/>
        <v>19th Floor</v>
      </c>
      <c r="H173" s="71"/>
      <c r="I173" s="36">
        <f>22500000/F173</f>
        <v>27331.341570926797</v>
      </c>
      <c r="L173" s="69"/>
      <c r="M173" s="69"/>
      <c r="N173" s="36"/>
    </row>
    <row r="174" spans="1:14" s="37" customFormat="1" x14ac:dyDescent="0.25">
      <c r="A174" s="57">
        <f t="shared" si="16"/>
        <v>5</v>
      </c>
      <c r="B174" s="57" t="s">
        <v>203</v>
      </c>
      <c r="C174" s="58">
        <v>2</v>
      </c>
      <c r="D174" s="59">
        <f>(47.8)*(10.764)</f>
        <v>514.51919999999996</v>
      </c>
      <c r="E174" s="57">
        <v>0</v>
      </c>
      <c r="F174" s="57">
        <f>D174*(($F$134)+1)+(IF(E174&lt;101,E174,IF(E174&lt;201,E174/2,IF(E174&lt;=301,E174/3,E174/4))))</f>
        <v>823.23072000000002</v>
      </c>
      <c r="G174" s="70" t="str">
        <f t="shared" si="17"/>
        <v>19th Floor</v>
      </c>
      <c r="H174" s="71"/>
      <c r="I174" s="36"/>
      <c r="L174" s="69"/>
      <c r="M174" s="69"/>
      <c r="N174" s="36"/>
    </row>
    <row r="175" spans="1:14" s="37" customFormat="1" x14ac:dyDescent="0.25">
      <c r="A175" s="72" t="s">
        <v>211</v>
      </c>
      <c r="B175" s="73"/>
      <c r="C175" s="73"/>
      <c r="D175" s="73"/>
      <c r="E175" s="73"/>
      <c r="F175" s="73"/>
      <c r="G175" s="73"/>
      <c r="H175" s="74"/>
      <c r="J175" s="36"/>
    </row>
    <row r="176" spans="1:14" s="37" customFormat="1" x14ac:dyDescent="0.25">
      <c r="A176" s="57">
        <v>1</v>
      </c>
      <c r="B176" s="57" t="s">
        <v>203</v>
      </c>
      <c r="C176" s="58">
        <v>2</v>
      </c>
      <c r="D176" s="59">
        <f>(47.8)*(10.764)</f>
        <v>514.51919999999996</v>
      </c>
      <c r="E176" s="57">
        <v>0</v>
      </c>
      <c r="F176" s="57">
        <f>D176*(($F$134)+1)+(IF(E176&lt;101,E176,IF(E176&lt;201,E176/2,IF(E176&lt;=301,E176/3,E176/4))))</f>
        <v>823.23072000000002</v>
      </c>
      <c r="G176" s="70" t="str">
        <f>A175</f>
        <v>20th Floor</v>
      </c>
      <c r="H176" s="71"/>
      <c r="I176" s="36"/>
      <c r="L176" s="69"/>
      <c r="M176" s="69"/>
      <c r="N176" s="36"/>
    </row>
    <row r="177" spans="1:14" s="37" customFormat="1" x14ac:dyDescent="0.25">
      <c r="A177" s="57">
        <f t="shared" ref="A177:A180" si="18">A176+1</f>
        <v>2</v>
      </c>
      <c r="B177" s="57" t="s">
        <v>203</v>
      </c>
      <c r="C177" s="58">
        <v>2</v>
      </c>
      <c r="D177" s="59">
        <f>(47.8)*(10.764)</f>
        <v>514.51919999999996</v>
      </c>
      <c r="E177" s="57">
        <v>0</v>
      </c>
      <c r="F177" s="57">
        <f>D177*(($F$134)+1)+(IF(E177&lt;101,E177,IF(E177&lt;201,E177/2,IF(E177&lt;=301,E177/3,E177/4))))</f>
        <v>823.23072000000002</v>
      </c>
      <c r="G177" s="70" t="str">
        <f t="shared" ref="G177:G180" si="19">G176</f>
        <v>20th Floor</v>
      </c>
      <c r="H177" s="71"/>
      <c r="I177" s="36"/>
      <c r="L177" s="69"/>
      <c r="M177" s="69"/>
      <c r="N177" s="36"/>
    </row>
    <row r="178" spans="1:14" s="37" customFormat="1" x14ac:dyDescent="0.25">
      <c r="A178" s="57">
        <f t="shared" si="18"/>
        <v>3</v>
      </c>
      <c r="B178" s="57" t="s">
        <v>203</v>
      </c>
      <c r="C178" s="58" t="s">
        <v>204</v>
      </c>
      <c r="D178" s="59">
        <f>(37.06)*(10.764)</f>
        <v>398.91383999999999</v>
      </c>
      <c r="E178" s="57">
        <v>0</v>
      </c>
      <c r="F178" s="57">
        <f>D178*(($F$134)+1)+(IF(E178&lt;101,E178,IF(E178&lt;201,E178/2,IF(E178&lt;=301,E178/3,E178/4))))</f>
        <v>638.26214400000003</v>
      </c>
      <c r="G178" s="70" t="str">
        <f t="shared" si="19"/>
        <v>20th Floor</v>
      </c>
      <c r="H178" s="71"/>
      <c r="I178" s="36"/>
      <c r="L178" s="69"/>
      <c r="M178" s="69"/>
      <c r="N178" s="36"/>
    </row>
    <row r="179" spans="1:14" s="37" customFormat="1" x14ac:dyDescent="0.25">
      <c r="A179" s="57">
        <f t="shared" si="18"/>
        <v>4</v>
      </c>
      <c r="B179" s="57" t="s">
        <v>203</v>
      </c>
      <c r="C179" s="58">
        <v>2</v>
      </c>
      <c r="D179" s="59">
        <f>(47.8)*(10.764)</f>
        <v>514.51919999999996</v>
      </c>
      <c r="E179" s="57">
        <v>0</v>
      </c>
      <c r="F179" s="57">
        <f>D179*(($F$134)+1)+(IF(E179&lt;101,E179,IF(E179&lt;201,E179/2,IF(E179&lt;=301,E179/3,E179/4))))</f>
        <v>823.23072000000002</v>
      </c>
      <c r="G179" s="70" t="str">
        <f t="shared" si="19"/>
        <v>20th Floor</v>
      </c>
      <c r="H179" s="71"/>
      <c r="I179" s="36"/>
      <c r="L179" s="69"/>
      <c r="M179" s="69"/>
      <c r="N179" s="36"/>
    </row>
    <row r="180" spans="1:14" s="37" customFormat="1" x14ac:dyDescent="0.25">
      <c r="A180" s="42">
        <f t="shared" si="18"/>
        <v>5</v>
      </c>
      <c r="B180" s="42" t="s">
        <v>203</v>
      </c>
      <c r="C180" s="52">
        <v>2</v>
      </c>
      <c r="D180" s="55">
        <f>(47.8)*(10.764)</f>
        <v>514.51919999999996</v>
      </c>
      <c r="E180" s="42">
        <v>0</v>
      </c>
      <c r="F180" s="42">
        <f>D180*(($F$134)+1)+(IF(E180&lt;101,E180,IF(E180&lt;201,E180/2,IF(E180&lt;=301,E180/3,E180/4))))</f>
        <v>823.23072000000002</v>
      </c>
      <c r="G180" s="75" t="str">
        <f t="shared" si="19"/>
        <v>20th Floor</v>
      </c>
      <c r="H180" s="76"/>
      <c r="I180" s="36"/>
      <c r="L180" s="69"/>
      <c r="M180" s="69"/>
      <c r="N180" s="36"/>
    </row>
    <row r="181" spans="1:14" s="37" customFormat="1" hidden="1" x14ac:dyDescent="0.25">
      <c r="A181" s="77" t="s">
        <v>123</v>
      </c>
      <c r="B181" s="78"/>
      <c r="C181" s="78"/>
      <c r="D181" s="78"/>
      <c r="E181" s="78"/>
      <c r="F181" s="78"/>
      <c r="G181" s="78"/>
      <c r="H181" s="79"/>
      <c r="J181" s="36"/>
    </row>
    <row r="182" spans="1:14" s="37" customFormat="1" hidden="1" x14ac:dyDescent="0.25">
      <c r="A182" s="75">
        <v>1</v>
      </c>
      <c r="B182" s="76"/>
      <c r="C182" s="52"/>
      <c r="D182" s="42"/>
      <c r="E182" s="42">
        <v>0</v>
      </c>
      <c r="F182" s="42">
        <f>D182*(($F$134)+1)+(IF(E182&lt;101,E182,IF(E182&lt;201,E182/2,IF(E182&lt;=301,E182/3,E182/4))))</f>
        <v>0</v>
      </c>
      <c r="G182" s="75" t="str">
        <f>A181</f>
        <v>Ground Floor</v>
      </c>
      <c r="H182" s="76"/>
      <c r="I182" s="36"/>
      <c r="L182" s="69"/>
      <c r="M182" s="69"/>
      <c r="N182" s="36"/>
    </row>
    <row r="183" spans="1:14" s="37" customFormat="1" hidden="1" x14ac:dyDescent="0.25">
      <c r="A183" s="75">
        <f t="shared" ref="A183:A186" si="20">A182+1</f>
        <v>2</v>
      </c>
      <c r="B183" s="76"/>
      <c r="C183" s="52"/>
      <c r="D183" s="42"/>
      <c r="E183" s="42">
        <v>0</v>
      </c>
      <c r="F183" s="42">
        <f>D183*(($F$134)+1)+(IF(E183&lt;101,E183,IF(E183&lt;201,E183/2,IF(E183&lt;=301,E183/3,E183/4))))</f>
        <v>0</v>
      </c>
      <c r="G183" s="75" t="str">
        <f t="shared" ref="G183:G186" si="21">G182</f>
        <v>Ground Floor</v>
      </c>
      <c r="H183" s="76"/>
      <c r="I183" s="36"/>
      <c r="L183" s="69"/>
      <c r="M183" s="69"/>
      <c r="N183" s="36"/>
    </row>
    <row r="184" spans="1:14" s="37" customFormat="1" hidden="1" x14ac:dyDescent="0.25">
      <c r="A184" s="75">
        <f t="shared" si="20"/>
        <v>3</v>
      </c>
      <c r="B184" s="76"/>
      <c r="C184" s="52"/>
      <c r="D184" s="42"/>
      <c r="E184" s="42">
        <v>0</v>
      </c>
      <c r="F184" s="42">
        <f>D184*(($F$134)+1)+(IF(E184&lt;101,E184,IF(E184&lt;201,E184/2,IF(E184&lt;=301,E184/3,E184/4))))</f>
        <v>0</v>
      </c>
      <c r="G184" s="75" t="str">
        <f t="shared" si="21"/>
        <v>Ground Floor</v>
      </c>
      <c r="H184" s="76"/>
      <c r="I184" s="36"/>
      <c r="L184" s="69"/>
      <c r="M184" s="69"/>
      <c r="N184" s="36"/>
    </row>
    <row r="185" spans="1:14" s="37" customFormat="1" hidden="1" x14ac:dyDescent="0.25">
      <c r="A185" s="75">
        <f t="shared" si="20"/>
        <v>4</v>
      </c>
      <c r="B185" s="76"/>
      <c r="C185" s="52"/>
      <c r="D185" s="42"/>
      <c r="E185" s="42">
        <v>0</v>
      </c>
      <c r="F185" s="42">
        <f>D185*(($F$134)+1)+(IF(E185&lt;101,E185,IF(E185&lt;201,E185/2,IF(E185&lt;=301,E185/3,E185/4))))</f>
        <v>0</v>
      </c>
      <c r="G185" s="75" t="str">
        <f t="shared" si="21"/>
        <v>Ground Floor</v>
      </c>
      <c r="H185" s="76"/>
      <c r="I185" s="36"/>
      <c r="L185" s="69"/>
      <c r="M185" s="69"/>
      <c r="N185" s="36"/>
    </row>
    <row r="186" spans="1:14" s="37" customFormat="1" hidden="1" x14ac:dyDescent="0.25">
      <c r="A186" s="75">
        <f t="shared" si="20"/>
        <v>5</v>
      </c>
      <c r="B186" s="76"/>
      <c r="C186" s="52"/>
      <c r="D186" s="42"/>
      <c r="E186" s="42">
        <v>0</v>
      </c>
      <c r="F186" s="42">
        <f>D186*(($F$134)+1)+(IF(E186&lt;101,E186,IF(E186&lt;201,E186/2,IF(E186&lt;=301,E186/3,E186/4))))</f>
        <v>0</v>
      </c>
      <c r="G186" s="75" t="str">
        <f t="shared" si="21"/>
        <v>Ground Floor</v>
      </c>
      <c r="H186" s="76"/>
      <c r="I186" s="36"/>
      <c r="L186" s="69"/>
      <c r="M186" s="69"/>
      <c r="N186" s="36"/>
    </row>
    <row r="187" spans="1:14" s="37" customFormat="1" x14ac:dyDescent="0.25">
      <c r="A187" s="77" t="s">
        <v>230</v>
      </c>
      <c r="B187" s="78"/>
      <c r="C187" s="78"/>
      <c r="D187" s="78"/>
      <c r="E187" s="78"/>
      <c r="F187" s="78"/>
      <c r="G187" s="78"/>
      <c r="H187" s="79"/>
      <c r="J187" s="36"/>
    </row>
    <row r="188" spans="1:14" s="37" customFormat="1" x14ac:dyDescent="0.25">
      <c r="A188" s="77" t="s">
        <v>197</v>
      </c>
      <c r="B188" s="78"/>
      <c r="C188" s="78"/>
      <c r="D188" s="78"/>
      <c r="E188" s="78"/>
      <c r="F188" s="78"/>
      <c r="G188" s="78"/>
      <c r="H188" s="79"/>
      <c r="J188" s="36"/>
    </row>
    <row r="189" spans="1:14" s="37" customFormat="1" x14ac:dyDescent="0.25">
      <c r="A189" s="77" t="s">
        <v>198</v>
      </c>
      <c r="B189" s="78"/>
      <c r="C189" s="78"/>
      <c r="D189" s="78"/>
      <c r="E189" s="78"/>
      <c r="F189" s="78"/>
      <c r="G189" s="78"/>
      <c r="H189" s="79"/>
      <c r="J189" s="36"/>
    </row>
    <row r="190" spans="1:14" s="37" customFormat="1" x14ac:dyDescent="0.25">
      <c r="A190" s="72" t="s">
        <v>199</v>
      </c>
      <c r="B190" s="73"/>
      <c r="C190" s="73"/>
      <c r="D190" s="73"/>
      <c r="E190" s="73"/>
      <c r="F190" s="73"/>
      <c r="G190" s="73"/>
      <c r="H190" s="74"/>
      <c r="J190" s="36"/>
    </row>
    <row r="191" spans="1:14" s="37" customFormat="1" ht="15.75" customHeight="1" x14ac:dyDescent="0.25">
      <c r="A191" s="72" t="s">
        <v>200</v>
      </c>
      <c r="B191" s="73"/>
      <c r="C191" s="73"/>
      <c r="D191" s="73"/>
      <c r="E191" s="73"/>
      <c r="F191" s="73"/>
      <c r="G191" s="73"/>
      <c r="H191" s="74"/>
      <c r="J191" s="36"/>
    </row>
    <row r="192" spans="1:14" s="37" customFormat="1" x14ac:dyDescent="0.25">
      <c r="A192" s="57">
        <v>1</v>
      </c>
      <c r="B192" s="57" t="s">
        <v>202</v>
      </c>
      <c r="C192" s="58">
        <v>2</v>
      </c>
      <c r="D192" s="59">
        <f>(57.8)*(10.764)</f>
        <v>622.15919999999994</v>
      </c>
      <c r="E192" s="57">
        <v>0</v>
      </c>
      <c r="F192" s="57">
        <f>D192*(($F$134)+1)+(IF(E192&lt;101,E192,IF(E192&lt;201,E192/2,IF(E192&lt;=301,E192/3,E192/4))))</f>
        <v>995.45471999999995</v>
      </c>
      <c r="G192" s="70" t="str">
        <f>A191</f>
        <v>5th, 7th &amp; 8th Floor For Residential</v>
      </c>
      <c r="H192" s="71"/>
      <c r="I192" s="36"/>
      <c r="J192" s="37">
        <f>3*6+3.73*2.75+2.4*2.1+1.25*0.85+1*1.4+2.65*1.25+3.8*2.75+1.35*2.4+2.6*1.2+0.9*1.4</f>
        <v>57.142499999999991</v>
      </c>
      <c r="L192" s="69"/>
      <c r="M192" s="69"/>
      <c r="N192" s="36"/>
    </row>
    <row r="193" spans="1:14" s="37" customFormat="1" x14ac:dyDescent="0.25">
      <c r="A193" s="57">
        <f t="shared" ref="A193:A196" si="22">A192+1</f>
        <v>2</v>
      </c>
      <c r="B193" s="57" t="s">
        <v>202</v>
      </c>
      <c r="C193" s="58">
        <v>2</v>
      </c>
      <c r="D193" s="59">
        <f>(57.8)*(10.764)</f>
        <v>622.15919999999994</v>
      </c>
      <c r="E193" s="57">
        <v>0</v>
      </c>
      <c r="F193" s="57">
        <f>D193*(($F$134)+1)+(IF(E193&lt;101,E193,IF(E193&lt;201,E193/2,IF(E193&lt;=301,E193/3,E193/4))))</f>
        <v>995.45471999999995</v>
      </c>
      <c r="G193" s="70" t="str">
        <f t="shared" ref="G193:G196" si="23">G192</f>
        <v>5th, 7th &amp; 8th Floor For Residential</v>
      </c>
      <c r="H193" s="71"/>
      <c r="I193" s="36"/>
      <c r="L193" s="69"/>
      <c r="M193" s="69"/>
      <c r="N193" s="36"/>
    </row>
    <row r="194" spans="1:14" s="37" customFormat="1" x14ac:dyDescent="0.25">
      <c r="A194" s="57">
        <f t="shared" si="22"/>
        <v>3</v>
      </c>
      <c r="B194" s="57" t="s">
        <v>203</v>
      </c>
      <c r="C194" s="58">
        <v>3</v>
      </c>
      <c r="D194" s="59">
        <f>(81.68)*(10.764)</f>
        <v>879.20352000000003</v>
      </c>
      <c r="E194" s="57">
        <v>0</v>
      </c>
      <c r="F194" s="57">
        <f>D194*(($F$134)+1)+(IF(E194&lt;101,E194,IF(E194&lt;201,E194/2,IF(E194&lt;=301,E194/3,E194/4))))</f>
        <v>1406.7256320000001</v>
      </c>
      <c r="G194" s="70" t="str">
        <f t="shared" si="23"/>
        <v>5th, 7th &amp; 8th Floor For Residential</v>
      </c>
      <c r="H194" s="71"/>
      <c r="I194" s="36"/>
      <c r="J194" s="37">
        <f>1.27*1.95+2.34*2.65+4.7*3.6+3.65*3.6+1.42*2.4+3.65*2.75+1.42*2.2+1.35*2.4+3.2*2.75+0.96*1.1+0.45*0.65+2.18*2.5+1.05*1.5+4.7*1.1</f>
        <v>80.890500000000017</v>
      </c>
      <c r="L194" s="69"/>
      <c r="M194" s="69"/>
      <c r="N194" s="36"/>
    </row>
    <row r="195" spans="1:14" s="37" customFormat="1" x14ac:dyDescent="0.25">
      <c r="A195" s="57">
        <f t="shared" si="22"/>
        <v>4</v>
      </c>
      <c r="B195" s="57" t="s">
        <v>202</v>
      </c>
      <c r="C195" s="58">
        <v>2</v>
      </c>
      <c r="D195" s="59">
        <f>(57.8)*(10.764)</f>
        <v>622.15919999999994</v>
      </c>
      <c r="E195" s="57">
        <v>0</v>
      </c>
      <c r="F195" s="57">
        <f>D195*(($F$134)+1)+(IF(E195&lt;101,E195,IF(E195&lt;201,E195/2,IF(E195&lt;=301,E195/3,E195/4))))</f>
        <v>995.45471999999995</v>
      </c>
      <c r="G195" s="70" t="str">
        <f t="shared" si="23"/>
        <v>5th, 7th &amp; 8th Floor For Residential</v>
      </c>
      <c r="H195" s="71"/>
      <c r="I195" s="36"/>
      <c r="L195" s="69"/>
      <c r="M195" s="69"/>
      <c r="N195" s="36"/>
    </row>
    <row r="196" spans="1:14" s="37" customFormat="1" x14ac:dyDescent="0.25">
      <c r="A196" s="57">
        <f t="shared" si="22"/>
        <v>5</v>
      </c>
      <c r="B196" s="57" t="s">
        <v>202</v>
      </c>
      <c r="C196" s="58">
        <v>2</v>
      </c>
      <c r="D196" s="59">
        <f>(57.8)*(10.764)</f>
        <v>622.15919999999994</v>
      </c>
      <c r="E196" s="57">
        <v>0</v>
      </c>
      <c r="F196" s="57">
        <f>D196*(($F$134)+1)+(IF(E196&lt;101,E196,IF(E196&lt;201,E196/2,IF(E196&lt;=301,E196/3,E196/4))))</f>
        <v>995.45471999999995</v>
      </c>
      <c r="G196" s="70" t="str">
        <f t="shared" si="23"/>
        <v>5th, 7th &amp; 8th Floor For Residential</v>
      </c>
      <c r="H196" s="71"/>
      <c r="I196" s="36"/>
      <c r="L196" s="69"/>
      <c r="M196" s="69"/>
      <c r="N196" s="36"/>
    </row>
    <row r="197" spans="1:14" s="37" customFormat="1" ht="15.75" customHeight="1" x14ac:dyDescent="0.25">
      <c r="A197" s="72" t="s">
        <v>201</v>
      </c>
      <c r="B197" s="73"/>
      <c r="C197" s="73"/>
      <c r="D197" s="73"/>
      <c r="E197" s="73"/>
      <c r="F197" s="73"/>
      <c r="G197" s="73"/>
      <c r="H197" s="74"/>
      <c r="J197" s="36"/>
    </row>
    <row r="198" spans="1:14" s="37" customFormat="1" x14ac:dyDescent="0.25">
      <c r="A198" s="57">
        <v>1</v>
      </c>
      <c r="B198" s="117" t="s">
        <v>205</v>
      </c>
      <c r="C198" s="118"/>
      <c r="D198" s="118"/>
      <c r="E198" s="118"/>
      <c r="F198" s="119"/>
      <c r="G198" s="70" t="str">
        <f>A197</f>
        <v>6th Floor (Part Refuge Area)</v>
      </c>
      <c r="H198" s="71"/>
      <c r="I198" s="36"/>
      <c r="L198" s="69"/>
      <c r="M198" s="69"/>
      <c r="N198" s="36"/>
    </row>
    <row r="199" spans="1:14" s="37" customFormat="1" x14ac:dyDescent="0.25">
      <c r="A199" s="57">
        <f t="shared" ref="A199:A202" si="24">A198+1</f>
        <v>2</v>
      </c>
      <c r="B199" s="120"/>
      <c r="C199" s="121"/>
      <c r="D199" s="121"/>
      <c r="E199" s="121"/>
      <c r="F199" s="122"/>
      <c r="G199" s="70" t="str">
        <f t="shared" ref="G199:G202" si="25">G198</f>
        <v>6th Floor (Part Refuge Area)</v>
      </c>
      <c r="H199" s="71"/>
      <c r="I199" s="36"/>
      <c r="L199" s="69"/>
      <c r="M199" s="69"/>
      <c r="N199" s="36"/>
    </row>
    <row r="200" spans="1:14" s="37" customFormat="1" x14ac:dyDescent="0.25">
      <c r="A200" s="57">
        <f t="shared" si="24"/>
        <v>3</v>
      </c>
      <c r="B200" s="57" t="s">
        <v>203</v>
      </c>
      <c r="C200" s="58">
        <v>3</v>
      </c>
      <c r="D200" s="59">
        <f>(81.68)*(10.764)</f>
        <v>879.20352000000003</v>
      </c>
      <c r="E200" s="57">
        <v>0</v>
      </c>
      <c r="F200" s="57">
        <f>D200*(($F$134)+1)+(IF(E200&lt;101,E200,IF(E200&lt;201,E200/2,IF(E200&lt;=301,E200/3,E200/4))))</f>
        <v>1406.7256320000001</v>
      </c>
      <c r="G200" s="70" t="str">
        <f t="shared" si="25"/>
        <v>6th Floor (Part Refuge Area)</v>
      </c>
      <c r="H200" s="71"/>
      <c r="I200" s="36">
        <f>(1.27*1.95+2.34*2.65+1.05*1.5+2.18*2.5+4.7*3.6+3.2*2.75+1.35*2.4+0.96*1.1+3.65*2.75+3.65*3.6+1.42*2.4+1.42*2.2+1.1*4.6)</f>
        <v>80.488</v>
      </c>
      <c r="L200" s="69"/>
      <c r="M200" s="69"/>
      <c r="N200" s="36"/>
    </row>
    <row r="201" spans="1:14" s="37" customFormat="1" x14ac:dyDescent="0.25">
      <c r="A201" s="57">
        <f t="shared" si="24"/>
        <v>4</v>
      </c>
      <c r="B201" s="57" t="s">
        <v>202</v>
      </c>
      <c r="C201" s="58">
        <v>2</v>
      </c>
      <c r="D201" s="59">
        <f>(57.8)*(10.764)</f>
        <v>622.15919999999994</v>
      </c>
      <c r="E201" s="57">
        <v>0</v>
      </c>
      <c r="F201" s="57">
        <f>D201*(($F$134)+1)+(IF(E201&lt;101,E201,IF(E201&lt;201,E201/2,IF(E201&lt;=301,E201/3,E201/4))))</f>
        <v>995.45471999999995</v>
      </c>
      <c r="G201" s="70" t="str">
        <f t="shared" si="25"/>
        <v>6th Floor (Part Refuge Area)</v>
      </c>
      <c r="H201" s="71"/>
      <c r="I201" s="36">
        <f>(3*6+1.2*2.6+2.4*2.1+0.9*1.4+3.73*2.75+1.25*0.85+1.5*2.4+1*1.4+3.8*2.75+2.65*1.25)</f>
        <v>57.502499999999998</v>
      </c>
      <c r="L201" s="69"/>
      <c r="M201" s="69"/>
      <c r="N201" s="36"/>
    </row>
    <row r="202" spans="1:14" s="37" customFormat="1" x14ac:dyDescent="0.25">
      <c r="A202" s="57">
        <f t="shared" si="24"/>
        <v>5</v>
      </c>
      <c r="B202" s="57" t="s">
        <v>202</v>
      </c>
      <c r="C202" s="58">
        <v>2</v>
      </c>
      <c r="D202" s="59">
        <f>(57.8)*(10.764)</f>
        <v>622.15919999999994</v>
      </c>
      <c r="E202" s="57">
        <v>0</v>
      </c>
      <c r="F202" s="57">
        <f>D202*(($F$134)+1)+(IF(E202&lt;101,E202,IF(E202&lt;201,E202/2,IF(E202&lt;=301,E202/3,E202/4))))</f>
        <v>995.45471999999995</v>
      </c>
      <c r="G202" s="70" t="str">
        <f t="shared" si="25"/>
        <v>6th Floor (Part Refuge Area)</v>
      </c>
      <c r="H202" s="71"/>
      <c r="I202" s="36"/>
      <c r="L202" s="69"/>
      <c r="M202" s="69"/>
      <c r="N202" s="36"/>
    </row>
    <row r="203" spans="1:14" s="37" customFormat="1" ht="15.75" customHeight="1" x14ac:dyDescent="0.25">
      <c r="A203" s="72" t="s">
        <v>206</v>
      </c>
      <c r="B203" s="73"/>
      <c r="C203" s="73"/>
      <c r="D203" s="73"/>
      <c r="E203" s="73"/>
      <c r="F203" s="73"/>
      <c r="G203" s="73"/>
      <c r="H203" s="74"/>
      <c r="J203" s="36"/>
    </row>
    <row r="204" spans="1:14" s="37" customFormat="1" x14ac:dyDescent="0.25">
      <c r="A204" s="57">
        <v>1</v>
      </c>
      <c r="B204" s="57" t="s">
        <v>203</v>
      </c>
      <c r="C204" s="58">
        <v>2</v>
      </c>
      <c r="D204" s="59">
        <f>(57.8)*(10.764)</f>
        <v>622.15919999999994</v>
      </c>
      <c r="E204" s="57">
        <v>0</v>
      </c>
      <c r="F204" s="57">
        <f>D204*(($F$134)+1)+(IF(E204&lt;101,E204,IF(E204&lt;201,E204/2,IF(E204&lt;=301,E204/3,E204/4))))</f>
        <v>995.45471999999995</v>
      </c>
      <c r="G204" s="70" t="str">
        <f>A203</f>
        <v>9th to 12th, 14th &amp; 15th Floor</v>
      </c>
      <c r="H204" s="71"/>
      <c r="I204" s="36"/>
      <c r="L204" s="69"/>
      <c r="M204" s="69"/>
      <c r="N204" s="36"/>
    </row>
    <row r="205" spans="1:14" s="37" customFormat="1" x14ac:dyDescent="0.25">
      <c r="A205" s="57">
        <f t="shared" ref="A205:A208" si="26">A204+1</f>
        <v>2</v>
      </c>
      <c r="B205" s="57" t="s">
        <v>203</v>
      </c>
      <c r="C205" s="58">
        <v>2</v>
      </c>
      <c r="D205" s="59">
        <f>(57.8)*(10.764)</f>
        <v>622.15919999999994</v>
      </c>
      <c r="E205" s="57">
        <v>0</v>
      </c>
      <c r="F205" s="57">
        <f>D205*(($F$134)+1)+(IF(E205&lt;101,E205,IF(E205&lt;201,E205/2,IF(E205&lt;=301,E205/3,E205/4))))</f>
        <v>995.45471999999995</v>
      </c>
      <c r="G205" s="70" t="str">
        <f t="shared" ref="G205:G208" si="27">G204</f>
        <v>9th to 12th, 14th &amp; 15th Floor</v>
      </c>
      <c r="H205" s="71"/>
      <c r="I205" s="36"/>
      <c r="L205" s="69"/>
      <c r="M205" s="69"/>
      <c r="N205" s="36"/>
    </row>
    <row r="206" spans="1:14" s="37" customFormat="1" x14ac:dyDescent="0.25">
      <c r="A206" s="57">
        <f t="shared" si="26"/>
        <v>3</v>
      </c>
      <c r="B206" s="57" t="s">
        <v>203</v>
      </c>
      <c r="C206" s="58">
        <v>3</v>
      </c>
      <c r="D206" s="59">
        <f>(81.68)*(10.764)</f>
        <v>879.20352000000003</v>
      </c>
      <c r="E206" s="57">
        <v>0</v>
      </c>
      <c r="F206" s="57">
        <f>D206*(($F$134)+1)+(IF(E206&lt;101,E206,IF(E206&lt;201,E206/2,IF(E206&lt;=301,E206/3,E206/4))))</f>
        <v>1406.7256320000001</v>
      </c>
      <c r="G206" s="70" t="str">
        <f t="shared" si="27"/>
        <v>9th to 12th, 14th &amp; 15th Floor</v>
      </c>
      <c r="H206" s="71"/>
      <c r="I206" s="36"/>
      <c r="L206" s="69"/>
      <c r="M206" s="69"/>
      <c r="N206" s="36"/>
    </row>
    <row r="207" spans="1:14" s="37" customFormat="1" x14ac:dyDescent="0.25">
      <c r="A207" s="57">
        <f t="shared" si="26"/>
        <v>4</v>
      </c>
      <c r="B207" s="57" t="s">
        <v>203</v>
      </c>
      <c r="C207" s="58">
        <v>2</v>
      </c>
      <c r="D207" s="59">
        <f>(57.8)*(10.764)</f>
        <v>622.15919999999994</v>
      </c>
      <c r="E207" s="57">
        <v>0</v>
      </c>
      <c r="F207" s="57">
        <f>D207*(($F$134)+1)+(IF(E207&lt;101,E207,IF(E207&lt;201,E207/2,IF(E207&lt;=301,E207/3,E207/4))))</f>
        <v>995.45471999999995</v>
      </c>
      <c r="G207" s="70" t="str">
        <f t="shared" si="27"/>
        <v>9th to 12th, 14th &amp; 15th Floor</v>
      </c>
      <c r="H207" s="71"/>
      <c r="I207" s="36"/>
      <c r="L207" s="69"/>
      <c r="M207" s="69"/>
      <c r="N207" s="36"/>
    </row>
    <row r="208" spans="1:14" s="37" customFormat="1" x14ac:dyDescent="0.25">
      <c r="A208" s="57">
        <f t="shared" si="26"/>
        <v>5</v>
      </c>
      <c r="B208" s="57" t="s">
        <v>203</v>
      </c>
      <c r="C208" s="58">
        <v>2</v>
      </c>
      <c r="D208" s="59">
        <f>(57.8)*(10.764)</f>
        <v>622.15919999999994</v>
      </c>
      <c r="E208" s="57">
        <v>0</v>
      </c>
      <c r="F208" s="57">
        <f>D208*(($F$134)+1)+(IF(E208&lt;101,E208,IF(E208&lt;201,E208/2,IF(E208&lt;=301,E208/3,E208/4))))</f>
        <v>995.45471999999995</v>
      </c>
      <c r="G208" s="70" t="str">
        <f t="shared" si="27"/>
        <v>9th to 12th, 14th &amp; 15th Floor</v>
      </c>
      <c r="H208" s="71"/>
      <c r="I208" s="36"/>
      <c r="L208" s="69"/>
      <c r="M208" s="69"/>
      <c r="N208" s="36"/>
    </row>
    <row r="209" spans="1:14" s="37" customFormat="1" x14ac:dyDescent="0.25">
      <c r="A209" s="72" t="s">
        <v>208</v>
      </c>
      <c r="B209" s="73"/>
      <c r="C209" s="73"/>
      <c r="D209" s="73"/>
      <c r="E209" s="73"/>
      <c r="F209" s="73"/>
      <c r="G209" s="73"/>
      <c r="H209" s="74"/>
      <c r="J209" s="36"/>
    </row>
    <row r="210" spans="1:14" s="37" customFormat="1" x14ac:dyDescent="0.25">
      <c r="A210" s="57">
        <v>1</v>
      </c>
      <c r="B210" s="117" t="s">
        <v>205</v>
      </c>
      <c r="C210" s="118"/>
      <c r="D210" s="118"/>
      <c r="E210" s="118"/>
      <c r="F210" s="119"/>
      <c r="G210" s="70" t="str">
        <f>A209</f>
        <v>13th Floor (Part Refuge Area)</v>
      </c>
      <c r="H210" s="71"/>
      <c r="I210" s="36"/>
      <c r="L210" s="69"/>
      <c r="M210" s="69"/>
      <c r="N210" s="36"/>
    </row>
    <row r="211" spans="1:14" s="37" customFormat="1" x14ac:dyDescent="0.25">
      <c r="A211" s="57">
        <f t="shared" ref="A211:A214" si="28">A210+1</f>
        <v>2</v>
      </c>
      <c r="B211" s="120"/>
      <c r="C211" s="121"/>
      <c r="D211" s="121"/>
      <c r="E211" s="121"/>
      <c r="F211" s="122"/>
      <c r="G211" s="70" t="str">
        <f t="shared" ref="G211:G214" si="29">G210</f>
        <v>13th Floor (Part Refuge Area)</v>
      </c>
      <c r="H211" s="71"/>
      <c r="I211" s="36"/>
      <c r="L211" s="69"/>
      <c r="M211" s="69"/>
      <c r="N211" s="36"/>
    </row>
    <row r="212" spans="1:14" s="37" customFormat="1" x14ac:dyDescent="0.25">
      <c r="A212" s="57">
        <f t="shared" si="28"/>
        <v>3</v>
      </c>
      <c r="B212" s="57" t="s">
        <v>203</v>
      </c>
      <c r="C212" s="58">
        <v>3</v>
      </c>
      <c r="D212" s="59">
        <f>(81.68)*(10.764)</f>
        <v>879.20352000000003</v>
      </c>
      <c r="E212" s="57">
        <v>0</v>
      </c>
      <c r="F212" s="57">
        <f>D212*(($F$134)+1)+(IF(E212&lt;101,E212,IF(E212&lt;201,E212/2,IF(E212&lt;=301,E212/3,E212/4))))</f>
        <v>1406.7256320000001</v>
      </c>
      <c r="G212" s="70" t="str">
        <f t="shared" si="29"/>
        <v>13th Floor (Part Refuge Area)</v>
      </c>
      <c r="H212" s="71"/>
      <c r="I212" s="36"/>
      <c r="L212" s="69"/>
      <c r="M212" s="69"/>
      <c r="N212" s="36"/>
    </row>
    <row r="213" spans="1:14" s="37" customFormat="1" x14ac:dyDescent="0.25">
      <c r="A213" s="57">
        <f t="shared" si="28"/>
        <v>4</v>
      </c>
      <c r="B213" s="57" t="s">
        <v>203</v>
      </c>
      <c r="C213" s="58">
        <v>2</v>
      </c>
      <c r="D213" s="59">
        <f>(57.8)*(10.764)</f>
        <v>622.15919999999994</v>
      </c>
      <c r="E213" s="57">
        <v>0</v>
      </c>
      <c r="F213" s="57">
        <f>D213*(($F$134)+1)+(IF(E213&lt;101,E213,IF(E213&lt;201,E213/2,IF(E213&lt;=301,E213/3,E213/4))))</f>
        <v>995.45471999999995</v>
      </c>
      <c r="G213" s="70" t="str">
        <f t="shared" si="29"/>
        <v>13th Floor (Part Refuge Area)</v>
      </c>
      <c r="H213" s="71"/>
      <c r="I213" s="36">
        <f>22500000/F213</f>
        <v>22602.735762807977</v>
      </c>
      <c r="L213" s="69"/>
      <c r="M213" s="69"/>
      <c r="N213" s="36"/>
    </row>
    <row r="214" spans="1:14" s="37" customFormat="1" x14ac:dyDescent="0.25">
      <c r="A214" s="57">
        <f t="shared" si="28"/>
        <v>5</v>
      </c>
      <c r="B214" s="57" t="s">
        <v>203</v>
      </c>
      <c r="C214" s="58">
        <v>2</v>
      </c>
      <c r="D214" s="59">
        <f>(57.8)*(10.764)</f>
        <v>622.15919999999994</v>
      </c>
      <c r="E214" s="57">
        <v>0</v>
      </c>
      <c r="F214" s="57">
        <f>D214*(($F$134)+1)+(IF(E214&lt;101,E214,IF(E214&lt;201,E214/2,IF(E214&lt;=301,E214/3,E214/4))))</f>
        <v>995.45471999999995</v>
      </c>
      <c r="G214" s="70" t="str">
        <f t="shared" si="29"/>
        <v>13th Floor (Part Refuge Area)</v>
      </c>
      <c r="H214" s="71"/>
      <c r="I214" s="36"/>
      <c r="L214" s="69"/>
      <c r="M214" s="69"/>
      <c r="N214" s="36"/>
    </row>
    <row r="215" spans="1:14" s="37" customFormat="1" ht="15.75" customHeight="1" x14ac:dyDescent="0.25">
      <c r="A215" s="72" t="s">
        <v>207</v>
      </c>
      <c r="B215" s="73"/>
      <c r="C215" s="73"/>
      <c r="D215" s="73"/>
      <c r="E215" s="73"/>
      <c r="F215" s="73"/>
      <c r="G215" s="73"/>
      <c r="H215" s="74"/>
      <c r="J215" s="36"/>
    </row>
    <row r="216" spans="1:14" s="37" customFormat="1" x14ac:dyDescent="0.25">
      <c r="A216" s="57">
        <v>1</v>
      </c>
      <c r="B216" s="57" t="s">
        <v>203</v>
      </c>
      <c r="C216" s="58">
        <v>2</v>
      </c>
      <c r="D216" s="59">
        <f>(57.8)*(10.764)</f>
        <v>622.15919999999994</v>
      </c>
      <c r="E216" s="57">
        <v>0</v>
      </c>
      <c r="F216" s="57">
        <f>D216*(($F$134)+1)+(IF(E216&lt;101,E216,IF(E216&lt;201,E216/2,IF(E216&lt;=301,E216/3,E216/4))))</f>
        <v>995.45471999999995</v>
      </c>
      <c r="G216" s="70" t="str">
        <f>A215</f>
        <v>16th to 18th Floor</v>
      </c>
      <c r="H216" s="71"/>
      <c r="I216" s="36"/>
      <c r="L216" s="69"/>
      <c r="M216" s="69"/>
      <c r="N216" s="36"/>
    </row>
    <row r="217" spans="1:14" s="37" customFormat="1" x14ac:dyDescent="0.25">
      <c r="A217" s="57">
        <f t="shared" ref="A217:A220" si="30">A216+1</f>
        <v>2</v>
      </c>
      <c r="B217" s="57" t="s">
        <v>203</v>
      </c>
      <c r="C217" s="58">
        <v>2</v>
      </c>
      <c r="D217" s="59">
        <f>(57.8)*(10.764)</f>
        <v>622.15919999999994</v>
      </c>
      <c r="E217" s="57">
        <v>0</v>
      </c>
      <c r="F217" s="57">
        <f>D217*(($F$134)+1)+(IF(E217&lt;101,E217,IF(E217&lt;201,E217/2,IF(E217&lt;=301,E217/3,E217/4))))</f>
        <v>995.45471999999995</v>
      </c>
      <c r="G217" s="70" t="str">
        <f t="shared" ref="G217:G220" si="31">G216</f>
        <v>16th to 18th Floor</v>
      </c>
      <c r="H217" s="71"/>
      <c r="I217" s="36"/>
      <c r="L217" s="69"/>
      <c r="M217" s="69"/>
      <c r="N217" s="36"/>
    </row>
    <row r="218" spans="1:14" s="37" customFormat="1" x14ac:dyDescent="0.25">
      <c r="A218" s="57">
        <f t="shared" si="30"/>
        <v>3</v>
      </c>
      <c r="B218" s="57" t="s">
        <v>203</v>
      </c>
      <c r="C218" s="58">
        <v>3</v>
      </c>
      <c r="D218" s="59">
        <f>(81.68)*(10.764)</f>
        <v>879.20352000000003</v>
      </c>
      <c r="E218" s="57">
        <v>0</v>
      </c>
      <c r="F218" s="57">
        <f>D218*(($F$134)+1)+(IF(E218&lt;101,E218,IF(E218&lt;201,E218/2,IF(E218&lt;=301,E218/3,E218/4))))</f>
        <v>1406.7256320000001</v>
      </c>
      <c r="G218" s="70" t="str">
        <f t="shared" si="31"/>
        <v>16th to 18th Floor</v>
      </c>
      <c r="H218" s="71"/>
      <c r="I218" s="36"/>
      <c r="L218" s="69"/>
      <c r="M218" s="69"/>
      <c r="N218" s="36"/>
    </row>
    <row r="219" spans="1:14" s="37" customFormat="1" x14ac:dyDescent="0.25">
      <c r="A219" s="57">
        <f t="shared" si="30"/>
        <v>4</v>
      </c>
      <c r="B219" s="57" t="s">
        <v>203</v>
      </c>
      <c r="C219" s="58">
        <v>2</v>
      </c>
      <c r="D219" s="59">
        <f>(57.8)*(10.764)</f>
        <v>622.15919999999994</v>
      </c>
      <c r="E219" s="57">
        <v>0</v>
      </c>
      <c r="F219" s="57">
        <f>D219*(($F$134)+1)+(IF(E219&lt;101,E219,IF(E219&lt;201,E219/2,IF(E219&lt;=301,E219/3,E219/4))))</f>
        <v>995.45471999999995</v>
      </c>
      <c r="G219" s="70" t="str">
        <f t="shared" si="31"/>
        <v>16th to 18th Floor</v>
      </c>
      <c r="H219" s="71"/>
      <c r="I219" s="36"/>
      <c r="L219" s="69"/>
      <c r="M219" s="69"/>
      <c r="N219" s="36"/>
    </row>
    <row r="220" spans="1:14" s="37" customFormat="1" x14ac:dyDescent="0.25">
      <c r="A220" s="57">
        <f t="shared" si="30"/>
        <v>5</v>
      </c>
      <c r="B220" s="57" t="s">
        <v>203</v>
      </c>
      <c r="C220" s="58">
        <v>2</v>
      </c>
      <c r="D220" s="59">
        <f>(57.8)*(10.764)</f>
        <v>622.15919999999994</v>
      </c>
      <c r="E220" s="57">
        <v>0</v>
      </c>
      <c r="F220" s="57">
        <f>D220*(($F$134)+1)+(IF(E220&lt;101,E220,IF(E220&lt;201,E220/2,IF(E220&lt;=301,E220/3,E220/4))))</f>
        <v>995.45471999999995</v>
      </c>
      <c r="G220" s="70" t="str">
        <f t="shared" si="31"/>
        <v>16th to 18th Floor</v>
      </c>
      <c r="H220" s="71"/>
      <c r="I220" s="36"/>
      <c r="L220" s="69"/>
      <c r="M220" s="69"/>
      <c r="N220" s="36"/>
    </row>
    <row r="221" spans="1:14" s="37" customFormat="1" x14ac:dyDescent="0.25">
      <c r="A221" s="72" t="s">
        <v>210</v>
      </c>
      <c r="B221" s="73"/>
      <c r="C221" s="73"/>
      <c r="D221" s="73"/>
      <c r="E221" s="73"/>
      <c r="F221" s="73"/>
      <c r="G221" s="73"/>
      <c r="H221" s="74"/>
      <c r="J221" s="36"/>
    </row>
    <row r="222" spans="1:14" s="37" customFormat="1" x14ac:dyDescent="0.25">
      <c r="A222" s="57">
        <v>3</v>
      </c>
      <c r="B222" s="57" t="s">
        <v>203</v>
      </c>
      <c r="C222" s="58">
        <v>3</v>
      </c>
      <c r="D222" s="59">
        <f>(81.68)*(10.764)</f>
        <v>879.20352000000003</v>
      </c>
      <c r="E222" s="57">
        <v>0</v>
      </c>
      <c r="F222" s="57">
        <f>D222*(($F$134)+1)+(IF(E222&lt;101,E222,IF(E222&lt;201,E222/2,IF(E222&lt;=301,E222/3,E222/4))))</f>
        <v>1406.7256320000001</v>
      </c>
      <c r="G222" s="70" t="str">
        <f>A221</f>
        <v>19th Floor (Part Terrace Area)</v>
      </c>
      <c r="H222" s="71"/>
      <c r="I222" s="36"/>
      <c r="L222" s="69"/>
      <c r="M222" s="69"/>
      <c r="N222" s="36"/>
    </row>
    <row r="223" spans="1:14" s="37" customFormat="1" hidden="1" x14ac:dyDescent="0.25">
      <c r="A223" s="72" t="s">
        <v>123</v>
      </c>
      <c r="B223" s="73"/>
      <c r="C223" s="73"/>
      <c r="D223" s="73"/>
      <c r="E223" s="73"/>
      <c r="F223" s="73"/>
      <c r="G223" s="73"/>
      <c r="H223" s="74"/>
      <c r="J223" s="36"/>
    </row>
    <row r="224" spans="1:14" s="37" customFormat="1" hidden="1" x14ac:dyDescent="0.25">
      <c r="A224" s="70">
        <v>1</v>
      </c>
      <c r="B224" s="71"/>
      <c r="C224" s="58"/>
      <c r="D224" s="57"/>
      <c r="E224" s="57">
        <v>0</v>
      </c>
      <c r="F224" s="57">
        <f>D224*(($F$134)+1)+(IF(E224&lt;101,E224,IF(E224&lt;201,E224/2,IF(E224&lt;=301,E224/3,E224/4))))</f>
        <v>0</v>
      </c>
      <c r="G224" s="70" t="str">
        <f>A223</f>
        <v>Ground Floor</v>
      </c>
      <c r="H224" s="71"/>
      <c r="I224" s="36"/>
      <c r="L224" s="69"/>
      <c r="M224" s="69"/>
      <c r="N224" s="36"/>
    </row>
    <row r="225" spans="1:14" s="37" customFormat="1" hidden="1" x14ac:dyDescent="0.25">
      <c r="A225" s="70">
        <f t="shared" ref="A225:A228" si="32">A224+1</f>
        <v>2</v>
      </c>
      <c r="B225" s="71"/>
      <c r="C225" s="58"/>
      <c r="D225" s="57"/>
      <c r="E225" s="57">
        <v>0</v>
      </c>
      <c r="F225" s="57">
        <f>D225*(($F$134)+1)+(IF(E225&lt;101,E225,IF(E225&lt;201,E225/2,IF(E225&lt;=301,E225/3,E225/4))))</f>
        <v>0</v>
      </c>
      <c r="G225" s="70" t="str">
        <f t="shared" ref="G225:G228" si="33">G224</f>
        <v>Ground Floor</v>
      </c>
      <c r="H225" s="71"/>
      <c r="I225" s="36"/>
      <c r="L225" s="69"/>
      <c r="M225" s="69"/>
      <c r="N225" s="36"/>
    </row>
    <row r="226" spans="1:14" s="37" customFormat="1" hidden="1" x14ac:dyDescent="0.25">
      <c r="A226" s="70">
        <f t="shared" si="32"/>
        <v>3</v>
      </c>
      <c r="B226" s="71"/>
      <c r="C226" s="58"/>
      <c r="D226" s="57"/>
      <c r="E226" s="57">
        <v>0</v>
      </c>
      <c r="F226" s="57">
        <f>D226*(($F$134)+1)+(IF(E226&lt;101,E226,IF(E226&lt;201,E226/2,IF(E226&lt;=301,E226/3,E226/4))))</f>
        <v>0</v>
      </c>
      <c r="G226" s="70" t="str">
        <f t="shared" si="33"/>
        <v>Ground Floor</v>
      </c>
      <c r="H226" s="71"/>
      <c r="I226" s="36"/>
      <c r="L226" s="69"/>
      <c r="M226" s="69"/>
      <c r="N226" s="36"/>
    </row>
    <row r="227" spans="1:14" s="37" customFormat="1" hidden="1" x14ac:dyDescent="0.25">
      <c r="A227" s="70">
        <f t="shared" si="32"/>
        <v>4</v>
      </c>
      <c r="B227" s="71"/>
      <c r="C227" s="58"/>
      <c r="D227" s="57"/>
      <c r="E227" s="57">
        <v>0</v>
      </c>
      <c r="F227" s="57">
        <f>D227*(($F$134)+1)+(IF(E227&lt;101,E227,IF(E227&lt;201,E227/2,IF(E227&lt;=301,E227/3,E227/4))))</f>
        <v>0</v>
      </c>
      <c r="G227" s="70" t="str">
        <f t="shared" si="33"/>
        <v>Ground Floor</v>
      </c>
      <c r="H227" s="71"/>
      <c r="I227" s="36"/>
      <c r="L227" s="69"/>
      <c r="M227" s="69"/>
      <c r="N227" s="36"/>
    </row>
    <row r="228" spans="1:14" s="37" customFormat="1" hidden="1" x14ac:dyDescent="0.25">
      <c r="A228" s="70">
        <f t="shared" si="32"/>
        <v>5</v>
      </c>
      <c r="B228" s="71"/>
      <c r="C228" s="58"/>
      <c r="D228" s="57"/>
      <c r="E228" s="57">
        <v>0</v>
      </c>
      <c r="F228" s="57">
        <f>D228*(($F$134)+1)+(IF(E228&lt;101,E228,IF(E228&lt;201,E228/2,IF(E228&lt;=301,E228/3,E228/4))))</f>
        <v>0</v>
      </c>
      <c r="G228" s="70" t="str">
        <f t="shared" si="33"/>
        <v>Ground Floor</v>
      </c>
      <c r="H228" s="71"/>
      <c r="I228" s="36"/>
      <c r="L228" s="69"/>
      <c r="M228" s="69"/>
      <c r="N228" s="36"/>
    </row>
    <row r="229" spans="1:14" s="37" customFormat="1" hidden="1" x14ac:dyDescent="0.25">
      <c r="A229" s="167" t="s">
        <v>124</v>
      </c>
      <c r="B229" s="167"/>
      <c r="C229" s="167"/>
      <c r="D229" s="167"/>
      <c r="E229" s="167"/>
      <c r="F229" s="167"/>
      <c r="G229" s="167"/>
      <c r="H229" s="167"/>
      <c r="I229" s="36"/>
      <c r="L229" s="69"/>
      <c r="M229" s="69"/>
    </row>
    <row r="230" spans="1:14" s="37" customFormat="1" hidden="1" x14ac:dyDescent="0.25">
      <c r="A230" s="139">
        <f>LEFT(A229,SUM(LEN(A229)-LEN(SUBSTITUTE(A229,{"0","1","2","3","4","5","6","7","8","9"},""))))*100+1</f>
        <v>201</v>
      </c>
      <c r="B230" s="139"/>
      <c r="C230" s="58"/>
      <c r="D230" s="57"/>
      <c r="E230" s="57">
        <v>0</v>
      </c>
      <c r="F230" s="57">
        <f t="shared" ref="F230:F231" si="34">D230*(($F$134)+1)+(IF(E230&lt;101,E230,IF(E230&lt;201,E230/2,IF(E230&lt;=301,E230/3,E230/4))))</f>
        <v>0</v>
      </c>
      <c r="G230" s="139" t="str">
        <f>A229</f>
        <v>2nd Floor</v>
      </c>
      <c r="H230" s="139"/>
      <c r="I230" s="36"/>
      <c r="N230" s="36"/>
    </row>
    <row r="231" spans="1:14" s="37" customFormat="1" hidden="1" x14ac:dyDescent="0.25">
      <c r="A231" s="139">
        <f>A230+1</f>
        <v>202</v>
      </c>
      <c r="B231" s="139"/>
      <c r="C231" s="58"/>
      <c r="D231" s="57"/>
      <c r="E231" s="57">
        <v>0</v>
      </c>
      <c r="F231" s="57">
        <f t="shared" si="34"/>
        <v>0</v>
      </c>
      <c r="G231" s="139" t="str">
        <f>G230</f>
        <v>2nd Floor</v>
      </c>
      <c r="H231" s="139"/>
      <c r="I231" s="36"/>
      <c r="N231" s="36"/>
    </row>
    <row r="232" spans="1:14" s="37" customFormat="1" hidden="1" x14ac:dyDescent="0.25">
      <c r="A232" s="139">
        <f>A231+1</f>
        <v>203</v>
      </c>
      <c r="B232" s="139"/>
      <c r="C232" s="58"/>
      <c r="D232" s="57"/>
      <c r="E232" s="57">
        <v>0</v>
      </c>
      <c r="F232" s="57">
        <f>D232*(($F$134)+1)+(IF(E232&lt;101,E232,IF(E232&lt;201,E232/2,IF(E232&lt;=301,E232/3,E232/4))))</f>
        <v>0</v>
      </c>
      <c r="G232" s="139" t="str">
        <f>G231</f>
        <v>2nd Floor</v>
      </c>
      <c r="H232" s="139"/>
      <c r="I232" s="36"/>
      <c r="N232" s="36"/>
    </row>
    <row r="233" spans="1:14" s="37" customFormat="1" hidden="1" x14ac:dyDescent="0.25">
      <c r="A233" s="139">
        <f>A232+1</f>
        <v>204</v>
      </c>
      <c r="B233" s="139"/>
      <c r="C233" s="58"/>
      <c r="D233" s="57"/>
      <c r="E233" s="57">
        <v>0</v>
      </c>
      <c r="F233" s="57">
        <f>D233*(($F$134)+1)+(IF(E233&lt;101,E233,IF(E233&lt;201,E233/2,IF(E233&lt;=301,E233/3,E233/4))))</f>
        <v>0</v>
      </c>
      <c r="G233" s="139" t="str">
        <f>G232</f>
        <v>2nd Floor</v>
      </c>
      <c r="H233" s="139"/>
      <c r="I233" s="36"/>
      <c r="N233" s="36"/>
    </row>
    <row r="234" spans="1:14" s="37" customFormat="1" hidden="1" x14ac:dyDescent="0.25">
      <c r="A234" s="139">
        <f>A233+1</f>
        <v>205</v>
      </c>
      <c r="B234" s="139"/>
      <c r="C234" s="58"/>
      <c r="D234" s="57"/>
      <c r="E234" s="57">
        <v>0</v>
      </c>
      <c r="F234" s="57">
        <f>D234*(($F$134)+1)+(IF(E234&lt;101,E234,IF(E234&lt;201,E234/2,IF(E234&lt;=301,E234/3,E234/4))))</f>
        <v>0</v>
      </c>
      <c r="G234" s="139" t="str">
        <f>G233</f>
        <v>2nd Floor</v>
      </c>
      <c r="H234" s="139"/>
      <c r="I234" s="36"/>
      <c r="N234" s="36"/>
    </row>
    <row r="235" spans="1:14" s="37" customFormat="1" ht="15.75" hidden="1" customHeight="1" x14ac:dyDescent="0.25">
      <c r="A235" s="72" t="s">
        <v>160</v>
      </c>
      <c r="B235" s="73"/>
      <c r="C235" s="73"/>
      <c r="D235" s="73"/>
      <c r="E235" s="73"/>
      <c r="F235" s="73"/>
      <c r="G235" s="73"/>
      <c r="H235" s="74"/>
      <c r="I235" s="36"/>
    </row>
    <row r="236" spans="1:14" s="37" customFormat="1" hidden="1" x14ac:dyDescent="0.25">
      <c r="A236" s="70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10^ROW(INDIRECT("1:"&amp;LEN((LEFT(A235,SUM(LEN(A235)-LEN(SUBSTITUTE(A235,{"0","1","2"},""))))))))/10))*100+1&amp;""&amp;" ,..,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",LEN(A235))),LEN(A235)))))))/10))*100+1</f>
        <v>301 ,.., 1501</v>
      </c>
      <c r="B236" s="71"/>
      <c r="C236" s="58"/>
      <c r="D236" s="57"/>
      <c r="E236" s="57">
        <v>0</v>
      </c>
      <c r="F236" s="57">
        <f>D236*(($F$134)+1)+(IF(E236&lt;101,E236,IF(E236&lt;201,E236/2,IF(E236&lt;=301,E236/3,E236/4))))</f>
        <v>0</v>
      </c>
      <c r="G236" s="70" t="str">
        <f>A235</f>
        <v>3rd, 5th, 7th, 9th, 11th, 13th, 15th Floor</v>
      </c>
      <c r="H236" s="71"/>
      <c r="I236" s="36"/>
    </row>
    <row r="237" spans="1:14" s="37" customFormat="1" hidden="1" x14ac:dyDescent="0.25">
      <c r="A237" s="70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,..,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302 ,.., 1502</v>
      </c>
      <c r="B237" s="71"/>
      <c r="C237" s="58"/>
      <c r="D237" s="57"/>
      <c r="E237" s="57">
        <v>0</v>
      </c>
      <c r="F237" s="57">
        <f>D237*(($F$134)+1)+(IF(E237&lt;101,E237,IF(E237&lt;201,E237/2,IF(E237&lt;=301,E237/3,E237/4))))</f>
        <v>0</v>
      </c>
      <c r="G237" s="70" t="str">
        <f>G236</f>
        <v>3rd, 5th, 7th, 9th, 11th, 13th, 15th Floor</v>
      </c>
      <c r="H237" s="71"/>
      <c r="I237" s="36"/>
    </row>
    <row r="238" spans="1:14" s="37" customFormat="1" ht="15.75" hidden="1" customHeight="1" x14ac:dyDescent="0.25">
      <c r="A238" s="70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,..,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303 ,.., 1503</v>
      </c>
      <c r="B238" s="71"/>
      <c r="C238" s="58"/>
      <c r="D238" s="57"/>
      <c r="E238" s="57">
        <v>0</v>
      </c>
      <c r="F238" s="57">
        <f>D238*(($F$134)+1)+(IF(E238&lt;101,E238,IF(E238&lt;201,E238/2,IF(E238&lt;=301,E238/3,E238/4))))</f>
        <v>0</v>
      </c>
      <c r="G238" s="70" t="str">
        <f>G237</f>
        <v>3rd, 5th, 7th, 9th, 11th, 13th, 15th Floor</v>
      </c>
      <c r="H238" s="71"/>
      <c r="I238" s="36"/>
    </row>
    <row r="239" spans="1:14" s="37" customFormat="1" ht="15.75" hidden="1" customHeight="1" x14ac:dyDescent="0.25">
      <c r="A239" s="70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,..,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304 ,.., 1504</v>
      </c>
      <c r="B239" s="71"/>
      <c r="C239" s="58"/>
      <c r="D239" s="57"/>
      <c r="E239" s="57">
        <v>0</v>
      </c>
      <c r="F239" s="57">
        <f>D239*(($F$134)+1)+(IF(E239&lt;101,E239,IF(E239&lt;201,E239/2,IF(E239&lt;=301,E239/3,E239/4))))</f>
        <v>0</v>
      </c>
      <c r="G239" s="70" t="str">
        <f>G238</f>
        <v>3rd, 5th, 7th, 9th, 11th, 13th, 15th Floor</v>
      </c>
      <c r="H239" s="71"/>
      <c r="I239" s="36"/>
    </row>
    <row r="240" spans="1:14" s="37" customFormat="1" ht="15.75" hidden="1" customHeight="1" x14ac:dyDescent="0.25">
      <c r="A240" s="70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,..,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305 ,.., 1505</v>
      </c>
      <c r="B240" s="71"/>
      <c r="C240" s="58"/>
      <c r="D240" s="57"/>
      <c r="E240" s="57">
        <v>0</v>
      </c>
      <c r="F240" s="57">
        <f>D240*(($F$134)+1)+(IF(E240&lt;101,E240,IF(E240&lt;201,E240/2,IF(E240&lt;=301,E240/3,E240/4))))</f>
        <v>0</v>
      </c>
      <c r="G240" s="70" t="str">
        <f>G239</f>
        <v>3rd, 5th, 7th, 9th, 11th, 13th, 15th Floor</v>
      </c>
      <c r="H240" s="71"/>
      <c r="I240" s="36"/>
    </row>
    <row r="241" spans="1:9" s="37" customFormat="1" hidden="1" x14ac:dyDescent="0.25">
      <c r="A241" s="72" t="s">
        <v>153</v>
      </c>
      <c r="B241" s="73"/>
      <c r="C241" s="73"/>
      <c r="D241" s="73"/>
      <c r="E241" s="73"/>
      <c r="F241" s="73"/>
      <c r="G241" s="73"/>
      <c r="H241" s="74"/>
      <c r="I241" s="36"/>
    </row>
    <row r="242" spans="1:9" s="37" customFormat="1" hidden="1" x14ac:dyDescent="0.25">
      <c r="A242" s="70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10^ROW(INDIRECT("1:"&amp;LEN((LEFT(A241,SUM(LEN(A241)-LEN(SUBSTITUTE(A241,{"0","1","2"},""))))))))/10))*100+1&amp;""&amp;" to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201 to 501</v>
      </c>
      <c r="B242" s="71"/>
      <c r="C242" s="58"/>
      <c r="D242" s="57"/>
      <c r="E242" s="57">
        <v>0</v>
      </c>
      <c r="F242" s="57">
        <f>D242*(($F$134)+1)+(IF(E242&lt;101,E242,IF(E242&lt;201,E242/2,IF(E242&lt;=301,E242/3,E242/4))))</f>
        <v>0</v>
      </c>
      <c r="G242" s="70" t="str">
        <f>A241</f>
        <v>2nd to 5th Floor</v>
      </c>
      <c r="H242" s="71"/>
      <c r="I242" s="36"/>
    </row>
    <row r="243" spans="1:9" s="37" customFormat="1" hidden="1" x14ac:dyDescent="0.25">
      <c r="A243" s="70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to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202 to 502</v>
      </c>
      <c r="B243" s="71"/>
      <c r="C243" s="58"/>
      <c r="D243" s="57"/>
      <c r="E243" s="57">
        <v>0</v>
      </c>
      <c r="F243" s="57">
        <f>D243*(($F$134)+1)+(IF(E243&lt;101,E243,IF(E243&lt;201,E243/2,IF(E243&lt;=301,E243/3,E243/4))))</f>
        <v>0</v>
      </c>
      <c r="G243" s="70" t="str">
        <f>G242</f>
        <v>2nd to 5th Floor</v>
      </c>
      <c r="H243" s="71"/>
      <c r="I243" s="36"/>
    </row>
    <row r="244" spans="1:9" s="37" customFormat="1" hidden="1" x14ac:dyDescent="0.25">
      <c r="A244" s="70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to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203 to 503</v>
      </c>
      <c r="B244" s="71"/>
      <c r="C244" s="58"/>
      <c r="D244" s="57"/>
      <c r="E244" s="57">
        <v>0</v>
      </c>
      <c r="F244" s="57">
        <f>D244*(($F$134)+1)+(IF(E244&lt;101,E244,IF(E244&lt;201,E244/2,IF(E244&lt;=301,E244/3,E244/4))))</f>
        <v>0</v>
      </c>
      <c r="G244" s="70" t="str">
        <f>G243</f>
        <v>2nd to 5th Floor</v>
      </c>
      <c r="H244" s="71"/>
      <c r="I244" s="36"/>
    </row>
    <row r="245" spans="1:9" s="37" customFormat="1" hidden="1" x14ac:dyDescent="0.25">
      <c r="A245" s="70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to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204 to 504</v>
      </c>
      <c r="B245" s="71"/>
      <c r="C245" s="58"/>
      <c r="D245" s="57"/>
      <c r="E245" s="57">
        <v>0</v>
      </c>
      <c r="F245" s="57">
        <f>D245*(($F$134)+1)+(IF(E245&lt;101,E245,IF(E245&lt;201,E245/2,IF(E245&lt;=301,E245/3,E245/4))))</f>
        <v>0</v>
      </c>
      <c r="G245" s="70" t="str">
        <f>G244</f>
        <v>2nd to 5th Floor</v>
      </c>
      <c r="H245" s="71"/>
      <c r="I245" s="36"/>
    </row>
    <row r="246" spans="1:9" s="37" customFormat="1" hidden="1" x14ac:dyDescent="0.25">
      <c r="A246" s="70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to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205 to 505</v>
      </c>
      <c r="B246" s="71"/>
      <c r="C246" s="58"/>
      <c r="D246" s="57"/>
      <c r="E246" s="57">
        <v>0</v>
      </c>
      <c r="F246" s="57">
        <f>D246*(($F$134)+1)+(IF(E246&lt;101,E246,IF(E246&lt;201,E246/2,IF(E246&lt;=301,E246/3,E246/4))))</f>
        <v>0</v>
      </c>
      <c r="G246" s="70" t="str">
        <f>G245</f>
        <v>2nd to 5th Floor</v>
      </c>
      <c r="H246" s="71"/>
      <c r="I246" s="36"/>
    </row>
    <row r="247" spans="1:9" s="37" customFormat="1" hidden="1" x14ac:dyDescent="0.25">
      <c r="A247" s="72" t="s">
        <v>154</v>
      </c>
      <c r="B247" s="73"/>
      <c r="C247" s="73"/>
      <c r="D247" s="73"/>
      <c r="E247" s="73"/>
      <c r="F247" s="73"/>
      <c r="G247" s="73"/>
      <c r="H247" s="74"/>
      <c r="I247" s="36"/>
    </row>
    <row r="248" spans="1:9" s="37" customFormat="1" hidden="1" x14ac:dyDescent="0.25">
      <c r="A248" s="70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10^ROW(INDIRECT("1:"&amp;LEN((LEFT(A247,SUM(LEN(A247)-LEN(SUBSTITUTE(A247,{"0","1","2"},""))))))))/10))*100+1&amp;""&amp;" &amp;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",LEN(A247))),LEN(A247)))))))/10))*100+1</f>
        <v>201 &amp; 501</v>
      </c>
      <c r="B248" s="71"/>
      <c r="C248" s="58"/>
      <c r="D248" s="57"/>
      <c r="E248" s="57">
        <v>0</v>
      </c>
      <c r="F248" s="57">
        <f>D248*(($F$134)+1)+(IF(E248&lt;101,E248,IF(E248&lt;201,E248/2,IF(E248&lt;=301,E248/3,E248/4))))</f>
        <v>0</v>
      </c>
      <c r="G248" s="70" t="str">
        <f>A247</f>
        <v>2nd &amp; 5th Floor</v>
      </c>
      <c r="H248" s="71"/>
      <c r="I248" s="36"/>
    </row>
    <row r="249" spans="1:9" s="37" customFormat="1" hidden="1" x14ac:dyDescent="0.25">
      <c r="A249" s="70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&amp;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202 &amp; 502</v>
      </c>
      <c r="B249" s="71"/>
      <c r="C249" s="58"/>
      <c r="D249" s="57"/>
      <c r="E249" s="57">
        <v>0</v>
      </c>
      <c r="F249" s="57">
        <f>D249*(($F$134)+1)+(IF(E249&lt;101,E249,IF(E249&lt;201,E249/2,IF(E249&lt;=301,E249/3,E249/4))))</f>
        <v>0</v>
      </c>
      <c r="G249" s="70" t="str">
        <f t="shared" ref="G249:G252" si="35">G248</f>
        <v>2nd &amp; 5th Floor</v>
      </c>
      <c r="H249" s="71"/>
      <c r="I249" s="36"/>
    </row>
    <row r="250" spans="1:9" s="37" customFormat="1" hidden="1" x14ac:dyDescent="0.25">
      <c r="A250" s="70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&amp;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203 &amp; 503</v>
      </c>
      <c r="B250" s="71"/>
      <c r="C250" s="58"/>
      <c r="D250" s="57"/>
      <c r="E250" s="57">
        <v>0</v>
      </c>
      <c r="F250" s="57">
        <f>D250*(($F$134)+1)+(IF(E250&lt;101,E250,IF(E250&lt;201,E250/2,IF(E250&lt;=301,E250/3,E250/4))))</f>
        <v>0</v>
      </c>
      <c r="G250" s="70" t="str">
        <f t="shared" si="35"/>
        <v>2nd &amp; 5th Floor</v>
      </c>
      <c r="H250" s="71"/>
      <c r="I250" s="36"/>
    </row>
    <row r="251" spans="1:9" s="37" customFormat="1" hidden="1" x14ac:dyDescent="0.25">
      <c r="A251" s="70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&amp;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204 &amp; 504</v>
      </c>
      <c r="B251" s="71"/>
      <c r="C251" s="58"/>
      <c r="D251" s="57"/>
      <c r="E251" s="57">
        <v>0</v>
      </c>
      <c r="F251" s="57">
        <f>D251*(($F$134)+1)+(IF(E251&lt;101,E251,IF(E251&lt;201,E251/2,IF(E251&lt;=301,E251/3,E251/4))))</f>
        <v>0</v>
      </c>
      <c r="G251" s="70" t="str">
        <f t="shared" si="35"/>
        <v>2nd &amp; 5th Floor</v>
      </c>
      <c r="H251" s="71"/>
      <c r="I251" s="36"/>
    </row>
    <row r="252" spans="1:9" s="37" customFormat="1" hidden="1" x14ac:dyDescent="0.25">
      <c r="A252" s="70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&amp;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205 &amp; 505</v>
      </c>
      <c r="B252" s="71"/>
      <c r="C252" s="58"/>
      <c r="D252" s="57"/>
      <c r="E252" s="57">
        <v>0</v>
      </c>
      <c r="F252" s="57">
        <f>D252*(($F$134)+1)+(IF(E252&lt;101,E252,IF(E252&lt;201,E252/2,IF(E252&lt;=301,E252/3,E252/4))))</f>
        <v>0</v>
      </c>
      <c r="G252" s="70" t="str">
        <f t="shared" si="35"/>
        <v>2nd &amp; 5th Floor</v>
      </c>
      <c r="H252" s="71"/>
      <c r="I252" s="36"/>
    </row>
    <row r="253" spans="1:9" s="35" customFormat="1" x14ac:dyDescent="0.25">
      <c r="A253" s="163" t="s">
        <v>70</v>
      </c>
      <c r="B253" s="163"/>
      <c r="C253" s="163"/>
      <c r="D253" s="163"/>
      <c r="E253" s="163"/>
      <c r="F253" s="163"/>
      <c r="G253" s="163"/>
      <c r="H253" s="163"/>
    </row>
    <row r="254" spans="1:9" s="35" customFormat="1" ht="18" customHeight="1" x14ac:dyDescent="0.25">
      <c r="A254" s="61">
        <v>1</v>
      </c>
      <c r="B254" s="140" t="s">
        <v>240</v>
      </c>
      <c r="C254" s="141"/>
      <c r="D254" s="141"/>
      <c r="E254" s="141"/>
      <c r="F254" s="141"/>
      <c r="G254" s="141"/>
      <c r="H254" s="142"/>
    </row>
    <row r="255" spans="1:9" s="35" customFormat="1" x14ac:dyDescent="0.25">
      <c r="A255" s="61">
        <v>2</v>
      </c>
      <c r="B255" s="140" t="str">
        <f>(IF(F133="Saleable area Loading :","We have considered Saleable area of Flats as per our Calculation.","We considered Saleable area of Flat as per Builder area Sheet."))</f>
        <v>We have considered Saleable area of Flats as per our Calculation.</v>
      </c>
      <c r="C255" s="141"/>
      <c r="D255" s="141"/>
      <c r="E255" s="141"/>
      <c r="F255" s="141"/>
      <c r="G255" s="141"/>
      <c r="H255" s="142"/>
    </row>
    <row r="256" spans="1:9" s="35" customFormat="1" hidden="1" x14ac:dyDescent="0.25">
      <c r="A256" s="61">
        <v>3</v>
      </c>
      <c r="B256" s="140" t="str">
        <f>(IF(F125="Saleable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6" s="141"/>
      <c r="D256" s="141"/>
      <c r="E256" s="141"/>
      <c r="F256" s="141"/>
      <c r="G256" s="141"/>
      <c r="H256" s="142"/>
    </row>
    <row r="257" spans="1:9" s="35" customFormat="1" x14ac:dyDescent="0.25">
      <c r="A257" s="61">
        <v>3</v>
      </c>
      <c r="B257" s="140" t="s">
        <v>130</v>
      </c>
      <c r="C257" s="141"/>
      <c r="D257" s="141"/>
      <c r="E257" s="141"/>
      <c r="F257" s="141"/>
      <c r="G257" s="141"/>
      <c r="H257" s="142"/>
    </row>
    <row r="258" spans="1:9" s="35" customFormat="1" x14ac:dyDescent="0.25">
      <c r="A258" s="61">
        <v>4</v>
      </c>
      <c r="B258" s="140" t="s">
        <v>231</v>
      </c>
      <c r="C258" s="141"/>
      <c r="D258" s="141"/>
      <c r="E258" s="141"/>
      <c r="F258" s="141"/>
      <c r="G258" s="141"/>
      <c r="H258" s="142"/>
    </row>
    <row r="259" spans="1:9" s="35" customFormat="1" x14ac:dyDescent="0.25">
      <c r="A259" s="61">
        <v>5</v>
      </c>
      <c r="B259" s="160" t="s">
        <v>163</v>
      </c>
      <c r="C259" s="161"/>
      <c r="D259" s="161"/>
      <c r="E259" s="161"/>
      <c r="F259" s="161"/>
      <c r="G259" s="161"/>
      <c r="H259" s="162"/>
    </row>
    <row r="260" spans="1:9" s="35" customFormat="1" x14ac:dyDescent="0.25">
      <c r="A260" s="61">
        <v>6</v>
      </c>
      <c r="B260" s="160" t="s">
        <v>131</v>
      </c>
      <c r="C260" s="161"/>
      <c r="D260" s="161"/>
      <c r="E260" s="161"/>
      <c r="F260" s="161"/>
      <c r="G260" s="161"/>
      <c r="H260" s="162"/>
    </row>
    <row r="261" spans="1:9" s="35" customFormat="1" ht="34.5" customHeight="1" x14ac:dyDescent="0.25">
      <c r="A261" s="61">
        <v>7</v>
      </c>
      <c r="B261" s="160" t="s">
        <v>164</v>
      </c>
      <c r="C261" s="161"/>
      <c r="D261" s="161"/>
      <c r="E261" s="161"/>
      <c r="F261" s="161"/>
      <c r="G261" s="161"/>
      <c r="H261" s="162"/>
    </row>
    <row r="262" spans="1:9" s="35" customFormat="1" x14ac:dyDescent="0.25">
      <c r="A262" s="61">
        <v>8</v>
      </c>
      <c r="B262" s="160" t="s">
        <v>132</v>
      </c>
      <c r="C262" s="161"/>
      <c r="D262" s="161"/>
      <c r="E262" s="161"/>
      <c r="F262" s="161"/>
      <c r="G262" s="161"/>
      <c r="H262" s="162"/>
    </row>
    <row r="263" spans="1:9" s="35" customFormat="1" ht="33.950000000000003" customHeight="1" x14ac:dyDescent="0.25">
      <c r="A263" s="61">
        <v>9</v>
      </c>
      <c r="B263" s="140" t="s">
        <v>218</v>
      </c>
      <c r="C263" s="141"/>
      <c r="D263" s="141"/>
      <c r="E263" s="141"/>
      <c r="F263" s="141"/>
      <c r="G263" s="141"/>
      <c r="H263" s="142"/>
    </row>
    <row r="264" spans="1:9" s="35" customFormat="1" x14ac:dyDescent="0.25">
      <c r="A264" s="61">
        <v>10</v>
      </c>
      <c r="B264" s="140" t="s">
        <v>239</v>
      </c>
      <c r="C264" s="141"/>
      <c r="D264" s="141"/>
      <c r="E264" s="141"/>
      <c r="F264" s="141"/>
      <c r="G264" s="141"/>
      <c r="H264" s="142"/>
      <c r="I264" s="62"/>
    </row>
    <row r="265" spans="1:9" s="35" customFormat="1" ht="33.6" hidden="1" customHeight="1" x14ac:dyDescent="0.25">
      <c r="A265" s="61">
        <v>10</v>
      </c>
      <c r="B265" s="140" t="s">
        <v>242</v>
      </c>
      <c r="C265" s="141"/>
      <c r="D265" s="141"/>
      <c r="E265" s="141"/>
      <c r="F265" s="141"/>
      <c r="G265" s="141"/>
      <c r="H265" s="142"/>
    </row>
    <row r="266" spans="1:9" s="35" customFormat="1" x14ac:dyDescent="0.25">
      <c r="A266" s="61">
        <v>10</v>
      </c>
      <c r="B266" s="140" t="s">
        <v>244</v>
      </c>
      <c r="C266" s="141"/>
      <c r="D266" s="141"/>
      <c r="E266" s="141"/>
      <c r="F266" s="141"/>
      <c r="G266" s="141"/>
      <c r="H266" s="142"/>
      <c r="I266" s="62"/>
    </row>
    <row r="267" spans="1:9" x14ac:dyDescent="0.25">
      <c r="A267" s="123" t="s">
        <v>63</v>
      </c>
      <c r="B267" s="123"/>
      <c r="C267" s="123"/>
      <c r="D267" s="123"/>
      <c r="E267" s="123"/>
      <c r="F267" s="123"/>
      <c r="G267" s="123"/>
      <c r="H267" s="123"/>
    </row>
    <row r="268" spans="1:9" x14ac:dyDescent="0.25">
      <c r="A268" s="82" t="s">
        <v>64</v>
      </c>
      <c r="B268" s="82"/>
      <c r="C268" s="82"/>
      <c r="D268" s="82"/>
      <c r="E268" s="82"/>
      <c r="F268" s="82"/>
      <c r="G268" s="82"/>
      <c r="H268" s="82"/>
    </row>
    <row r="269" spans="1:9" ht="15.75" customHeight="1" x14ac:dyDescent="0.25">
      <c r="A269" s="138" t="s">
        <v>65</v>
      </c>
      <c r="B269" s="138"/>
      <c r="C269" s="138"/>
      <c r="D269" s="138"/>
      <c r="E269" s="138"/>
      <c r="F269" s="138"/>
      <c r="G269" s="138"/>
      <c r="H269" s="138"/>
    </row>
    <row r="270" spans="1:9" x14ac:dyDescent="0.25">
      <c r="A270" s="82" t="s">
        <v>66</v>
      </c>
      <c r="B270" s="82"/>
      <c r="C270" s="82"/>
      <c r="D270" s="82"/>
      <c r="E270" s="82"/>
      <c r="F270" s="82"/>
      <c r="G270" s="82"/>
      <c r="H270" s="82"/>
    </row>
    <row r="271" spans="1:9" x14ac:dyDescent="0.25">
      <c r="A271" s="82" t="s">
        <v>67</v>
      </c>
      <c r="B271" s="82"/>
      <c r="C271" s="82"/>
      <c r="D271" s="82"/>
      <c r="E271" s="82"/>
      <c r="F271" s="82"/>
      <c r="G271" s="82"/>
      <c r="H271" s="82"/>
    </row>
    <row r="272" spans="1:9" x14ac:dyDescent="0.25">
      <c r="A272" s="82" t="s">
        <v>133</v>
      </c>
      <c r="B272" s="82"/>
      <c r="C272" s="82"/>
      <c r="D272" s="82"/>
      <c r="E272" s="82"/>
      <c r="F272" s="82"/>
      <c r="G272" s="82"/>
      <c r="H272" s="82"/>
    </row>
    <row r="273" spans="1:8" x14ac:dyDescent="0.25">
      <c r="A273" s="124" t="s">
        <v>134</v>
      </c>
      <c r="B273" s="124"/>
      <c r="C273" s="124"/>
      <c r="D273" s="124"/>
      <c r="E273" s="124"/>
      <c r="F273" s="124"/>
      <c r="G273" s="124"/>
      <c r="H273" s="124"/>
    </row>
    <row r="274" spans="1:8" x14ac:dyDescent="0.25">
      <c r="A274" s="165" t="s">
        <v>80</v>
      </c>
      <c r="B274" s="165"/>
      <c r="C274" s="165" t="s">
        <v>248</v>
      </c>
      <c r="D274" s="165"/>
      <c r="E274" s="165" t="s">
        <v>110</v>
      </c>
      <c r="F274" s="165"/>
      <c r="G274" s="165" t="s">
        <v>247</v>
      </c>
      <c r="H274" s="165"/>
    </row>
    <row r="275" spans="1:8" x14ac:dyDescent="0.25">
      <c r="A275" s="164" t="s">
        <v>82</v>
      </c>
      <c r="B275" s="164"/>
      <c r="C275" s="164"/>
      <c r="D275" s="164"/>
      <c r="E275" s="164"/>
      <c r="F275" s="164"/>
      <c r="G275" s="164"/>
      <c r="H275" s="164"/>
    </row>
    <row r="276" spans="1:8" x14ac:dyDescent="0.25">
      <c r="A276" s="164"/>
      <c r="B276" s="164"/>
      <c r="C276" s="164"/>
      <c r="D276" s="164"/>
      <c r="E276" s="164"/>
      <c r="F276" s="164"/>
      <c r="G276" s="164"/>
      <c r="H276" s="164"/>
    </row>
    <row r="277" spans="1:8" x14ac:dyDescent="0.25">
      <c r="A277" s="164"/>
      <c r="B277" s="164"/>
      <c r="C277" s="164"/>
      <c r="D277" s="164"/>
      <c r="E277" s="164"/>
      <c r="F277" s="164"/>
      <c r="G277" s="164"/>
      <c r="H277" s="164"/>
    </row>
    <row r="278" spans="1:8" x14ac:dyDescent="0.25">
      <c r="A278" s="164"/>
      <c r="B278" s="164"/>
      <c r="C278" s="164"/>
      <c r="D278" s="164"/>
      <c r="E278" s="164"/>
      <c r="F278" s="164"/>
      <c r="G278" s="164"/>
      <c r="H278" s="164"/>
    </row>
    <row r="279" spans="1:8" x14ac:dyDescent="0.25">
      <c r="A279" s="38" t="s">
        <v>68</v>
      </c>
      <c r="B279" s="39"/>
      <c r="C279" s="39"/>
      <c r="D279" s="38" t="str">
        <f>E8</f>
        <v>B C Corp Arista</v>
      </c>
      <c r="F279" s="39"/>
      <c r="G279" s="39"/>
      <c r="H279" s="39"/>
    </row>
    <row r="280" spans="1:8" x14ac:dyDescent="0.25">
      <c r="A280" s="39"/>
      <c r="B280" s="39"/>
      <c r="C280" s="39"/>
      <c r="D280" s="39"/>
      <c r="E280" s="39"/>
      <c r="F280" s="39"/>
      <c r="G280" s="39"/>
      <c r="H280" s="39"/>
    </row>
    <row r="281" spans="1:8" x14ac:dyDescent="0.25">
      <c r="A281" s="39"/>
      <c r="B281" s="39"/>
      <c r="C281" s="39"/>
      <c r="D281" s="39"/>
      <c r="E281" s="39"/>
      <c r="F281" s="39"/>
      <c r="G281" s="39"/>
      <c r="H281" s="39"/>
    </row>
    <row r="282" spans="1:8" ht="15" customHeight="1" x14ac:dyDescent="0.25"/>
    <row r="316" spans="1:1" hidden="1" x14ac:dyDescent="0.25"/>
    <row r="319" spans="1:1" x14ac:dyDescent="0.25">
      <c r="A319" s="41" t="s">
        <v>233</v>
      </c>
    </row>
    <row r="363" spans="1:1" x14ac:dyDescent="0.25">
      <c r="A363" s="41" t="s">
        <v>232</v>
      </c>
    </row>
    <row r="407" spans="1:1" x14ac:dyDescent="0.25">
      <c r="A407" s="41" t="s">
        <v>69</v>
      </c>
    </row>
  </sheetData>
  <mergeCells count="531">
    <mergeCell ref="I11:L11"/>
    <mergeCell ref="B265:H265"/>
    <mergeCell ref="B264:H264"/>
    <mergeCell ref="B263:H263"/>
    <mergeCell ref="A228:B228"/>
    <mergeCell ref="G228:H228"/>
    <mergeCell ref="L228:M228"/>
    <mergeCell ref="A227:B227"/>
    <mergeCell ref="G238:H238"/>
    <mergeCell ref="G236:H236"/>
    <mergeCell ref="B261:H261"/>
    <mergeCell ref="G234:H234"/>
    <mergeCell ref="G240:H240"/>
    <mergeCell ref="G239:H239"/>
    <mergeCell ref="A235:H235"/>
    <mergeCell ref="G243:H243"/>
    <mergeCell ref="A224:B224"/>
    <mergeCell ref="L229:M229"/>
    <mergeCell ref="L227:M227"/>
    <mergeCell ref="L224:M224"/>
    <mergeCell ref="L225:M225"/>
    <mergeCell ref="L226:M226"/>
    <mergeCell ref="B260:H260"/>
    <mergeCell ref="B256:H256"/>
    <mergeCell ref="G153:H153"/>
    <mergeCell ref="G154:H154"/>
    <mergeCell ref="G155:H155"/>
    <mergeCell ref="A250:B250"/>
    <mergeCell ref="A242:B242"/>
    <mergeCell ref="A243:B243"/>
    <mergeCell ref="A244:B244"/>
    <mergeCell ref="B259:H259"/>
    <mergeCell ref="G237:H237"/>
    <mergeCell ref="G233:H233"/>
    <mergeCell ref="G230:H230"/>
    <mergeCell ref="G252:H252"/>
    <mergeCell ref="A251:B251"/>
    <mergeCell ref="B257:H257"/>
    <mergeCell ref="A239:B239"/>
    <mergeCell ref="A236:B236"/>
    <mergeCell ref="L167:M167"/>
    <mergeCell ref="L168:M168"/>
    <mergeCell ref="G156:H156"/>
    <mergeCell ref="L158:M158"/>
    <mergeCell ref="L159:M159"/>
    <mergeCell ref="L160:M160"/>
    <mergeCell ref="L161:M161"/>
    <mergeCell ref="L162:M162"/>
    <mergeCell ref="A215:H215"/>
    <mergeCell ref="G205:H205"/>
    <mergeCell ref="G171:H171"/>
    <mergeCell ref="A136:H136"/>
    <mergeCell ref="A137:H137"/>
    <mergeCell ref="A169:H169"/>
    <mergeCell ref="A183:B183"/>
    <mergeCell ref="G165:H165"/>
    <mergeCell ref="G170:H170"/>
    <mergeCell ref="G178:H178"/>
    <mergeCell ref="A191:H191"/>
    <mergeCell ref="L140:M140"/>
    <mergeCell ref="G141:H141"/>
    <mergeCell ref="L141:M141"/>
    <mergeCell ref="G142:H142"/>
    <mergeCell ref="L142:M142"/>
    <mergeCell ref="G143:H143"/>
    <mergeCell ref="L143:M143"/>
    <mergeCell ref="G144:H144"/>
    <mergeCell ref="L144:M144"/>
    <mergeCell ref="L146:M146"/>
    <mergeCell ref="G147:H147"/>
    <mergeCell ref="L147:M147"/>
    <mergeCell ref="L150:M150"/>
    <mergeCell ref="L148:M148"/>
    <mergeCell ref="L149:M149"/>
    <mergeCell ref="L166:M166"/>
    <mergeCell ref="E86:F86"/>
    <mergeCell ref="G86:H86"/>
    <mergeCell ref="A103:E103"/>
    <mergeCell ref="F103:H103"/>
    <mergeCell ref="A104:E104"/>
    <mergeCell ref="A106:E106"/>
    <mergeCell ref="F100:H100"/>
    <mergeCell ref="A105:E105"/>
    <mergeCell ref="A100:E100"/>
    <mergeCell ref="A97:E97"/>
    <mergeCell ref="F101:H101"/>
    <mergeCell ref="A102:E102"/>
    <mergeCell ref="F106:H106"/>
    <mergeCell ref="G87:H96"/>
    <mergeCell ref="A88:B88"/>
    <mergeCell ref="A89:B89"/>
    <mergeCell ref="A90:B90"/>
    <mergeCell ref="F99:H99"/>
    <mergeCell ref="A99:E99"/>
    <mergeCell ref="A101:E101"/>
    <mergeCell ref="A91:B91"/>
    <mergeCell ref="A92:B92"/>
    <mergeCell ref="A93:B93"/>
    <mergeCell ref="F98:H98"/>
    <mergeCell ref="L131:M131"/>
    <mergeCell ref="L130:M130"/>
    <mergeCell ref="L129:M129"/>
    <mergeCell ref="G148:H148"/>
    <mergeCell ref="G225:H225"/>
    <mergeCell ref="A226:B226"/>
    <mergeCell ref="G226:H226"/>
    <mergeCell ref="G242:H242"/>
    <mergeCell ref="A240:B240"/>
    <mergeCell ref="A138:H138"/>
    <mergeCell ref="A135:H135"/>
    <mergeCell ref="G162:H162"/>
    <mergeCell ref="A157:H157"/>
    <mergeCell ref="G158:H158"/>
    <mergeCell ref="G219:H219"/>
    <mergeCell ref="L152:M152"/>
    <mergeCell ref="L153:M153"/>
    <mergeCell ref="L154:M154"/>
    <mergeCell ref="L155:M155"/>
    <mergeCell ref="L156:M156"/>
    <mergeCell ref="L176:M176"/>
    <mergeCell ref="L177:M177"/>
    <mergeCell ref="L164:M164"/>
    <mergeCell ref="L165:M165"/>
    <mergeCell ref="A63:C63"/>
    <mergeCell ref="L128:M128"/>
    <mergeCell ref="A80:B80"/>
    <mergeCell ref="C118:D118"/>
    <mergeCell ref="E118:F118"/>
    <mergeCell ref="G118:H118"/>
    <mergeCell ref="F104:H104"/>
    <mergeCell ref="A98:E98"/>
    <mergeCell ref="A127:H127"/>
    <mergeCell ref="E125:E126"/>
    <mergeCell ref="G125:H126"/>
    <mergeCell ref="A87:B87"/>
    <mergeCell ref="E87:F96"/>
    <mergeCell ref="A94:B94"/>
    <mergeCell ref="A95:B95"/>
    <mergeCell ref="A96:B96"/>
    <mergeCell ref="F97:H97"/>
    <mergeCell ref="F102:H102"/>
    <mergeCell ref="F105:H105"/>
    <mergeCell ref="C112:D112"/>
    <mergeCell ref="A85:B85"/>
    <mergeCell ref="C85:H85"/>
    <mergeCell ref="A123:H123"/>
    <mergeCell ref="F107:H107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E45:H45"/>
    <mergeCell ref="E46:H46"/>
    <mergeCell ref="A44:D44"/>
    <mergeCell ref="A53:B54"/>
    <mergeCell ref="C53:E53"/>
    <mergeCell ref="G53:H53"/>
    <mergeCell ref="C54:E54"/>
    <mergeCell ref="G54:H54"/>
    <mergeCell ref="C50:E50"/>
    <mergeCell ref="C52:H52"/>
    <mergeCell ref="A48:B48"/>
    <mergeCell ref="C48:H48"/>
    <mergeCell ref="A50:B50"/>
    <mergeCell ref="A37:H37"/>
    <mergeCell ref="A36:B36"/>
    <mergeCell ref="C36:E36"/>
    <mergeCell ref="A41:D41"/>
    <mergeCell ref="E41:H41"/>
    <mergeCell ref="F33:H33"/>
    <mergeCell ref="F34:H34"/>
    <mergeCell ref="A40:H40"/>
    <mergeCell ref="A62:C62"/>
    <mergeCell ref="F36:H36"/>
    <mergeCell ref="A38:B38"/>
    <mergeCell ref="A39:B39"/>
    <mergeCell ref="C39:H39"/>
    <mergeCell ref="A45:D45"/>
    <mergeCell ref="A46:D46"/>
    <mergeCell ref="A47:H47"/>
    <mergeCell ref="D59:H59"/>
    <mergeCell ref="A59:C59"/>
    <mergeCell ref="G50:H50"/>
    <mergeCell ref="A51:B52"/>
    <mergeCell ref="D61:H61"/>
    <mergeCell ref="A43:D43"/>
    <mergeCell ref="E43:H43"/>
    <mergeCell ref="E44:H44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D23"/>
    <mergeCell ref="E22:H23"/>
    <mergeCell ref="A24:D2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9:D9"/>
    <mergeCell ref="E9:H9"/>
    <mergeCell ref="E14:H14"/>
    <mergeCell ref="A15:B15"/>
    <mergeCell ref="C15:H15"/>
    <mergeCell ref="C16:H1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275:H278"/>
    <mergeCell ref="A274:B274"/>
    <mergeCell ref="E274:F274"/>
    <mergeCell ref="C274:D274"/>
    <mergeCell ref="G274:H274"/>
    <mergeCell ref="A111:H111"/>
    <mergeCell ref="A109:E109"/>
    <mergeCell ref="F109:H109"/>
    <mergeCell ref="A110:E110"/>
    <mergeCell ref="F110:H110"/>
    <mergeCell ref="A229:H229"/>
    <mergeCell ref="A238:B238"/>
    <mergeCell ref="A113:B113"/>
    <mergeCell ref="A270:H270"/>
    <mergeCell ref="A116:H116"/>
    <mergeCell ref="A273:H273"/>
    <mergeCell ref="A271:H271"/>
    <mergeCell ref="A267:H267"/>
    <mergeCell ref="G121:H121"/>
    <mergeCell ref="G114:H114"/>
    <mergeCell ref="A115:B115"/>
    <mergeCell ref="C115:D115"/>
    <mergeCell ref="E115:F115"/>
    <mergeCell ref="G115:H115"/>
    <mergeCell ref="B125:B126"/>
    <mergeCell ref="A125:A126"/>
    <mergeCell ref="C133:C134"/>
    <mergeCell ref="G246:H246"/>
    <mergeCell ref="A245:B245"/>
    <mergeCell ref="A246:B246"/>
    <mergeCell ref="G244:H244"/>
    <mergeCell ref="A241:H241"/>
    <mergeCell ref="G250:H250"/>
    <mergeCell ref="G249:H249"/>
    <mergeCell ref="A247:H247"/>
    <mergeCell ref="A130:B130"/>
    <mergeCell ref="A131:B131"/>
    <mergeCell ref="G150:H150"/>
    <mergeCell ref="B147:F148"/>
    <mergeCell ref="G149:H149"/>
    <mergeCell ref="G200:H200"/>
    <mergeCell ref="G172:H172"/>
    <mergeCell ref="A139:H139"/>
    <mergeCell ref="G140:H140"/>
    <mergeCell ref="A181:H181"/>
    <mergeCell ref="A182:B182"/>
    <mergeCell ref="G182:H182"/>
    <mergeCell ref="B133:B134"/>
    <mergeCell ref="G166:H166"/>
    <mergeCell ref="G167:H167"/>
    <mergeCell ref="G168:H168"/>
    <mergeCell ref="B159:F160"/>
    <mergeCell ref="G159:H159"/>
    <mergeCell ref="G160:H160"/>
    <mergeCell ref="A163:H163"/>
    <mergeCell ref="G164:H164"/>
    <mergeCell ref="A268:H268"/>
    <mergeCell ref="B262:H262"/>
    <mergeCell ref="B258:H258"/>
    <mergeCell ref="G248:H248"/>
    <mergeCell ref="A253:H253"/>
    <mergeCell ref="G232:H232"/>
    <mergeCell ref="G251:H251"/>
    <mergeCell ref="B254:H254"/>
    <mergeCell ref="B255:H255"/>
    <mergeCell ref="G161:H161"/>
    <mergeCell ref="G227:H227"/>
    <mergeCell ref="A237:B237"/>
    <mergeCell ref="A233:B233"/>
    <mergeCell ref="F108:H108"/>
    <mergeCell ref="A112:B112"/>
    <mergeCell ref="A114:B114"/>
    <mergeCell ref="G152:H152"/>
    <mergeCell ref="A108:E108"/>
    <mergeCell ref="G122:H122"/>
    <mergeCell ref="C114:D114"/>
    <mergeCell ref="E114:F114"/>
    <mergeCell ref="A122:B122"/>
    <mergeCell ref="G131:H131"/>
    <mergeCell ref="A145:H145"/>
    <mergeCell ref="G146:H146"/>
    <mergeCell ref="A118:A119"/>
    <mergeCell ref="A120:A121"/>
    <mergeCell ref="C122:D122"/>
    <mergeCell ref="G113:H113"/>
    <mergeCell ref="E112:F112"/>
    <mergeCell ref="D125:D126"/>
    <mergeCell ref="A128:B128"/>
    <mergeCell ref="A129:B129"/>
    <mergeCell ref="D133:D134"/>
    <mergeCell ref="E133:E134"/>
    <mergeCell ref="A151:H151"/>
    <mergeCell ref="E117:F117"/>
    <mergeCell ref="G133:H134"/>
    <mergeCell ref="C120:D120"/>
    <mergeCell ref="E120:F120"/>
    <mergeCell ref="G120:H120"/>
    <mergeCell ref="C117:D117"/>
    <mergeCell ref="G117:H117"/>
    <mergeCell ref="C119:D119"/>
    <mergeCell ref="E119:F119"/>
    <mergeCell ref="G119:H119"/>
    <mergeCell ref="C121:D121"/>
    <mergeCell ref="E121:F121"/>
    <mergeCell ref="C125:C126"/>
    <mergeCell ref="G130:H130"/>
    <mergeCell ref="G128:H128"/>
    <mergeCell ref="G129:H129"/>
    <mergeCell ref="A132:H132"/>
    <mergeCell ref="A133:A134"/>
    <mergeCell ref="A272:H272"/>
    <mergeCell ref="A269:H269"/>
    <mergeCell ref="G245:H245"/>
    <mergeCell ref="A230:B230"/>
    <mergeCell ref="A184:B184"/>
    <mergeCell ref="G184:H184"/>
    <mergeCell ref="A186:B186"/>
    <mergeCell ref="G186:H186"/>
    <mergeCell ref="G216:H216"/>
    <mergeCell ref="A234:B234"/>
    <mergeCell ref="A231:B231"/>
    <mergeCell ref="A232:B232"/>
    <mergeCell ref="G224:H224"/>
    <mergeCell ref="A225:B225"/>
    <mergeCell ref="G231:H231"/>
    <mergeCell ref="A248:B248"/>
    <mergeCell ref="A249:B249"/>
    <mergeCell ref="A252:B252"/>
    <mergeCell ref="B198:F199"/>
    <mergeCell ref="G195:H195"/>
    <mergeCell ref="G196:H196"/>
    <mergeCell ref="G193:H193"/>
    <mergeCell ref="B266:H266"/>
    <mergeCell ref="A223:H223"/>
    <mergeCell ref="A56:H56"/>
    <mergeCell ref="A57:C57"/>
    <mergeCell ref="A58:C58"/>
    <mergeCell ref="D58:H58"/>
    <mergeCell ref="A66:C66"/>
    <mergeCell ref="D66:H66"/>
    <mergeCell ref="A124:H124"/>
    <mergeCell ref="G112:H112"/>
    <mergeCell ref="A107:E107"/>
    <mergeCell ref="C113:D113"/>
    <mergeCell ref="E113:F113"/>
    <mergeCell ref="G73:H82"/>
    <mergeCell ref="A81:B81"/>
    <mergeCell ref="A117:B117"/>
    <mergeCell ref="A82:B82"/>
    <mergeCell ref="D63:H63"/>
    <mergeCell ref="A79:B79"/>
    <mergeCell ref="A72:B72"/>
    <mergeCell ref="A75:B75"/>
    <mergeCell ref="A71:B71"/>
    <mergeCell ref="A69:B69"/>
    <mergeCell ref="C69:H69"/>
    <mergeCell ref="A77:B77"/>
    <mergeCell ref="A64:C64"/>
    <mergeCell ref="G55:H55"/>
    <mergeCell ref="E122:F122"/>
    <mergeCell ref="A67:C67"/>
    <mergeCell ref="D67:H67"/>
    <mergeCell ref="A73:B73"/>
    <mergeCell ref="G72:H72"/>
    <mergeCell ref="A86:B86"/>
    <mergeCell ref="G222:H222"/>
    <mergeCell ref="L222:M222"/>
    <mergeCell ref="G214:H214"/>
    <mergeCell ref="L214:M214"/>
    <mergeCell ref="B210:F211"/>
    <mergeCell ref="A221:H221"/>
    <mergeCell ref="L208:M208"/>
    <mergeCell ref="L186:M186"/>
    <mergeCell ref="L219:M219"/>
    <mergeCell ref="G220:H220"/>
    <mergeCell ref="L220:M220"/>
    <mergeCell ref="G218:H218"/>
    <mergeCell ref="L218:M218"/>
    <mergeCell ref="G208:H208"/>
    <mergeCell ref="G202:H202"/>
    <mergeCell ref="A203:H203"/>
    <mergeCell ref="G204:H204"/>
    <mergeCell ref="L216:M216"/>
    <mergeCell ref="G217:H217"/>
    <mergeCell ref="L217:M217"/>
    <mergeCell ref="L192:M192"/>
    <mergeCell ref="L195:M195"/>
    <mergeCell ref="A17:B17"/>
    <mergeCell ref="C17:H17"/>
    <mergeCell ref="E42:H42"/>
    <mergeCell ref="A42:D42"/>
    <mergeCell ref="A83:B83"/>
    <mergeCell ref="C83:H83"/>
    <mergeCell ref="A78:B78"/>
    <mergeCell ref="A49:B49"/>
    <mergeCell ref="C49:E49"/>
    <mergeCell ref="G49:H49"/>
    <mergeCell ref="G51:H51"/>
    <mergeCell ref="D57:H57"/>
    <mergeCell ref="C51:E51"/>
    <mergeCell ref="A60:C61"/>
    <mergeCell ref="D60:H60"/>
    <mergeCell ref="A55:B55"/>
    <mergeCell ref="C55:E55"/>
    <mergeCell ref="D62:H62"/>
    <mergeCell ref="E73:F82"/>
    <mergeCell ref="G180:H180"/>
    <mergeCell ref="L180:M180"/>
    <mergeCell ref="L184:M184"/>
    <mergeCell ref="A175:H175"/>
    <mergeCell ref="L212:M212"/>
    <mergeCell ref="G213:H213"/>
    <mergeCell ref="L213:M213"/>
    <mergeCell ref="L200:M200"/>
    <mergeCell ref="G212:H212"/>
    <mergeCell ref="L205:M205"/>
    <mergeCell ref="G206:H206"/>
    <mergeCell ref="L206:M206"/>
    <mergeCell ref="G207:H207"/>
    <mergeCell ref="L207:M207"/>
    <mergeCell ref="A187:H187"/>
    <mergeCell ref="A188:H188"/>
    <mergeCell ref="A189:H189"/>
    <mergeCell ref="A190:H190"/>
    <mergeCell ref="A185:B185"/>
    <mergeCell ref="G185:H185"/>
    <mergeCell ref="L183:M183"/>
    <mergeCell ref="G210:H210"/>
    <mergeCell ref="A209:H209"/>
    <mergeCell ref="L210:M210"/>
    <mergeCell ref="G211:H211"/>
    <mergeCell ref="L211:M211"/>
    <mergeCell ref="L202:M202"/>
    <mergeCell ref="G201:H201"/>
    <mergeCell ref="L201:M201"/>
    <mergeCell ref="A197:H197"/>
    <mergeCell ref="G198:H198"/>
    <mergeCell ref="L198:M198"/>
    <mergeCell ref="G199:H199"/>
    <mergeCell ref="L199:M199"/>
    <mergeCell ref="I38:J38"/>
    <mergeCell ref="K38:L38"/>
    <mergeCell ref="C38:H38"/>
    <mergeCell ref="L170:M170"/>
    <mergeCell ref="L193:M193"/>
    <mergeCell ref="G194:H194"/>
    <mergeCell ref="L194:M194"/>
    <mergeCell ref="L204:M204"/>
    <mergeCell ref="G192:H192"/>
    <mergeCell ref="L196:M196"/>
    <mergeCell ref="G176:H176"/>
    <mergeCell ref="G177:H177"/>
    <mergeCell ref="L171:M171"/>
    <mergeCell ref="L185:M185"/>
    <mergeCell ref="L182:M182"/>
    <mergeCell ref="G183:H183"/>
    <mergeCell ref="L172:M172"/>
    <mergeCell ref="G173:H173"/>
    <mergeCell ref="L173:M173"/>
    <mergeCell ref="G174:H174"/>
    <mergeCell ref="L174:M174"/>
    <mergeCell ref="L178:M178"/>
    <mergeCell ref="G179:H179"/>
    <mergeCell ref="L179:M179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16383" man="1"/>
    <brk id="278" max="16383" man="1"/>
    <brk id="318" max="7" man="1"/>
    <brk id="362" max="16383" man="1"/>
    <brk id="40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8" zoomScale="220" zoomScaleNormal="220" workbookViewId="0">
      <selection activeCell="B16" sqref="B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6" t="s">
        <v>111</v>
      </c>
      <c r="C3" s="196"/>
      <c r="D3" s="196"/>
      <c r="E3" s="196"/>
      <c r="F3" s="196"/>
      <c r="G3" s="196"/>
      <c r="H3" s="196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2025-08-18T10:20:29Z</cp:lastPrinted>
  <dcterms:created xsi:type="dcterms:W3CDTF">2019-07-16T09:29:46Z</dcterms:created>
  <dcterms:modified xsi:type="dcterms:W3CDTF">2025-08-18T10:25:43Z</dcterms:modified>
</cp:coreProperties>
</file>