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aug 25\AXIS\DUMP\"/>
    </mc:Choice>
  </mc:AlternateContent>
  <xr:revisionPtr revIDLastSave="0" documentId="13_ncr:1_{3E0AB23B-E4C9-48FB-A6E6-731F5EAF80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9" i="1" l="1"/>
  <c r="D138" i="1"/>
  <c r="D137" i="1"/>
  <c r="D136" i="1"/>
  <c r="D135" i="1"/>
  <c r="D134" i="1"/>
  <c r="D133" i="1"/>
  <c r="D132" i="1"/>
  <c r="J106" i="1"/>
  <c r="K106" i="1"/>
  <c r="E42" i="1"/>
  <c r="E43" i="1" s="1"/>
  <c r="D177" i="1" l="1"/>
  <c r="F177" i="1" s="1"/>
  <c r="G177" i="1"/>
  <c r="A178" i="1"/>
  <c r="D178" i="1"/>
  <c r="F178" i="1" s="1"/>
  <c r="D180" i="1"/>
  <c r="F180" i="1" s="1"/>
  <c r="O197" i="1" s="1"/>
  <c r="G180" i="1"/>
  <c r="A181" i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D181" i="1"/>
  <c r="F181" i="1" s="1"/>
  <c r="D182" i="1"/>
  <c r="F182" i="1" s="1"/>
  <c r="D183" i="1"/>
  <c r="F183" i="1" s="1"/>
  <c r="O198" i="1" s="1"/>
  <c r="D184" i="1"/>
  <c r="F184" i="1" s="1"/>
  <c r="D185" i="1"/>
  <c r="F185" i="1" s="1"/>
  <c r="D186" i="1"/>
  <c r="F186" i="1" s="1"/>
  <c r="L192" i="1" s="1"/>
  <c r="D187" i="1"/>
  <c r="F187" i="1" s="1"/>
  <c r="O199" i="1" s="1"/>
  <c r="D188" i="1"/>
  <c r="F188" i="1" s="1"/>
  <c r="D189" i="1"/>
  <c r="F189" i="1" s="1"/>
  <c r="D190" i="1"/>
  <c r="F190" i="1" s="1"/>
  <c r="D191" i="1"/>
  <c r="F191" i="1" s="1"/>
  <c r="O192" i="1" s="1"/>
  <c r="I191" i="1"/>
  <c r="L191" i="1"/>
  <c r="O191" i="1"/>
  <c r="D193" i="1"/>
  <c r="F193" i="1" s="1"/>
  <c r="G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D194" i="1"/>
  <c r="F194" i="1"/>
  <c r="D195" i="1"/>
  <c r="F195" i="1" s="1"/>
  <c r="I195" i="1"/>
  <c r="O195" i="1"/>
  <c r="D196" i="1"/>
  <c r="F196" i="1" s="1"/>
  <c r="D197" i="1"/>
  <c r="F197" i="1"/>
  <c r="D198" i="1"/>
  <c r="F198" i="1" s="1"/>
  <c r="D199" i="1"/>
  <c r="F199" i="1" s="1"/>
  <c r="D200" i="1"/>
  <c r="F200" i="1" s="1"/>
  <c r="D201" i="1"/>
  <c r="F201" i="1" s="1"/>
  <c r="D202" i="1"/>
  <c r="F202" i="1" s="1"/>
  <c r="I192" i="1" s="1"/>
  <c r="D203" i="1"/>
  <c r="F203" i="1" s="1"/>
  <c r="D204" i="1"/>
  <c r="F204" i="1" s="1"/>
  <c r="O200" i="1" l="1"/>
  <c r="J136" i="1"/>
  <c r="K102" i="1"/>
  <c r="D169" i="1"/>
  <c r="G155" i="1"/>
  <c r="G154" i="1"/>
  <c r="G153" i="1"/>
  <c r="G152" i="1"/>
  <c r="G151" i="1"/>
  <c r="G150" i="1"/>
  <c r="G149" i="1"/>
  <c r="G148" i="1"/>
  <c r="G147" i="1"/>
  <c r="G146" i="1"/>
  <c r="G145" i="1"/>
  <c r="D168" i="1"/>
  <c r="D167" i="1"/>
  <c r="D166" i="1"/>
  <c r="D165" i="1"/>
  <c r="D164" i="1"/>
  <c r="D163" i="1"/>
  <c r="D162" i="1"/>
  <c r="D161" i="1"/>
  <c r="D160" i="1"/>
  <c r="D159" i="1"/>
  <c r="D158" i="1"/>
  <c r="D155" i="1"/>
  <c r="D154" i="1"/>
  <c r="D153" i="1"/>
  <c r="D152" i="1"/>
  <c r="D151" i="1"/>
  <c r="D150" i="1"/>
  <c r="D149" i="1"/>
  <c r="D148" i="1"/>
  <c r="D147" i="1"/>
  <c r="D146" i="1"/>
  <c r="D145" i="1"/>
  <c r="D143" i="1"/>
  <c r="D142" i="1"/>
  <c r="D141" i="1"/>
  <c r="D140" i="1"/>
  <c r="D129" i="1"/>
  <c r="D128" i="1"/>
  <c r="D127" i="1"/>
  <c r="D126" i="1"/>
  <c r="F126" i="1" s="1"/>
  <c r="H126" i="1" s="1"/>
  <c r="D125" i="1"/>
  <c r="F125" i="1" s="1"/>
  <c r="H125" i="1" s="1"/>
  <c r="D124" i="1"/>
  <c r="F124" i="1" s="1"/>
  <c r="H124" i="1" s="1"/>
  <c r="D123" i="1"/>
  <c r="F123" i="1" s="1"/>
  <c r="H123" i="1" s="1"/>
  <c r="D122" i="1"/>
  <c r="D121" i="1"/>
  <c r="D120" i="1"/>
  <c r="F120" i="1" s="1"/>
  <c r="H120" i="1" s="1"/>
  <c r="D119" i="1"/>
  <c r="F119" i="1" s="1"/>
  <c r="H119" i="1" s="1"/>
  <c r="D117" i="1"/>
  <c r="D116" i="1"/>
  <c r="D115" i="1"/>
  <c r="D114" i="1"/>
  <c r="D113" i="1"/>
  <c r="D112" i="1"/>
  <c r="D111" i="1"/>
  <c r="D110" i="1"/>
  <c r="D109" i="1"/>
  <c r="D108" i="1"/>
  <c r="D107" i="1"/>
  <c r="D106" i="1"/>
  <c r="I106" i="1"/>
  <c r="F129" i="1"/>
  <c r="H129" i="1" s="1"/>
  <c r="F128" i="1"/>
  <c r="H128" i="1" s="1"/>
  <c r="F127" i="1"/>
  <c r="H127" i="1" s="1"/>
  <c r="F122" i="1"/>
  <c r="H122" i="1" s="1"/>
  <c r="F121" i="1"/>
  <c r="H121" i="1" s="1"/>
  <c r="C96" i="1" l="1"/>
  <c r="F106" i="1"/>
  <c r="F110" i="1"/>
  <c r="H110" i="1" s="1"/>
  <c r="F111" i="1"/>
  <c r="H111" i="1" s="1"/>
  <c r="F108" i="1"/>
  <c r="H108" i="1" s="1"/>
  <c r="I145" i="1"/>
  <c r="F139" i="1"/>
  <c r="H139" i="1" s="1"/>
  <c r="F138" i="1"/>
  <c r="H138" i="1" s="1"/>
  <c r="F137" i="1"/>
  <c r="H137" i="1" s="1"/>
  <c r="F134" i="1"/>
  <c r="H134" i="1" s="1"/>
  <c r="F136" i="1"/>
  <c r="H136" i="1" s="1"/>
  <c r="F142" i="1"/>
  <c r="H142" i="1" s="1"/>
  <c r="F140" i="1"/>
  <c r="H140" i="1" s="1"/>
  <c r="I158" i="1"/>
  <c r="F166" i="1"/>
  <c r="H166" i="1" s="1"/>
  <c r="F165" i="1"/>
  <c r="H165" i="1" s="1"/>
  <c r="F164" i="1"/>
  <c r="H164" i="1" s="1"/>
  <c r="F162" i="1"/>
  <c r="H162" i="1" s="1"/>
  <c r="F160" i="1"/>
  <c r="H160" i="1" s="1"/>
  <c r="F169" i="1"/>
  <c r="H169" i="1" s="1"/>
  <c r="F168" i="1"/>
  <c r="H168" i="1" s="1"/>
  <c r="F167" i="1"/>
  <c r="H167" i="1" s="1"/>
  <c r="F163" i="1"/>
  <c r="H163" i="1" s="1"/>
  <c r="F161" i="1"/>
  <c r="H161" i="1" s="1"/>
  <c r="F159" i="1"/>
  <c r="H159" i="1" s="1"/>
  <c r="F158" i="1"/>
  <c r="H158" i="1" s="1"/>
  <c r="F154" i="1"/>
  <c r="H154" i="1" s="1"/>
  <c r="F151" i="1"/>
  <c r="H151" i="1" s="1"/>
  <c r="F150" i="1"/>
  <c r="H150" i="1" s="1"/>
  <c r="F147" i="1"/>
  <c r="H147" i="1" s="1"/>
  <c r="F155" i="1"/>
  <c r="H155" i="1" s="1"/>
  <c r="F153" i="1"/>
  <c r="H153" i="1" s="1"/>
  <c r="F152" i="1"/>
  <c r="H152" i="1" s="1"/>
  <c r="F149" i="1"/>
  <c r="H149" i="1" s="1"/>
  <c r="F148" i="1"/>
  <c r="H148" i="1" s="1"/>
  <c r="F146" i="1"/>
  <c r="H146" i="1" s="1"/>
  <c r="F145" i="1"/>
  <c r="H145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09" i="1"/>
  <c r="H109" i="1" s="1"/>
  <c r="F107" i="1"/>
  <c r="H107" i="1" s="1"/>
  <c r="F135" i="1"/>
  <c r="H135" i="1" s="1"/>
  <c r="F133" i="1"/>
  <c r="H133" i="1" s="1"/>
  <c r="F132" i="1"/>
  <c r="H132" i="1" s="1"/>
  <c r="F143" i="1"/>
  <c r="H143" i="1" s="1"/>
  <c r="F141" i="1"/>
  <c r="H141" i="1" s="1"/>
  <c r="H106" i="1" l="1"/>
  <c r="E96" i="1"/>
  <c r="F93" i="1"/>
  <c r="G96" i="1" l="1"/>
  <c r="D230" i="1" l="1"/>
  <c r="E97" i="1" l="1"/>
  <c r="C97" i="1"/>
  <c r="C14" i="1" l="1"/>
  <c r="G97" i="1" l="1"/>
  <c r="B207" i="1"/>
  <c r="B208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J76" i="1"/>
  <c r="J75" i="1"/>
  <c r="J74" i="1"/>
  <c r="J73" i="1"/>
  <c r="C65" i="1"/>
  <c r="D54" i="1"/>
  <c r="G49" i="1"/>
  <c r="G50" i="1" s="1"/>
  <c r="C49" i="1"/>
  <c r="E26" i="1"/>
  <c r="E24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l="1"/>
  <c r="J77" i="1" s="1"/>
  <c r="J78" i="1" s="1"/>
  <c r="G69" i="1"/>
  <c r="D63" i="1" s="1"/>
  <c r="D64" i="1" s="1"/>
  <c r="D71" i="1"/>
  <c r="J67" i="1"/>
  <c r="E69" i="1"/>
  <c r="D70" i="1"/>
  <c r="D69" i="1"/>
  <c r="I66" i="1" l="1"/>
  <c r="J66" i="1"/>
  <c r="F64" i="1"/>
  <c r="I67" i="1" l="1"/>
  <c r="I65" i="1" s="1"/>
  <c r="C67" i="1" s="1"/>
</calcChain>
</file>

<file path=xl/sharedStrings.xml><?xml version="1.0" encoding="utf-8"?>
<sst xmlns="http://schemas.openxmlformats.org/spreadsheetml/2006/main" count="363" uniqueCount="232">
  <si>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</si>
  <si>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</si>
  <si>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</si>
  <si>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</si>
  <si>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</si>
  <si>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</si>
  <si>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</si>
  <si>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</si>
  <si>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</si>
  <si>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</si>
  <si>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</si>
  <si>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</si>
  <si>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</si>
  <si>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</si>
  <si>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</si>
  <si>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</si>
  <si>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</si>
  <si>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</si>
  <si>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</si>
  <si>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</si>
  <si>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</si>
  <si>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</si>
  <si>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</si>
  <si>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</si>
  <si>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</si>
  <si>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</si>
  <si>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</si>
  <si>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</si>
  <si>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</si>
  <si>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</si>
  <si>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</si>
  <si>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</si>
  <si>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</si>
  <si>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</si>
  <si>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</si>
  <si>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</si>
  <si>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</si>
  <si>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</si>
  <si>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</si>
  <si>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</si>
  <si>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</si>
  <si>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</si>
  <si>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</si>
  <si>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</si>
  <si>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</si>
  <si>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</si>
  <si>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</si>
  <si>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</si>
  <si>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</si>
  <si>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</si>
  <si>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</si>
  <si>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</si>
  <si>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</si>
  <si>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</si>
  <si>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</si>
  <si>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</si>
  <si>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</si>
  <si>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</si>
  <si>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</si>
  <si>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</si>
  <si>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</si>
  <si>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</si>
  <si>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</si>
  <si>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</si>
  <si>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</si>
  <si>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</si>
  <si>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</si>
  <si>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</si>
  <si>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</si>
  <si>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</si>
  <si>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</si>
  <si>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</si>
  <si>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</si>
  <si>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</si>
  <si>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</si>
  <si>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</si>
  <si>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</si>
  <si>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</si>
  <si>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</si>
  <si>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</si>
  <si>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</si>
  <si>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</si>
  <si>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</si>
  <si>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</si>
  <si>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</si>
  <si>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</si>
  <si>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</si>
  <si>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</si>
  <si>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</si>
  <si>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</si>
  <si>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</si>
  <si>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</si>
  <si>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</si>
  <si>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</si>
  <si>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</si>
  <si>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</si>
  <si>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</si>
  <si>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</si>
  <si>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</si>
  <si>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</si>
  <si>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</si>
  <si>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</si>
  <si>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</si>
  <si>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</si>
  <si>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</si>
  <si>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</si>
  <si>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</si>
  <si>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</si>
  <si>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</si>
  <si>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</si>
  <si>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</si>
  <si>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</si>
  <si>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</si>
  <si>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</si>
  <si>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</si>
  <si>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</si>
  <si>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</si>
  <si>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</si>
  <si>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</si>
  <si>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</si>
  <si>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</si>
  <si>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</si>
  <si>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</si>
  <si>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</si>
  <si>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</si>
  <si>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</si>
  <si>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</si>
  <si>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</si>
  <si>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</si>
  <si>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</si>
  <si>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</si>
  <si>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</si>
  <si>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</si>
  <si>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</si>
  <si>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</si>
  <si>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</si>
  <si>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</si>
  <si>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</si>
  <si>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</si>
  <si>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</si>
  <si>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</si>
  <si>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</si>
  <si>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</si>
  <si>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</si>
  <si>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</si>
  <si>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</si>
  <si>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</si>
  <si>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</si>
  <si>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</si>
  <si>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</si>
  <si>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</si>
  <si>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</si>
  <si>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</si>
  <si>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</si>
  <si>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</si>
  <si>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</si>
  <si>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</si>
  <si>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</si>
  <si>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</si>
  <si>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</si>
  <si>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</si>
  <si>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</si>
  <si>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</si>
  <si>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</si>
  <si>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</si>
  <si>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</si>
  <si>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</si>
  <si>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</si>
  <si>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</si>
  <si>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</si>
  <si>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Axis Thane</t>
  </si>
  <si>
    <t>P51700047272</t>
  </si>
  <si>
    <t>Vertical Realtors Private Limited</t>
  </si>
  <si>
    <t>Ekatva Onyx</t>
  </si>
  <si>
    <t>Mr.Santosh Dandekar - 9833119645</t>
  </si>
  <si>
    <t>Plot No</t>
  </si>
  <si>
    <t>Thane</t>
  </si>
  <si>
    <t>Maharashtra Industrial Development Corporation (MIDC)</t>
  </si>
  <si>
    <t>Panchapakhadi</t>
  </si>
  <si>
    <t>https://goo.gl/maps/Xzn7qZQovyYKhCys8</t>
  </si>
  <si>
    <t>Oxford Instruments India Pvt. Ltd.</t>
  </si>
  <si>
    <t>Internal Road</t>
  </si>
  <si>
    <t>Neheru Nagar</t>
  </si>
  <si>
    <t>Open Plot</t>
  </si>
  <si>
    <t>Ramco Engineering Works</t>
  </si>
  <si>
    <t>Basement Floor For Pump Room, Fire Tank &amp; Parking</t>
  </si>
  <si>
    <t>Ground Floor For Entrance Lobby &amp; Parking</t>
  </si>
  <si>
    <t>IT Unit</t>
  </si>
  <si>
    <t>1st Floor For Commercial &amp; Parking</t>
  </si>
  <si>
    <t>2 &amp; 3rd Floor For Commercial</t>
  </si>
  <si>
    <t>4th &amp; 5th Floor For Commercial</t>
  </si>
  <si>
    <t>A-A-280, Survey No.08</t>
  </si>
  <si>
    <t>Latitude &amp; Longitude</t>
  </si>
  <si>
    <t>19.200968, 72.954454</t>
  </si>
  <si>
    <t>Construction work is in process at the time of Visit.</t>
  </si>
  <si>
    <t>Commercial</t>
  </si>
  <si>
    <t>Cost Sheet</t>
  </si>
  <si>
    <t>Recommended rate of the Office Per Sq. Ft. (4th &amp; 5th Floor)</t>
  </si>
  <si>
    <t>Centrum Business Square</t>
  </si>
  <si>
    <t>800M</t>
  </si>
  <si>
    <t>Building Details Floor Wise</t>
  </si>
  <si>
    <t xml:space="preserve">Details of Residential &amp; Commercials in Building   </t>
  </si>
  <si>
    <t>Shop No. (Sale Plan)</t>
  </si>
  <si>
    <t>Carpet area</t>
  </si>
  <si>
    <t>Attached Terrace area</t>
  </si>
  <si>
    <t>Basement For Pump Room, Fire Tank &amp; Parking</t>
  </si>
  <si>
    <t>Ground Floor Entrance Lobby &amp; Parking</t>
  </si>
  <si>
    <t>1st Floor For Meter Room, Hirkani Kasha &amp; Parking</t>
  </si>
  <si>
    <t>2nd to 7th &amp; 9th to 10th Floor For Commercial</t>
  </si>
  <si>
    <t xml:space="preserve"> 11th Floor</t>
  </si>
  <si>
    <t>-</t>
  </si>
  <si>
    <t>Refuge Area</t>
  </si>
  <si>
    <t xml:space="preserve"> 13th Floor</t>
  </si>
  <si>
    <t xml:space="preserve"> 8th Floor (Part Refuge Area)</t>
  </si>
  <si>
    <t xml:space="preserve"> 12th Floor (Part Refuge Area)</t>
  </si>
  <si>
    <t>Gr + 1st to 13th Floor</t>
  </si>
  <si>
    <t xml:space="preserve">DE&amp;PAIII/THN/SPA/BPAMS/I-88421/2024 </t>
  </si>
  <si>
    <t>IT Unit - 142</t>
  </si>
  <si>
    <t>We considered Gross carpet area = Net carpet + Balcony.</t>
  </si>
  <si>
    <t>Please check for Fire Noc.</t>
  </si>
  <si>
    <t xml:space="preserve">Ajay </t>
  </si>
  <si>
    <t>Approved Plans &amp; CC</t>
  </si>
  <si>
    <t xml:space="preserve">Combined Approval Letter No
Valid Up to: </t>
  </si>
  <si>
    <t>3.6KM from Thane Railway Station</t>
  </si>
  <si>
    <t>As per RERA - 30/06/2026</t>
  </si>
  <si>
    <r>
      <t xml:space="preserve">Shop No.
</t>
    </r>
    <r>
      <rPr>
        <b/>
        <sz val="11"/>
        <rFont val="Times New Roman"/>
        <family val="1"/>
      </rPr>
      <t>(Approved Plan)</t>
    </r>
  </si>
  <si>
    <t xml:space="preserve">Recommended rate of the IT Unit Per Sq. Ft. </t>
  </si>
  <si>
    <t>We have updated revised approved plan &amp; CC on 11/02/2025.</t>
  </si>
  <si>
    <t>Office No. 1031, Wing J, Akshar Business Park, Plot No. 03 Sector 25, Near APMC Market,
Vashi, Navi Mumbai, Maharashtra 400703 TEL: 022-46090378/79/8
E mail : vsjcapf@gmail.com. Web site : www.vsjadon.com</t>
  </si>
  <si>
    <t>Rate 11500 by SANJAY VERBAL   On 25/02/2025</t>
  </si>
  <si>
    <t>Recommended Rates / Other charges of the Property have been revised on 25/02/2025.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</si>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</sst>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b/>
      <sz val="12"/>
      <color rgb="FFFF000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1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1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167" fontId="12" fillId="0" borderId="0" xfId="9" applyNumberFormat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67" fontId="12" fillId="0" borderId="1" xfId="9" applyNumberFormat="1" applyFont="1" applyBorder="1" applyAlignment="1">
      <alignment horizontal="center" vertical="center"/>
    </xf>
    <xf numFmtId="167" fontId="13" fillId="0" borderId="1" xfId="1" applyNumberFormat="1" applyFont="1" applyBorder="1" applyAlignment="1">
      <alignment horizontal="center" vertical="center"/>
    </xf>
    <xf numFmtId="0" fontId="27" fillId="0" borderId="0" xfId="0" applyFont="1"/>
    <xf numFmtId="0" fontId="10" fillId="0" borderId="0" xfId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2" fillId="0" borderId="1" xfId="1" applyFont="1" applyBorder="1" applyAlignment="1" applyProtection="1">
      <alignment vertical="top" wrapText="1"/>
      <protection locked="0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9" fontId="13" fillId="0" borderId="15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28" fillId="0" borderId="7" xfId="0" applyNumberFormat="1" applyFont="1" applyBorder="1" applyAlignment="1" applyProtection="1">
      <alignment vertical="top" wrapText="1"/>
      <protection locked="0"/>
    </xf>
    <xf numFmtId="1" fontId="28" fillId="0" borderId="20" xfId="0" applyNumberFormat="1" applyFont="1" applyBorder="1" applyAlignment="1" applyProtection="1">
      <alignment vertical="top" wrapText="1"/>
      <protection locked="0"/>
    </xf>
    <xf numFmtId="1" fontId="28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1" fontId="13" fillId="0" borderId="15" xfId="1" applyNumberFormat="1" applyFont="1" applyBorder="1" applyAlignment="1" applyProtection="1">
      <alignment horizontal="center" vertical="top" wrapText="1"/>
      <protection locked="0"/>
    </xf>
    <xf numFmtId="1" fontId="29" fillId="0" borderId="2" xfId="1" applyNumberFormat="1" applyFont="1" applyBorder="1" applyAlignment="1" applyProtection="1">
      <alignment horizontal="center" vertical="top" wrapText="1"/>
      <protection locked="0"/>
    </xf>
    <xf numFmtId="1" fontId="29" fillId="0" borderId="15" xfId="1" applyNumberFormat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center" vertical="top"/>
      <protection locked="0"/>
    </xf>
    <xf numFmtId="0" fontId="8" fillId="0" borderId="20" xfId="1" applyFont="1" applyBorder="1" applyAlignment="1" applyProtection="1">
      <alignment horizontal="center" vertical="top"/>
      <protection locked="0"/>
    </xf>
    <xf numFmtId="0" fontId="8" fillId="0" borderId="8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2" fillId="0" borderId="0" xfId="1" applyFont="1" applyAlignment="1">
      <alignment horizontal="center" vertical="center"/>
    </xf>
    <xf numFmtId="1" fontId="13" fillId="0" borderId="0" xfId="1" applyNumberFormat="1" applyFont="1" applyAlignment="1">
      <alignment horizontal="center" vertical="center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360934</xdr:colOff>
      <xdr:row>316</xdr:row>
      <xdr:rowOff>198782</xdr:rowOff>
    </xdr:from>
    <xdr:to>
      <xdr:col>6</xdr:col>
      <xdr:colOff>311833</xdr:colOff>
      <xdr:row>331</xdr:row>
      <xdr:rowOff>97043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2934" y="51890543"/>
          <a:ext cx="4100486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339587</xdr:colOff>
      <xdr:row>333</xdr:row>
      <xdr:rowOff>5364</xdr:rowOff>
    </xdr:from>
    <xdr:to>
      <xdr:col>6</xdr:col>
      <xdr:colOff>311833</xdr:colOff>
      <xdr:row>347</xdr:row>
      <xdr:rowOff>102408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1587" y="55076429"/>
          <a:ext cx="4121833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414131</xdr:colOff>
      <xdr:row>339</xdr:row>
      <xdr:rowOff>66261</xdr:rowOff>
    </xdr:from>
    <xdr:to>
      <xdr:col>4</xdr:col>
      <xdr:colOff>265043</xdr:colOff>
      <xdr:row>340</xdr:row>
      <xdr:rowOff>190500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24370" y="56330022"/>
          <a:ext cx="795130" cy="323021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4</xdr:col>
      <xdr:colOff>774576</xdr:colOff>
      <xdr:row>276</xdr:row>
      <xdr:rowOff>24848</xdr:rowOff>
    </xdr:from>
    <xdr:to>
      <xdr:col>7</xdr:col>
      <xdr:colOff>31885</xdr:colOff>
      <xdr:row>290</xdr:row>
      <xdr:rowOff>121892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29033" y="43765305"/>
          <a:ext cx="159300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472108</xdr:colOff>
      <xdr:row>276</xdr:row>
      <xdr:rowOff>16565</xdr:rowOff>
    </xdr:from>
    <xdr:to>
      <xdr:col>4</xdr:col>
      <xdr:colOff>482137</xdr:colOff>
      <xdr:row>290</xdr:row>
      <xdr:rowOff>113609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108" y="43757022"/>
          <a:ext cx="3364486" cy="28800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8</xdr:col>
      <xdr:colOff>400872</xdr:colOff>
      <xdr:row>225</xdr:row>
      <xdr:rowOff>158198</xdr:rowOff>
    </xdr:from>
    <xdr:to>
      <xdr:col>14</xdr:col>
      <xdr:colOff>397658</xdr:colOff>
      <xdr:row>244</xdr:row>
      <xdr:rowOff>151681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6744522" y="38201048"/>
          <a:ext cx="4959311" cy="3784433"/>
          <a:chOff x="629472" y="46764023"/>
          <a:chExt cx="4959311" cy="3784433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87278" y="46764023"/>
            <a:ext cx="2401505" cy="1809939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87543" y="48720711"/>
            <a:ext cx="1349835" cy="181118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9472" y="46792598"/>
            <a:ext cx="2397364" cy="1809939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97876" y="48737276"/>
            <a:ext cx="1351492" cy="181118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140804</xdr:colOff>
      <xdr:row>174</xdr:row>
      <xdr:rowOff>49695</xdr:rowOff>
    </xdr:from>
    <xdr:to>
      <xdr:col>16</xdr:col>
      <xdr:colOff>97770</xdr:colOff>
      <xdr:row>219</xdr:row>
      <xdr:rowOff>64658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77000" y="22669499"/>
          <a:ext cx="6342857" cy="2885714"/>
        </a:xfrm>
        <a:prstGeom prst="rect">
          <a:avLst/>
        </a:prstGeom>
      </xdr:spPr>
    </xdr:pic>
    <xdr:clientData/>
  </xdr:twoCellAnchor>
  <xdr:twoCellAnchor editAs="oneCell">
    <xdr:from>
      <xdr:col>8</xdr:col>
      <xdr:colOff>1028700</xdr:colOff>
      <xdr:row>135</xdr:row>
      <xdr:rowOff>123825</xdr:rowOff>
    </xdr:from>
    <xdr:to>
      <xdr:col>14</xdr:col>
      <xdr:colOff>618556</xdr:colOff>
      <xdr:row>146</xdr:row>
      <xdr:rowOff>18789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72350" y="27679650"/>
          <a:ext cx="4552381" cy="2095238"/>
        </a:xfrm>
        <a:prstGeom prst="rect">
          <a:avLst/>
        </a:prstGeom>
      </xdr:spPr>
    </xdr:pic>
    <xdr:clientData/>
  </xdr:twoCellAnchor>
  <xdr:twoCellAnchor editAs="oneCell">
    <xdr:from>
      <xdr:col>8</xdr:col>
      <xdr:colOff>781050</xdr:colOff>
      <xdr:row>146</xdr:row>
      <xdr:rowOff>180975</xdr:rowOff>
    </xdr:from>
    <xdr:to>
      <xdr:col>14</xdr:col>
      <xdr:colOff>418525</xdr:colOff>
      <xdr:row>158</xdr:row>
      <xdr:rowOff>66389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24700" y="27308175"/>
          <a:ext cx="4600000" cy="2285714"/>
        </a:xfrm>
        <a:prstGeom prst="rect">
          <a:avLst/>
        </a:prstGeom>
      </xdr:spPr>
    </xdr:pic>
    <xdr:clientData/>
  </xdr:twoCellAnchor>
  <xdr:twoCellAnchor editAs="oneCell">
    <xdr:from>
      <xdr:col>8</xdr:col>
      <xdr:colOff>1057275</xdr:colOff>
      <xdr:row>109</xdr:row>
      <xdr:rowOff>76200</xdr:rowOff>
    </xdr:from>
    <xdr:to>
      <xdr:col>15</xdr:col>
      <xdr:colOff>47049</xdr:colOff>
      <xdr:row>114</xdr:row>
      <xdr:rowOff>161788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00925" y="22402800"/>
          <a:ext cx="4609524" cy="1085714"/>
        </a:xfrm>
        <a:prstGeom prst="rect">
          <a:avLst/>
        </a:prstGeom>
      </xdr:spPr>
    </xdr:pic>
    <xdr:clientData/>
  </xdr:twoCellAnchor>
  <xdr:oneCellAnchor>
    <xdr:from>
      <xdr:col>8</xdr:col>
      <xdr:colOff>1152525</xdr:colOff>
      <xdr:row>128</xdr:row>
      <xdr:rowOff>76200</xdr:rowOff>
    </xdr:from>
    <xdr:ext cx="4609524" cy="1085714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96175" y="26203275"/>
          <a:ext cx="4609524" cy="1085714"/>
        </a:xfrm>
        <a:prstGeom prst="rect">
          <a:avLst/>
        </a:prstGeom>
      </xdr:spPr>
    </xdr:pic>
    <xdr:clientData/>
  </xdr:oneCellAnchor>
  <xdr:twoCellAnchor editAs="oneCell">
    <xdr:from>
      <xdr:col>17</xdr:col>
      <xdr:colOff>308943</xdr:colOff>
      <xdr:row>274</xdr:row>
      <xdr:rowOff>107706</xdr:rowOff>
    </xdr:from>
    <xdr:to>
      <xdr:col>26</xdr:col>
      <xdr:colOff>97653</xdr:colOff>
      <xdr:row>294</xdr:row>
      <xdr:rowOff>67206</xdr:rowOff>
    </xdr:to>
    <xdr:pic>
      <xdr:nvPicPr>
        <xdr:cNvPr id="18" name="Picture 17" descr="https://vsjcllp.vsjadon.com/upload/insp-217661-849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62993" y="52266606"/>
          <a:ext cx="5275110" cy="39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241486</xdr:colOff>
      <xdr:row>230</xdr:row>
      <xdr:rowOff>113179</xdr:rowOff>
    </xdr:from>
    <xdr:to>
      <xdr:col>17</xdr:col>
      <xdr:colOff>440405</xdr:colOff>
      <xdr:row>270</xdr:row>
      <xdr:rowOff>34880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F18F1FC1-834C-4527-9FD4-78FB853C972C}"/>
            </a:ext>
          </a:extLst>
        </xdr:cNvPr>
        <xdr:cNvGrpSpPr/>
      </xdr:nvGrpSpPr>
      <xdr:grpSpPr>
        <a:xfrm>
          <a:off x="7747186" y="39156154"/>
          <a:ext cx="6047269" cy="7913176"/>
          <a:chOff x="222436" y="39156154"/>
          <a:chExt cx="6047269" cy="7913176"/>
        </a:xfrm>
      </xdr:grpSpPr>
      <xdr:pic>
        <xdr:nvPicPr>
          <xdr:cNvPr id="16" name="Picture 15" descr="https://vsjcllp.vsjadon.com/upload/insp-217661-1525.jpg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2436" y="43111012"/>
            <a:ext cx="2966906" cy="395831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17661-843.jp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82218" y="39160162"/>
            <a:ext cx="2878401" cy="38425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17661-851.jp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54748" y="39156154"/>
            <a:ext cx="2889768" cy="385818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17661-849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62593" y="43099506"/>
            <a:ext cx="3007112" cy="22574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</xdr:col>
      <xdr:colOff>504824</xdr:colOff>
      <xdr:row>48</xdr:row>
      <xdr:rowOff>47626</xdr:rowOff>
    </xdr:from>
    <xdr:to>
      <xdr:col>15</xdr:col>
      <xdr:colOff>46811</xdr:colOff>
      <xdr:row>54</xdr:row>
      <xdr:rowOff>158718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48474" y="11077576"/>
          <a:ext cx="5161737" cy="1768442"/>
        </a:xfrm>
        <a:prstGeom prst="rect">
          <a:avLst/>
        </a:prstGeom>
      </xdr:spPr>
    </xdr:pic>
    <xdr:clientData/>
  </xdr:twoCellAnchor>
  <xdr:twoCellAnchor editAs="oneCell">
    <xdr:from>
      <xdr:col>8</xdr:col>
      <xdr:colOff>809625</xdr:colOff>
      <xdr:row>32</xdr:row>
      <xdr:rowOff>47625</xdr:rowOff>
    </xdr:from>
    <xdr:to>
      <xdr:col>13</xdr:col>
      <xdr:colOff>533399</xdr:colOff>
      <xdr:row>46</xdr:row>
      <xdr:rowOff>22346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153275" y="7439025"/>
          <a:ext cx="3848099" cy="2775071"/>
        </a:xfrm>
        <a:prstGeom prst="rect">
          <a:avLst/>
        </a:prstGeom>
      </xdr:spPr>
    </xdr:pic>
    <xdr:clientData/>
  </xdr:twoCellAnchor>
  <xdr:twoCellAnchor>
    <xdr:from>
      <xdr:col>8</xdr:col>
      <xdr:colOff>1057275</xdr:colOff>
      <xdr:row>230</xdr:row>
      <xdr:rowOff>9525</xdr:rowOff>
    </xdr:from>
    <xdr:to>
      <xdr:col>15</xdr:col>
      <xdr:colOff>426828</xdr:colOff>
      <xdr:row>257</xdr:row>
      <xdr:rowOff>166891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79FA8A66-5DBE-4EE5-B5AF-5CF6503D8B6D}"/>
            </a:ext>
          </a:extLst>
        </xdr:cNvPr>
        <xdr:cNvGrpSpPr/>
      </xdr:nvGrpSpPr>
      <xdr:grpSpPr>
        <a:xfrm>
          <a:off x="7400925" y="39052500"/>
          <a:ext cx="4989303" cy="5548516"/>
          <a:chOff x="867166" y="514350"/>
          <a:chExt cx="4989303" cy="5548516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92D06B25-3975-4931-A368-FBC6613E5D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7166" y="514350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59A151E8-FC8C-48A5-9221-CFD4B886F8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514350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502DF29E-81C6-41A4-A240-D0C4A71FFB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9650" y="390286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4B68E6EE-D386-4E37-AFD5-0EAC7EC294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95817" y="3902866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152400</xdr:colOff>
      <xdr:row>230</xdr:row>
      <xdr:rowOff>123825</xdr:rowOff>
    </xdr:from>
    <xdr:to>
      <xdr:col>7</xdr:col>
      <xdr:colOff>485776</xdr:colOff>
      <xdr:row>264</xdr:row>
      <xdr:rowOff>161924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63E9F7F2-213C-4D65-8F16-E13F3E4F34AA}"/>
            </a:ext>
          </a:extLst>
        </xdr:cNvPr>
        <xdr:cNvGrpSpPr/>
      </xdr:nvGrpSpPr>
      <xdr:grpSpPr>
        <a:xfrm>
          <a:off x="152400" y="39166800"/>
          <a:ext cx="6029326" cy="6829424"/>
          <a:chOff x="808245" y="260698"/>
          <a:chExt cx="5048224" cy="5580443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4544BC38-C478-4573-B94C-CD771F087D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260698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1864362C-DB4F-498A-BAD6-BB6FB50303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8245" y="260698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630E0CBB-32AF-435E-A0DC-912FC082D1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1800" y="3681141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F1256F7F-8607-4787-B2B0-AF6B97F814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24603" y="3658379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zn7qZQovyYKhCys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358"/>
  <sheetViews>
    <sheetView tabSelected="1" view="pageBreakPreview" topLeftCell="A211" zoomScaleNormal="100" zoomScaleSheetLayoutView="100" zoomScalePageLayoutView="115" workbookViewId="0">
      <selection activeCell="I223" sqref="I223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9.710937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52" t="s">
        <v>228</v>
      </c>
      <c r="B1" s="152"/>
      <c r="C1" s="152"/>
      <c r="D1" s="152"/>
      <c r="E1" s="152"/>
      <c r="F1" s="152"/>
      <c r="G1" s="152"/>
      <c r="H1" s="152"/>
    </row>
    <row r="2" spans="1:8" ht="16.5" customHeight="1" x14ac:dyDescent="0.25">
      <c r="A2" s="153" t="s">
        <v>0</v>
      </c>
      <c r="B2" s="153"/>
      <c r="C2" s="153"/>
      <c r="D2" s="153"/>
      <c r="E2" s="153"/>
      <c r="F2" s="153"/>
      <c r="G2" s="153"/>
      <c r="H2" s="153"/>
    </row>
    <row r="3" spans="1:8" x14ac:dyDescent="0.25">
      <c r="A3" s="131" t="s">
        <v>1</v>
      </c>
      <c r="B3" s="131"/>
      <c r="C3" s="131"/>
      <c r="D3" s="131"/>
      <c r="E3" s="131" t="str">
        <f ca="1">TEXT(TODAY(),"DD/MM/YYYY")</f>
        <v>12/08/2025</v>
      </c>
      <c r="F3" s="131"/>
      <c r="G3" s="131"/>
      <c r="H3" s="131"/>
    </row>
    <row r="4" spans="1:8" ht="15" customHeight="1" x14ac:dyDescent="0.25">
      <c r="A4" s="131" t="s">
        <v>2</v>
      </c>
      <c r="B4" s="131"/>
      <c r="C4" s="131"/>
      <c r="D4" s="131"/>
      <c r="E4" s="131" t="s">
        <v>170</v>
      </c>
      <c r="F4" s="131"/>
      <c r="G4" s="131"/>
      <c r="H4" s="131"/>
    </row>
    <row r="5" spans="1:8" x14ac:dyDescent="0.25">
      <c r="A5" s="131" t="s">
        <v>3</v>
      </c>
      <c r="B5" s="131"/>
      <c r="C5" s="131"/>
      <c r="D5" s="131"/>
      <c r="E5" s="155">
        <v>45880</v>
      </c>
      <c r="F5" s="131"/>
      <c r="G5" s="131"/>
      <c r="H5" s="131"/>
    </row>
    <row r="6" spans="1:8" ht="16.5" customHeight="1" x14ac:dyDescent="0.25">
      <c r="A6" s="131" t="s">
        <v>4</v>
      </c>
      <c r="B6" s="131"/>
      <c r="C6" s="131"/>
      <c r="D6" s="131"/>
      <c r="E6" s="131" t="s">
        <v>172</v>
      </c>
      <c r="F6" s="131"/>
      <c r="G6" s="131"/>
      <c r="H6" s="131"/>
    </row>
    <row r="7" spans="1:8" ht="15" customHeight="1" x14ac:dyDescent="0.25">
      <c r="A7" s="131" t="s">
        <v>5</v>
      </c>
      <c r="B7" s="131"/>
      <c r="C7" s="131"/>
      <c r="D7" s="131"/>
      <c r="E7" s="131" t="str">
        <f>E6</f>
        <v>Vertical Realtors Private Limited</v>
      </c>
      <c r="F7" s="131"/>
      <c r="G7" s="131"/>
      <c r="H7" s="131"/>
    </row>
    <row r="8" spans="1:8" x14ac:dyDescent="0.25">
      <c r="A8" s="131" t="s">
        <v>6</v>
      </c>
      <c r="B8" s="131"/>
      <c r="C8" s="131"/>
      <c r="D8" s="131"/>
      <c r="E8" s="154" t="s">
        <v>173</v>
      </c>
      <c r="F8" s="154"/>
      <c r="G8" s="154"/>
      <c r="H8" s="154"/>
    </row>
    <row r="9" spans="1:8" x14ac:dyDescent="0.25">
      <c r="A9" s="131" t="s">
        <v>166</v>
      </c>
      <c r="B9" s="131"/>
      <c r="C9" s="131"/>
      <c r="D9" s="131"/>
      <c r="E9" s="131" t="s">
        <v>174</v>
      </c>
      <c r="F9" s="131"/>
      <c r="G9" s="131"/>
      <c r="H9" s="131"/>
    </row>
    <row r="10" spans="1:8" x14ac:dyDescent="0.25">
      <c r="A10" s="131" t="s">
        <v>167</v>
      </c>
      <c r="B10" s="131"/>
      <c r="C10" s="131"/>
      <c r="D10" s="131"/>
      <c r="E10" s="131" t="s">
        <v>30</v>
      </c>
      <c r="F10" s="131"/>
      <c r="G10" s="131"/>
      <c r="H10" s="131"/>
    </row>
    <row r="11" spans="1:8" x14ac:dyDescent="0.25">
      <c r="A11" s="131" t="s">
        <v>7</v>
      </c>
      <c r="B11" s="131"/>
      <c r="C11" s="131"/>
      <c r="D11" s="131"/>
      <c r="E11" s="131" t="s">
        <v>123</v>
      </c>
      <c r="F11" s="131"/>
      <c r="G11" s="131"/>
      <c r="H11" s="131"/>
    </row>
    <row r="12" spans="1:8" x14ac:dyDescent="0.25">
      <c r="A12" s="93" t="s">
        <v>8</v>
      </c>
      <c r="B12" s="93"/>
      <c r="C12" s="93"/>
      <c r="D12" s="93"/>
      <c r="E12" s="91" t="s">
        <v>221</v>
      </c>
      <c r="F12" s="91"/>
      <c r="G12" s="91"/>
      <c r="H12" s="91"/>
    </row>
    <row r="13" spans="1:8" x14ac:dyDescent="0.25">
      <c r="A13" s="93" t="s">
        <v>9</v>
      </c>
      <c r="B13" s="93"/>
      <c r="C13" s="93"/>
      <c r="D13" s="93"/>
      <c r="E13" s="91" t="s">
        <v>171</v>
      </c>
      <c r="F13" s="131"/>
      <c r="G13" s="131"/>
      <c r="H13" s="131"/>
    </row>
    <row r="14" spans="1:8" ht="34.5" customHeight="1" x14ac:dyDescent="0.25">
      <c r="A14" s="130" t="s">
        <v>10</v>
      </c>
      <c r="B14" s="130"/>
      <c r="C14" s="13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Ekatva Onyx, Plot No.A-A-280, Survey No.08, near Oxford Instruments India Pvt. Ltd., Internal Road, Neheru Nagar, Panchapakhadi, Thane, Thane, Thane - 400604.</v>
      </c>
      <c r="D14" s="130"/>
      <c r="E14" s="130"/>
      <c r="F14" s="130"/>
      <c r="G14" s="130"/>
      <c r="H14" s="130"/>
    </row>
    <row r="15" spans="1:8" x14ac:dyDescent="0.25">
      <c r="A15" s="91" t="s">
        <v>175</v>
      </c>
      <c r="B15" s="91"/>
      <c r="C15" s="91" t="s">
        <v>191</v>
      </c>
      <c r="D15" s="91"/>
      <c r="E15" s="91"/>
      <c r="F15" s="91"/>
      <c r="G15" s="91"/>
      <c r="H15" s="91"/>
    </row>
    <row r="16" spans="1:8" ht="15.75" customHeight="1" x14ac:dyDescent="0.25">
      <c r="A16" s="91" t="s">
        <v>165</v>
      </c>
      <c r="B16" s="91"/>
      <c r="C16" s="91" t="s">
        <v>182</v>
      </c>
      <c r="D16" s="91"/>
      <c r="E16" s="91"/>
      <c r="F16" s="91"/>
      <c r="G16" s="91"/>
      <c r="H16" s="91"/>
    </row>
    <row r="17" spans="1:8" ht="15.75" customHeight="1" x14ac:dyDescent="0.25">
      <c r="A17" s="130" t="s">
        <v>11</v>
      </c>
      <c r="B17" s="130"/>
      <c r="C17" s="131" t="s">
        <v>181</v>
      </c>
      <c r="D17" s="131"/>
      <c r="E17" s="130" t="s">
        <v>73</v>
      </c>
      <c r="F17" s="130"/>
      <c r="G17" s="91" t="s">
        <v>178</v>
      </c>
      <c r="H17" s="91"/>
    </row>
    <row r="18" spans="1:8" x14ac:dyDescent="0.25">
      <c r="A18" s="93" t="s">
        <v>13</v>
      </c>
      <c r="B18" s="93"/>
      <c r="C18" s="91" t="s">
        <v>176</v>
      </c>
      <c r="D18" s="91"/>
      <c r="E18" s="130" t="s">
        <v>12</v>
      </c>
      <c r="F18" s="130"/>
      <c r="G18" s="156" t="s">
        <v>176</v>
      </c>
      <c r="H18" s="156"/>
    </row>
    <row r="19" spans="1:8" x14ac:dyDescent="0.25">
      <c r="A19" s="93" t="s">
        <v>74</v>
      </c>
      <c r="B19" s="93"/>
      <c r="C19" s="91" t="s">
        <v>176</v>
      </c>
      <c r="D19" s="91"/>
      <c r="E19" s="130" t="s">
        <v>14</v>
      </c>
      <c r="F19" s="130"/>
      <c r="G19" s="91">
        <v>400604</v>
      </c>
      <c r="H19" s="91"/>
    </row>
    <row r="20" spans="1:8" ht="32.25" customHeight="1" x14ac:dyDescent="0.25">
      <c r="A20" s="93" t="s">
        <v>124</v>
      </c>
      <c r="B20" s="93"/>
      <c r="C20" s="91" t="s">
        <v>180</v>
      </c>
      <c r="D20" s="91"/>
      <c r="E20" s="130" t="s">
        <v>15</v>
      </c>
      <c r="F20" s="130"/>
      <c r="G20" s="91" t="s">
        <v>223</v>
      </c>
      <c r="H20" s="91"/>
    </row>
    <row r="21" spans="1:8" ht="15" customHeight="1" x14ac:dyDescent="0.25">
      <c r="A21" s="130" t="s">
        <v>77</v>
      </c>
      <c r="B21" s="130"/>
      <c r="C21" s="130"/>
      <c r="D21" s="130"/>
      <c r="E21" s="131" t="s">
        <v>16</v>
      </c>
      <c r="F21" s="131"/>
      <c r="G21" s="131"/>
      <c r="H21" s="131"/>
    </row>
    <row r="22" spans="1:8" ht="18.75" customHeight="1" x14ac:dyDescent="0.25">
      <c r="A22" s="130"/>
      <c r="B22" s="130"/>
      <c r="C22" s="130"/>
      <c r="D22" s="130"/>
      <c r="E22" s="131"/>
      <c r="F22" s="131"/>
      <c r="G22" s="131"/>
      <c r="H22" s="131"/>
    </row>
    <row r="23" spans="1:8" ht="15" customHeight="1" x14ac:dyDescent="0.25">
      <c r="A23" s="130" t="s">
        <v>17</v>
      </c>
      <c r="B23" s="130"/>
      <c r="C23" s="130"/>
      <c r="D23" s="130"/>
      <c r="E23" s="91" t="s">
        <v>18</v>
      </c>
      <c r="F23" s="91"/>
      <c r="G23" s="91"/>
      <c r="H23" s="91"/>
    </row>
    <row r="24" spans="1:8" ht="15" customHeight="1" x14ac:dyDescent="0.25">
      <c r="A24" s="93" t="s">
        <v>19</v>
      </c>
      <c r="B24" s="93"/>
      <c r="C24" s="93"/>
      <c r="D24" s="93"/>
      <c r="E24" s="91" t="str">
        <f>IF(AND(G18="Mumbai"),"Upper Class","Middle Class")</f>
        <v>Middle Class</v>
      </c>
      <c r="F24" s="91"/>
      <c r="G24" s="91"/>
      <c r="H24" s="91"/>
    </row>
    <row r="25" spans="1:8" x14ac:dyDescent="0.25">
      <c r="A25" s="93" t="s">
        <v>20</v>
      </c>
      <c r="B25" s="93"/>
      <c r="C25" s="93"/>
      <c r="D25" s="93"/>
      <c r="E25" s="91" t="s">
        <v>21</v>
      </c>
      <c r="F25" s="91"/>
      <c r="G25" s="91"/>
      <c r="H25" s="91"/>
    </row>
    <row r="26" spans="1:8" ht="15.75" customHeight="1" x14ac:dyDescent="0.25">
      <c r="A26" s="93" t="s">
        <v>22</v>
      </c>
      <c r="B26" s="93"/>
      <c r="C26" s="93"/>
      <c r="D26" s="93"/>
      <c r="E26" s="91" t="str">
        <f>IF(AND(G18="Mumbai"),"Developed","Developing")</f>
        <v>Developing</v>
      </c>
      <c r="F26" s="91"/>
      <c r="G26" s="91"/>
      <c r="H26" s="91"/>
    </row>
    <row r="27" spans="1:8" x14ac:dyDescent="0.25">
      <c r="A27" s="93" t="s">
        <v>23</v>
      </c>
      <c r="B27" s="93"/>
      <c r="C27" s="93"/>
      <c r="D27" s="93"/>
      <c r="E27" s="91" t="s">
        <v>24</v>
      </c>
      <c r="F27" s="91"/>
      <c r="G27" s="91"/>
      <c r="H27" s="91"/>
    </row>
    <row r="28" spans="1:8" ht="15.75" customHeight="1" x14ac:dyDescent="0.25">
      <c r="A28" s="93" t="s">
        <v>82</v>
      </c>
      <c r="B28" s="93"/>
      <c r="C28" s="93"/>
      <c r="D28" s="93"/>
      <c r="E28" s="91" t="s">
        <v>83</v>
      </c>
      <c r="F28" s="91"/>
      <c r="G28" s="91"/>
      <c r="H28" s="91"/>
    </row>
    <row r="29" spans="1:8" ht="15" customHeight="1" x14ac:dyDescent="0.25">
      <c r="A29" s="131" t="s">
        <v>33</v>
      </c>
      <c r="B29" s="131"/>
      <c r="C29" s="131"/>
      <c r="D29" s="131"/>
      <c r="E29" s="91" t="s">
        <v>195</v>
      </c>
      <c r="F29" s="91"/>
      <c r="G29" s="91"/>
      <c r="H29" s="91"/>
    </row>
    <row r="30" spans="1:8" ht="15.75" customHeight="1" x14ac:dyDescent="0.25">
      <c r="A30" s="93" t="s">
        <v>94</v>
      </c>
      <c r="B30" s="93"/>
      <c r="C30" s="93"/>
      <c r="D30" s="93"/>
      <c r="E30" s="91" t="s">
        <v>34</v>
      </c>
      <c r="F30" s="91"/>
      <c r="G30" s="91"/>
      <c r="H30" s="91"/>
    </row>
    <row r="31" spans="1:8" s="20" customFormat="1" x14ac:dyDescent="0.25">
      <c r="A31" s="159" t="s">
        <v>95</v>
      </c>
      <c r="B31" s="159"/>
      <c r="C31" s="135" t="s">
        <v>29</v>
      </c>
      <c r="D31" s="135"/>
      <c r="E31" s="135"/>
      <c r="F31" s="135" t="s">
        <v>31</v>
      </c>
      <c r="G31" s="135"/>
      <c r="H31" s="135"/>
    </row>
    <row r="32" spans="1:8" s="20" customFormat="1" x14ac:dyDescent="0.25">
      <c r="A32" s="157" t="s">
        <v>25</v>
      </c>
      <c r="B32" s="157" t="s">
        <v>30</v>
      </c>
      <c r="C32" s="158" t="s">
        <v>30</v>
      </c>
      <c r="D32" s="158"/>
      <c r="E32" s="158"/>
      <c r="F32" s="158" t="s">
        <v>181</v>
      </c>
      <c r="G32" s="158"/>
      <c r="H32" s="158"/>
    </row>
    <row r="33" spans="1:9" x14ac:dyDescent="0.25">
      <c r="A33" s="157" t="s">
        <v>26</v>
      </c>
      <c r="B33" s="157" t="s">
        <v>30</v>
      </c>
      <c r="C33" s="158" t="s">
        <v>30</v>
      </c>
      <c r="D33" s="158"/>
      <c r="E33" s="158"/>
      <c r="F33" s="158" t="s">
        <v>183</v>
      </c>
      <c r="G33" s="158"/>
      <c r="H33" s="158"/>
    </row>
    <row r="34" spans="1:9" s="20" customFormat="1" x14ac:dyDescent="0.25">
      <c r="A34" s="157" t="s">
        <v>28</v>
      </c>
      <c r="B34" s="157" t="s">
        <v>30</v>
      </c>
      <c r="C34" s="158" t="s">
        <v>30</v>
      </c>
      <c r="D34" s="158"/>
      <c r="E34" s="158"/>
      <c r="F34" s="158" t="s">
        <v>180</v>
      </c>
      <c r="G34" s="158"/>
      <c r="H34" s="158"/>
    </row>
    <row r="35" spans="1:9" x14ac:dyDescent="0.25">
      <c r="A35" s="157" t="s">
        <v>27</v>
      </c>
      <c r="B35" s="157" t="s">
        <v>30</v>
      </c>
      <c r="C35" s="158" t="s">
        <v>30</v>
      </c>
      <c r="D35" s="158"/>
      <c r="E35" s="158"/>
      <c r="F35" s="158" t="s">
        <v>184</v>
      </c>
      <c r="G35" s="158"/>
      <c r="H35" s="158"/>
    </row>
    <row r="36" spans="1:9" x14ac:dyDescent="0.25">
      <c r="A36" s="93" t="s">
        <v>32</v>
      </c>
      <c r="B36" s="93"/>
      <c r="C36" s="93"/>
      <c r="D36" s="93"/>
      <c r="E36" s="93"/>
      <c r="F36" s="93"/>
      <c r="G36" s="93"/>
      <c r="H36" s="93"/>
    </row>
    <row r="37" spans="1:9" ht="15.75" customHeight="1" x14ac:dyDescent="0.25">
      <c r="A37" s="153" t="s">
        <v>192</v>
      </c>
      <c r="B37" s="153"/>
      <c r="C37" s="102" t="s">
        <v>193</v>
      </c>
      <c r="D37" s="103"/>
      <c r="E37" s="103"/>
      <c r="F37" s="103"/>
      <c r="G37" s="103"/>
      <c r="H37" s="104"/>
    </row>
    <row r="38" spans="1:9" x14ac:dyDescent="0.25">
      <c r="A38" s="153" t="s">
        <v>164</v>
      </c>
      <c r="B38" s="153"/>
      <c r="C38" s="169" t="s">
        <v>179</v>
      </c>
      <c r="D38" s="91"/>
      <c r="E38" s="91"/>
      <c r="F38" s="91"/>
      <c r="G38" s="91"/>
      <c r="H38" s="91"/>
    </row>
    <row r="39" spans="1:9" x14ac:dyDescent="0.25">
      <c r="A39" s="147" t="s">
        <v>35</v>
      </c>
      <c r="B39" s="147"/>
      <c r="C39" s="147"/>
      <c r="D39" s="147"/>
      <c r="E39" s="147"/>
      <c r="F39" s="147"/>
      <c r="G39" s="147"/>
      <c r="H39" s="147"/>
    </row>
    <row r="40" spans="1:9" x14ac:dyDescent="0.25">
      <c r="A40" s="93" t="s">
        <v>36</v>
      </c>
      <c r="B40" s="93"/>
      <c r="C40" s="93"/>
      <c r="D40" s="93"/>
      <c r="E40" s="160">
        <v>1314</v>
      </c>
      <c r="F40" s="160"/>
      <c r="G40" s="160"/>
      <c r="H40" s="160"/>
    </row>
    <row r="41" spans="1:9" x14ac:dyDescent="0.25">
      <c r="A41" s="93" t="s">
        <v>37</v>
      </c>
      <c r="B41" s="93"/>
      <c r="C41" s="93"/>
      <c r="D41" s="93"/>
      <c r="E41" s="92">
        <v>1</v>
      </c>
      <c r="F41" s="92"/>
      <c r="G41" s="92"/>
      <c r="H41" s="92"/>
    </row>
    <row r="42" spans="1:9" x14ac:dyDescent="0.25">
      <c r="A42" s="93" t="s">
        <v>38</v>
      </c>
      <c r="B42" s="93"/>
      <c r="C42" s="93"/>
      <c r="D42" s="93"/>
      <c r="E42" s="92">
        <f>E44/E40-E41</f>
        <v>5.3000000000000007</v>
      </c>
      <c r="F42" s="92"/>
      <c r="G42" s="92"/>
      <c r="H42" s="92"/>
    </row>
    <row r="43" spans="1:9" x14ac:dyDescent="0.25">
      <c r="A43" s="93" t="s">
        <v>39</v>
      </c>
      <c r="B43" s="93"/>
      <c r="C43" s="93"/>
      <c r="D43" s="93"/>
      <c r="E43" s="92">
        <f>E41+E42</f>
        <v>6.3000000000000007</v>
      </c>
      <c r="F43" s="92"/>
      <c r="G43" s="92"/>
      <c r="H43" s="92"/>
    </row>
    <row r="44" spans="1:9" x14ac:dyDescent="0.25">
      <c r="A44" s="93" t="s">
        <v>93</v>
      </c>
      <c r="B44" s="93"/>
      <c r="C44" s="93"/>
      <c r="D44" s="93"/>
      <c r="E44" s="173">
        <v>8278.2000000000007</v>
      </c>
      <c r="F44" s="173"/>
      <c r="G44" s="173"/>
      <c r="H44" s="173"/>
    </row>
    <row r="45" spans="1:9" x14ac:dyDescent="0.25">
      <c r="A45" s="131" t="s">
        <v>40</v>
      </c>
      <c r="B45" s="131"/>
      <c r="C45" s="131"/>
      <c r="D45" s="131"/>
      <c r="E45" s="131" t="s">
        <v>123</v>
      </c>
      <c r="F45" s="131"/>
      <c r="G45" s="131"/>
      <c r="H45" s="131"/>
    </row>
    <row r="46" spans="1:9" x14ac:dyDescent="0.25">
      <c r="A46" s="147" t="s">
        <v>41</v>
      </c>
      <c r="B46" s="147"/>
      <c r="C46" s="147"/>
      <c r="D46" s="147"/>
      <c r="E46" s="147"/>
      <c r="F46" s="147"/>
      <c r="G46" s="147"/>
      <c r="H46" s="147"/>
    </row>
    <row r="47" spans="1:9" ht="33.75" customHeight="1" x14ac:dyDescent="0.25">
      <c r="A47" s="99" t="s">
        <v>153</v>
      </c>
      <c r="B47" s="100"/>
      <c r="C47" s="207" t="s">
        <v>177</v>
      </c>
      <c r="D47" s="208"/>
      <c r="E47" s="208"/>
      <c r="F47" s="208"/>
      <c r="G47" s="208"/>
      <c r="H47" s="209"/>
      <c r="I47"/>
    </row>
    <row r="48" spans="1:9" ht="33.75" customHeight="1" x14ac:dyDescent="0.25">
      <c r="A48" s="99" t="s">
        <v>42</v>
      </c>
      <c r="B48" s="100"/>
      <c r="C48" s="99" t="s">
        <v>216</v>
      </c>
      <c r="D48" s="101"/>
      <c r="E48" s="100"/>
      <c r="F48" s="18" t="s">
        <v>43</v>
      </c>
      <c r="G48" s="106">
        <v>45637</v>
      </c>
      <c r="H48" s="100"/>
    </row>
    <row r="49" spans="1:14" ht="33.75" customHeight="1" x14ac:dyDescent="0.25">
      <c r="A49" s="99" t="s">
        <v>44</v>
      </c>
      <c r="B49" s="100"/>
      <c r="C49" s="99" t="str">
        <f>C48</f>
        <v xml:space="preserve">DE&amp;PAIII/THN/SPA/BPAMS/I-88421/2024 </v>
      </c>
      <c r="D49" s="101"/>
      <c r="E49" s="100"/>
      <c r="F49" s="18" t="s">
        <v>43</v>
      </c>
      <c r="G49" s="106">
        <f>G48</f>
        <v>45637</v>
      </c>
      <c r="H49" s="164"/>
      <c r="I49"/>
    </row>
    <row r="50" spans="1:14" s="21" customFormat="1" ht="33.75" customHeight="1" x14ac:dyDescent="0.25">
      <c r="A50" s="165" t="s">
        <v>222</v>
      </c>
      <c r="B50" s="166"/>
      <c r="C50" s="109" t="s">
        <v>216</v>
      </c>
      <c r="D50" s="110"/>
      <c r="E50" s="111"/>
      <c r="F50" s="74" t="s">
        <v>43</v>
      </c>
      <c r="G50" s="107">
        <f>G49</f>
        <v>45637</v>
      </c>
      <c r="H50" s="108"/>
    </row>
    <row r="51" spans="1:14" s="21" customFormat="1" x14ac:dyDescent="0.25">
      <c r="A51" s="167"/>
      <c r="B51" s="168"/>
      <c r="C51" s="109" t="s">
        <v>215</v>
      </c>
      <c r="D51" s="110"/>
      <c r="E51" s="110"/>
      <c r="F51" s="110"/>
      <c r="G51" s="110"/>
      <c r="H51" s="111"/>
    </row>
    <row r="52" spans="1:14" x14ac:dyDescent="0.25">
      <c r="A52" s="126" t="s">
        <v>45</v>
      </c>
      <c r="B52" s="128"/>
      <c r="C52" s="126" t="s">
        <v>107</v>
      </c>
      <c r="D52" s="127"/>
      <c r="E52" s="128"/>
      <c r="F52" s="42" t="s">
        <v>43</v>
      </c>
      <c r="G52" s="132" t="s">
        <v>30</v>
      </c>
      <c r="H52" s="133"/>
    </row>
    <row r="53" spans="1:14" x14ac:dyDescent="0.25">
      <c r="A53" s="129" t="s">
        <v>47</v>
      </c>
      <c r="B53" s="129"/>
      <c r="C53" s="129"/>
      <c r="D53" s="129"/>
      <c r="E53" s="129"/>
      <c r="F53" s="129"/>
      <c r="G53" s="129"/>
      <c r="H53" s="129"/>
    </row>
    <row r="54" spans="1:14" x14ac:dyDescent="0.25">
      <c r="A54" s="130" t="s">
        <v>92</v>
      </c>
      <c r="B54" s="130"/>
      <c r="C54" s="130"/>
      <c r="D54" s="93">
        <f>E44</f>
        <v>8278.2000000000007</v>
      </c>
      <c r="E54" s="93"/>
      <c r="F54" s="93"/>
      <c r="G54" s="93"/>
      <c r="H54" s="93"/>
    </row>
    <row r="55" spans="1:14" x14ac:dyDescent="0.25">
      <c r="A55" s="91" t="s">
        <v>48</v>
      </c>
      <c r="B55" s="131"/>
      <c r="C55" s="131"/>
      <c r="D55" s="131" t="s">
        <v>217</v>
      </c>
      <c r="E55" s="131"/>
      <c r="F55" s="131"/>
      <c r="G55" s="131"/>
      <c r="H55" s="131"/>
      <c r="I55" s="22"/>
    </row>
    <row r="56" spans="1:14" x14ac:dyDescent="0.25">
      <c r="A56" s="112" t="s">
        <v>49</v>
      </c>
      <c r="B56" s="113"/>
      <c r="C56" s="163"/>
      <c r="D56" s="141" t="s">
        <v>215</v>
      </c>
      <c r="E56" s="162"/>
      <c r="F56" s="162"/>
      <c r="G56" s="162"/>
      <c r="H56" s="162"/>
    </row>
    <row r="57" spans="1:14" ht="15.75" customHeight="1" x14ac:dyDescent="0.25">
      <c r="A57" s="112" t="s">
        <v>90</v>
      </c>
      <c r="B57" s="113"/>
      <c r="C57" s="113"/>
      <c r="D57" s="114" t="s">
        <v>215</v>
      </c>
      <c r="E57" s="115"/>
      <c r="F57" s="115"/>
      <c r="G57" s="115"/>
      <c r="H57" s="116"/>
    </row>
    <row r="58" spans="1:14" ht="15.75" customHeight="1" x14ac:dyDescent="0.25">
      <c r="A58" s="93" t="s">
        <v>46</v>
      </c>
      <c r="B58" s="93"/>
      <c r="C58" s="93"/>
      <c r="D58" s="161" t="s">
        <v>224</v>
      </c>
      <c r="E58" s="161"/>
      <c r="F58" s="161"/>
      <c r="G58" s="161"/>
      <c r="H58" s="161"/>
      <c r="J58" s="23"/>
      <c r="K58" s="22"/>
      <c r="N58" s="22"/>
    </row>
    <row r="59" spans="1:14" ht="15.75" customHeight="1" x14ac:dyDescent="0.25">
      <c r="A59" s="93" t="s">
        <v>88</v>
      </c>
      <c r="B59" s="93"/>
      <c r="C59" s="93"/>
      <c r="D59" s="172" t="str">
        <f>(IF(G52="NA","60 Years After Completion",IF(G52&lt;&gt;"NA",""&amp;60-ROUNDDOWN((E3-G52)/360,0)&amp;" Years"," ")))</f>
        <v>60 Years After Completion</v>
      </c>
      <c r="E59" s="172"/>
      <c r="F59" s="172"/>
      <c r="G59" s="172"/>
      <c r="H59" s="172"/>
      <c r="N59" s="22"/>
    </row>
    <row r="60" spans="1:14" ht="15.75" customHeight="1" x14ac:dyDescent="0.25">
      <c r="A60" s="93" t="s">
        <v>89</v>
      </c>
      <c r="B60" s="93"/>
      <c r="C60" s="93"/>
      <c r="D60" s="130" t="s">
        <v>24</v>
      </c>
      <c r="E60" s="130"/>
      <c r="F60" s="130"/>
      <c r="G60" s="130"/>
      <c r="H60" s="130"/>
      <c r="J60" s="24"/>
      <c r="K60" s="24"/>
    </row>
    <row r="61" spans="1:14" ht="30" hidden="1" customHeight="1" x14ac:dyDescent="0.25">
      <c r="A61" s="93" t="s">
        <v>75</v>
      </c>
      <c r="B61" s="93"/>
      <c r="C61" s="93"/>
      <c r="D61" s="91" t="s">
        <v>169</v>
      </c>
      <c r="E61" s="130"/>
      <c r="F61" s="130"/>
      <c r="G61" s="130"/>
      <c r="H61" s="130"/>
    </row>
    <row r="62" spans="1:14" x14ac:dyDescent="0.25">
      <c r="A62" s="130" t="s">
        <v>150</v>
      </c>
      <c r="B62" s="130"/>
      <c r="C62" s="130"/>
      <c r="D62" s="130" t="s">
        <v>30</v>
      </c>
      <c r="E62" s="130"/>
      <c r="F62" s="130"/>
      <c r="G62" s="130"/>
      <c r="H62" s="130"/>
      <c r="I62" s="25"/>
      <c r="J62" s="25"/>
      <c r="K62" s="25"/>
      <c r="L62" s="25"/>
      <c r="M62" s="25"/>
      <c r="N62" s="25"/>
    </row>
    <row r="63" spans="1:14" ht="15.75" customHeight="1" x14ac:dyDescent="0.25">
      <c r="A63" s="142" t="s">
        <v>87</v>
      </c>
      <c r="B63" s="142"/>
      <c r="C63" s="142"/>
      <c r="D63" s="141" t="str">
        <f ca="1">(IF(G69&gt;95%,"Nothing",IF(G69&gt;0%,"Cement, Aggregate, Steel, etc",IF(G69=0%,"Work not yet Started"))))</f>
        <v>Cement, Aggregate, Steel, etc</v>
      </c>
      <c r="E63" s="141"/>
      <c r="F63" s="141"/>
      <c r="G63" s="141"/>
      <c r="H63" s="141"/>
      <c r="J63" s="24"/>
    </row>
    <row r="64" spans="1:14" ht="33.75" customHeight="1" thickBot="1" x14ac:dyDescent="0.3">
      <c r="A64" s="140" t="s">
        <v>120</v>
      </c>
      <c r="B64" s="140"/>
      <c r="C64" s="140"/>
      <c r="D64" s="141" t="str">
        <f ca="1">(IF(D63="Nothing","Yes",IF(D63="Cement, Aggregate, Steel, etc","Under Construction",IF(D63="Work not yet Started","Work not yet Started"))))</f>
        <v>Under Construction</v>
      </c>
      <c r="E64" s="141"/>
      <c r="F64" s="141" t="str">
        <f ca="1">(IF(D63="Nothing","Yes",IF(D63="Cement, Aggregate, Steel, etc","Under Construction",IF(D63="Work not yet Started","Work not yet Started"))))</f>
        <v>Under Construction</v>
      </c>
      <c r="G64" s="141"/>
      <c r="H64" s="141"/>
    </row>
    <row r="65" spans="1:10" ht="15.75" customHeight="1" x14ac:dyDescent="0.25">
      <c r="A65" s="175" t="s">
        <v>142</v>
      </c>
      <c r="B65" s="176"/>
      <c r="C65" s="177" t="str">
        <f>D57</f>
        <v>Gr + 1st to 13th Floor</v>
      </c>
      <c r="D65" s="178"/>
      <c r="E65" s="178"/>
      <c r="F65" s="178"/>
      <c r="G65" s="178"/>
      <c r="H65" s="179"/>
      <c r="I65" s="44" t="str">
        <f ca="1">IF(D78=100%,"All work Completed. Possession granted to the Building.",IF(D77=100%,"All work Completed, Waiting for OC",I66&amp;""&amp;I67&amp;""&amp;J66&amp;""&amp;J65&amp;" "&amp;J67))</f>
        <v>Excavation, Plinth, RCC Slab, Brickwork Completed, Internal Plaster upto 8 Floor, External Plaster upto 5 Floor Completed</v>
      </c>
      <c r="J65" s="45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Internal Plaster upto 8 Floor, External Plaster upto 5 Floor</v>
      </c>
    </row>
    <row r="66" spans="1:10" x14ac:dyDescent="0.25">
      <c r="A66" s="16" t="s">
        <v>144</v>
      </c>
      <c r="B66" s="50">
        <v>1</v>
      </c>
      <c r="C66" s="50" t="s">
        <v>72</v>
      </c>
      <c r="D66" s="50">
        <v>1</v>
      </c>
      <c r="E66" s="50" t="s">
        <v>71</v>
      </c>
      <c r="F66" s="50">
        <v>0</v>
      </c>
      <c r="G66" s="50" t="s">
        <v>81</v>
      </c>
      <c r="H66" s="17">
        <f ca="1">--TRIM(RIGHT(SUBSTITUTE(LEFT(C65,_xlfn.AGGREGATE(16,6,FIND({0,1,2,3,4,5,6,7,8,9},C65,ROW(INDIRECT("1:"&amp;LEN(C65)))),1))," ",REPT(" ",LEN(C65))),LEN(C65)))</f>
        <v>13</v>
      </c>
      <c r="I66" s="46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</v>
      </c>
      <c r="J66" s="47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3" customHeight="1" x14ac:dyDescent="0.25">
      <c r="A67" s="174" t="s">
        <v>91</v>
      </c>
      <c r="B67" s="154"/>
      <c r="C67" s="180" t="str">
        <f ca="1">I65</f>
        <v>Excavation, Plinth, RCC Slab, Brickwork Completed, Internal Plaster upto 8 Floor, External Plaster upto 5 Floor Completed</v>
      </c>
      <c r="D67" s="180"/>
      <c r="E67" s="180"/>
      <c r="F67" s="180"/>
      <c r="G67" s="180"/>
      <c r="H67" s="181"/>
      <c r="I67" s="46" t="str">
        <f ca="1">IF(I66&lt;&gt;""," Completed","")</f>
        <v xml:space="preserve"> Completed</v>
      </c>
      <c r="J67" s="47" t="str">
        <f ca="1">IF(J65&lt;&gt;"","Completed","")</f>
        <v>Completed</v>
      </c>
    </row>
    <row r="68" spans="1:10" ht="15.75" customHeight="1" x14ac:dyDescent="0.25">
      <c r="A68" s="95" t="s">
        <v>50</v>
      </c>
      <c r="B68" s="96"/>
      <c r="C68" s="52" t="s">
        <v>141</v>
      </c>
      <c r="D68" s="52" t="s">
        <v>84</v>
      </c>
      <c r="E68" s="96" t="s">
        <v>86</v>
      </c>
      <c r="F68" s="96"/>
      <c r="G68" s="96" t="s">
        <v>85</v>
      </c>
      <c r="H68" s="143"/>
      <c r="I68" s="14" t="s">
        <v>143</v>
      </c>
      <c r="J68" s="26">
        <f ca="1">H66*25%</f>
        <v>3.25</v>
      </c>
    </row>
    <row r="69" spans="1:10" x14ac:dyDescent="0.25">
      <c r="A69" s="95" t="s">
        <v>130</v>
      </c>
      <c r="B69" s="96"/>
      <c r="C69" s="53">
        <f ca="1">J70</f>
        <v>13</v>
      </c>
      <c r="D69" s="54">
        <f ca="1">((100/H66)*C69)/100</f>
        <v>1</v>
      </c>
      <c r="E69" s="117">
        <f ca="1">(((C70/H66*10)+(40/(D66+F66+H66)*C71)+(7.5/(H66)*C72)+(7.5/(H66)*C73)+(10/H66*C74)+(10/H66*C75)+(5/H66*C76)+(5/H66*C77)+(5/H66*C78))/100)</f>
        <v>0.65961538461538449</v>
      </c>
      <c r="F69" s="118"/>
      <c r="G69" s="117">
        <f ca="1">((((C69/H66)*20)+((C70/H66)*25)+(30/(H66+F66+D66)*C71)+(5/H66*C72)+(5/H66*C73)+(5/H66*C74)+(5/H66*C75)+(0/H66*C76)+(0/H66*C77)+(5/H66*C78))/100)</f>
        <v>0.85</v>
      </c>
      <c r="H69" s="123"/>
      <c r="I69" s="14" t="s">
        <v>102</v>
      </c>
      <c r="J69" s="27">
        <f ca="1">H66*50%</f>
        <v>6.5</v>
      </c>
    </row>
    <row r="70" spans="1:10" x14ac:dyDescent="0.25">
      <c r="A70" s="95" t="s">
        <v>51</v>
      </c>
      <c r="B70" s="96"/>
      <c r="C70" s="53">
        <v>13</v>
      </c>
      <c r="D70" s="54">
        <f ca="1">((100/H66)*C70)/100</f>
        <v>1</v>
      </c>
      <c r="E70" s="119"/>
      <c r="F70" s="120"/>
      <c r="G70" s="119"/>
      <c r="H70" s="124"/>
      <c r="I70" s="14" t="s">
        <v>103</v>
      </c>
      <c r="J70" s="27">
        <f ca="1">H66</f>
        <v>13</v>
      </c>
    </row>
    <row r="71" spans="1:10" ht="15.75" customHeight="1" x14ac:dyDescent="0.25">
      <c r="A71" s="95" t="s">
        <v>131</v>
      </c>
      <c r="B71" s="96"/>
      <c r="C71" s="52">
        <v>14</v>
      </c>
      <c r="D71" s="54">
        <f ca="1">((100/(D66+F66+H66))*C71)/100</f>
        <v>1</v>
      </c>
      <c r="E71" s="119"/>
      <c r="F71" s="120"/>
      <c r="G71" s="119"/>
      <c r="H71" s="124"/>
      <c r="I71" s="14" t="s">
        <v>104</v>
      </c>
      <c r="J71" s="28">
        <f ca="1">(IF(B66&gt;1,(H66/(B66+2)),H66/4))</f>
        <v>3.25</v>
      </c>
    </row>
    <row r="72" spans="1:10" ht="15.75" customHeight="1" x14ac:dyDescent="0.25">
      <c r="A72" s="95" t="s">
        <v>138</v>
      </c>
      <c r="B72" s="96" t="s">
        <v>132</v>
      </c>
      <c r="C72" s="52">
        <v>13</v>
      </c>
      <c r="D72" s="54">
        <f ca="1">((100/H66)*C72)/100</f>
        <v>1</v>
      </c>
      <c r="E72" s="119"/>
      <c r="F72" s="120"/>
      <c r="G72" s="119"/>
      <c r="H72" s="124"/>
      <c r="I72" s="14" t="s">
        <v>105</v>
      </c>
      <c r="J72" s="28">
        <f ca="1">(IF(B66&gt;1,(H66/(B66+2)+J71),H66/4+J71))</f>
        <v>6.5</v>
      </c>
    </row>
    <row r="73" spans="1:10" ht="15.75" customHeight="1" x14ac:dyDescent="0.25">
      <c r="A73" s="95" t="s">
        <v>139</v>
      </c>
      <c r="B73" s="96" t="s">
        <v>132</v>
      </c>
      <c r="C73" s="52">
        <v>8</v>
      </c>
      <c r="D73" s="54">
        <f ca="1">((100/H66)*C73)/100</f>
        <v>0.61538461538461542</v>
      </c>
      <c r="E73" s="119"/>
      <c r="F73" s="120"/>
      <c r="G73" s="119"/>
      <c r="H73" s="124"/>
      <c r="I73" s="14" t="s">
        <v>148</v>
      </c>
      <c r="J73" s="28">
        <f>(IF(B66&gt;1,(H66/(B66+2)+J72),0))</f>
        <v>0</v>
      </c>
    </row>
    <row r="74" spans="1:10" ht="15" customHeight="1" x14ac:dyDescent="0.25">
      <c r="A74" s="95" t="s">
        <v>137</v>
      </c>
      <c r="B74" s="96" t="s">
        <v>134</v>
      </c>
      <c r="C74" s="52">
        <v>5</v>
      </c>
      <c r="D74" s="54">
        <f ca="1">((100/(H66))*C74)/100</f>
        <v>0.38461538461538458</v>
      </c>
      <c r="E74" s="119"/>
      <c r="F74" s="120"/>
      <c r="G74" s="119"/>
      <c r="H74" s="124"/>
      <c r="I74" s="14" t="s">
        <v>145</v>
      </c>
      <c r="J74" s="28">
        <f>(IF(B66&gt;2,(H66/(B66+2)+J73),0))</f>
        <v>0</v>
      </c>
    </row>
    <row r="75" spans="1:10" ht="15.75" customHeight="1" x14ac:dyDescent="0.25">
      <c r="A75" s="95" t="s">
        <v>133</v>
      </c>
      <c r="B75" s="96" t="s">
        <v>133</v>
      </c>
      <c r="C75" s="52">
        <v>0</v>
      </c>
      <c r="D75" s="54">
        <f ca="1">((100/H66)*C75)/100</f>
        <v>0</v>
      </c>
      <c r="E75" s="119"/>
      <c r="F75" s="120"/>
      <c r="G75" s="119"/>
      <c r="H75" s="124"/>
      <c r="I75" s="14" t="s">
        <v>146</v>
      </c>
      <c r="J75" s="29">
        <f>(IF(B66&gt;3,(H66/(B66+2)+J74),0))</f>
        <v>0</v>
      </c>
    </row>
    <row r="76" spans="1:10" ht="15.75" customHeight="1" x14ac:dyDescent="0.25">
      <c r="A76" s="95" t="s">
        <v>140</v>
      </c>
      <c r="B76" s="96"/>
      <c r="C76" s="52">
        <v>0</v>
      </c>
      <c r="D76" s="54">
        <f ca="1">((100/H66)*C76)/100</f>
        <v>0</v>
      </c>
      <c r="E76" s="119"/>
      <c r="F76" s="120"/>
      <c r="G76" s="119"/>
      <c r="H76" s="124"/>
      <c r="I76" s="14" t="s">
        <v>147</v>
      </c>
      <c r="J76" s="28">
        <f>(IF(B66&gt;4,(H66/(B66+2)+J75),0))</f>
        <v>0</v>
      </c>
    </row>
    <row r="77" spans="1:10" ht="15.75" customHeight="1" x14ac:dyDescent="0.25">
      <c r="A77" s="95" t="s">
        <v>135</v>
      </c>
      <c r="B77" s="96" t="s">
        <v>135</v>
      </c>
      <c r="C77" s="52">
        <v>0</v>
      </c>
      <c r="D77" s="54">
        <f ca="1">((100/(H66))*C77)/100</f>
        <v>0</v>
      </c>
      <c r="E77" s="119"/>
      <c r="F77" s="120"/>
      <c r="G77" s="119"/>
      <c r="H77" s="124"/>
      <c r="I77" s="14" t="s">
        <v>149</v>
      </c>
      <c r="J77" s="28">
        <f ca="1">(IF(B66=1,(H66/(B66+3)+J72),IF(B66=0,(H66/4+J72),IF(B66&gt;1,0))))</f>
        <v>9.75</v>
      </c>
    </row>
    <row r="78" spans="1:10" ht="16.5" thickBot="1" x14ac:dyDescent="0.3">
      <c r="A78" s="170" t="s">
        <v>136</v>
      </c>
      <c r="B78" s="171"/>
      <c r="C78" s="55">
        <v>0</v>
      </c>
      <c r="D78" s="56">
        <f ca="1">((100/(H66))*C78)/100</f>
        <v>0</v>
      </c>
      <c r="E78" s="121"/>
      <c r="F78" s="122"/>
      <c r="G78" s="121"/>
      <c r="H78" s="125"/>
      <c r="I78" s="15" t="s">
        <v>106</v>
      </c>
      <c r="J78" s="30">
        <f ca="1">(IF(B66&gt;1.5,(H66/(B66+2)+J72+MAX(0,J73-J72)+MAX(0,J74-J73)+MAX(0,J75-J74)+MAX(0,J76-J75)+MAX(0,J77-J76)),IF(B66=1,(H66/(B66+3)+J77),IF(B66=0,H66/4+J77))))</f>
        <v>13</v>
      </c>
    </row>
    <row r="79" spans="1:10" x14ac:dyDescent="0.25">
      <c r="A79" s="211" t="s">
        <v>158</v>
      </c>
      <c r="B79" s="211"/>
      <c r="C79" s="211"/>
      <c r="D79" s="211"/>
      <c r="E79" s="211"/>
      <c r="F79" s="134" t="s">
        <v>162</v>
      </c>
      <c r="G79" s="134"/>
      <c r="H79" s="134"/>
    </row>
    <row r="80" spans="1:10" hidden="1" x14ac:dyDescent="0.25">
      <c r="A80" s="93" t="s">
        <v>161</v>
      </c>
      <c r="B80" s="93"/>
      <c r="C80" s="93"/>
      <c r="D80" s="93"/>
      <c r="E80" s="93"/>
      <c r="F80" s="97"/>
      <c r="G80" s="97"/>
      <c r="H80" s="97"/>
    </row>
    <row r="81" spans="1:9" hidden="1" x14ac:dyDescent="0.25">
      <c r="A81" s="93" t="s">
        <v>160</v>
      </c>
      <c r="B81" s="93"/>
      <c r="C81" s="93"/>
      <c r="D81" s="93"/>
      <c r="E81" s="93"/>
      <c r="F81" s="97"/>
      <c r="G81" s="97"/>
      <c r="H81" s="97"/>
    </row>
    <row r="82" spans="1:9" x14ac:dyDescent="0.25">
      <c r="A82" s="93" t="s">
        <v>226</v>
      </c>
      <c r="B82" s="93"/>
      <c r="C82" s="93"/>
      <c r="D82" s="93"/>
      <c r="E82" s="93"/>
      <c r="F82" s="105">
        <v>11500</v>
      </c>
      <c r="G82" s="105"/>
      <c r="H82" s="105"/>
      <c r="I82" s="19" t="s">
        <v>229</v>
      </c>
    </row>
    <row r="83" spans="1:9" hidden="1" x14ac:dyDescent="0.25">
      <c r="A83" s="93" t="s">
        <v>197</v>
      </c>
      <c r="B83" s="93"/>
      <c r="C83" s="93"/>
      <c r="D83" s="93"/>
      <c r="E83" s="93"/>
      <c r="F83" s="97">
        <v>9000</v>
      </c>
      <c r="G83" s="97"/>
      <c r="H83" s="97"/>
    </row>
    <row r="84" spans="1:9" s="31" customFormat="1" hidden="1" x14ac:dyDescent="0.25">
      <c r="A84" s="93" t="s">
        <v>159</v>
      </c>
      <c r="B84" s="93"/>
      <c r="C84" s="93"/>
      <c r="D84" s="93"/>
      <c r="E84" s="93"/>
      <c r="F84" s="97"/>
      <c r="G84" s="97"/>
      <c r="H84" s="97"/>
    </row>
    <row r="85" spans="1:9" s="31" customFormat="1" hidden="1" x14ac:dyDescent="0.25">
      <c r="A85" s="93" t="s">
        <v>96</v>
      </c>
      <c r="B85" s="93"/>
      <c r="C85" s="93"/>
      <c r="D85" s="93"/>
      <c r="E85" s="93"/>
      <c r="F85" s="97"/>
      <c r="G85" s="97"/>
      <c r="H85" s="97"/>
    </row>
    <row r="86" spans="1:9" s="31" customFormat="1" hidden="1" x14ac:dyDescent="0.25">
      <c r="A86" s="93" t="s">
        <v>97</v>
      </c>
      <c r="B86" s="93"/>
      <c r="C86" s="93"/>
      <c r="D86" s="93"/>
      <c r="E86" s="93"/>
      <c r="F86" s="97"/>
      <c r="G86" s="97"/>
      <c r="H86" s="97"/>
    </row>
    <row r="87" spans="1:9" s="31" customFormat="1" hidden="1" x14ac:dyDescent="0.25">
      <c r="A87" s="93" t="s">
        <v>163</v>
      </c>
      <c r="B87" s="93"/>
      <c r="C87" s="93"/>
      <c r="D87" s="93"/>
      <c r="E87" s="93"/>
      <c r="F87" s="97"/>
      <c r="G87" s="97"/>
      <c r="H87" s="97"/>
    </row>
    <row r="88" spans="1:9" s="31" customFormat="1" hidden="1" x14ac:dyDescent="0.25">
      <c r="A88" s="93" t="s">
        <v>98</v>
      </c>
      <c r="B88" s="93"/>
      <c r="C88" s="93"/>
      <c r="D88" s="93"/>
      <c r="E88" s="93"/>
      <c r="F88" s="97"/>
      <c r="G88" s="97"/>
      <c r="H88" s="97"/>
    </row>
    <row r="89" spans="1:9" s="31" customFormat="1" hidden="1" x14ac:dyDescent="0.25">
      <c r="A89" s="93" t="s">
        <v>99</v>
      </c>
      <c r="B89" s="93"/>
      <c r="C89" s="93"/>
      <c r="D89" s="93"/>
      <c r="E89" s="93"/>
      <c r="F89" s="97"/>
      <c r="G89" s="97"/>
      <c r="H89" s="97"/>
    </row>
    <row r="90" spans="1:9" s="31" customFormat="1" hidden="1" x14ac:dyDescent="0.25">
      <c r="A90" s="93" t="s">
        <v>100</v>
      </c>
      <c r="B90" s="93"/>
      <c r="C90" s="93"/>
      <c r="D90" s="93"/>
      <c r="E90" s="93"/>
      <c r="F90" s="97"/>
      <c r="G90" s="97"/>
      <c r="H90" s="97"/>
    </row>
    <row r="91" spans="1:9" s="31" customFormat="1" hidden="1" x14ac:dyDescent="0.25">
      <c r="A91" s="93" t="s">
        <v>101</v>
      </c>
      <c r="B91" s="93"/>
      <c r="C91" s="93"/>
      <c r="D91" s="93"/>
      <c r="E91" s="93"/>
      <c r="F91" s="97"/>
      <c r="G91" s="97"/>
      <c r="H91" s="97"/>
    </row>
    <row r="92" spans="1:9" x14ac:dyDescent="0.25">
      <c r="A92" s="93" t="s">
        <v>52</v>
      </c>
      <c r="B92" s="93"/>
      <c r="C92" s="93"/>
      <c r="D92" s="93"/>
      <c r="E92" s="93"/>
      <c r="F92" s="97">
        <v>600000</v>
      </c>
      <c r="G92" s="97"/>
      <c r="H92" s="97"/>
    </row>
    <row r="93" spans="1:9" s="32" customFormat="1" x14ac:dyDescent="0.25">
      <c r="A93" s="147" t="s">
        <v>53</v>
      </c>
      <c r="B93" s="147"/>
      <c r="C93" s="147"/>
      <c r="D93" s="147"/>
      <c r="E93" s="147"/>
      <c r="F93" s="97">
        <f>F82*0.8</f>
        <v>9200</v>
      </c>
      <c r="G93" s="97"/>
      <c r="H93" s="97"/>
    </row>
    <row r="94" spans="1:9" s="33" customFormat="1" ht="15.75" customHeight="1" x14ac:dyDescent="0.25">
      <c r="A94" s="146" t="s">
        <v>76</v>
      </c>
      <c r="B94" s="146"/>
      <c r="C94" s="146"/>
      <c r="D94" s="146"/>
      <c r="E94" s="146"/>
      <c r="F94" s="146"/>
      <c r="G94" s="146"/>
      <c r="H94" s="146"/>
    </row>
    <row r="95" spans="1:9" s="33" customFormat="1" ht="15.75" customHeight="1" x14ac:dyDescent="0.25">
      <c r="A95" s="192" t="s">
        <v>54</v>
      </c>
      <c r="B95" s="192"/>
      <c r="C95" s="191" t="s">
        <v>79</v>
      </c>
      <c r="D95" s="191"/>
      <c r="E95" s="196" t="s">
        <v>55</v>
      </c>
      <c r="F95" s="196"/>
      <c r="G95" s="192" t="s">
        <v>56</v>
      </c>
      <c r="H95" s="192"/>
    </row>
    <row r="96" spans="1:9" s="33" customFormat="1" x14ac:dyDescent="0.25">
      <c r="A96" s="148" t="s">
        <v>187</v>
      </c>
      <c r="B96" s="148"/>
      <c r="C96" s="193">
        <f>COUNT(D106:D117)*8+COUNT(D119:D129)+COUNT(D132:D143)+COUNT(D145:D155)+COUNT(D158:D169)</f>
        <v>142</v>
      </c>
      <c r="D96" s="193"/>
      <c r="E96" s="98">
        <f>SUM(F106:F117)*8+SUM(F119:F129)+SUM(F132:F143)+SUM(F145:F155)+SUM(F158:F169)</f>
        <v>46960.059744000006</v>
      </c>
      <c r="F96" s="98"/>
      <c r="G96" s="98">
        <f t="shared" ref="G96" si="0">SUM(H106:H117)*8+SUM(H119:H129)+SUM(H132:H143)+SUM(H145:H155)+SUM(H158:H169)</f>
        <v>71499.113828999994</v>
      </c>
      <c r="H96" s="98"/>
    </row>
    <row r="97" spans="1:20" s="33" customFormat="1" x14ac:dyDescent="0.25">
      <c r="A97" s="146" t="s">
        <v>152</v>
      </c>
      <c r="B97" s="146"/>
      <c r="C97" s="210">
        <f>SUM(C96)</f>
        <v>142</v>
      </c>
      <c r="D97" s="191"/>
      <c r="E97" s="210">
        <f t="shared" ref="E97" si="1">SUM(E96)</f>
        <v>46960.059744000006</v>
      </c>
      <c r="F97" s="191"/>
      <c r="G97" s="210">
        <f t="shared" ref="G97" si="2">SUM(G96)</f>
        <v>71499.113828999994</v>
      </c>
      <c r="H97" s="191"/>
    </row>
    <row r="98" spans="1:20" s="32" customFormat="1" x14ac:dyDescent="0.25">
      <c r="A98" s="134" t="s">
        <v>200</v>
      </c>
      <c r="B98" s="134"/>
      <c r="C98" s="134"/>
      <c r="D98" s="134"/>
      <c r="E98" s="134"/>
      <c r="F98" s="134"/>
      <c r="G98" s="134"/>
      <c r="H98" s="134"/>
      <c r="T98" s="33"/>
    </row>
    <row r="99" spans="1:20" x14ac:dyDescent="0.25">
      <c r="A99" s="135" t="s">
        <v>201</v>
      </c>
      <c r="B99" s="135"/>
      <c r="C99" s="135"/>
      <c r="D99" s="135"/>
      <c r="E99" s="135"/>
      <c r="F99" s="135"/>
      <c r="G99" s="135"/>
      <c r="H99" s="135"/>
      <c r="T99" s="33"/>
    </row>
    <row r="100" spans="1:20" ht="47.25" customHeight="1" x14ac:dyDescent="0.25">
      <c r="A100" s="136" t="s">
        <v>225</v>
      </c>
      <c r="B100" s="136" t="s">
        <v>202</v>
      </c>
      <c r="C100" s="136" t="s">
        <v>59</v>
      </c>
      <c r="D100" s="136" t="s">
        <v>203</v>
      </c>
      <c r="E100" s="138" t="s">
        <v>157</v>
      </c>
      <c r="F100" s="136" t="s">
        <v>60</v>
      </c>
      <c r="G100" s="138" t="s">
        <v>204</v>
      </c>
      <c r="H100" s="75" t="s">
        <v>151</v>
      </c>
      <c r="T100" s="33"/>
    </row>
    <row r="101" spans="1:20" s="69" customFormat="1" x14ac:dyDescent="0.25">
      <c r="A101" s="137"/>
      <c r="B101" s="137"/>
      <c r="C101" s="137"/>
      <c r="D101" s="137"/>
      <c r="E101" s="139"/>
      <c r="F101" s="137"/>
      <c r="G101" s="139"/>
      <c r="H101" s="76">
        <v>0.5</v>
      </c>
      <c r="T101" s="33"/>
    </row>
    <row r="102" spans="1:20" s="69" customFormat="1" x14ac:dyDescent="0.25">
      <c r="A102" s="87" t="s">
        <v>205</v>
      </c>
      <c r="B102" s="88"/>
      <c r="C102" s="88"/>
      <c r="D102" s="88"/>
      <c r="E102" s="88"/>
      <c r="F102" s="88"/>
      <c r="G102" s="88"/>
      <c r="H102" s="89"/>
      <c r="J102" s="34"/>
      <c r="K102" s="69">
        <f>12*8+12+12+12</f>
        <v>132</v>
      </c>
      <c r="T102" s="33"/>
    </row>
    <row r="103" spans="1:20" s="69" customFormat="1" x14ac:dyDescent="0.25">
      <c r="A103" s="87" t="s">
        <v>206</v>
      </c>
      <c r="B103" s="88"/>
      <c r="C103" s="88"/>
      <c r="D103" s="88"/>
      <c r="E103" s="88"/>
      <c r="F103" s="88"/>
      <c r="G103" s="88"/>
      <c r="H103" s="89"/>
      <c r="J103" s="34"/>
      <c r="T103" s="33"/>
    </row>
    <row r="104" spans="1:20" s="69" customFormat="1" x14ac:dyDescent="0.25">
      <c r="A104" s="87" t="s">
        <v>207</v>
      </c>
      <c r="B104" s="88"/>
      <c r="C104" s="88"/>
      <c r="D104" s="88"/>
      <c r="E104" s="88"/>
      <c r="F104" s="88"/>
      <c r="G104" s="88"/>
      <c r="H104" s="89"/>
      <c r="J104" s="34"/>
      <c r="T104" s="33"/>
    </row>
    <row r="105" spans="1:20" s="69" customFormat="1" x14ac:dyDescent="0.25">
      <c r="A105" s="87" t="s">
        <v>208</v>
      </c>
      <c r="B105" s="88"/>
      <c r="C105" s="88"/>
      <c r="D105" s="88"/>
      <c r="E105" s="88"/>
      <c r="F105" s="88"/>
      <c r="G105" s="88"/>
      <c r="H105" s="89"/>
      <c r="I105" s="72">
        <v>8</v>
      </c>
      <c r="J105" s="34"/>
      <c r="T105" s="33"/>
    </row>
    <row r="106" spans="1:20" s="69" customFormat="1" ht="15.75" customHeight="1" x14ac:dyDescent="0.25">
      <c r="A106" s="84">
        <v>1</v>
      </c>
      <c r="B106" s="85"/>
      <c r="C106" s="48" t="s">
        <v>187</v>
      </c>
      <c r="D106" s="51">
        <f>(5.63*3.96+3*2.45+1.35*1.35)*(10.764)</f>
        <v>338.7140172</v>
      </c>
      <c r="E106" s="48">
        <v>0</v>
      </c>
      <c r="F106" s="48">
        <f>D106+(IF(E106&lt;201,E106,IF(E106&lt;301,E106/2,E106/3)))</f>
        <v>338.7140172</v>
      </c>
      <c r="G106" s="70">
        <v>0</v>
      </c>
      <c r="H106" s="48">
        <f>(F106+(IF(G106&lt;101,G106,IF(G106&lt;201,G106/2,IF(G106&lt;=301,G106/3,G106/4)))))*(($H$101)+1)</f>
        <v>508.07102580000003</v>
      </c>
      <c r="I106" s="71">
        <f>10.764</f>
        <v>10.763999999999999</v>
      </c>
      <c r="J106" s="69">
        <f>8.63*3.96-1.35*1.5</f>
        <v>32.149800000000006</v>
      </c>
      <c r="K106" s="69">
        <f>J106*10.764</f>
        <v>346.06044720000006</v>
      </c>
      <c r="L106" s="86"/>
      <c r="M106" s="86"/>
      <c r="N106" s="34"/>
      <c r="T106" s="33"/>
    </row>
    <row r="107" spans="1:20" s="69" customFormat="1" ht="15.75" customHeight="1" x14ac:dyDescent="0.25">
      <c r="A107" s="84">
        <v>2</v>
      </c>
      <c r="B107" s="85"/>
      <c r="C107" s="48" t="s">
        <v>187</v>
      </c>
      <c r="D107" s="51">
        <f>(5.63*3.79+3*2.29+1.35*1.35)*(10.764)</f>
        <v>323.2450728</v>
      </c>
      <c r="E107" s="48">
        <v>0</v>
      </c>
      <c r="F107" s="48">
        <f t="shared" ref="F107:F117" si="3">D107+(IF(E107&lt;201,E107,IF(E107&lt;301,E107/2,E107/3)))</f>
        <v>323.2450728</v>
      </c>
      <c r="G107" s="48">
        <v>0</v>
      </c>
      <c r="H107" s="48">
        <f t="shared" ref="H107:H129" si="4">(F107+(IF(G107&lt;101,G107,IF(G107&lt;201,G107/2,IF(G107&lt;=301,G107/3,G107/4)))))*(($H$101)+1)</f>
        <v>484.8676092</v>
      </c>
      <c r="I107" s="34"/>
      <c r="L107" s="86"/>
      <c r="M107" s="86"/>
      <c r="N107" s="34"/>
      <c r="T107" s="32"/>
    </row>
    <row r="108" spans="1:20" s="69" customFormat="1" ht="15.75" customHeight="1" x14ac:dyDescent="0.25">
      <c r="A108" s="84">
        <v>3</v>
      </c>
      <c r="B108" s="85"/>
      <c r="C108" s="48" t="s">
        <v>187</v>
      </c>
      <c r="D108" s="51">
        <f>(5.63*3.53+3*2.03+1.35*1.35)*(10.764)</f>
        <v>299.09280960000001</v>
      </c>
      <c r="E108" s="48">
        <v>0</v>
      </c>
      <c r="F108" s="48">
        <f t="shared" si="3"/>
        <v>299.09280960000001</v>
      </c>
      <c r="G108" s="48">
        <v>0</v>
      </c>
      <c r="H108" s="48">
        <f t="shared" si="4"/>
        <v>448.63921440000001</v>
      </c>
      <c r="I108" s="34"/>
      <c r="L108" s="86"/>
      <c r="M108" s="86"/>
      <c r="N108" s="34"/>
      <c r="T108" s="19"/>
    </row>
    <row r="109" spans="1:20" s="69" customFormat="1" ht="15.75" customHeight="1" x14ac:dyDescent="0.25">
      <c r="A109" s="84">
        <v>4</v>
      </c>
      <c r="B109" s="85"/>
      <c r="C109" s="48" t="s">
        <v>187</v>
      </c>
      <c r="D109" s="51">
        <f>(5.63*3.35+3*1.85+1.35*1.35)*(10.764)</f>
        <v>282.37201200000004</v>
      </c>
      <c r="E109" s="48">
        <v>0</v>
      </c>
      <c r="F109" s="48">
        <f t="shared" si="3"/>
        <v>282.37201200000004</v>
      </c>
      <c r="G109" s="48">
        <v>0</v>
      </c>
      <c r="H109" s="48">
        <f t="shared" si="4"/>
        <v>423.55801800000006</v>
      </c>
      <c r="I109" s="34"/>
      <c r="L109" s="86"/>
      <c r="M109" s="86"/>
      <c r="N109" s="34"/>
      <c r="T109" s="19"/>
    </row>
    <row r="110" spans="1:20" s="69" customFormat="1" ht="15.75" customHeight="1" x14ac:dyDescent="0.25">
      <c r="A110" s="84">
        <v>5</v>
      </c>
      <c r="B110" s="85"/>
      <c r="C110" s="48" t="s">
        <v>187</v>
      </c>
      <c r="D110" s="51">
        <f>(5.63*3.18+3*1.85+1.35*1.17)*(10.764)</f>
        <v>269.45413559999997</v>
      </c>
      <c r="E110" s="48">
        <v>0</v>
      </c>
      <c r="F110" s="48">
        <f t="shared" si="3"/>
        <v>269.45413559999997</v>
      </c>
      <c r="G110" s="70">
        <v>0</v>
      </c>
      <c r="H110" s="48">
        <f t="shared" si="4"/>
        <v>404.18120339999996</v>
      </c>
      <c r="I110" s="34"/>
      <c r="L110" s="86"/>
      <c r="M110" s="86"/>
      <c r="N110" s="34"/>
      <c r="T110" s="33"/>
    </row>
    <row r="111" spans="1:20" s="69" customFormat="1" ht="15.75" customHeight="1" x14ac:dyDescent="0.25">
      <c r="A111" s="84">
        <v>6</v>
      </c>
      <c r="B111" s="85"/>
      <c r="C111" s="48" t="s">
        <v>187</v>
      </c>
      <c r="D111" s="51">
        <f>(5.63*4.03+3*2.35+1.35*1.53)*(10.764)</f>
        <v>342.34256160000001</v>
      </c>
      <c r="E111" s="48">
        <v>0</v>
      </c>
      <c r="F111" s="48">
        <f t="shared" si="3"/>
        <v>342.34256160000001</v>
      </c>
      <c r="G111" s="48">
        <v>0</v>
      </c>
      <c r="H111" s="48">
        <f t="shared" si="4"/>
        <v>513.51384240000004</v>
      </c>
      <c r="I111" s="34"/>
      <c r="L111" s="86"/>
      <c r="M111" s="86"/>
      <c r="N111" s="34"/>
      <c r="T111" s="32"/>
    </row>
    <row r="112" spans="1:20" s="69" customFormat="1" ht="15.75" customHeight="1" x14ac:dyDescent="0.25">
      <c r="A112" s="84">
        <v>7</v>
      </c>
      <c r="B112" s="85"/>
      <c r="C112" s="48" t="s">
        <v>187</v>
      </c>
      <c r="D112" s="51">
        <f>(5.63*3.67+3*2.35+1.35*1.17)*(10.764)</f>
        <v>315.29478239999997</v>
      </c>
      <c r="E112" s="48">
        <v>0</v>
      </c>
      <c r="F112" s="48">
        <f t="shared" si="3"/>
        <v>315.29478239999997</v>
      </c>
      <c r="G112" s="48">
        <v>0</v>
      </c>
      <c r="H112" s="48">
        <f t="shared" si="4"/>
        <v>472.94217359999993</v>
      </c>
      <c r="I112" s="34"/>
      <c r="L112" s="86"/>
      <c r="M112" s="86"/>
      <c r="N112" s="34"/>
      <c r="T112" s="19"/>
    </row>
    <row r="113" spans="1:20" s="69" customFormat="1" ht="15.75" customHeight="1" x14ac:dyDescent="0.25">
      <c r="A113" s="84">
        <v>8</v>
      </c>
      <c r="B113" s="85"/>
      <c r="C113" s="48" t="s">
        <v>187</v>
      </c>
      <c r="D113" s="51">
        <f>(5.63*5.06+3*3.38+1.35*1.53)*(10.764)</f>
        <v>438.02268119999991</v>
      </c>
      <c r="E113" s="48">
        <v>0</v>
      </c>
      <c r="F113" s="48">
        <f t="shared" si="3"/>
        <v>438.02268119999991</v>
      </c>
      <c r="G113" s="48">
        <v>0</v>
      </c>
      <c r="H113" s="48">
        <f t="shared" si="4"/>
        <v>657.03402179999989</v>
      </c>
      <c r="I113" s="34"/>
      <c r="L113" s="86"/>
      <c r="M113" s="86"/>
      <c r="N113" s="34"/>
      <c r="T113" s="19"/>
    </row>
    <row r="114" spans="1:20" s="69" customFormat="1" ht="15.75" customHeight="1" x14ac:dyDescent="0.25">
      <c r="A114" s="84">
        <v>9</v>
      </c>
      <c r="B114" s="85"/>
      <c r="C114" s="48" t="s">
        <v>187</v>
      </c>
      <c r="D114" s="51">
        <f>(9.17*3.81+1.94*1.5)*(10.764)</f>
        <v>407.39264280000003</v>
      </c>
      <c r="E114" s="48">
        <v>0</v>
      </c>
      <c r="F114" s="48">
        <f t="shared" si="3"/>
        <v>407.39264280000003</v>
      </c>
      <c r="G114" s="48">
        <v>0</v>
      </c>
      <c r="H114" s="48">
        <f t="shared" si="4"/>
        <v>611.08896420000008</v>
      </c>
      <c r="I114" s="34"/>
      <c r="L114" s="86"/>
      <c r="M114" s="86"/>
      <c r="N114" s="34"/>
      <c r="T114" s="32"/>
    </row>
    <row r="115" spans="1:20" s="69" customFormat="1" ht="15.75" customHeight="1" x14ac:dyDescent="0.25">
      <c r="A115" s="84">
        <v>10</v>
      </c>
      <c r="B115" s="85"/>
      <c r="C115" s="48" t="s">
        <v>187</v>
      </c>
      <c r="D115" s="51">
        <f>(6.17*3.99+3*2.31+1.35*1.53)*(10.764)</f>
        <v>361.81894319999998</v>
      </c>
      <c r="E115" s="48">
        <v>0</v>
      </c>
      <c r="F115" s="48">
        <f t="shared" si="3"/>
        <v>361.81894319999998</v>
      </c>
      <c r="G115" s="48">
        <v>0</v>
      </c>
      <c r="H115" s="48">
        <f t="shared" si="4"/>
        <v>542.7284148</v>
      </c>
      <c r="I115" s="34"/>
      <c r="L115" s="86"/>
      <c r="M115" s="86"/>
      <c r="N115" s="34"/>
      <c r="T115" s="19"/>
    </row>
    <row r="116" spans="1:20" s="69" customFormat="1" ht="15.75" customHeight="1" x14ac:dyDescent="0.25">
      <c r="A116" s="84">
        <v>11</v>
      </c>
      <c r="B116" s="85"/>
      <c r="C116" s="48" t="s">
        <v>187</v>
      </c>
      <c r="D116" s="51">
        <f>(6.17*3.68+3*2.35+1.35*1.17)*(10.764)</f>
        <v>337.29101639999999</v>
      </c>
      <c r="E116" s="48">
        <v>0</v>
      </c>
      <c r="F116" s="48">
        <f t="shared" si="3"/>
        <v>337.29101639999999</v>
      </c>
      <c r="G116" s="48">
        <v>0</v>
      </c>
      <c r="H116" s="48">
        <f t="shared" si="4"/>
        <v>505.93652459999998</v>
      </c>
      <c r="I116" s="71"/>
      <c r="L116" s="86"/>
      <c r="M116" s="86"/>
      <c r="N116" s="34"/>
      <c r="T116" s="19"/>
    </row>
    <row r="117" spans="1:20" s="69" customFormat="1" ht="15.75" customHeight="1" x14ac:dyDescent="0.25">
      <c r="A117" s="84">
        <v>12</v>
      </c>
      <c r="B117" s="85"/>
      <c r="C117" s="48" t="s">
        <v>187</v>
      </c>
      <c r="D117" s="51">
        <f>(9.17*3.85+1.94*1.5)*(10.764)</f>
        <v>411.34087799999998</v>
      </c>
      <c r="E117" s="48">
        <v>0</v>
      </c>
      <c r="F117" s="48">
        <f t="shared" si="3"/>
        <v>411.34087799999998</v>
      </c>
      <c r="G117" s="48">
        <v>0</v>
      </c>
      <c r="H117" s="48">
        <f t="shared" si="4"/>
        <v>617.01131699999996</v>
      </c>
      <c r="I117" s="34"/>
      <c r="L117" s="86"/>
      <c r="M117" s="86"/>
      <c r="N117" s="34"/>
      <c r="T117" s="19"/>
    </row>
    <row r="118" spans="1:20" s="69" customFormat="1" x14ac:dyDescent="0.25">
      <c r="A118" s="87" t="s">
        <v>213</v>
      </c>
      <c r="B118" s="88"/>
      <c r="C118" s="88"/>
      <c r="D118" s="88"/>
      <c r="E118" s="88"/>
      <c r="F118" s="88"/>
      <c r="G118" s="88"/>
      <c r="H118" s="89"/>
      <c r="I118" s="72">
        <v>1</v>
      </c>
      <c r="J118" s="34"/>
      <c r="T118" s="33"/>
    </row>
    <row r="119" spans="1:20" s="69" customFormat="1" ht="15.75" customHeight="1" x14ac:dyDescent="0.25">
      <c r="A119" s="84">
        <v>1</v>
      </c>
      <c r="B119" s="85"/>
      <c r="C119" s="48" t="s">
        <v>187</v>
      </c>
      <c r="D119" s="51">
        <f>(5.63*3.96+3*2.45+1.35*1.35)*(10.764)</f>
        <v>338.7140172</v>
      </c>
      <c r="E119" s="48">
        <v>0</v>
      </c>
      <c r="F119" s="48">
        <f t="shared" ref="F119:F129" si="5">D119+(IF(E119&lt;201,E119,IF(E119&lt;301,E119/2,E119/3)))</f>
        <v>338.7140172</v>
      </c>
      <c r="G119" s="70">
        <v>0</v>
      </c>
      <c r="H119" s="48">
        <f t="shared" si="4"/>
        <v>508.07102580000003</v>
      </c>
      <c r="I119" s="34"/>
      <c r="L119" s="86"/>
      <c r="M119" s="86"/>
      <c r="N119" s="34"/>
      <c r="T119" s="33"/>
    </row>
    <row r="120" spans="1:20" s="69" customFormat="1" ht="15.75" customHeight="1" x14ac:dyDescent="0.25">
      <c r="A120" s="84">
        <v>2</v>
      </c>
      <c r="B120" s="85"/>
      <c r="C120" s="48" t="s">
        <v>187</v>
      </c>
      <c r="D120" s="51">
        <f>(5.63*3.79+3*2.29+1.35*1.35)*(10.764)</f>
        <v>323.2450728</v>
      </c>
      <c r="E120" s="48">
        <v>0</v>
      </c>
      <c r="F120" s="48">
        <f t="shared" si="5"/>
        <v>323.2450728</v>
      </c>
      <c r="G120" s="48">
        <v>0</v>
      </c>
      <c r="H120" s="48">
        <f t="shared" si="4"/>
        <v>484.8676092</v>
      </c>
      <c r="I120" s="34"/>
      <c r="L120" s="86"/>
      <c r="M120" s="86"/>
      <c r="N120" s="34"/>
      <c r="T120" s="32"/>
    </row>
    <row r="121" spans="1:20" s="69" customFormat="1" ht="15.75" customHeight="1" x14ac:dyDescent="0.25">
      <c r="A121" s="84">
        <v>3</v>
      </c>
      <c r="B121" s="85"/>
      <c r="C121" s="48" t="s">
        <v>187</v>
      </c>
      <c r="D121" s="51">
        <f>(5.63*3.53+3*2.03+1.35*1.35)*(10.764)</f>
        <v>299.09280960000001</v>
      </c>
      <c r="E121" s="48">
        <v>0</v>
      </c>
      <c r="F121" s="48">
        <f t="shared" si="5"/>
        <v>299.09280960000001</v>
      </c>
      <c r="G121" s="48">
        <v>0</v>
      </c>
      <c r="H121" s="48">
        <f t="shared" si="4"/>
        <v>448.63921440000001</v>
      </c>
      <c r="I121" s="34"/>
      <c r="L121" s="86"/>
      <c r="M121" s="86"/>
      <c r="N121" s="34"/>
      <c r="T121" s="19"/>
    </row>
    <row r="122" spans="1:20" s="69" customFormat="1" ht="15.75" customHeight="1" x14ac:dyDescent="0.25">
      <c r="A122" s="84">
        <v>4</v>
      </c>
      <c r="B122" s="85"/>
      <c r="C122" s="48" t="s">
        <v>187</v>
      </c>
      <c r="D122" s="51">
        <f>(5.63*3.35+3*1.85+1.35*1.35)*(10.764)</f>
        <v>282.37201200000004</v>
      </c>
      <c r="E122" s="48">
        <v>0</v>
      </c>
      <c r="F122" s="48">
        <f t="shared" si="5"/>
        <v>282.37201200000004</v>
      </c>
      <c r="G122" s="48">
        <v>0</v>
      </c>
      <c r="H122" s="48">
        <f t="shared" si="4"/>
        <v>423.55801800000006</v>
      </c>
      <c r="I122" s="34"/>
      <c r="L122" s="86"/>
      <c r="M122" s="86"/>
      <c r="N122" s="34"/>
      <c r="T122" s="19"/>
    </row>
    <row r="123" spans="1:20" s="69" customFormat="1" ht="15.75" customHeight="1" x14ac:dyDescent="0.25">
      <c r="A123" s="84">
        <v>5</v>
      </c>
      <c r="B123" s="85"/>
      <c r="C123" s="48" t="s">
        <v>187</v>
      </c>
      <c r="D123" s="51">
        <f>(5.63*3.18+3*1.85+1.35*1.17)*(10.764)</f>
        <v>269.45413559999997</v>
      </c>
      <c r="E123" s="48">
        <v>0</v>
      </c>
      <c r="F123" s="48">
        <f t="shared" si="5"/>
        <v>269.45413559999997</v>
      </c>
      <c r="G123" s="70">
        <v>0</v>
      </c>
      <c r="H123" s="48">
        <f t="shared" si="4"/>
        <v>404.18120339999996</v>
      </c>
      <c r="I123" s="34"/>
      <c r="L123" s="86"/>
      <c r="M123" s="86"/>
      <c r="N123" s="34"/>
      <c r="T123" s="33"/>
    </row>
    <row r="124" spans="1:20" s="69" customFormat="1" ht="15.75" customHeight="1" x14ac:dyDescent="0.25">
      <c r="A124" s="84">
        <v>6</v>
      </c>
      <c r="B124" s="85"/>
      <c r="C124" s="48" t="s">
        <v>187</v>
      </c>
      <c r="D124" s="51">
        <f>(5.63*4.03+3*2.35+1.35*1.53)*(10.764)</f>
        <v>342.34256160000001</v>
      </c>
      <c r="E124" s="48">
        <v>0</v>
      </c>
      <c r="F124" s="48">
        <f t="shared" si="5"/>
        <v>342.34256160000001</v>
      </c>
      <c r="G124" s="48">
        <v>0</v>
      </c>
      <c r="H124" s="48">
        <f t="shared" si="4"/>
        <v>513.51384240000004</v>
      </c>
      <c r="I124" s="34"/>
      <c r="L124" s="86"/>
      <c r="M124" s="86"/>
      <c r="N124" s="34"/>
      <c r="T124" s="32"/>
    </row>
    <row r="125" spans="1:20" s="69" customFormat="1" ht="15.75" customHeight="1" x14ac:dyDescent="0.25">
      <c r="A125" s="84">
        <v>7</v>
      </c>
      <c r="B125" s="85"/>
      <c r="C125" s="48" t="s">
        <v>187</v>
      </c>
      <c r="D125" s="51">
        <f>(5.63*3.67+3*2.35+1.35*1.17)*(10.764)</f>
        <v>315.29478239999997</v>
      </c>
      <c r="E125" s="48">
        <v>0</v>
      </c>
      <c r="F125" s="48">
        <f t="shared" si="5"/>
        <v>315.29478239999997</v>
      </c>
      <c r="G125" s="48">
        <v>0</v>
      </c>
      <c r="H125" s="48">
        <f t="shared" si="4"/>
        <v>472.94217359999993</v>
      </c>
      <c r="I125" s="34"/>
      <c r="L125" s="86"/>
      <c r="M125" s="86"/>
      <c r="N125" s="34"/>
      <c r="T125" s="19"/>
    </row>
    <row r="126" spans="1:20" s="69" customFormat="1" ht="15.75" customHeight="1" x14ac:dyDescent="0.25">
      <c r="A126" s="84">
        <v>8</v>
      </c>
      <c r="B126" s="85"/>
      <c r="C126" s="48" t="s">
        <v>187</v>
      </c>
      <c r="D126" s="51">
        <f>(5.63*5.06+3*3.38+1.35*1.53)*(10.764)</f>
        <v>438.02268119999991</v>
      </c>
      <c r="E126" s="48">
        <v>0</v>
      </c>
      <c r="F126" s="48">
        <f t="shared" si="5"/>
        <v>438.02268119999991</v>
      </c>
      <c r="G126" s="48">
        <v>0</v>
      </c>
      <c r="H126" s="48">
        <f t="shared" si="4"/>
        <v>657.03402179999989</v>
      </c>
      <c r="I126" s="34"/>
      <c r="L126" s="86"/>
      <c r="M126" s="86"/>
      <c r="N126" s="34"/>
      <c r="T126" s="19"/>
    </row>
    <row r="127" spans="1:20" s="69" customFormat="1" ht="15.75" customHeight="1" x14ac:dyDescent="0.25">
      <c r="A127" s="84">
        <v>9</v>
      </c>
      <c r="B127" s="85"/>
      <c r="C127" s="48" t="s">
        <v>187</v>
      </c>
      <c r="D127" s="51">
        <f>(9.17*3.81+1.94*1.5)*(10.764)</f>
        <v>407.39264280000003</v>
      </c>
      <c r="E127" s="48">
        <v>0</v>
      </c>
      <c r="F127" s="48">
        <f t="shared" si="5"/>
        <v>407.39264280000003</v>
      </c>
      <c r="G127" s="48">
        <v>0</v>
      </c>
      <c r="H127" s="48">
        <f t="shared" si="4"/>
        <v>611.08896420000008</v>
      </c>
      <c r="I127" s="34"/>
      <c r="L127" s="86"/>
      <c r="M127" s="86"/>
      <c r="N127" s="34"/>
      <c r="T127" s="32"/>
    </row>
    <row r="128" spans="1:20" s="69" customFormat="1" ht="15.75" customHeight="1" x14ac:dyDescent="0.25">
      <c r="A128" s="84">
        <v>10</v>
      </c>
      <c r="B128" s="85"/>
      <c r="C128" s="48" t="s">
        <v>187</v>
      </c>
      <c r="D128" s="51">
        <f>(6.17*3.99+3*2.31+1.35*1.53)*(10.764)</f>
        <v>361.81894319999998</v>
      </c>
      <c r="E128" s="48">
        <v>0</v>
      </c>
      <c r="F128" s="48">
        <f t="shared" si="5"/>
        <v>361.81894319999998</v>
      </c>
      <c r="G128" s="48">
        <v>0</v>
      </c>
      <c r="H128" s="48">
        <f t="shared" si="4"/>
        <v>542.7284148</v>
      </c>
      <c r="I128" s="34"/>
      <c r="L128" s="86"/>
      <c r="M128" s="86"/>
      <c r="N128" s="34"/>
      <c r="T128" s="19"/>
    </row>
    <row r="129" spans="1:20" s="69" customFormat="1" ht="15.75" customHeight="1" x14ac:dyDescent="0.25">
      <c r="A129" s="84">
        <v>11</v>
      </c>
      <c r="B129" s="85"/>
      <c r="C129" s="48" t="s">
        <v>187</v>
      </c>
      <c r="D129" s="51">
        <f>(6.17*3.68+3*2.35+1.35*1.17)*(10.764)</f>
        <v>337.29101639999999</v>
      </c>
      <c r="E129" s="48">
        <v>0</v>
      </c>
      <c r="F129" s="48">
        <f t="shared" si="5"/>
        <v>337.29101639999999</v>
      </c>
      <c r="G129" s="48">
        <v>0</v>
      </c>
      <c r="H129" s="48">
        <f t="shared" si="4"/>
        <v>505.93652459999998</v>
      </c>
      <c r="I129" s="34"/>
      <c r="L129" s="86"/>
      <c r="M129" s="86"/>
      <c r="N129" s="34"/>
      <c r="T129" s="19"/>
    </row>
    <row r="130" spans="1:20" s="69" customFormat="1" ht="15.75" customHeight="1" x14ac:dyDescent="0.25">
      <c r="A130" s="84">
        <v>12</v>
      </c>
      <c r="B130" s="85"/>
      <c r="C130" s="48" t="s">
        <v>210</v>
      </c>
      <c r="D130" s="84" t="s">
        <v>211</v>
      </c>
      <c r="E130" s="90"/>
      <c r="F130" s="90"/>
      <c r="G130" s="90"/>
      <c r="H130" s="85"/>
      <c r="I130" s="34"/>
      <c r="L130" s="86"/>
      <c r="M130" s="86"/>
      <c r="N130" s="34"/>
      <c r="T130" s="19"/>
    </row>
    <row r="131" spans="1:20" s="69" customFormat="1" x14ac:dyDescent="0.25">
      <c r="A131" s="87" t="s">
        <v>209</v>
      </c>
      <c r="B131" s="88"/>
      <c r="C131" s="88"/>
      <c r="D131" s="88"/>
      <c r="E131" s="88"/>
      <c r="F131" s="88"/>
      <c r="G131" s="88"/>
      <c r="H131" s="89"/>
      <c r="I131" s="72">
        <v>1</v>
      </c>
      <c r="J131" s="34"/>
      <c r="T131" s="33"/>
    </row>
    <row r="132" spans="1:20" s="69" customFormat="1" ht="15.75" customHeight="1" x14ac:dyDescent="0.25">
      <c r="A132" s="84">
        <v>1</v>
      </c>
      <c r="B132" s="85"/>
      <c r="C132" s="48" t="s">
        <v>187</v>
      </c>
      <c r="D132" s="51">
        <f>(5.53*3.96+3*2.45+1.35*1.35)*(10.764)</f>
        <v>334.45147320000001</v>
      </c>
      <c r="E132" s="48">
        <v>0</v>
      </c>
      <c r="F132" s="48">
        <f t="shared" ref="F132:F143" si="6">D132+(IF(E132&lt;201,E132,IF(E132&lt;301,E132/2,E132/3)))</f>
        <v>334.45147320000001</v>
      </c>
      <c r="G132" s="70">
        <v>0</v>
      </c>
      <c r="H132" s="48">
        <f t="shared" ref="H132:H143" si="7">(F132+(IF(G132&lt;101,G132,IF(G132&lt;201,G132/2,IF(G132&lt;=301,G132/3,G132/4)))))*(($H$101)+1)</f>
        <v>501.67720980000001</v>
      </c>
      <c r="I132" s="34"/>
      <c r="L132" s="86"/>
      <c r="M132" s="86"/>
      <c r="N132" s="34"/>
      <c r="T132" s="33"/>
    </row>
    <row r="133" spans="1:20" s="69" customFormat="1" ht="15.75" customHeight="1" x14ac:dyDescent="0.25">
      <c r="A133" s="84">
        <v>2</v>
      </c>
      <c r="B133" s="85"/>
      <c r="C133" s="48" t="s">
        <v>187</v>
      </c>
      <c r="D133" s="51">
        <f>(5.63*3.79+3*2.29+1.35*1.35)*(10.764)</f>
        <v>323.2450728</v>
      </c>
      <c r="E133" s="48">
        <v>0</v>
      </c>
      <c r="F133" s="48">
        <f t="shared" si="6"/>
        <v>323.2450728</v>
      </c>
      <c r="G133" s="48">
        <v>0</v>
      </c>
      <c r="H133" s="48">
        <f t="shared" si="7"/>
        <v>484.8676092</v>
      </c>
      <c r="I133" s="34"/>
      <c r="L133" s="86"/>
      <c r="M133" s="86"/>
      <c r="N133" s="34"/>
      <c r="T133" s="32"/>
    </row>
    <row r="134" spans="1:20" s="69" customFormat="1" ht="15.75" customHeight="1" x14ac:dyDescent="0.25">
      <c r="A134" s="84">
        <v>3</v>
      </c>
      <c r="B134" s="85"/>
      <c r="C134" s="48" t="s">
        <v>187</v>
      </c>
      <c r="D134" s="51">
        <f>(5.63*3.53+3*2.03+1.35*1.35)*(10.764)</f>
        <v>299.09280960000001</v>
      </c>
      <c r="E134" s="48">
        <v>0</v>
      </c>
      <c r="F134" s="48">
        <f t="shared" si="6"/>
        <v>299.09280960000001</v>
      </c>
      <c r="G134" s="48">
        <v>0</v>
      </c>
      <c r="H134" s="48">
        <f t="shared" si="7"/>
        <v>448.63921440000001</v>
      </c>
      <c r="I134" s="34"/>
      <c r="L134" s="86"/>
      <c r="M134" s="86"/>
      <c r="N134" s="34"/>
      <c r="T134" s="19"/>
    </row>
    <row r="135" spans="1:20" s="69" customFormat="1" ht="15.75" customHeight="1" x14ac:dyDescent="0.25">
      <c r="A135" s="84">
        <v>4</v>
      </c>
      <c r="B135" s="85"/>
      <c r="C135" s="48" t="s">
        <v>187</v>
      </c>
      <c r="D135" s="51">
        <f>(5.63*3.35+3*1.85+1.35*1.35)*(10.764)</f>
        <v>282.37201200000004</v>
      </c>
      <c r="E135" s="48">
        <v>0</v>
      </c>
      <c r="F135" s="48">
        <f t="shared" si="6"/>
        <v>282.37201200000004</v>
      </c>
      <c r="G135" s="48">
        <v>0</v>
      </c>
      <c r="H135" s="48">
        <f t="shared" si="7"/>
        <v>423.55801800000006</v>
      </c>
      <c r="I135" s="34"/>
      <c r="L135" s="86"/>
      <c r="M135" s="86"/>
      <c r="N135" s="34"/>
      <c r="T135" s="19"/>
    </row>
    <row r="136" spans="1:20" s="69" customFormat="1" ht="15.75" customHeight="1" x14ac:dyDescent="0.25">
      <c r="A136" s="84">
        <v>5</v>
      </c>
      <c r="B136" s="85"/>
      <c r="C136" s="48" t="s">
        <v>187</v>
      </c>
      <c r="D136" s="51">
        <f>(5.63*3.18+3*1.85+1.35*1.17)*(10.764)</f>
        <v>269.45413559999997</v>
      </c>
      <c r="E136" s="48">
        <v>0</v>
      </c>
      <c r="F136" s="48">
        <f t="shared" si="6"/>
        <v>269.45413559999997</v>
      </c>
      <c r="G136" s="70">
        <v>0</v>
      </c>
      <c r="H136" s="48">
        <f t="shared" si="7"/>
        <v>404.18120339999996</v>
      </c>
      <c r="I136" s="34"/>
      <c r="J136" s="69">
        <f>12*8+12+12+12+12</f>
        <v>144</v>
      </c>
      <c r="L136" s="86"/>
      <c r="M136" s="86"/>
      <c r="N136" s="34"/>
      <c r="T136" s="33"/>
    </row>
    <row r="137" spans="1:20" s="69" customFormat="1" ht="15.75" customHeight="1" x14ac:dyDescent="0.25">
      <c r="A137" s="84">
        <v>6</v>
      </c>
      <c r="B137" s="85"/>
      <c r="C137" s="48" t="s">
        <v>187</v>
      </c>
      <c r="D137" s="51">
        <f>(5.63*3.18+3*2.35+1.35*1.53)*(10.764)</f>
        <v>290.83143960000001</v>
      </c>
      <c r="E137" s="48">
        <v>0</v>
      </c>
      <c r="F137" s="48">
        <f t="shared" si="6"/>
        <v>290.83143960000001</v>
      </c>
      <c r="G137" s="48">
        <v>0</v>
      </c>
      <c r="H137" s="48">
        <f t="shared" si="7"/>
        <v>436.24715939999999</v>
      </c>
      <c r="I137" s="34"/>
      <c r="L137" s="86"/>
      <c r="M137" s="86"/>
      <c r="N137" s="34"/>
      <c r="T137" s="32"/>
    </row>
    <row r="138" spans="1:20" s="69" customFormat="1" ht="15.75" customHeight="1" x14ac:dyDescent="0.25">
      <c r="A138" s="84">
        <v>7</v>
      </c>
      <c r="B138" s="85"/>
      <c r="C138" s="48" t="s">
        <v>187</v>
      </c>
      <c r="D138" s="51">
        <f>(5.63*3.67+3*2.35+1.35*1.17)*(10.764)</f>
        <v>315.29478239999997</v>
      </c>
      <c r="E138" s="48">
        <v>0</v>
      </c>
      <c r="F138" s="48">
        <f t="shared" si="6"/>
        <v>315.29478239999997</v>
      </c>
      <c r="G138" s="48">
        <v>0</v>
      </c>
      <c r="H138" s="48">
        <f t="shared" si="7"/>
        <v>472.94217359999993</v>
      </c>
      <c r="I138" s="34"/>
      <c r="L138" s="86"/>
      <c r="M138" s="86"/>
      <c r="N138" s="34"/>
      <c r="T138" s="19"/>
    </row>
    <row r="139" spans="1:20" s="69" customFormat="1" ht="15.75" customHeight="1" x14ac:dyDescent="0.25">
      <c r="A139" s="84">
        <v>8</v>
      </c>
      <c r="B139" s="85"/>
      <c r="C139" s="48" t="s">
        <v>187</v>
      </c>
      <c r="D139" s="51">
        <f>(5.63*5.03+3*3.38+1.35*1.53)*(10.764)</f>
        <v>436.20464159999995</v>
      </c>
      <c r="E139" s="48">
        <v>0</v>
      </c>
      <c r="F139" s="48">
        <f t="shared" si="6"/>
        <v>436.20464159999995</v>
      </c>
      <c r="G139" s="48">
        <v>0</v>
      </c>
      <c r="H139" s="48">
        <f t="shared" si="7"/>
        <v>654.30696239999997</v>
      </c>
      <c r="I139" s="34"/>
      <c r="L139" s="86"/>
      <c r="M139" s="86"/>
      <c r="N139" s="34"/>
      <c r="T139" s="19"/>
    </row>
    <row r="140" spans="1:20" s="69" customFormat="1" ht="15.75" customHeight="1" x14ac:dyDescent="0.25">
      <c r="A140" s="84">
        <v>9</v>
      </c>
      <c r="B140" s="85"/>
      <c r="C140" s="48" t="s">
        <v>187</v>
      </c>
      <c r="D140" s="51">
        <f>(37.97)*(10.764)</f>
        <v>408.70907999999997</v>
      </c>
      <c r="E140" s="48">
        <v>0</v>
      </c>
      <c r="F140" s="48">
        <f t="shared" si="6"/>
        <v>408.70907999999997</v>
      </c>
      <c r="G140" s="48">
        <v>0</v>
      </c>
      <c r="H140" s="48">
        <f t="shared" si="7"/>
        <v>613.0636199999999</v>
      </c>
      <c r="I140" s="34"/>
      <c r="L140" s="86"/>
      <c r="M140" s="86"/>
      <c r="N140" s="34"/>
      <c r="T140" s="32"/>
    </row>
    <row r="141" spans="1:20" s="69" customFormat="1" ht="15.75" customHeight="1" x14ac:dyDescent="0.25">
      <c r="A141" s="84">
        <v>10</v>
      </c>
      <c r="B141" s="85"/>
      <c r="C141" s="48" t="s">
        <v>187</v>
      </c>
      <c r="D141" s="51">
        <f>(34.03)*(10.764)</f>
        <v>366.29892000000001</v>
      </c>
      <c r="E141" s="48">
        <v>0</v>
      </c>
      <c r="F141" s="48">
        <f t="shared" si="6"/>
        <v>366.29892000000001</v>
      </c>
      <c r="G141" s="48">
        <v>0</v>
      </c>
      <c r="H141" s="48">
        <f t="shared" si="7"/>
        <v>549.44838000000004</v>
      </c>
      <c r="I141" s="34"/>
      <c r="L141" s="86"/>
      <c r="M141" s="86"/>
      <c r="N141" s="34"/>
      <c r="T141" s="19"/>
    </row>
    <row r="142" spans="1:20" s="69" customFormat="1" ht="15.75" customHeight="1" x14ac:dyDescent="0.25">
      <c r="A142" s="84">
        <v>11</v>
      </c>
      <c r="B142" s="85"/>
      <c r="C142" s="48" t="s">
        <v>187</v>
      </c>
      <c r="D142" s="51">
        <f>(31.71)*(10.764)</f>
        <v>341.32643999999999</v>
      </c>
      <c r="E142" s="48">
        <v>0</v>
      </c>
      <c r="F142" s="48">
        <f t="shared" si="6"/>
        <v>341.32643999999999</v>
      </c>
      <c r="G142" s="48">
        <v>0</v>
      </c>
      <c r="H142" s="48">
        <f t="shared" si="7"/>
        <v>511.98965999999996</v>
      </c>
      <c r="I142" s="34"/>
      <c r="L142" s="86"/>
      <c r="M142" s="86"/>
      <c r="N142" s="34"/>
      <c r="T142" s="19"/>
    </row>
    <row r="143" spans="1:20" s="69" customFormat="1" ht="15.75" customHeight="1" x14ac:dyDescent="0.25">
      <c r="A143" s="84">
        <v>12</v>
      </c>
      <c r="B143" s="85"/>
      <c r="C143" s="48" t="s">
        <v>187</v>
      </c>
      <c r="D143" s="51">
        <f>(37.9)*(10.764)</f>
        <v>407.95559999999995</v>
      </c>
      <c r="E143" s="48">
        <v>0</v>
      </c>
      <c r="F143" s="48">
        <f t="shared" si="6"/>
        <v>407.95559999999995</v>
      </c>
      <c r="G143" s="48">
        <v>0</v>
      </c>
      <c r="H143" s="48">
        <f t="shared" si="7"/>
        <v>611.93339999999989</v>
      </c>
      <c r="I143" s="34"/>
      <c r="L143" s="86"/>
      <c r="M143" s="86"/>
      <c r="N143" s="34"/>
      <c r="T143" s="19"/>
    </row>
    <row r="144" spans="1:20" s="69" customFormat="1" x14ac:dyDescent="0.25">
      <c r="A144" s="87" t="s">
        <v>214</v>
      </c>
      <c r="B144" s="88"/>
      <c r="C144" s="88"/>
      <c r="D144" s="88"/>
      <c r="E144" s="88"/>
      <c r="F144" s="88"/>
      <c r="G144" s="88"/>
      <c r="H144" s="89"/>
      <c r="I144" s="72">
        <v>1</v>
      </c>
      <c r="J144" s="34"/>
      <c r="T144" s="33"/>
    </row>
    <row r="145" spans="1:20" s="69" customFormat="1" ht="15.75" customHeight="1" x14ac:dyDescent="0.25">
      <c r="A145" s="84">
        <v>1</v>
      </c>
      <c r="B145" s="85"/>
      <c r="C145" s="48" t="s">
        <v>187</v>
      </c>
      <c r="D145" s="51">
        <f>(26.17)*(10.764)</f>
        <v>281.69387999999998</v>
      </c>
      <c r="E145" s="48">
        <v>0</v>
      </c>
      <c r="F145" s="48">
        <f t="shared" ref="F145:F155" si="8">D145+(IF(E145&lt;201,E145,IF(E145&lt;301,E145/2,E145/3)))</f>
        <v>281.69387999999998</v>
      </c>
      <c r="G145" s="51">
        <f>(1.5*2.76*1.5*1.6)*(10.764)</f>
        <v>106.95110399999999</v>
      </c>
      <c r="H145" s="48">
        <f t="shared" ref="H145:H155" si="9">(F145+(IF(G145&lt;101,G145,IF(G145&lt;201,G145/2,IF(G145&lt;=301,G145/3,G145/4)))))*(($H$101)+1)</f>
        <v>502.75414799999999</v>
      </c>
      <c r="I145" s="71">
        <f>4.13*3.96+3*2.46</f>
        <v>23.7348</v>
      </c>
      <c r="L145" s="86"/>
      <c r="M145" s="86"/>
      <c r="N145" s="34"/>
      <c r="T145" s="33"/>
    </row>
    <row r="146" spans="1:20" s="69" customFormat="1" ht="15.75" customHeight="1" x14ac:dyDescent="0.25">
      <c r="A146" s="84">
        <v>2</v>
      </c>
      <c r="B146" s="85"/>
      <c r="C146" s="48" t="s">
        <v>187</v>
      </c>
      <c r="D146" s="51">
        <f>24.92*(10.764)</f>
        <v>268.23887999999999</v>
      </c>
      <c r="E146" s="48">
        <v>0</v>
      </c>
      <c r="F146" s="48">
        <f t="shared" si="8"/>
        <v>268.23887999999999</v>
      </c>
      <c r="G146" s="51">
        <f>(1.5*4)*(10.764)</f>
        <v>64.584000000000003</v>
      </c>
      <c r="H146" s="48">
        <f t="shared" si="9"/>
        <v>499.23432000000003</v>
      </c>
      <c r="I146" s="34"/>
      <c r="L146" s="86"/>
      <c r="M146" s="86"/>
      <c r="N146" s="34"/>
      <c r="T146" s="32"/>
    </row>
    <row r="147" spans="1:20" s="69" customFormat="1" ht="15.75" customHeight="1" x14ac:dyDescent="0.25">
      <c r="A147" s="84">
        <v>3</v>
      </c>
      <c r="B147" s="85"/>
      <c r="C147" s="48" t="s">
        <v>187</v>
      </c>
      <c r="D147" s="51">
        <f>(23.06)*(10.764)</f>
        <v>248.21783999999997</v>
      </c>
      <c r="E147" s="48">
        <v>0</v>
      </c>
      <c r="F147" s="48">
        <f t="shared" si="8"/>
        <v>248.21783999999997</v>
      </c>
      <c r="G147" s="51">
        <f>(1.5*3.5)*(10.764)</f>
        <v>56.510999999999996</v>
      </c>
      <c r="H147" s="48">
        <f t="shared" si="9"/>
        <v>457.09325999999999</v>
      </c>
      <c r="I147" s="34"/>
      <c r="L147" s="86"/>
      <c r="M147" s="86"/>
      <c r="N147" s="34"/>
      <c r="T147" s="19"/>
    </row>
    <row r="148" spans="1:20" s="69" customFormat="1" ht="15.75" customHeight="1" x14ac:dyDescent="0.25">
      <c r="A148" s="84">
        <v>4</v>
      </c>
      <c r="B148" s="85"/>
      <c r="C148" s="48" t="s">
        <v>187</v>
      </c>
      <c r="D148" s="51">
        <f>(21.82)*(10.764)</f>
        <v>234.87047999999999</v>
      </c>
      <c r="E148" s="48">
        <v>0</v>
      </c>
      <c r="F148" s="48">
        <f t="shared" si="8"/>
        <v>234.87047999999999</v>
      </c>
      <c r="G148" s="51">
        <f>(1.5*1.8+1.5*1.7)*(10.764)</f>
        <v>56.510999999999996</v>
      </c>
      <c r="H148" s="48">
        <f t="shared" si="9"/>
        <v>437.07222000000002</v>
      </c>
      <c r="I148" s="34"/>
      <c r="L148" s="86"/>
      <c r="M148" s="86"/>
      <c r="N148" s="34"/>
      <c r="T148" s="19"/>
    </row>
    <row r="149" spans="1:20" s="69" customFormat="1" ht="15.75" customHeight="1" x14ac:dyDescent="0.25">
      <c r="A149" s="84">
        <v>5</v>
      </c>
      <c r="B149" s="85"/>
      <c r="C149" s="48" t="s">
        <v>187</v>
      </c>
      <c r="D149" s="51">
        <f>(20.83)*(10.764)</f>
        <v>224.21411999999998</v>
      </c>
      <c r="E149" s="48">
        <v>0</v>
      </c>
      <c r="F149" s="48">
        <f t="shared" si="8"/>
        <v>224.21411999999998</v>
      </c>
      <c r="G149" s="51">
        <f>(1.5*3.4)*(10.764)</f>
        <v>54.896399999999993</v>
      </c>
      <c r="H149" s="48">
        <f t="shared" si="9"/>
        <v>418.66577999999993</v>
      </c>
      <c r="I149" s="34"/>
      <c r="L149" s="86"/>
      <c r="M149" s="86"/>
      <c r="N149" s="34"/>
      <c r="T149" s="33"/>
    </row>
    <row r="150" spans="1:20" s="69" customFormat="1" ht="15.75" customHeight="1" x14ac:dyDescent="0.25">
      <c r="A150" s="84">
        <v>6</v>
      </c>
      <c r="B150" s="85"/>
      <c r="C150" s="48" t="s">
        <v>187</v>
      </c>
      <c r="D150" s="51">
        <f>(26.37)*(10.764)</f>
        <v>283.84667999999999</v>
      </c>
      <c r="E150" s="48">
        <v>0</v>
      </c>
      <c r="F150" s="48">
        <f t="shared" si="8"/>
        <v>283.84667999999999</v>
      </c>
      <c r="G150" s="51">
        <f>(1.5*4.4)*(10.764)</f>
        <v>71.042400000000001</v>
      </c>
      <c r="H150" s="48">
        <f t="shared" si="9"/>
        <v>532.33362</v>
      </c>
      <c r="I150" s="34"/>
      <c r="L150" s="86"/>
      <c r="M150" s="86"/>
      <c r="N150" s="34"/>
      <c r="T150" s="32"/>
    </row>
    <row r="151" spans="1:20" s="69" customFormat="1" ht="15.75" customHeight="1" x14ac:dyDescent="0.25">
      <c r="A151" s="84">
        <v>7</v>
      </c>
      <c r="B151" s="85"/>
      <c r="C151" s="48" t="s">
        <v>187</v>
      </c>
      <c r="D151" s="51">
        <f>(24.4)*(10.764)</f>
        <v>262.64159999999998</v>
      </c>
      <c r="E151" s="48">
        <v>0</v>
      </c>
      <c r="F151" s="48">
        <f t="shared" si="8"/>
        <v>262.64159999999998</v>
      </c>
      <c r="G151" s="51">
        <f>(1.5*4)*(10.764)</f>
        <v>64.584000000000003</v>
      </c>
      <c r="H151" s="48">
        <f t="shared" si="9"/>
        <v>490.83839999999998</v>
      </c>
      <c r="I151" s="34"/>
      <c r="L151" s="86"/>
      <c r="M151" s="86"/>
      <c r="N151" s="34"/>
      <c r="T151" s="19"/>
    </row>
    <row r="152" spans="1:20" s="69" customFormat="1" ht="15.75" customHeight="1" x14ac:dyDescent="0.25">
      <c r="A152" s="84">
        <v>8</v>
      </c>
      <c r="B152" s="85"/>
      <c r="C152" s="48" t="s">
        <v>187</v>
      </c>
      <c r="D152" s="51">
        <f>(23.02)*(10.764)</f>
        <v>247.78727999999998</v>
      </c>
      <c r="E152" s="48">
        <v>0</v>
      </c>
      <c r="F152" s="48">
        <f t="shared" si="8"/>
        <v>247.78727999999998</v>
      </c>
      <c r="G152" s="51">
        <f>(1.5*4+7.43*1.5)*(10.764)</f>
        <v>184.54877999999999</v>
      </c>
      <c r="H152" s="48">
        <f t="shared" si="9"/>
        <v>510.09250499999996</v>
      </c>
      <c r="I152" s="34"/>
      <c r="L152" s="86"/>
      <c r="M152" s="86"/>
      <c r="N152" s="34"/>
      <c r="T152" s="19"/>
    </row>
    <row r="153" spans="1:20" s="69" customFormat="1" ht="15.75" customHeight="1" x14ac:dyDescent="0.25">
      <c r="A153" s="84">
        <v>9</v>
      </c>
      <c r="B153" s="85"/>
      <c r="C153" s="48" t="s">
        <v>187</v>
      </c>
      <c r="D153" s="51">
        <f>(27.15)*(10.764)</f>
        <v>292.24259999999998</v>
      </c>
      <c r="E153" s="48">
        <v>0</v>
      </c>
      <c r="F153" s="48">
        <f t="shared" si="8"/>
        <v>292.24259999999998</v>
      </c>
      <c r="G153" s="51">
        <f>(1.5*3.9)*(10.764)</f>
        <v>62.969399999999993</v>
      </c>
      <c r="H153" s="48">
        <f t="shared" si="9"/>
        <v>532.81799999999998</v>
      </c>
      <c r="I153" s="34"/>
      <c r="L153" s="86"/>
      <c r="M153" s="86"/>
      <c r="N153" s="34"/>
      <c r="T153" s="32"/>
    </row>
    <row r="154" spans="1:20" s="69" customFormat="1" ht="15.75" customHeight="1" x14ac:dyDescent="0.25">
      <c r="A154" s="84">
        <v>10</v>
      </c>
      <c r="B154" s="85"/>
      <c r="C154" s="48" t="s">
        <v>187</v>
      </c>
      <c r="D154" s="51">
        <f>(28.23)*(10.764)</f>
        <v>303.86771999999996</v>
      </c>
      <c r="E154" s="48">
        <v>0</v>
      </c>
      <c r="F154" s="48">
        <f t="shared" si="8"/>
        <v>303.86771999999996</v>
      </c>
      <c r="G154" s="51">
        <f>(1.5*4)*(10.764)</f>
        <v>64.584000000000003</v>
      </c>
      <c r="H154" s="48">
        <f t="shared" si="9"/>
        <v>552.67757999999992</v>
      </c>
      <c r="I154" s="34"/>
      <c r="L154" s="86"/>
      <c r="M154" s="86"/>
      <c r="N154" s="34"/>
      <c r="T154" s="19"/>
    </row>
    <row r="155" spans="1:20" s="69" customFormat="1" ht="15.75" customHeight="1" x14ac:dyDescent="0.25">
      <c r="A155" s="84">
        <v>11</v>
      </c>
      <c r="B155" s="85"/>
      <c r="C155" s="48" t="s">
        <v>187</v>
      </c>
      <c r="D155" s="51">
        <f>26.38*(10.764)</f>
        <v>283.95432</v>
      </c>
      <c r="E155" s="48">
        <v>0</v>
      </c>
      <c r="F155" s="48">
        <f t="shared" si="8"/>
        <v>283.95432</v>
      </c>
      <c r="G155" s="51">
        <f>(1.5*4)*(10.764)</f>
        <v>64.584000000000003</v>
      </c>
      <c r="H155" s="48">
        <f t="shared" si="9"/>
        <v>522.80747999999994</v>
      </c>
      <c r="I155" s="34"/>
      <c r="L155" s="86"/>
      <c r="M155" s="86"/>
      <c r="N155" s="34"/>
      <c r="T155" s="19"/>
    </row>
    <row r="156" spans="1:20" s="69" customFormat="1" ht="15.75" customHeight="1" x14ac:dyDescent="0.25">
      <c r="A156" s="84">
        <v>12</v>
      </c>
      <c r="B156" s="85"/>
      <c r="C156" s="48" t="s">
        <v>210</v>
      </c>
      <c r="D156" s="84" t="s">
        <v>211</v>
      </c>
      <c r="E156" s="90"/>
      <c r="F156" s="90"/>
      <c r="G156" s="90"/>
      <c r="H156" s="85"/>
      <c r="I156" s="34"/>
      <c r="L156" s="86"/>
      <c r="M156" s="86"/>
      <c r="N156" s="34"/>
      <c r="T156" s="19"/>
    </row>
    <row r="157" spans="1:20" s="69" customFormat="1" x14ac:dyDescent="0.25">
      <c r="A157" s="87" t="s">
        <v>212</v>
      </c>
      <c r="B157" s="88"/>
      <c r="C157" s="88"/>
      <c r="D157" s="88"/>
      <c r="E157" s="88"/>
      <c r="F157" s="88"/>
      <c r="G157" s="88"/>
      <c r="H157" s="89"/>
      <c r="I157" s="72">
        <v>1</v>
      </c>
      <c r="J157" s="34"/>
      <c r="T157" s="33"/>
    </row>
    <row r="158" spans="1:20" s="69" customFormat="1" ht="15.75" customHeight="1" x14ac:dyDescent="0.25">
      <c r="A158" s="84">
        <v>1</v>
      </c>
      <c r="B158" s="85"/>
      <c r="C158" s="48" t="s">
        <v>187</v>
      </c>
      <c r="D158" s="51">
        <f>(26.17)*(10.764)</f>
        <v>281.69387999999998</v>
      </c>
      <c r="E158" s="48">
        <v>0</v>
      </c>
      <c r="F158" s="48">
        <f t="shared" ref="F158:F169" si="10">D158+(IF(E158&lt;201,E158,IF(E158&lt;301,E158/2,E158/3)))</f>
        <v>281.69387999999998</v>
      </c>
      <c r="G158" s="70">
        <v>0</v>
      </c>
      <c r="H158" s="48">
        <f t="shared" ref="H158:H169" si="11">(F158+(IF(G158&lt;101,G158,IF(G158&lt;201,G158/2,IF(G158&lt;=301,G158/3,G158/4)))))*(($H$101)+1)</f>
        <v>422.54081999999994</v>
      </c>
      <c r="I158" s="71">
        <f>4.13*3.96+3*2.46+1.35*1.35</f>
        <v>25.557300000000001</v>
      </c>
      <c r="L158" s="86"/>
      <c r="M158" s="86"/>
      <c r="N158" s="34"/>
      <c r="T158" s="33"/>
    </row>
    <row r="159" spans="1:20" s="69" customFormat="1" ht="15.75" customHeight="1" x14ac:dyDescent="0.25">
      <c r="A159" s="84">
        <v>2</v>
      </c>
      <c r="B159" s="85"/>
      <c r="C159" s="48" t="s">
        <v>187</v>
      </c>
      <c r="D159" s="51">
        <f>24.92*(10.764)</f>
        <v>268.23887999999999</v>
      </c>
      <c r="E159" s="48">
        <v>0</v>
      </c>
      <c r="F159" s="48">
        <f t="shared" si="10"/>
        <v>268.23887999999999</v>
      </c>
      <c r="G159" s="48">
        <v>0</v>
      </c>
      <c r="H159" s="48">
        <f t="shared" si="11"/>
        <v>402.35831999999999</v>
      </c>
      <c r="I159" s="34"/>
      <c r="L159" s="86"/>
      <c r="M159" s="86"/>
      <c r="N159" s="34"/>
      <c r="T159" s="32"/>
    </row>
    <row r="160" spans="1:20" s="69" customFormat="1" ht="15.75" customHeight="1" x14ac:dyDescent="0.25">
      <c r="A160" s="84">
        <v>3</v>
      </c>
      <c r="B160" s="85"/>
      <c r="C160" s="48" t="s">
        <v>187</v>
      </c>
      <c r="D160" s="51">
        <f>(23.06)*(10.764)</f>
        <v>248.21783999999997</v>
      </c>
      <c r="E160" s="48">
        <v>0</v>
      </c>
      <c r="F160" s="48">
        <f t="shared" si="10"/>
        <v>248.21783999999997</v>
      </c>
      <c r="G160" s="48">
        <v>0</v>
      </c>
      <c r="H160" s="48">
        <f t="shared" si="11"/>
        <v>372.32675999999992</v>
      </c>
      <c r="I160" s="34"/>
      <c r="L160" s="86"/>
      <c r="M160" s="86"/>
      <c r="N160" s="34"/>
      <c r="T160" s="19"/>
    </row>
    <row r="161" spans="1:20" s="69" customFormat="1" ht="15.75" customHeight="1" x14ac:dyDescent="0.25">
      <c r="A161" s="84">
        <v>4</v>
      </c>
      <c r="B161" s="85"/>
      <c r="C161" s="48" t="s">
        <v>187</v>
      </c>
      <c r="D161" s="51">
        <f>(21.82)*(10.764)</f>
        <v>234.87047999999999</v>
      </c>
      <c r="E161" s="48">
        <v>0</v>
      </c>
      <c r="F161" s="48">
        <f t="shared" si="10"/>
        <v>234.87047999999999</v>
      </c>
      <c r="G161" s="48">
        <v>0</v>
      </c>
      <c r="H161" s="48">
        <f t="shared" si="11"/>
        <v>352.30571999999995</v>
      </c>
      <c r="I161" s="34"/>
      <c r="L161" s="86"/>
      <c r="M161" s="86"/>
      <c r="N161" s="34"/>
      <c r="T161" s="19"/>
    </row>
    <row r="162" spans="1:20" s="69" customFormat="1" ht="15.75" customHeight="1" x14ac:dyDescent="0.25">
      <c r="A162" s="84">
        <v>5</v>
      </c>
      <c r="B162" s="85"/>
      <c r="C162" s="48" t="s">
        <v>187</v>
      </c>
      <c r="D162" s="51">
        <f>(20.83)*(10.764)</f>
        <v>224.21411999999998</v>
      </c>
      <c r="E162" s="48">
        <v>0</v>
      </c>
      <c r="F162" s="48">
        <f t="shared" si="10"/>
        <v>224.21411999999998</v>
      </c>
      <c r="G162" s="70">
        <v>0</v>
      </c>
      <c r="H162" s="48">
        <f t="shared" si="11"/>
        <v>336.32117999999997</v>
      </c>
      <c r="I162" s="34"/>
      <c r="L162" s="86"/>
      <c r="M162" s="86"/>
      <c r="N162" s="34"/>
      <c r="T162" s="33"/>
    </row>
    <row r="163" spans="1:20" s="69" customFormat="1" ht="15.75" customHeight="1" x14ac:dyDescent="0.25">
      <c r="A163" s="84">
        <v>6</v>
      </c>
      <c r="B163" s="85"/>
      <c r="C163" s="48" t="s">
        <v>187</v>
      </c>
      <c r="D163" s="51">
        <f>(26.37)*(10.764)</f>
        <v>283.84667999999999</v>
      </c>
      <c r="E163" s="48">
        <v>0</v>
      </c>
      <c r="F163" s="48">
        <f t="shared" si="10"/>
        <v>283.84667999999999</v>
      </c>
      <c r="G163" s="48">
        <v>0</v>
      </c>
      <c r="H163" s="48">
        <f t="shared" si="11"/>
        <v>425.77001999999999</v>
      </c>
      <c r="I163" s="34"/>
      <c r="L163" s="86"/>
      <c r="M163" s="86"/>
      <c r="N163" s="34"/>
      <c r="T163" s="32"/>
    </row>
    <row r="164" spans="1:20" s="69" customFormat="1" ht="15.75" customHeight="1" x14ac:dyDescent="0.25">
      <c r="A164" s="84">
        <v>7</v>
      </c>
      <c r="B164" s="85"/>
      <c r="C164" s="48" t="s">
        <v>187</v>
      </c>
      <c r="D164" s="51">
        <f>(24.4)*(10.764)</f>
        <v>262.64159999999998</v>
      </c>
      <c r="E164" s="48">
        <v>0</v>
      </c>
      <c r="F164" s="48">
        <f t="shared" si="10"/>
        <v>262.64159999999998</v>
      </c>
      <c r="G164" s="48">
        <v>0</v>
      </c>
      <c r="H164" s="48">
        <f t="shared" si="11"/>
        <v>393.9624</v>
      </c>
      <c r="I164" s="34"/>
      <c r="L164" s="86"/>
      <c r="M164" s="86"/>
      <c r="N164" s="34"/>
      <c r="T164" s="19"/>
    </row>
    <row r="165" spans="1:20" s="69" customFormat="1" ht="15.75" customHeight="1" x14ac:dyDescent="0.25">
      <c r="A165" s="84">
        <v>8</v>
      </c>
      <c r="B165" s="85"/>
      <c r="C165" s="48" t="s">
        <v>187</v>
      </c>
      <c r="D165" s="51">
        <f>(23.02)*(10.764)</f>
        <v>247.78727999999998</v>
      </c>
      <c r="E165" s="48">
        <v>0</v>
      </c>
      <c r="F165" s="48">
        <f t="shared" si="10"/>
        <v>247.78727999999998</v>
      </c>
      <c r="G165" s="48">
        <v>0</v>
      </c>
      <c r="H165" s="48">
        <f t="shared" si="11"/>
        <v>371.68091999999996</v>
      </c>
      <c r="I165" s="34"/>
      <c r="L165" s="86"/>
      <c r="M165" s="86"/>
      <c r="N165" s="34"/>
      <c r="T165" s="19"/>
    </row>
    <row r="166" spans="1:20" s="69" customFormat="1" ht="15.75" customHeight="1" x14ac:dyDescent="0.25">
      <c r="A166" s="84">
        <v>9</v>
      </c>
      <c r="B166" s="85"/>
      <c r="C166" s="48" t="s">
        <v>187</v>
      </c>
      <c r="D166" s="51">
        <f>(27.15)*(10.764)</f>
        <v>292.24259999999998</v>
      </c>
      <c r="E166" s="48">
        <v>0</v>
      </c>
      <c r="F166" s="48">
        <f t="shared" si="10"/>
        <v>292.24259999999998</v>
      </c>
      <c r="G166" s="48">
        <v>0</v>
      </c>
      <c r="H166" s="48">
        <f t="shared" si="11"/>
        <v>438.36389999999994</v>
      </c>
      <c r="I166" s="34"/>
      <c r="L166" s="86"/>
      <c r="M166" s="86"/>
      <c r="N166" s="34"/>
      <c r="T166" s="32"/>
    </row>
    <row r="167" spans="1:20" s="69" customFormat="1" ht="15.75" customHeight="1" x14ac:dyDescent="0.25">
      <c r="A167" s="84">
        <v>10</v>
      </c>
      <c r="B167" s="85"/>
      <c r="C167" s="48" t="s">
        <v>187</v>
      </c>
      <c r="D167" s="51">
        <f>(28.23)*(10.764)</f>
        <v>303.86771999999996</v>
      </c>
      <c r="E167" s="48">
        <v>0</v>
      </c>
      <c r="F167" s="48">
        <f t="shared" si="10"/>
        <v>303.86771999999996</v>
      </c>
      <c r="G167" s="48">
        <v>0</v>
      </c>
      <c r="H167" s="48">
        <f t="shared" si="11"/>
        <v>455.80157999999994</v>
      </c>
      <c r="I167" s="34"/>
      <c r="L167" s="86"/>
      <c r="M167" s="86"/>
      <c r="N167" s="34"/>
      <c r="T167" s="19"/>
    </row>
    <row r="168" spans="1:20" s="69" customFormat="1" ht="15.75" customHeight="1" x14ac:dyDescent="0.25">
      <c r="A168" s="84">
        <v>11</v>
      </c>
      <c r="B168" s="85"/>
      <c r="C168" s="48" t="s">
        <v>187</v>
      </c>
      <c r="D168" s="51">
        <f>26.38*(10.764)</f>
        <v>283.95432</v>
      </c>
      <c r="E168" s="48">
        <v>0</v>
      </c>
      <c r="F168" s="48">
        <f t="shared" si="10"/>
        <v>283.95432</v>
      </c>
      <c r="G168" s="48">
        <v>0</v>
      </c>
      <c r="H168" s="48">
        <f t="shared" si="11"/>
        <v>425.93147999999997</v>
      </c>
      <c r="I168" s="34"/>
      <c r="L168" s="86"/>
      <c r="M168" s="86"/>
      <c r="N168" s="34"/>
      <c r="T168" s="19"/>
    </row>
    <row r="169" spans="1:20" s="69" customFormat="1" ht="15.75" customHeight="1" x14ac:dyDescent="0.25">
      <c r="A169" s="84">
        <v>12</v>
      </c>
      <c r="B169" s="85"/>
      <c r="C169" s="48" t="s">
        <v>187</v>
      </c>
      <c r="D169" s="34">
        <f>(27.46)*(10.764)</f>
        <v>295.57943999999998</v>
      </c>
      <c r="E169" s="48">
        <v>0</v>
      </c>
      <c r="F169" s="48">
        <f t="shared" si="10"/>
        <v>295.57943999999998</v>
      </c>
      <c r="G169" s="48">
        <v>0</v>
      </c>
      <c r="H169" s="48">
        <f t="shared" si="11"/>
        <v>443.36915999999997</v>
      </c>
      <c r="I169" s="34"/>
      <c r="L169" s="86"/>
      <c r="M169" s="86"/>
      <c r="N169" s="34"/>
      <c r="T169" s="19"/>
    </row>
    <row r="170" spans="1:20" s="32" customFormat="1" hidden="1" x14ac:dyDescent="0.25">
      <c r="A170" s="188" t="s">
        <v>57</v>
      </c>
      <c r="B170" s="189"/>
      <c r="C170" s="189"/>
      <c r="D170" s="189"/>
      <c r="E170" s="189"/>
      <c r="F170" s="189"/>
      <c r="G170" s="189"/>
      <c r="H170" s="190"/>
    </row>
    <row r="171" spans="1:20" hidden="1" x14ac:dyDescent="0.25">
      <c r="A171" s="188" t="s">
        <v>58</v>
      </c>
      <c r="B171" s="189"/>
      <c r="C171" s="189"/>
      <c r="D171" s="189"/>
      <c r="E171" s="189"/>
      <c r="F171" s="189"/>
      <c r="G171" s="189"/>
      <c r="H171" s="190"/>
    </row>
    <row r="172" spans="1:20" ht="47.25" hidden="1" customHeight="1" x14ac:dyDescent="0.25">
      <c r="A172" s="194" t="s">
        <v>122</v>
      </c>
      <c r="B172" s="194" t="s">
        <v>121</v>
      </c>
      <c r="C172" s="194" t="s">
        <v>59</v>
      </c>
      <c r="D172" s="194" t="s">
        <v>60</v>
      </c>
      <c r="E172" s="182" t="s">
        <v>157</v>
      </c>
      <c r="F172" s="41" t="s">
        <v>151</v>
      </c>
      <c r="G172" s="184" t="s">
        <v>61</v>
      </c>
      <c r="H172" s="185"/>
      <c r="I172" s="67" t="s">
        <v>198</v>
      </c>
      <c r="J172" s="68"/>
      <c r="K172" s="68">
        <v>9000</v>
      </c>
      <c r="L172" s="68" t="s">
        <v>199</v>
      </c>
    </row>
    <row r="173" spans="1:20" s="35" customFormat="1" hidden="1" x14ac:dyDescent="0.25">
      <c r="A173" s="195"/>
      <c r="B173" s="195"/>
      <c r="C173" s="195"/>
      <c r="D173" s="195"/>
      <c r="E173" s="183"/>
      <c r="F173" s="13">
        <v>0.55000000000000004</v>
      </c>
      <c r="G173" s="186"/>
      <c r="H173" s="187"/>
    </row>
    <row r="174" spans="1:20" s="49" customFormat="1" ht="15.75" hidden="1" customHeight="1" x14ac:dyDescent="0.25">
      <c r="A174" s="87" t="s">
        <v>185</v>
      </c>
      <c r="B174" s="88"/>
      <c r="C174" s="88"/>
      <c r="D174" s="88"/>
      <c r="E174" s="88"/>
      <c r="F174" s="88"/>
      <c r="G174" s="88"/>
      <c r="H174" s="89"/>
      <c r="J174" s="34"/>
    </row>
    <row r="175" spans="1:20" s="49" customFormat="1" ht="15.75" hidden="1" customHeight="1" x14ac:dyDescent="0.25">
      <c r="A175" s="87" t="s">
        <v>186</v>
      </c>
      <c r="B175" s="88"/>
      <c r="C175" s="88"/>
      <c r="D175" s="88"/>
      <c r="E175" s="88"/>
      <c r="F175" s="88"/>
      <c r="G175" s="88"/>
      <c r="H175" s="89"/>
      <c r="J175" s="34"/>
    </row>
    <row r="176" spans="1:20" s="35" customFormat="1" ht="15.75" hidden="1" customHeight="1" x14ac:dyDescent="0.25">
      <c r="A176" s="87" t="s">
        <v>188</v>
      </c>
      <c r="B176" s="88"/>
      <c r="C176" s="88"/>
      <c r="D176" s="88"/>
      <c r="E176" s="88"/>
      <c r="F176" s="88"/>
      <c r="G176" s="88"/>
      <c r="H176" s="89"/>
      <c r="J176" s="34"/>
    </row>
    <row r="177" spans="1:16" s="35" customFormat="1" ht="15.75" hidden="1" customHeight="1" x14ac:dyDescent="0.25">
      <c r="A177" s="84">
        <v>1</v>
      </c>
      <c r="B177" s="85"/>
      <c r="C177" s="40" t="s">
        <v>187</v>
      </c>
      <c r="D177" s="51">
        <f>(3.53*1.5+7.28*2.5+2*1.5+1.35*1.35)*(10.764)</f>
        <v>304.80956999999995</v>
      </c>
      <c r="E177" s="40">
        <v>0</v>
      </c>
      <c r="F177" s="40">
        <f>(D177+E177)*(($F$173)+1)</f>
        <v>472.45483349999995</v>
      </c>
      <c r="G177" s="198" t="str">
        <f>A176</f>
        <v>1st Floor For Commercial &amp; Parking</v>
      </c>
      <c r="H177" s="199"/>
      <c r="I177" s="34"/>
      <c r="L177" s="86"/>
      <c r="M177" s="86"/>
      <c r="N177" s="34"/>
    </row>
    <row r="178" spans="1:16" s="35" customFormat="1" ht="15.75" hidden="1" customHeight="1" x14ac:dyDescent="0.25">
      <c r="A178" s="84">
        <f t="shared" ref="A178" si="12">A177+1</f>
        <v>2</v>
      </c>
      <c r="B178" s="85"/>
      <c r="C178" s="48" t="s">
        <v>187</v>
      </c>
      <c r="D178" s="51">
        <f>(7.13*2.46+3.53*1.5+2*1.5+1.35*1.35+1.5*2.46)*(10.764)</f>
        <v>337.42233720000002</v>
      </c>
      <c r="E178" s="40">
        <v>0</v>
      </c>
      <c r="F178" s="40">
        <f>(D178+E178)*(($F$173)+1)</f>
        <v>523.00462266</v>
      </c>
      <c r="G178" s="200"/>
      <c r="H178" s="201"/>
      <c r="I178" s="34"/>
      <c r="L178" s="86"/>
      <c r="M178" s="86"/>
      <c r="N178" s="34"/>
    </row>
    <row r="179" spans="1:16" s="49" customFormat="1" ht="15.75" hidden="1" customHeight="1" x14ac:dyDescent="0.25">
      <c r="A179" s="87" t="s">
        <v>189</v>
      </c>
      <c r="B179" s="88"/>
      <c r="C179" s="88"/>
      <c r="D179" s="88"/>
      <c r="E179" s="88"/>
      <c r="F179" s="88"/>
      <c r="G179" s="88"/>
      <c r="H179" s="89"/>
      <c r="J179" s="34"/>
    </row>
    <row r="180" spans="1:16" s="49" customFormat="1" ht="15.75" hidden="1" customHeight="1" x14ac:dyDescent="0.25">
      <c r="A180" s="84">
        <v>1</v>
      </c>
      <c r="B180" s="85"/>
      <c r="C180" s="48" t="s">
        <v>187</v>
      </c>
      <c r="D180" s="51">
        <f>(3.53*1.5+7.28*2.5+2*1.5+1.35*1.35)*(10.764)</f>
        <v>304.80956999999995</v>
      </c>
      <c r="E180" s="48">
        <v>0</v>
      </c>
      <c r="F180" s="48">
        <f>(D180+E180)*(($F$173)+1)</f>
        <v>472.45483349999995</v>
      </c>
      <c r="G180" s="198" t="str">
        <f>A179</f>
        <v>2 &amp; 3rd Floor For Commercial</v>
      </c>
      <c r="H180" s="199"/>
      <c r="I180" s="34"/>
      <c r="L180" s="86"/>
      <c r="M180" s="86"/>
      <c r="N180" s="34"/>
    </row>
    <row r="181" spans="1:16" s="60" customFormat="1" ht="15.75" hidden="1" customHeight="1" x14ac:dyDescent="0.25">
      <c r="A181" s="205">
        <f t="shared" ref="A181:A191" si="13">A180+1</f>
        <v>2</v>
      </c>
      <c r="B181" s="206"/>
      <c r="C181" s="57" t="s">
        <v>187</v>
      </c>
      <c r="D181" s="58">
        <f>(7.13*2.285+3.53*1.5+2*1.5+1.35*1.35+1.5*2.285)*(10.764)</f>
        <v>321.16600619999997</v>
      </c>
      <c r="E181" s="57">
        <v>0</v>
      </c>
      <c r="F181" s="57">
        <f>(D181+E181)*(($F$173)+1)</f>
        <v>497.80730960999995</v>
      </c>
      <c r="G181" s="214"/>
      <c r="H181" s="215"/>
      <c r="I181" s="59"/>
      <c r="L181" s="212"/>
      <c r="M181" s="212"/>
      <c r="N181" s="59"/>
    </row>
    <row r="182" spans="1:16" s="60" customFormat="1" ht="15.75" hidden="1" customHeight="1" x14ac:dyDescent="0.25">
      <c r="A182" s="205">
        <f t="shared" si="13"/>
        <v>3</v>
      </c>
      <c r="B182" s="206"/>
      <c r="C182" s="57" t="s">
        <v>187</v>
      </c>
      <c r="D182" s="58">
        <f>(7.13*2.025+3.53*1.5+2*1.5+1.35*1.35+1.5*2.025)*(10.764)</f>
        <v>297.01374299999998</v>
      </c>
      <c r="E182" s="57">
        <v>0</v>
      </c>
      <c r="F182" s="57">
        <f>(D182+E182)*(($F$173)+1)</f>
        <v>460.37130164999996</v>
      </c>
      <c r="G182" s="214"/>
      <c r="H182" s="215"/>
      <c r="I182" s="59"/>
      <c r="L182" s="212"/>
      <c r="M182" s="212"/>
      <c r="N182" s="59"/>
    </row>
    <row r="183" spans="1:16" s="60" customFormat="1" ht="15.75" hidden="1" customHeight="1" x14ac:dyDescent="0.25">
      <c r="A183" s="205">
        <f t="shared" si="13"/>
        <v>4</v>
      </c>
      <c r="B183" s="206"/>
      <c r="C183" s="57" t="s">
        <v>187</v>
      </c>
      <c r="D183" s="58">
        <f>(7.13*1.85+3.53*1.5+2*1.5+1.35*1.35+1.5*1.85)*(10.764)</f>
        <v>280.75741200000004</v>
      </c>
      <c r="E183" s="57">
        <v>0</v>
      </c>
      <c r="F183" s="57">
        <f t="shared" ref="F183" si="14">(D183+E183)*(($F$173)+1)</f>
        <v>435.17398860000009</v>
      </c>
      <c r="G183" s="214"/>
      <c r="H183" s="215"/>
      <c r="I183" s="59"/>
      <c r="L183" s="212"/>
      <c r="M183" s="212"/>
      <c r="N183" s="59"/>
    </row>
    <row r="184" spans="1:16" s="60" customFormat="1" ht="15.75" hidden="1" customHeight="1" x14ac:dyDescent="0.25">
      <c r="A184" s="205">
        <f t="shared" si="13"/>
        <v>5</v>
      </c>
      <c r="B184" s="206"/>
      <c r="C184" s="57" t="s">
        <v>187</v>
      </c>
      <c r="D184" s="58">
        <f>(7.13*1.675+3.53*1.5+2*1.5+1.35*1.35+1.5*1.675)*(10.764)</f>
        <v>264.501081</v>
      </c>
      <c r="E184" s="57">
        <v>0</v>
      </c>
      <c r="F184" s="57">
        <f>(D184+E184)*(($F$173)+1)</f>
        <v>409.97667555000004</v>
      </c>
      <c r="G184" s="214"/>
      <c r="H184" s="215"/>
      <c r="I184" s="59"/>
      <c r="L184" s="212"/>
      <c r="M184" s="212"/>
      <c r="N184" s="59"/>
    </row>
    <row r="185" spans="1:16" s="60" customFormat="1" ht="15.75" hidden="1" customHeight="1" x14ac:dyDescent="0.25">
      <c r="A185" s="205">
        <f t="shared" si="13"/>
        <v>6</v>
      </c>
      <c r="B185" s="206"/>
      <c r="C185" s="57" t="s">
        <v>187</v>
      </c>
      <c r="D185" s="58">
        <f>(7.13*2.525+3.53*1.5+2*1.5+1.35*1.35+1.5*2.525)*(10.764)</f>
        <v>343.46040299999993</v>
      </c>
      <c r="E185" s="57">
        <v>0</v>
      </c>
      <c r="F185" s="57">
        <f t="shared" ref="F185" si="15">(D185+E185)*(($F$173)+1)</f>
        <v>532.36362464999991</v>
      </c>
      <c r="G185" s="214"/>
      <c r="H185" s="215"/>
      <c r="I185" s="59"/>
      <c r="L185" s="212"/>
      <c r="M185" s="212"/>
      <c r="N185" s="59"/>
    </row>
    <row r="186" spans="1:16" s="60" customFormat="1" ht="15.75" hidden="1" customHeight="1" x14ac:dyDescent="0.25">
      <c r="A186" s="205">
        <f t="shared" si="13"/>
        <v>7</v>
      </c>
      <c r="B186" s="206"/>
      <c r="C186" s="57" t="s">
        <v>187</v>
      </c>
      <c r="D186" s="58">
        <f>(7.13*2.175+3.53*1.5+2*1.5+1.35*1.35+1.5*2.175)*(10.764)</f>
        <v>310.94774099999995</v>
      </c>
      <c r="E186" s="57">
        <v>0</v>
      </c>
      <c r="F186" s="57">
        <f>(D186+E186)*(($F$173)+1)</f>
        <v>481.96899854999992</v>
      </c>
      <c r="G186" s="214"/>
      <c r="H186" s="215"/>
      <c r="I186" s="59"/>
      <c r="L186" s="212"/>
      <c r="M186" s="212"/>
      <c r="N186" s="59"/>
    </row>
    <row r="187" spans="1:16" s="60" customFormat="1" ht="15.75" hidden="1" customHeight="1" x14ac:dyDescent="0.25">
      <c r="A187" s="205">
        <f t="shared" si="13"/>
        <v>8</v>
      </c>
      <c r="B187" s="206"/>
      <c r="C187" s="57" t="s">
        <v>187</v>
      </c>
      <c r="D187" s="58">
        <f>(7.13*2.055+3.53*1.5+2*1.5+1.35*1.35+1.5*2.055+1.5*8.9)*(10.764)</f>
        <v>443.4999426</v>
      </c>
      <c r="E187" s="57">
        <v>0</v>
      </c>
      <c r="F187" s="57">
        <f t="shared" ref="F187" si="16">(D187+E187)*(($F$173)+1)</f>
        <v>687.42491102999998</v>
      </c>
      <c r="G187" s="214"/>
      <c r="H187" s="215"/>
      <c r="I187" s="59"/>
      <c r="L187" s="212"/>
      <c r="M187" s="212"/>
      <c r="N187" s="59"/>
    </row>
    <row r="188" spans="1:16" s="60" customFormat="1" ht="15.75" hidden="1" customHeight="1" x14ac:dyDescent="0.25">
      <c r="A188" s="205">
        <f t="shared" si="13"/>
        <v>9</v>
      </c>
      <c r="B188" s="206"/>
      <c r="C188" s="57" t="s">
        <v>187</v>
      </c>
      <c r="D188" s="58">
        <f>(7.82*2.31+5.03*1.5+0.59*1.5+2*1.5+1.5*3.8)*(10.764)</f>
        <v>378.83036879999997</v>
      </c>
      <c r="E188" s="57">
        <v>0</v>
      </c>
      <c r="F188" s="57">
        <f>(D188+E188)*(($F$173)+1)</f>
        <v>587.18707164</v>
      </c>
      <c r="G188" s="214"/>
      <c r="H188" s="215"/>
      <c r="I188" s="59"/>
      <c r="L188" s="212"/>
      <c r="M188" s="212"/>
      <c r="N188" s="59"/>
    </row>
    <row r="189" spans="1:16" s="60" customFormat="1" ht="15.75" hidden="1" customHeight="1" x14ac:dyDescent="0.25">
      <c r="A189" s="205">
        <f t="shared" si="13"/>
        <v>10</v>
      </c>
      <c r="B189" s="206"/>
      <c r="C189" s="57" t="s">
        <v>187</v>
      </c>
      <c r="D189" s="58">
        <f>(7.82*2.31+4.07*1.675+2.1*0.075+2*1.5+1.35*1.525+1.5*2.31)*(10.764)</f>
        <v>361.26890279999998</v>
      </c>
      <c r="E189" s="57">
        <v>0</v>
      </c>
      <c r="F189" s="57">
        <f t="shared" ref="F189" si="17">(D189+E189)*(($F$173)+1)</f>
        <v>559.96679933999997</v>
      </c>
      <c r="G189" s="214"/>
      <c r="H189" s="215"/>
      <c r="I189" s="59"/>
      <c r="L189" s="212"/>
      <c r="M189" s="212"/>
      <c r="N189" s="59"/>
    </row>
    <row r="190" spans="1:16" s="60" customFormat="1" ht="15.75" hidden="1" customHeight="1" x14ac:dyDescent="0.25">
      <c r="A190" s="205">
        <f t="shared" si="13"/>
        <v>11</v>
      </c>
      <c r="B190" s="206"/>
      <c r="C190" s="57" t="s">
        <v>187</v>
      </c>
      <c r="D190" s="58">
        <f>(7.82*2+4.07*1.675+2.1*0.075+2*1.5+1.35*1.525+1.5*2)*(10.764)</f>
        <v>330.16955400000001</v>
      </c>
      <c r="E190" s="57">
        <v>0</v>
      </c>
      <c r="F190" s="57">
        <f>(D190+E190)*(($F$173)+1)</f>
        <v>511.76280870000005</v>
      </c>
      <c r="G190" s="214"/>
      <c r="H190" s="215"/>
      <c r="I190" s="59"/>
      <c r="L190" s="212"/>
      <c r="M190" s="212"/>
      <c r="N190" s="59"/>
    </row>
    <row r="191" spans="1:16" s="60" customFormat="1" ht="15.75" hidden="1" customHeight="1" x14ac:dyDescent="0.25">
      <c r="A191" s="205">
        <f t="shared" si="13"/>
        <v>12</v>
      </c>
      <c r="B191" s="206"/>
      <c r="C191" s="57" t="s">
        <v>187</v>
      </c>
      <c r="D191" s="58">
        <f>(7.82*2.25+5.32*1.6+0.3*1.6+2*1.5+1.94*1.5+1.5*3.8)*(10.764)</f>
        <v>411.15250800000001</v>
      </c>
      <c r="E191" s="57">
        <v>0</v>
      </c>
      <c r="F191" s="57">
        <f t="shared" ref="F191" si="18">(D191+E191)*(($F$173)+1)</f>
        <v>637.28638740000008</v>
      </c>
      <c r="G191" s="200"/>
      <c r="H191" s="201"/>
      <c r="I191" s="61">
        <f>562/1.5</f>
        <v>374.66666666666669</v>
      </c>
      <c r="J191" s="62"/>
      <c r="K191" s="62"/>
      <c r="L191" s="213">
        <f>485/1.5</f>
        <v>323.33333333333331</v>
      </c>
      <c r="M191" s="213"/>
      <c r="N191" s="61"/>
      <c r="O191" s="61">
        <f>635/1.5</f>
        <v>423.33333333333331</v>
      </c>
      <c r="P191" s="62"/>
    </row>
    <row r="192" spans="1:16" s="60" customFormat="1" ht="15.75" hidden="1" customHeight="1" x14ac:dyDescent="0.25">
      <c r="A192" s="202" t="s">
        <v>190</v>
      </c>
      <c r="B192" s="203"/>
      <c r="C192" s="203"/>
      <c r="D192" s="203"/>
      <c r="E192" s="203"/>
      <c r="F192" s="203"/>
      <c r="G192" s="203"/>
      <c r="H192" s="204"/>
      <c r="I192" s="63">
        <f>4700000/F202</f>
        <v>8393.3547587814392</v>
      </c>
      <c r="J192" s="63"/>
      <c r="K192" s="63"/>
      <c r="L192" s="63">
        <f>4000000/F186</f>
        <v>8299.2889833868358</v>
      </c>
      <c r="M192" s="63"/>
      <c r="N192" s="63"/>
      <c r="O192" s="63">
        <f>5300000/F191</f>
        <v>8316.5121753548374</v>
      </c>
    </row>
    <row r="193" spans="1:15" s="60" customFormat="1" ht="15.75" hidden="1" customHeight="1" x14ac:dyDescent="0.25">
      <c r="A193" s="205">
        <v>1</v>
      </c>
      <c r="B193" s="206"/>
      <c r="C193" s="57" t="s">
        <v>187</v>
      </c>
      <c r="D193" s="58">
        <f>(3.53*1.5+7.28*2.5+2*1.5+1.35*1.35)*(10.764)</f>
        <v>304.80956999999995</v>
      </c>
      <c r="E193" s="57">
        <v>0</v>
      </c>
      <c r="F193" s="57">
        <f>(D193+E193)*(($F$173)+1)</f>
        <v>472.45483349999995</v>
      </c>
      <c r="G193" s="198" t="str">
        <f>A192</f>
        <v>4th &amp; 5th Floor For Commercial</v>
      </c>
      <c r="H193" s="199"/>
      <c r="I193" s="59"/>
      <c r="L193" s="216" t="s">
        <v>196</v>
      </c>
      <c r="M193" s="217"/>
      <c r="N193" s="58"/>
      <c r="O193" s="64"/>
    </row>
    <row r="194" spans="1:15" s="60" customFormat="1" ht="15.75" hidden="1" customHeight="1" x14ac:dyDescent="0.25">
      <c r="A194" s="205">
        <f t="shared" ref="A194:A204" si="19">A193+1</f>
        <v>2</v>
      </c>
      <c r="B194" s="206"/>
      <c r="C194" s="57" t="s">
        <v>187</v>
      </c>
      <c r="D194" s="58">
        <f>(7.13*2.285+3.53*1.5+2*1.5+1.35*1.35+1.5*2.285)*(10.764)</f>
        <v>321.16600619999997</v>
      </c>
      <c r="E194" s="57">
        <v>0</v>
      </c>
      <c r="F194" s="57">
        <f t="shared" ref="F194" si="20">(D194+E194)*(($F$173)+1)</f>
        <v>497.80730960999995</v>
      </c>
      <c r="G194" s="214"/>
      <c r="H194" s="215"/>
      <c r="I194" s="59"/>
      <c r="L194" s="218"/>
      <c r="M194" s="219"/>
      <c r="N194" s="58"/>
      <c r="O194" s="64"/>
    </row>
    <row r="195" spans="1:15" s="60" customFormat="1" ht="15.75" hidden="1" customHeight="1" x14ac:dyDescent="0.25">
      <c r="A195" s="205">
        <f t="shared" si="19"/>
        <v>3</v>
      </c>
      <c r="B195" s="206"/>
      <c r="C195" s="57" t="s">
        <v>187</v>
      </c>
      <c r="D195" s="58">
        <f>(7.13*2.025+3.53*1.5+2*1.5+1.35*1.35+1.5*2.025)*(10.764)</f>
        <v>297.01374299999998</v>
      </c>
      <c r="E195" s="57">
        <v>0</v>
      </c>
      <c r="F195" s="57">
        <f>(D195+E195)*(($F$173)+1)</f>
        <v>460.37130164999996</v>
      </c>
      <c r="G195" s="214"/>
      <c r="H195" s="215"/>
      <c r="I195" s="58">
        <f>10.764</f>
        <v>10.763999999999999</v>
      </c>
      <c r="L195" s="218">
        <v>101</v>
      </c>
      <c r="M195" s="219"/>
      <c r="N195" s="58">
        <v>5249330</v>
      </c>
      <c r="O195" s="65">
        <f>N195/472</f>
        <v>11121.46186440678</v>
      </c>
    </row>
    <row r="196" spans="1:15" s="60" customFormat="1" ht="15.75" hidden="1" customHeight="1" x14ac:dyDescent="0.25">
      <c r="A196" s="205">
        <f t="shared" si="19"/>
        <v>4</v>
      </c>
      <c r="B196" s="206"/>
      <c r="C196" s="57" t="s">
        <v>187</v>
      </c>
      <c r="D196" s="58">
        <f>(7.13*1.85+3.53*1.5+2*1.5+1.35*1.35+1.5*1.85)*(10.764)</f>
        <v>280.75741200000004</v>
      </c>
      <c r="E196" s="57">
        <v>0</v>
      </c>
      <c r="F196" s="57">
        <f t="shared" ref="F196" si="21">(D196+E196)*(($F$173)+1)</f>
        <v>435.17398860000009</v>
      </c>
      <c r="G196" s="214"/>
      <c r="H196" s="215"/>
      <c r="I196" s="59"/>
      <c r="L196" s="218"/>
      <c r="M196" s="219"/>
      <c r="N196" s="58"/>
      <c r="O196" s="65"/>
    </row>
    <row r="197" spans="1:15" s="60" customFormat="1" ht="15.75" hidden="1" customHeight="1" x14ac:dyDescent="0.25">
      <c r="A197" s="205">
        <f t="shared" si="19"/>
        <v>5</v>
      </c>
      <c r="B197" s="206"/>
      <c r="C197" s="57" t="s">
        <v>187</v>
      </c>
      <c r="D197" s="58">
        <f>(7.13*1.675+3.53*1.5+2*1.5+1.35*1.35+1.5*1.675)*(10.764)</f>
        <v>264.501081</v>
      </c>
      <c r="E197" s="57">
        <v>0</v>
      </c>
      <c r="F197" s="57">
        <f>(D197+E197)*(($F$173)+1)</f>
        <v>409.97667555000004</v>
      </c>
      <c r="G197" s="214"/>
      <c r="H197" s="215"/>
      <c r="I197" s="59"/>
      <c r="L197" s="218">
        <v>201</v>
      </c>
      <c r="M197" s="219"/>
      <c r="N197" s="58">
        <v>5749330</v>
      </c>
      <c r="O197" s="65">
        <f>N197/F180</f>
        <v>12169.057425888312</v>
      </c>
    </row>
    <row r="198" spans="1:15" s="60" customFormat="1" ht="15.75" hidden="1" customHeight="1" x14ac:dyDescent="0.25">
      <c r="A198" s="205">
        <f t="shared" si="19"/>
        <v>6</v>
      </c>
      <c r="B198" s="206"/>
      <c r="C198" s="57" t="s">
        <v>187</v>
      </c>
      <c r="D198" s="58">
        <f>(7.13*2.525+3.53*1.5+2*1.5+1.35*1.35+1.5*2.525)*(10.764)</f>
        <v>343.46040299999993</v>
      </c>
      <c r="E198" s="57">
        <v>0</v>
      </c>
      <c r="F198" s="57">
        <f t="shared" ref="F198" si="22">(D198+E198)*(($F$173)+1)</f>
        <v>532.36362464999991</v>
      </c>
      <c r="G198" s="214"/>
      <c r="H198" s="215"/>
      <c r="I198" s="59"/>
      <c r="L198" s="218">
        <v>204</v>
      </c>
      <c r="M198" s="219"/>
      <c r="N198" s="58">
        <v>4423505</v>
      </c>
      <c r="O198" s="65">
        <f>N198/F183</f>
        <v>10164.911313359686</v>
      </c>
    </row>
    <row r="199" spans="1:15" s="60" customFormat="1" ht="15.75" hidden="1" customHeight="1" x14ac:dyDescent="0.25">
      <c r="A199" s="205">
        <f t="shared" si="19"/>
        <v>7</v>
      </c>
      <c r="B199" s="206"/>
      <c r="C199" s="57" t="s">
        <v>187</v>
      </c>
      <c r="D199" s="58">
        <f>(7.13*2.175+3.53*1.5+2*1.5+1.35*1.35+1.5*2.175)*(10.764)</f>
        <v>310.94774099999995</v>
      </c>
      <c r="E199" s="57">
        <v>0</v>
      </c>
      <c r="F199" s="57">
        <f>(D199+E199)*(($F$173)+1)</f>
        <v>481.96899854999992</v>
      </c>
      <c r="G199" s="214"/>
      <c r="H199" s="215"/>
      <c r="I199" s="59"/>
      <c r="L199" s="218">
        <v>208</v>
      </c>
      <c r="M199" s="219"/>
      <c r="N199" s="58">
        <v>6694917</v>
      </c>
      <c r="O199" s="65">
        <f>N199/F187</f>
        <v>9739.1248012364031</v>
      </c>
    </row>
    <row r="200" spans="1:15" s="60" customFormat="1" ht="15.75" hidden="1" customHeight="1" x14ac:dyDescent="0.25">
      <c r="A200" s="205">
        <f t="shared" si="19"/>
        <v>8</v>
      </c>
      <c r="B200" s="206"/>
      <c r="C200" s="57" t="s">
        <v>187</v>
      </c>
      <c r="D200" s="58">
        <f>(7.13*2.055+3.53*1.5+2*1.5+1.35*1.35+1.5*2.055+1.5*8.9)*(10.764)</f>
        <v>443.4999426</v>
      </c>
      <c r="E200" s="57">
        <v>0</v>
      </c>
      <c r="F200" s="57">
        <f t="shared" ref="F200" si="23">(D200+E200)*(($F$173)+1)</f>
        <v>687.42491102999998</v>
      </c>
      <c r="G200" s="214"/>
      <c r="H200" s="215"/>
      <c r="I200" s="59"/>
      <c r="L200" s="218"/>
      <c r="M200" s="219"/>
      <c r="N200" s="58"/>
      <c r="O200" s="66">
        <f>AVERAGE(O197:O199)</f>
        <v>10691.031180161466</v>
      </c>
    </row>
    <row r="201" spans="1:15" s="60" customFormat="1" ht="15.75" hidden="1" customHeight="1" x14ac:dyDescent="0.25">
      <c r="A201" s="205">
        <f t="shared" si="19"/>
        <v>9</v>
      </c>
      <c r="B201" s="206"/>
      <c r="C201" s="57" t="s">
        <v>187</v>
      </c>
      <c r="D201" s="58">
        <f>(7.82*2.31+5.03*1.5+0.59*1.5+2*1.5+1.5*3.8)*(10.764)</f>
        <v>378.83036879999997</v>
      </c>
      <c r="E201" s="57">
        <v>0</v>
      </c>
      <c r="F201" s="57">
        <f>(D201+E201)*(($F$173)+1)</f>
        <v>587.18707164</v>
      </c>
      <c r="G201" s="214"/>
      <c r="H201" s="215"/>
      <c r="I201" s="59"/>
      <c r="L201" s="218"/>
      <c r="M201" s="219"/>
      <c r="N201" s="58"/>
      <c r="O201" s="64"/>
    </row>
    <row r="202" spans="1:15" s="60" customFormat="1" ht="15.75" hidden="1" customHeight="1" x14ac:dyDescent="0.25">
      <c r="A202" s="205">
        <f t="shared" si="19"/>
        <v>10</v>
      </c>
      <c r="B202" s="206"/>
      <c r="C202" s="57" t="s">
        <v>187</v>
      </c>
      <c r="D202" s="58">
        <f>(7.82*2.31+4.07*1.675+2.1*0.075+2*1.5+1.35*1.525+1.5*2.31)*(10.764)</f>
        <v>361.26890279999998</v>
      </c>
      <c r="E202" s="57">
        <v>0</v>
      </c>
      <c r="F202" s="57">
        <f t="shared" ref="F202" si="24">(D202+E202)*(($F$173)+1)</f>
        <v>559.96679933999997</v>
      </c>
      <c r="G202" s="214"/>
      <c r="H202" s="215"/>
      <c r="I202" s="59"/>
      <c r="L202" s="220"/>
      <c r="M202" s="220"/>
      <c r="N202" s="59"/>
    </row>
    <row r="203" spans="1:15" s="60" customFormat="1" ht="15.75" hidden="1" customHeight="1" x14ac:dyDescent="0.25">
      <c r="A203" s="205">
        <f t="shared" si="19"/>
        <v>11</v>
      </c>
      <c r="B203" s="206"/>
      <c r="C203" s="57" t="s">
        <v>187</v>
      </c>
      <c r="D203" s="58">
        <f>(7.82*2+4.07*1.675+2.1*0.075+2*1.5+1.35*1.525+1.5*2)*(10.764)</f>
        <v>330.16955400000001</v>
      </c>
      <c r="E203" s="57">
        <v>0</v>
      </c>
      <c r="F203" s="57">
        <f>(D203+E203)*(($F$173)+1)</f>
        <v>511.76280870000005</v>
      </c>
      <c r="G203" s="214"/>
      <c r="H203" s="215"/>
      <c r="I203" s="59"/>
      <c r="L203" s="212"/>
      <c r="M203" s="212"/>
      <c r="N203" s="59"/>
    </row>
    <row r="204" spans="1:15" s="49" customFormat="1" ht="15.75" hidden="1" customHeight="1" x14ac:dyDescent="0.25">
      <c r="A204" s="84">
        <f t="shared" si="19"/>
        <v>12</v>
      </c>
      <c r="B204" s="85"/>
      <c r="C204" s="48" t="s">
        <v>187</v>
      </c>
      <c r="D204" s="51">
        <f>(7.82*2.25+5.32*1.6+0.3*1.6+2*1.5+1.94*1.5+1.5*3.8)*(10.764)</f>
        <v>411.15250800000001</v>
      </c>
      <c r="E204" s="48">
        <v>0</v>
      </c>
      <c r="F204" s="48">
        <f t="shared" ref="F204" si="25">(D204+E204)*(($F$173)+1)</f>
        <v>637.28638740000008</v>
      </c>
      <c r="G204" s="200"/>
      <c r="H204" s="201"/>
      <c r="I204" s="34"/>
      <c r="L204" s="86"/>
      <c r="M204" s="86"/>
      <c r="N204" s="34"/>
    </row>
    <row r="205" spans="1:15" s="33" customFormat="1" x14ac:dyDescent="0.25">
      <c r="A205" s="197" t="s">
        <v>69</v>
      </c>
      <c r="B205" s="197"/>
      <c r="C205" s="197"/>
      <c r="D205" s="197"/>
      <c r="E205" s="197"/>
      <c r="F205" s="197"/>
      <c r="G205" s="197"/>
      <c r="H205" s="197"/>
    </row>
    <row r="206" spans="1:15" s="33" customFormat="1" x14ac:dyDescent="0.25">
      <c r="A206" s="43" t="s">
        <v>155</v>
      </c>
      <c r="B206" s="149" t="s">
        <v>194</v>
      </c>
      <c r="C206" s="150"/>
      <c r="D206" s="150"/>
      <c r="E206" s="150"/>
      <c r="F206" s="150"/>
      <c r="G206" s="150"/>
      <c r="H206" s="151"/>
    </row>
    <row r="207" spans="1:15" s="33" customFormat="1" hidden="1" x14ac:dyDescent="0.25">
      <c r="A207" s="43" t="s">
        <v>155</v>
      </c>
      <c r="B207" s="149" t="e">
        <f>(IF(#REF!="Saleable area Loading :","We have considered Saleable area of Flats as per our Calculation.","We considered Saleable area of Flat as per Builder area Sheet."))</f>
        <v>#REF!</v>
      </c>
      <c r="C207" s="150"/>
      <c r="D207" s="150"/>
      <c r="E207" s="150"/>
      <c r="F207" s="150"/>
      <c r="G207" s="150"/>
      <c r="H207" s="151"/>
    </row>
    <row r="208" spans="1:15" s="33" customFormat="1" x14ac:dyDescent="0.25">
      <c r="A208" s="43" t="s">
        <v>155</v>
      </c>
      <c r="B208" s="149" t="str">
        <f>(IF(F172="Saleable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8" s="150"/>
      <c r="D208" s="150"/>
      <c r="E208" s="150"/>
      <c r="F208" s="150"/>
      <c r="G208" s="150"/>
      <c r="H208" s="151"/>
    </row>
    <row r="209" spans="1:8" s="33" customFormat="1" x14ac:dyDescent="0.25">
      <c r="A209" s="43" t="s">
        <v>155</v>
      </c>
      <c r="B209" s="78" t="s">
        <v>125</v>
      </c>
      <c r="C209" s="79"/>
      <c r="D209" s="79"/>
      <c r="E209" s="79"/>
      <c r="F209" s="79"/>
      <c r="G209" s="79"/>
      <c r="H209" s="80"/>
    </row>
    <row r="210" spans="1:8" s="33" customFormat="1" x14ac:dyDescent="0.25">
      <c r="A210" s="43" t="s">
        <v>155</v>
      </c>
      <c r="B210" s="78" t="s">
        <v>218</v>
      </c>
      <c r="C210" s="79"/>
      <c r="D210" s="79"/>
      <c r="E210" s="79"/>
      <c r="F210" s="79"/>
      <c r="G210" s="79"/>
      <c r="H210" s="80"/>
    </row>
    <row r="211" spans="1:8" s="33" customFormat="1" x14ac:dyDescent="0.25">
      <c r="A211" s="43" t="s">
        <v>155</v>
      </c>
      <c r="B211" s="78" t="s">
        <v>154</v>
      </c>
      <c r="C211" s="79"/>
      <c r="D211" s="79"/>
      <c r="E211" s="79"/>
      <c r="F211" s="79"/>
      <c r="G211" s="79"/>
      <c r="H211" s="80"/>
    </row>
    <row r="212" spans="1:8" s="33" customFormat="1" x14ac:dyDescent="0.25">
      <c r="A212" s="43" t="s">
        <v>155</v>
      </c>
      <c r="B212" s="78" t="s">
        <v>126</v>
      </c>
      <c r="C212" s="79"/>
      <c r="D212" s="79"/>
      <c r="E212" s="79"/>
      <c r="F212" s="79"/>
      <c r="G212" s="79"/>
      <c r="H212" s="80"/>
    </row>
    <row r="213" spans="1:8" s="33" customFormat="1" ht="34.5" customHeight="1" x14ac:dyDescent="0.25">
      <c r="A213" s="43" t="s">
        <v>155</v>
      </c>
      <c r="B213" s="78" t="s">
        <v>156</v>
      </c>
      <c r="C213" s="79"/>
      <c r="D213" s="79"/>
      <c r="E213" s="79"/>
      <c r="F213" s="79"/>
      <c r="G213" s="79"/>
      <c r="H213" s="80"/>
    </row>
    <row r="214" spans="1:8" s="33" customFormat="1" x14ac:dyDescent="0.25">
      <c r="A214" s="77" t="s">
        <v>155</v>
      </c>
      <c r="B214" s="78" t="s">
        <v>127</v>
      </c>
      <c r="C214" s="79"/>
      <c r="D214" s="79"/>
      <c r="E214" s="79"/>
      <c r="F214" s="79"/>
      <c r="G214" s="79"/>
      <c r="H214" s="80"/>
    </row>
    <row r="215" spans="1:8" s="73" customFormat="1" hidden="1" x14ac:dyDescent="0.25">
      <c r="A215" s="77" t="s">
        <v>155</v>
      </c>
      <c r="B215" s="81" t="s">
        <v>219</v>
      </c>
      <c r="C215" s="82"/>
      <c r="D215" s="82"/>
      <c r="E215" s="82"/>
      <c r="F215" s="82"/>
      <c r="G215" s="82"/>
      <c r="H215" s="83"/>
    </row>
    <row r="216" spans="1:8" s="73" customFormat="1" x14ac:dyDescent="0.25">
      <c r="A216" s="77" t="s">
        <v>155</v>
      </c>
      <c r="B216" s="149" t="s">
        <v>227</v>
      </c>
      <c r="C216" s="150"/>
      <c r="D216" s="150"/>
      <c r="E216" s="150"/>
      <c r="F216" s="150"/>
      <c r="G216" s="150"/>
      <c r="H216" s="151"/>
    </row>
    <row r="217" spans="1:8" s="73" customFormat="1" x14ac:dyDescent="0.25">
      <c r="A217" s="77" t="s">
        <v>155</v>
      </c>
      <c r="B217" s="149" t="s">
        <v>230</v>
      </c>
      <c r="C217" s="150"/>
      <c r="D217" s="150"/>
      <c r="E217" s="150"/>
      <c r="F217" s="150"/>
      <c r="G217" s="150"/>
      <c r="H217" s="151"/>
    </row>
    <row r="218" spans="1:8" x14ac:dyDescent="0.25">
      <c r="A218" s="129" t="s">
        <v>62</v>
      </c>
      <c r="B218" s="129"/>
      <c r="C218" s="129"/>
      <c r="D218" s="129"/>
      <c r="E218" s="129"/>
      <c r="F218" s="129"/>
      <c r="G218" s="129"/>
      <c r="H218" s="129"/>
    </row>
    <row r="219" spans="1:8" x14ac:dyDescent="0.25">
      <c r="A219" s="93" t="s">
        <v>63</v>
      </c>
      <c r="B219" s="93"/>
      <c r="C219" s="93"/>
      <c r="D219" s="93"/>
      <c r="E219" s="93"/>
      <c r="F219" s="93"/>
      <c r="G219" s="93"/>
      <c r="H219" s="93"/>
    </row>
    <row r="220" spans="1:8" ht="15.75" customHeight="1" x14ac:dyDescent="0.25">
      <c r="A220" s="94" t="s">
        <v>64</v>
      </c>
      <c r="B220" s="94"/>
      <c r="C220" s="94"/>
      <c r="D220" s="94"/>
      <c r="E220" s="94"/>
      <c r="F220" s="94"/>
      <c r="G220" s="94"/>
      <c r="H220" s="94"/>
    </row>
    <row r="221" spans="1:8" x14ac:dyDescent="0.25">
      <c r="A221" s="93" t="s">
        <v>65</v>
      </c>
      <c r="B221" s="93"/>
      <c r="C221" s="93"/>
      <c r="D221" s="93"/>
      <c r="E221" s="93"/>
      <c r="F221" s="93"/>
      <c r="G221" s="93"/>
      <c r="H221" s="93"/>
    </row>
    <row r="222" spans="1:8" x14ac:dyDescent="0.25">
      <c r="A222" s="93" t="s">
        <v>66</v>
      </c>
      <c r="B222" s="93"/>
      <c r="C222" s="93"/>
      <c r="D222" s="93"/>
      <c r="E222" s="93"/>
      <c r="F222" s="93"/>
      <c r="G222" s="93"/>
      <c r="H222" s="93"/>
    </row>
    <row r="223" spans="1:8" x14ac:dyDescent="0.25">
      <c r="A223" s="93" t="s">
        <v>128</v>
      </c>
      <c r="B223" s="93"/>
      <c r="C223" s="93"/>
      <c r="D223" s="93"/>
      <c r="E223" s="93"/>
      <c r="F223" s="93"/>
      <c r="G223" s="93"/>
      <c r="H223" s="93"/>
    </row>
    <row r="224" spans="1:8" x14ac:dyDescent="0.25">
      <c r="A224" s="130" t="s">
        <v>129</v>
      </c>
      <c r="B224" s="130"/>
      <c r="C224" s="130"/>
      <c r="D224" s="130"/>
      <c r="E224" s="130"/>
      <c r="F224" s="130"/>
      <c r="G224" s="130"/>
      <c r="H224" s="130"/>
    </row>
    <row r="225" spans="1:8" x14ac:dyDescent="0.25">
      <c r="A225" s="145" t="s">
        <v>78</v>
      </c>
      <c r="B225" s="145"/>
      <c r="C225" s="145" t="s">
        <v>220</v>
      </c>
      <c r="D225" s="145"/>
      <c r="E225" s="145" t="s">
        <v>108</v>
      </c>
      <c r="F225" s="145"/>
      <c r="G225" s="145" t="s">
        <v>231</v>
      </c>
      <c r="H225" s="145"/>
    </row>
    <row r="226" spans="1:8" x14ac:dyDescent="0.25">
      <c r="A226" s="144" t="s">
        <v>80</v>
      </c>
      <c r="B226" s="144"/>
      <c r="C226" s="144"/>
      <c r="D226" s="144"/>
      <c r="E226" s="144"/>
      <c r="F226" s="144"/>
      <c r="G226" s="144"/>
      <c r="H226" s="144"/>
    </row>
    <row r="227" spans="1:8" x14ac:dyDescent="0.25">
      <c r="A227" s="144"/>
      <c r="B227" s="144"/>
      <c r="C227" s="144"/>
      <c r="D227" s="144"/>
      <c r="E227" s="144"/>
      <c r="F227" s="144"/>
      <c r="G227" s="144"/>
      <c r="H227" s="144"/>
    </row>
    <row r="228" spans="1:8" x14ac:dyDescent="0.25">
      <c r="A228" s="144"/>
      <c r="B228" s="144"/>
      <c r="C228" s="144"/>
      <c r="D228" s="144"/>
      <c r="E228" s="144"/>
      <c r="F228" s="144"/>
      <c r="G228" s="144"/>
      <c r="H228" s="144"/>
    </row>
    <row r="229" spans="1:8" x14ac:dyDescent="0.25">
      <c r="A229" s="144"/>
      <c r="B229" s="144"/>
      <c r="C229" s="144"/>
      <c r="D229" s="144"/>
      <c r="E229" s="144"/>
      <c r="F229" s="144"/>
      <c r="G229" s="144"/>
      <c r="H229" s="144"/>
    </row>
    <row r="230" spans="1:8" x14ac:dyDescent="0.25">
      <c r="A230" s="36" t="s">
        <v>67</v>
      </c>
      <c r="B230" s="37"/>
      <c r="C230" s="37"/>
      <c r="D230" s="36" t="str">
        <f>E8</f>
        <v>Ekatva Onyx</v>
      </c>
      <c r="F230" s="37"/>
      <c r="G230" s="37"/>
      <c r="H230" s="37"/>
    </row>
    <row r="231" spans="1:8" x14ac:dyDescent="0.25">
      <c r="A231" s="37"/>
      <c r="B231" s="37"/>
      <c r="C231" s="37"/>
      <c r="D231" s="37"/>
      <c r="E231" s="37"/>
      <c r="F231" s="37"/>
      <c r="G231" s="37"/>
      <c r="H231" s="37"/>
    </row>
    <row r="232" spans="1:8" x14ac:dyDescent="0.25">
      <c r="A232" s="37"/>
      <c r="B232" s="37"/>
      <c r="C232" s="37"/>
      <c r="D232" s="37"/>
      <c r="E232" s="37"/>
      <c r="F232" s="37"/>
      <c r="G232" s="37"/>
      <c r="H232" s="37"/>
    </row>
    <row r="233" spans="1:8" ht="15" customHeight="1" x14ac:dyDescent="0.25"/>
    <row r="273" spans="1:8" x14ac:dyDescent="0.25">
      <c r="A273" s="39" t="s">
        <v>168</v>
      </c>
      <c r="B273" s="19"/>
      <c r="C273" s="19"/>
      <c r="D273" s="19"/>
      <c r="E273" s="19"/>
      <c r="F273" s="19"/>
      <c r="G273" s="19"/>
      <c r="H273" s="19"/>
    </row>
    <row r="303" hidden="1" x14ac:dyDescent="0.25"/>
    <row r="304" hidden="1" x14ac:dyDescent="0.25"/>
    <row r="305" spans="1:8" hidden="1" x14ac:dyDescent="0.25"/>
    <row r="306" spans="1:8" hidden="1" x14ac:dyDescent="0.25"/>
    <row r="307" spans="1:8" hidden="1" x14ac:dyDescent="0.25"/>
    <row r="308" spans="1:8" hidden="1" x14ac:dyDescent="0.25"/>
    <row r="309" spans="1:8" hidden="1" x14ac:dyDescent="0.25"/>
    <row r="310" spans="1:8" hidden="1" x14ac:dyDescent="0.25"/>
    <row r="311" spans="1:8" hidden="1" x14ac:dyDescent="0.25"/>
    <row r="312" spans="1:8" hidden="1" x14ac:dyDescent="0.25"/>
    <row r="313" spans="1:8" hidden="1" x14ac:dyDescent="0.25"/>
    <row r="314" spans="1:8" x14ac:dyDescent="0.25">
      <c r="A314" s="39" t="s">
        <v>68</v>
      </c>
      <c r="B314" s="19"/>
      <c r="C314" s="19"/>
      <c r="D314" s="19"/>
      <c r="E314" s="19"/>
      <c r="F314" s="19"/>
      <c r="G314" s="19"/>
      <c r="H314" s="19"/>
    </row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</sheetData>
  <mergeCells count="430">
    <mergeCell ref="B217:H217"/>
    <mergeCell ref="L204:M204"/>
    <mergeCell ref="A193:B193"/>
    <mergeCell ref="G193:H204"/>
    <mergeCell ref="L193:M193"/>
    <mergeCell ref="A194:B194"/>
    <mergeCell ref="L194:M194"/>
    <mergeCell ref="A195:B195"/>
    <mergeCell ref="L195:M195"/>
    <mergeCell ref="A196:B196"/>
    <mergeCell ref="L196:M196"/>
    <mergeCell ref="A197:B197"/>
    <mergeCell ref="L197:M197"/>
    <mergeCell ref="A198:B198"/>
    <mergeCell ref="L198:M198"/>
    <mergeCell ref="A199:B199"/>
    <mergeCell ref="L199:M199"/>
    <mergeCell ref="A200:B200"/>
    <mergeCell ref="L200:M200"/>
    <mergeCell ref="A201:B201"/>
    <mergeCell ref="L201:M201"/>
    <mergeCell ref="A202:B202"/>
    <mergeCell ref="L202:M202"/>
    <mergeCell ref="A203:B203"/>
    <mergeCell ref="L203:M203"/>
    <mergeCell ref="L191:M191"/>
    <mergeCell ref="G180:H191"/>
    <mergeCell ref="L180:M180"/>
    <mergeCell ref="A181:B181"/>
    <mergeCell ref="L181:M181"/>
    <mergeCell ref="A184:B184"/>
    <mergeCell ref="L184:M184"/>
    <mergeCell ref="A185:B185"/>
    <mergeCell ref="L185:M185"/>
    <mergeCell ref="A182:B182"/>
    <mergeCell ref="L182:M182"/>
    <mergeCell ref="A183:B183"/>
    <mergeCell ref="L183:M183"/>
    <mergeCell ref="L186:M186"/>
    <mergeCell ref="A187:B187"/>
    <mergeCell ref="L187:M187"/>
    <mergeCell ref="A188:B188"/>
    <mergeCell ref="L188:M188"/>
    <mergeCell ref="A189:B189"/>
    <mergeCell ref="L189:M189"/>
    <mergeCell ref="A190:B190"/>
    <mergeCell ref="L190:M190"/>
    <mergeCell ref="B213:H213"/>
    <mergeCell ref="A47:B47"/>
    <mergeCell ref="C47:H47"/>
    <mergeCell ref="B211:H211"/>
    <mergeCell ref="F81:H81"/>
    <mergeCell ref="A81:E81"/>
    <mergeCell ref="D172:D173"/>
    <mergeCell ref="A84:E84"/>
    <mergeCell ref="A177:B177"/>
    <mergeCell ref="A178:B178"/>
    <mergeCell ref="A85:E85"/>
    <mergeCell ref="A91:E91"/>
    <mergeCell ref="E97:F97"/>
    <mergeCell ref="G97:H97"/>
    <mergeCell ref="A97:B97"/>
    <mergeCell ref="C97:D97"/>
    <mergeCell ref="A86:E86"/>
    <mergeCell ref="F86:H86"/>
    <mergeCell ref="A87:E87"/>
    <mergeCell ref="A89:E89"/>
    <mergeCell ref="A88:E88"/>
    <mergeCell ref="A204:B204"/>
    <mergeCell ref="A191:B191"/>
    <mergeCell ref="A79:E79"/>
    <mergeCell ref="F84:H84"/>
    <mergeCell ref="B209:H209"/>
    <mergeCell ref="B210:H210"/>
    <mergeCell ref="A205:H205"/>
    <mergeCell ref="C172:C173"/>
    <mergeCell ref="A174:H174"/>
    <mergeCell ref="A175:H175"/>
    <mergeCell ref="G177:H178"/>
    <mergeCell ref="A179:H179"/>
    <mergeCell ref="A180:B180"/>
    <mergeCell ref="A192:H192"/>
    <mergeCell ref="B208:H208"/>
    <mergeCell ref="B206:H206"/>
    <mergeCell ref="B207:H207"/>
    <mergeCell ref="A95:B95"/>
    <mergeCell ref="A186:B186"/>
    <mergeCell ref="A143:B143"/>
    <mergeCell ref="A102:H102"/>
    <mergeCell ref="A103:H103"/>
    <mergeCell ref="A104:H104"/>
    <mergeCell ref="A115:B115"/>
    <mergeCell ref="D156:H156"/>
    <mergeCell ref="A157:H157"/>
    <mergeCell ref="A158:B158"/>
    <mergeCell ref="L178:M178"/>
    <mergeCell ref="L177:M177"/>
    <mergeCell ref="A76:B76"/>
    <mergeCell ref="F87:H87"/>
    <mergeCell ref="A80:E80"/>
    <mergeCell ref="A176:H176"/>
    <mergeCell ref="E172:E173"/>
    <mergeCell ref="G172:H173"/>
    <mergeCell ref="F79:H79"/>
    <mergeCell ref="F85:H85"/>
    <mergeCell ref="A170:H170"/>
    <mergeCell ref="F88:H88"/>
    <mergeCell ref="C95:D95"/>
    <mergeCell ref="F91:H91"/>
    <mergeCell ref="F89:H89"/>
    <mergeCell ref="A171:H171"/>
    <mergeCell ref="G95:H95"/>
    <mergeCell ref="A90:E90"/>
    <mergeCell ref="C96:D96"/>
    <mergeCell ref="E96:F96"/>
    <mergeCell ref="B172:B173"/>
    <mergeCell ref="A172:A173"/>
    <mergeCell ref="F90:H90"/>
    <mergeCell ref="E95:F95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C51:H51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F35:H35"/>
    <mergeCell ref="A37:B37"/>
    <mergeCell ref="A44:D44"/>
    <mergeCell ref="A45:D45"/>
    <mergeCell ref="A46:H46"/>
    <mergeCell ref="D56:H56"/>
    <mergeCell ref="A56:C56"/>
    <mergeCell ref="G49:H49"/>
    <mergeCell ref="A50:B51"/>
    <mergeCell ref="A38:B38"/>
    <mergeCell ref="C38:H38"/>
    <mergeCell ref="C49:E49"/>
    <mergeCell ref="A52:B52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D61:H61"/>
    <mergeCell ref="A64:C64"/>
    <mergeCell ref="D64:H64"/>
    <mergeCell ref="A63:C63"/>
    <mergeCell ref="D63:H63"/>
    <mergeCell ref="A69:B69"/>
    <mergeCell ref="G68:H68"/>
    <mergeCell ref="A226:H229"/>
    <mergeCell ref="A225:B225"/>
    <mergeCell ref="E225:F225"/>
    <mergeCell ref="C225:D225"/>
    <mergeCell ref="G225:H225"/>
    <mergeCell ref="A94:H94"/>
    <mergeCell ref="A92:E92"/>
    <mergeCell ref="F92:H92"/>
    <mergeCell ref="A93:E93"/>
    <mergeCell ref="F93:H93"/>
    <mergeCell ref="A96:B96"/>
    <mergeCell ref="A221:H221"/>
    <mergeCell ref="A224:H224"/>
    <mergeCell ref="A222:H222"/>
    <mergeCell ref="A218:H218"/>
    <mergeCell ref="A219:H219"/>
    <mergeCell ref="B216:H216"/>
    <mergeCell ref="B212:H212"/>
    <mergeCell ref="E69:F78"/>
    <mergeCell ref="G69:H78"/>
    <mergeCell ref="C52:E52"/>
    <mergeCell ref="A49:B49"/>
    <mergeCell ref="A53:H53"/>
    <mergeCell ref="A54:C54"/>
    <mergeCell ref="A55:C55"/>
    <mergeCell ref="D55:H55"/>
    <mergeCell ref="G52:H52"/>
    <mergeCell ref="A62:C62"/>
    <mergeCell ref="D62:H62"/>
    <mergeCell ref="A59:C59"/>
    <mergeCell ref="A98:H98"/>
    <mergeCell ref="A99:H99"/>
    <mergeCell ref="A100:A101"/>
    <mergeCell ref="B100:B101"/>
    <mergeCell ref="C100:C101"/>
    <mergeCell ref="D100:D101"/>
    <mergeCell ref="E100:E101"/>
    <mergeCell ref="F100:F101"/>
    <mergeCell ref="G100:G101"/>
    <mergeCell ref="A156:B156"/>
    <mergeCell ref="A108:B108"/>
    <mergeCell ref="L156:M156"/>
    <mergeCell ref="A16:B16"/>
    <mergeCell ref="C16:H16"/>
    <mergeCell ref="E41:H41"/>
    <mergeCell ref="A41:D41"/>
    <mergeCell ref="A223:H223"/>
    <mergeCell ref="A220:H220"/>
    <mergeCell ref="A74:B74"/>
    <mergeCell ref="F80:H80"/>
    <mergeCell ref="G96:H96"/>
    <mergeCell ref="A48:B48"/>
    <mergeCell ref="C48:E48"/>
    <mergeCell ref="C37:H37"/>
    <mergeCell ref="A82:E82"/>
    <mergeCell ref="F82:H82"/>
    <mergeCell ref="A83:E83"/>
    <mergeCell ref="F83:H83"/>
    <mergeCell ref="G48:H48"/>
    <mergeCell ref="G50:H50"/>
    <mergeCell ref="D54:H54"/>
    <mergeCell ref="C50:E50"/>
    <mergeCell ref="A57:C57"/>
    <mergeCell ref="D57:H57"/>
    <mergeCell ref="A147:B147"/>
    <mergeCell ref="A154:B154"/>
    <mergeCell ref="L154:M154"/>
    <mergeCell ref="A155:B155"/>
    <mergeCell ref="L155:M155"/>
    <mergeCell ref="A105:H105"/>
    <mergeCell ref="A106:B106"/>
    <mergeCell ref="L106:M106"/>
    <mergeCell ref="L136:M136"/>
    <mergeCell ref="A140:B140"/>
    <mergeCell ref="L140:M140"/>
    <mergeCell ref="A141:B141"/>
    <mergeCell ref="L141:M141"/>
    <mergeCell ref="A132:B132"/>
    <mergeCell ref="L132:M132"/>
    <mergeCell ref="A133:B133"/>
    <mergeCell ref="L133:M133"/>
    <mergeCell ref="A134:B134"/>
    <mergeCell ref="L134:M134"/>
    <mergeCell ref="A107:B107"/>
    <mergeCell ref="L107:M107"/>
    <mergeCell ref="A117:B117"/>
    <mergeCell ref="L117:M117"/>
    <mergeCell ref="A118:H118"/>
    <mergeCell ref="A126:B126"/>
    <mergeCell ref="L126:M126"/>
    <mergeCell ref="A127:B127"/>
    <mergeCell ref="L147:M147"/>
    <mergeCell ref="L152:M152"/>
    <mergeCell ref="A153:B153"/>
    <mergeCell ref="L153:M153"/>
    <mergeCell ref="A137:B137"/>
    <mergeCell ref="L137:M137"/>
    <mergeCell ref="A138:B138"/>
    <mergeCell ref="L138:M138"/>
    <mergeCell ref="A139:B139"/>
    <mergeCell ref="L139:M139"/>
    <mergeCell ref="L130:M130"/>
    <mergeCell ref="A135:B135"/>
    <mergeCell ref="L135:M135"/>
    <mergeCell ref="L127:M127"/>
    <mergeCell ref="A142:B142"/>
    <mergeCell ref="L142:M142"/>
    <mergeCell ref="L143:M143"/>
    <mergeCell ref="A148:B148"/>
    <mergeCell ref="L148:M148"/>
    <mergeCell ref="A149:B149"/>
    <mergeCell ref="L149:M149"/>
    <mergeCell ref="A150:B150"/>
    <mergeCell ref="L108:M108"/>
    <mergeCell ref="A109:B109"/>
    <mergeCell ref="L109:M109"/>
    <mergeCell ref="A110:B110"/>
    <mergeCell ref="A131:H131"/>
    <mergeCell ref="A136:B136"/>
    <mergeCell ref="L110:M110"/>
    <mergeCell ref="A111:B111"/>
    <mergeCell ref="L111:M111"/>
    <mergeCell ref="A112:B112"/>
    <mergeCell ref="L112:M112"/>
    <mergeCell ref="A113:B113"/>
    <mergeCell ref="L113:M113"/>
    <mergeCell ref="A114:B114"/>
    <mergeCell ref="L114:M114"/>
    <mergeCell ref="L115:M115"/>
    <mergeCell ref="A116:B116"/>
    <mergeCell ref="L116:M116"/>
    <mergeCell ref="A128:B128"/>
    <mergeCell ref="L128:M128"/>
    <mergeCell ref="A129:B129"/>
    <mergeCell ref="L129:M129"/>
    <mergeCell ref="A130:B130"/>
    <mergeCell ref="D130:H130"/>
    <mergeCell ref="A146:B146"/>
    <mergeCell ref="L146:M146"/>
    <mergeCell ref="A144:H144"/>
    <mergeCell ref="A145:B145"/>
    <mergeCell ref="L145:M145"/>
    <mergeCell ref="A166:B166"/>
    <mergeCell ref="L166:M166"/>
    <mergeCell ref="A167:B167"/>
    <mergeCell ref="L167:M167"/>
    <mergeCell ref="L158:M158"/>
    <mergeCell ref="A159:B159"/>
    <mergeCell ref="L159:M159"/>
    <mergeCell ref="A160:B160"/>
    <mergeCell ref="L160:M160"/>
    <mergeCell ref="A161:B161"/>
    <mergeCell ref="L161:M161"/>
    <mergeCell ref="A162:B162"/>
    <mergeCell ref="L162:M162"/>
    <mergeCell ref="A163:B163"/>
    <mergeCell ref="L163:M163"/>
    <mergeCell ref="A164:B164"/>
    <mergeCell ref="L164:M164"/>
    <mergeCell ref="A165:B165"/>
    <mergeCell ref="L165:M165"/>
    <mergeCell ref="B214:H214"/>
    <mergeCell ref="B215:H215"/>
    <mergeCell ref="A168:B168"/>
    <mergeCell ref="L168:M168"/>
    <mergeCell ref="A169:B169"/>
    <mergeCell ref="L169:M169"/>
    <mergeCell ref="A119:B119"/>
    <mergeCell ref="L119:M119"/>
    <mergeCell ref="A120:B120"/>
    <mergeCell ref="L120:M120"/>
    <mergeCell ref="A121:B121"/>
    <mergeCell ref="L121:M121"/>
    <mergeCell ref="A122:B122"/>
    <mergeCell ref="L122:M122"/>
    <mergeCell ref="A123:B123"/>
    <mergeCell ref="L123:M123"/>
    <mergeCell ref="A124:B124"/>
    <mergeCell ref="L124:M124"/>
    <mergeCell ref="A125:B125"/>
    <mergeCell ref="L125:M125"/>
    <mergeCell ref="L150:M150"/>
    <mergeCell ref="A151:B151"/>
    <mergeCell ref="L151:M151"/>
    <mergeCell ref="A152:B152"/>
  </mergeCells>
  <dataValidations disablePrompts="1" count="5">
    <dataValidation type="list" allowBlank="1" showInputMessage="1" showErrorMessage="1" sqref="D100:D101" xr:uid="{00000000-0002-0000-0000-000000000000}">
      <formula1>"Carpet area,RERA Carpet area"</formula1>
    </dataValidation>
    <dataValidation type="list" allowBlank="1" showInputMessage="1" showErrorMessage="1" sqref="H100" xr:uid="{00000000-0002-0000-0000-000001000000}">
      <formula1>"Saleable area Loading :,Builder Saleable Area"</formula1>
    </dataValidation>
    <dataValidation type="list" allowBlank="1" showInputMessage="1" showErrorMessage="1" sqref="H101" xr:uid="{00000000-0002-0000-0000-000002000000}">
      <formula1>".45,.50,.55,.60"</formula1>
    </dataValidation>
    <dataValidation type="list" allowBlank="1" showInputMessage="1" showErrorMessage="1" sqref="B100:B101" xr:uid="{00000000-0002-0000-0000-000003000000}">
      <formula1>"Shop No. (Sale Plan),Sale / Rehab,Sale / Mhada"</formula1>
    </dataValidation>
    <dataValidation type="list" allowBlank="1" showInputMessage="1" showErrorMessage="1" sqref="E100:E101" xr:uid="{00000000-0002-0000-0000-000004000000}">
      <formula1>"Attached Loft area,Attached Otla area,Attached Mezzanine area"</formula1>
    </dataValidation>
  </dataValidation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8" max="16383" man="1"/>
    <brk id="64" max="16383" man="1"/>
    <brk id="229" max="16383" man="1"/>
    <brk id="272" max="7" man="1"/>
    <brk id="31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21" t="s">
        <v>109</v>
      </c>
      <c r="C3" s="221"/>
      <c r="D3" s="221"/>
      <c r="E3" s="221"/>
      <c r="F3" s="221"/>
      <c r="G3" s="221"/>
      <c r="H3" s="221"/>
    </row>
    <row r="4" spans="1:9" x14ac:dyDescent="0.25">
      <c r="A4" s="2"/>
      <c r="B4" s="3" t="s">
        <v>110</v>
      </c>
      <c r="C4" s="3" t="s">
        <v>111</v>
      </c>
      <c r="D4" s="3" t="s">
        <v>70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2025-08-12T09:33:56Z</cp:lastPrinted>
  <dcterms:created xsi:type="dcterms:W3CDTF">2019-07-16T09:29:46Z</dcterms:created>
  <dcterms:modified xsi:type="dcterms:W3CDTF">2025-08-12T09:35:03Z</dcterms:modified>
</cp:coreProperties>
</file>