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375B5281-7C8D-474B-BE65-3DF7C4DD778E}"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Note" sheetId="4" r:id="rId3"/>
  </sheets>
  <definedNames>
    <definedName name="_xlnm.Print_Area" localSheetId="0">Report!$A$1:$H$706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0" i="1" l="1"/>
  <c r="J91" i="1" l="1"/>
  <c r="J90" i="1"/>
  <c r="J89" i="1"/>
  <c r="J88" i="1"/>
  <c r="I141" i="1"/>
  <c r="I134" i="1"/>
  <c r="D271" i="1"/>
  <c r="D270" i="1"/>
  <c r="D269" i="1"/>
  <c r="D268" i="1"/>
  <c r="D267" i="1"/>
  <c r="D266" i="1"/>
  <c r="D258" i="1"/>
  <c r="D249" i="1"/>
  <c r="D248" i="1"/>
  <c r="D247" i="1"/>
  <c r="D246" i="1"/>
  <c r="F246" i="1" s="1"/>
  <c r="D245" i="1"/>
  <c r="D243" i="1"/>
  <c r="D242" i="1"/>
  <c r="D241" i="1"/>
  <c r="D239" i="1"/>
  <c r="E127" i="1" s="1"/>
  <c r="E134" i="1" l="1"/>
  <c r="C134" i="1"/>
  <c r="C127" i="1"/>
  <c r="G227" i="1"/>
  <c r="D217" i="1"/>
  <c r="D216" i="1"/>
  <c r="D301" i="1"/>
  <c r="D152" i="1"/>
  <c r="G212" i="1"/>
  <c r="G211" i="1"/>
  <c r="D211" i="1"/>
  <c r="C124" i="1" l="1"/>
  <c r="E124" i="1"/>
  <c r="E125" i="1"/>
  <c r="C125" i="1"/>
  <c r="F211" i="1"/>
  <c r="G125" i="1" s="1"/>
  <c r="J55" i="1"/>
  <c r="I125" i="1" l="1"/>
  <c r="I55" i="1"/>
  <c r="F10" i="5"/>
  <c r="I139" i="1"/>
  <c r="D475" i="1"/>
  <c r="F475" i="1" s="1"/>
  <c r="D474" i="1"/>
  <c r="F474" i="1" s="1"/>
  <c r="D473" i="1"/>
  <c r="F473" i="1" s="1"/>
  <c r="D472" i="1"/>
  <c r="F472" i="1" s="1"/>
  <c r="D471" i="1"/>
  <c r="F471" i="1" s="1"/>
  <c r="D470" i="1"/>
  <c r="F470" i="1" s="1"/>
  <c r="G469" i="1"/>
  <c r="G470" i="1" s="1"/>
  <c r="G471" i="1" s="1"/>
  <c r="G472" i="1" s="1"/>
  <c r="G473" i="1" s="1"/>
  <c r="G474" i="1" s="1"/>
  <c r="G475" i="1" s="1"/>
  <c r="D469" i="1"/>
  <c r="F469" i="1" s="1"/>
  <c r="D394" i="1"/>
  <c r="F394" i="1" s="1"/>
  <c r="D393" i="1"/>
  <c r="F393" i="1" s="1"/>
  <c r="D392" i="1"/>
  <c r="F392" i="1" s="1"/>
  <c r="D391" i="1"/>
  <c r="F391" i="1" s="1"/>
  <c r="D390" i="1"/>
  <c r="F390" i="1" s="1"/>
  <c r="G389" i="1"/>
  <c r="G390" i="1" s="1"/>
  <c r="G391" i="1" s="1"/>
  <c r="G392" i="1" s="1"/>
  <c r="G393" i="1" s="1"/>
  <c r="G394" i="1" s="1"/>
  <c r="D389" i="1"/>
  <c r="F389" i="1" s="1"/>
  <c r="D585" i="1"/>
  <c r="F585" i="1" s="1"/>
  <c r="D595" i="1"/>
  <c r="F595" i="1" s="1"/>
  <c r="D594" i="1"/>
  <c r="F594" i="1" s="1"/>
  <c r="D593" i="1"/>
  <c r="F593" i="1" s="1"/>
  <c r="D592" i="1"/>
  <c r="F592" i="1" s="1"/>
  <c r="D591" i="1"/>
  <c r="F591" i="1" s="1"/>
  <c r="D590" i="1"/>
  <c r="F590" i="1" s="1"/>
  <c r="G589" i="1"/>
  <c r="G590" i="1" s="1"/>
  <c r="G591" i="1" s="1"/>
  <c r="G592" i="1" s="1"/>
  <c r="G593" i="1" s="1"/>
  <c r="G594" i="1" s="1"/>
  <c r="G595" i="1" s="1"/>
  <c r="D589" i="1"/>
  <c r="F589" i="1" s="1"/>
  <c r="D430" i="1"/>
  <c r="F430" i="1" s="1"/>
  <c r="D429" i="1"/>
  <c r="F429" i="1" s="1"/>
  <c r="D428" i="1"/>
  <c r="F428" i="1" s="1"/>
  <c r="G427" i="1"/>
  <c r="G428" i="1" s="1"/>
  <c r="G429" i="1" s="1"/>
  <c r="G430" i="1" s="1"/>
  <c r="D427" i="1"/>
  <c r="F427" i="1" s="1"/>
  <c r="D425" i="1"/>
  <c r="F425" i="1" s="1"/>
  <c r="D424" i="1"/>
  <c r="F424" i="1" s="1"/>
  <c r="D423" i="1"/>
  <c r="F423" i="1" s="1"/>
  <c r="G422" i="1"/>
  <c r="G423" i="1" s="1"/>
  <c r="G424" i="1" s="1"/>
  <c r="G425" i="1" s="1"/>
  <c r="D422" i="1"/>
  <c r="F422" i="1" s="1"/>
  <c r="D587" i="1"/>
  <c r="F587" i="1" s="1"/>
  <c r="D586" i="1"/>
  <c r="F586" i="1" s="1"/>
  <c r="D584" i="1"/>
  <c r="F584" i="1" s="1"/>
  <c r="D583" i="1"/>
  <c r="F583" i="1" s="1"/>
  <c r="G581" i="1"/>
  <c r="G582" i="1" s="1"/>
  <c r="G583" i="1" s="1"/>
  <c r="G584" i="1" s="1"/>
  <c r="G585" i="1" s="1"/>
  <c r="G586" i="1" s="1"/>
  <c r="G587" i="1" s="1"/>
  <c r="D581" i="1"/>
  <c r="F581" i="1" s="1"/>
  <c r="D579" i="1"/>
  <c r="F579" i="1" s="1"/>
  <c r="D578" i="1"/>
  <c r="F578" i="1" s="1"/>
  <c r="D577" i="1"/>
  <c r="F577" i="1" s="1"/>
  <c r="D576" i="1"/>
  <c r="F576" i="1" s="1"/>
  <c r="D575" i="1"/>
  <c r="F575" i="1" s="1"/>
  <c r="D574" i="1"/>
  <c r="F574" i="1" s="1"/>
  <c r="G573" i="1"/>
  <c r="G574" i="1" s="1"/>
  <c r="G575" i="1" s="1"/>
  <c r="G576" i="1" s="1"/>
  <c r="G577" i="1" s="1"/>
  <c r="G578" i="1" s="1"/>
  <c r="G579" i="1" s="1"/>
  <c r="D573" i="1"/>
  <c r="F573" i="1" s="1"/>
  <c r="D420" i="1"/>
  <c r="F420" i="1" s="1"/>
  <c r="D419" i="1"/>
  <c r="F419" i="1" s="1"/>
  <c r="D418" i="1"/>
  <c r="F418" i="1" s="1"/>
  <c r="G417" i="1"/>
  <c r="G418" i="1" s="1"/>
  <c r="G419" i="1" s="1"/>
  <c r="G420" i="1" s="1"/>
  <c r="D417" i="1"/>
  <c r="F417" i="1" s="1"/>
  <c r="D401" i="1"/>
  <c r="F401" i="1" s="1"/>
  <c r="D400" i="1"/>
  <c r="F400" i="1" s="1"/>
  <c r="D399" i="1"/>
  <c r="F399" i="1" s="1"/>
  <c r="D398" i="1"/>
  <c r="F398" i="1" s="1"/>
  <c r="D397" i="1"/>
  <c r="F397" i="1" s="1"/>
  <c r="G396" i="1"/>
  <c r="G397" i="1" s="1"/>
  <c r="G398" i="1" s="1"/>
  <c r="G399" i="1" s="1"/>
  <c r="G400" i="1" s="1"/>
  <c r="G401" i="1" s="1"/>
  <c r="G402" i="1" s="1"/>
  <c r="G403" i="1" s="1"/>
  <c r="D396" i="1"/>
  <c r="F396" i="1" s="1"/>
  <c r="D571" i="1"/>
  <c r="F571" i="1" s="1"/>
  <c r="D570" i="1"/>
  <c r="F570" i="1" s="1"/>
  <c r="D569" i="1"/>
  <c r="F569" i="1" s="1"/>
  <c r="D568" i="1"/>
  <c r="F568" i="1" s="1"/>
  <c r="D567" i="1"/>
  <c r="F567" i="1" s="1"/>
  <c r="D566" i="1"/>
  <c r="F566" i="1" s="1"/>
  <c r="G565" i="1"/>
  <c r="G566" i="1" s="1"/>
  <c r="G567" i="1" s="1"/>
  <c r="G568" i="1" s="1"/>
  <c r="G569" i="1" s="1"/>
  <c r="G570" i="1" s="1"/>
  <c r="G571" i="1" s="1"/>
  <c r="D565" i="1"/>
  <c r="F565" i="1" s="1"/>
  <c r="D555" i="1"/>
  <c r="F555" i="1" s="1"/>
  <c r="D554" i="1"/>
  <c r="F554" i="1" s="1"/>
  <c r="D553" i="1"/>
  <c r="F553" i="1" s="1"/>
  <c r="D552" i="1"/>
  <c r="F552" i="1" s="1"/>
  <c r="D551" i="1"/>
  <c r="F551" i="1" s="1"/>
  <c r="D550" i="1"/>
  <c r="F550" i="1" s="1"/>
  <c r="G549" i="1"/>
  <c r="G550" i="1" s="1"/>
  <c r="G551" i="1" s="1"/>
  <c r="G552" i="1" s="1"/>
  <c r="G553" i="1" s="1"/>
  <c r="G554" i="1" s="1"/>
  <c r="G555" i="1" s="1"/>
  <c r="D549" i="1"/>
  <c r="F549" i="1" s="1"/>
  <c r="D415" i="1"/>
  <c r="F415" i="1" s="1"/>
  <c r="D414" i="1"/>
  <c r="F414" i="1" s="1"/>
  <c r="D413" i="1"/>
  <c r="F413" i="1" s="1"/>
  <c r="G412" i="1"/>
  <c r="G413" i="1" s="1"/>
  <c r="G414" i="1" s="1"/>
  <c r="G415" i="1" s="1"/>
  <c r="D547" i="1" l="1"/>
  <c r="F547" i="1" s="1"/>
  <c r="D546" i="1"/>
  <c r="F546" i="1" s="1"/>
  <c r="D545" i="1"/>
  <c r="F545" i="1" s="1"/>
  <c r="D544" i="1"/>
  <c r="F544" i="1" s="1"/>
  <c r="D543" i="1"/>
  <c r="F543" i="1" s="1"/>
  <c r="D542" i="1"/>
  <c r="F542" i="1" s="1"/>
  <c r="G541" i="1"/>
  <c r="G542" i="1" s="1"/>
  <c r="G543" i="1" s="1"/>
  <c r="G544" i="1" s="1"/>
  <c r="G545" i="1" s="1"/>
  <c r="G546" i="1" s="1"/>
  <c r="G547" i="1" s="1"/>
  <c r="D541" i="1"/>
  <c r="F541" i="1" s="1"/>
  <c r="D563" i="1"/>
  <c r="F563" i="1" s="1"/>
  <c r="D562" i="1"/>
  <c r="F562" i="1" s="1"/>
  <c r="D561" i="1"/>
  <c r="F561" i="1" s="1"/>
  <c r="D560" i="1"/>
  <c r="F560" i="1" s="1"/>
  <c r="D559" i="1"/>
  <c r="F559" i="1" s="1"/>
  <c r="D558" i="1"/>
  <c r="F558" i="1" s="1"/>
  <c r="G557" i="1"/>
  <c r="G558" i="1" s="1"/>
  <c r="G559" i="1" s="1"/>
  <c r="G560" i="1" s="1"/>
  <c r="G561" i="1" s="1"/>
  <c r="G562" i="1" s="1"/>
  <c r="G563" i="1" s="1"/>
  <c r="D557" i="1"/>
  <c r="F557" i="1" s="1"/>
  <c r="D410" i="1"/>
  <c r="F410" i="1" s="1"/>
  <c r="D409" i="1"/>
  <c r="F409" i="1" s="1"/>
  <c r="D408" i="1"/>
  <c r="F408" i="1" s="1"/>
  <c r="D407" i="1"/>
  <c r="F407" i="1" s="1"/>
  <c r="D406" i="1"/>
  <c r="F406" i="1" s="1"/>
  <c r="G405" i="1"/>
  <c r="G406" i="1" s="1"/>
  <c r="G407" i="1" s="1"/>
  <c r="G408" i="1" s="1"/>
  <c r="G409" i="1" s="1"/>
  <c r="G410" i="1" s="1"/>
  <c r="D405" i="1"/>
  <c r="F405" i="1" s="1"/>
  <c r="D387" i="1"/>
  <c r="F387" i="1" s="1"/>
  <c r="D386" i="1"/>
  <c r="F386" i="1" s="1"/>
  <c r="D385" i="1"/>
  <c r="F385" i="1" s="1"/>
  <c r="D384" i="1"/>
  <c r="F384" i="1" s="1"/>
  <c r="D383" i="1"/>
  <c r="F383" i="1" s="1"/>
  <c r="G382" i="1"/>
  <c r="G383" i="1" s="1"/>
  <c r="G384" i="1" s="1"/>
  <c r="G385" i="1" s="1"/>
  <c r="G386" i="1" s="1"/>
  <c r="G387" i="1" s="1"/>
  <c r="D382" i="1"/>
  <c r="D539" i="1"/>
  <c r="F539" i="1" s="1"/>
  <c r="D538" i="1"/>
  <c r="F538" i="1" s="1"/>
  <c r="D537" i="1"/>
  <c r="F537" i="1" s="1"/>
  <c r="D536" i="1"/>
  <c r="F536" i="1" s="1"/>
  <c r="G533" i="1"/>
  <c r="G534" i="1" s="1"/>
  <c r="G535" i="1" s="1"/>
  <c r="G536" i="1" s="1"/>
  <c r="G537" i="1" s="1"/>
  <c r="G538" i="1" s="1"/>
  <c r="G539" i="1" s="1"/>
  <c r="D533" i="1"/>
  <c r="F533" i="1" s="1"/>
  <c r="D531" i="1"/>
  <c r="F531" i="1" s="1"/>
  <c r="D530" i="1"/>
  <c r="F530" i="1" s="1"/>
  <c r="D529" i="1"/>
  <c r="F529" i="1" s="1"/>
  <c r="D528" i="1"/>
  <c r="F528" i="1" s="1"/>
  <c r="D527" i="1"/>
  <c r="F527" i="1" s="1"/>
  <c r="D526" i="1"/>
  <c r="F526" i="1" s="1"/>
  <c r="G525" i="1"/>
  <c r="G526" i="1" s="1"/>
  <c r="G527" i="1" s="1"/>
  <c r="G528" i="1" s="1"/>
  <c r="G529" i="1" s="1"/>
  <c r="G530" i="1" s="1"/>
  <c r="G531" i="1" s="1"/>
  <c r="D525" i="1"/>
  <c r="F525" i="1" s="1"/>
  <c r="D380" i="1"/>
  <c r="D379" i="1"/>
  <c r="D376" i="1"/>
  <c r="D375" i="1"/>
  <c r="D374" i="1"/>
  <c r="G373" i="1"/>
  <c r="G374" i="1" s="1"/>
  <c r="G375" i="1" s="1"/>
  <c r="G376" i="1" s="1"/>
  <c r="G377" i="1" s="1"/>
  <c r="G378" i="1" s="1"/>
  <c r="G379" i="1" s="1"/>
  <c r="G380" i="1" s="1"/>
  <c r="D373" i="1"/>
  <c r="D307" i="1"/>
  <c r="F307" i="1" s="1"/>
  <c r="D306" i="1"/>
  <c r="F306" i="1" s="1"/>
  <c r="D305" i="1"/>
  <c r="G304" i="1"/>
  <c r="G305" i="1" s="1"/>
  <c r="G306" i="1" s="1"/>
  <c r="G307" i="1" s="1"/>
  <c r="D304" i="1"/>
  <c r="F304" i="1" s="1"/>
  <c r="D523" i="1"/>
  <c r="F523" i="1" s="1"/>
  <c r="D522" i="1"/>
  <c r="F522" i="1" s="1"/>
  <c r="D521" i="1"/>
  <c r="F521" i="1" s="1"/>
  <c r="D520" i="1"/>
  <c r="F520" i="1" s="1"/>
  <c r="D519" i="1"/>
  <c r="F519" i="1" s="1"/>
  <c r="D518" i="1"/>
  <c r="F518" i="1" s="1"/>
  <c r="G517" i="1"/>
  <c r="G518" i="1" s="1"/>
  <c r="G519" i="1" s="1"/>
  <c r="G520" i="1" s="1"/>
  <c r="G521" i="1" s="1"/>
  <c r="G522" i="1" s="1"/>
  <c r="G523" i="1" s="1"/>
  <c r="D517" i="1"/>
  <c r="F517" i="1" s="1"/>
  <c r="D371" i="1"/>
  <c r="D370" i="1"/>
  <c r="D367" i="1"/>
  <c r="D366" i="1"/>
  <c r="D365" i="1"/>
  <c r="G364" i="1"/>
  <c r="G365" i="1" s="1"/>
  <c r="G366" i="1" s="1"/>
  <c r="G367" i="1" s="1"/>
  <c r="G368" i="1" s="1"/>
  <c r="G369" i="1" s="1"/>
  <c r="G370" i="1" s="1"/>
  <c r="G371" i="1" s="1"/>
  <c r="D364" i="1"/>
  <c r="D302" i="1"/>
  <c r="F302" i="1" s="1"/>
  <c r="F301" i="1"/>
  <c r="D300" i="1"/>
  <c r="F300" i="1" s="1"/>
  <c r="G299" i="1"/>
  <c r="G300" i="1" s="1"/>
  <c r="G301" i="1" s="1"/>
  <c r="G302" i="1" s="1"/>
  <c r="D299" i="1"/>
  <c r="F299" i="1" s="1"/>
  <c r="D515" i="1"/>
  <c r="F515" i="1" s="1"/>
  <c r="D514" i="1"/>
  <c r="F514" i="1" s="1"/>
  <c r="D513" i="1"/>
  <c r="F513" i="1" s="1"/>
  <c r="D512" i="1"/>
  <c r="F512" i="1" s="1"/>
  <c r="D511" i="1"/>
  <c r="F511" i="1" s="1"/>
  <c r="D510" i="1"/>
  <c r="F510" i="1" s="1"/>
  <c r="G509" i="1"/>
  <c r="G510" i="1" s="1"/>
  <c r="G511" i="1" s="1"/>
  <c r="G512" i="1" s="1"/>
  <c r="G513" i="1" s="1"/>
  <c r="G514" i="1" s="1"/>
  <c r="G515" i="1" s="1"/>
  <c r="D509" i="1"/>
  <c r="F509" i="1" s="1"/>
  <c r="D297" i="1"/>
  <c r="F297" i="1" s="1"/>
  <c r="D296" i="1"/>
  <c r="F296" i="1" s="1"/>
  <c r="D295" i="1"/>
  <c r="F295" i="1" s="1"/>
  <c r="G294" i="1"/>
  <c r="G295" i="1" s="1"/>
  <c r="G296" i="1" s="1"/>
  <c r="G297" i="1" s="1"/>
  <c r="D294" i="1"/>
  <c r="F294" i="1" s="1"/>
  <c r="D362" i="1"/>
  <c r="F362" i="1" s="1"/>
  <c r="D361" i="1"/>
  <c r="F361" i="1" s="1"/>
  <c r="D360" i="1"/>
  <c r="D359" i="1"/>
  <c r="F359" i="1" s="1"/>
  <c r="D358" i="1"/>
  <c r="F358" i="1" s="1"/>
  <c r="D357" i="1"/>
  <c r="F357" i="1" s="1"/>
  <c r="D356" i="1"/>
  <c r="F356" i="1" s="1"/>
  <c r="G355" i="1"/>
  <c r="G356" i="1" s="1"/>
  <c r="G357" i="1" s="1"/>
  <c r="G358" i="1" s="1"/>
  <c r="G359" i="1" s="1"/>
  <c r="G360" i="1" s="1"/>
  <c r="G361" i="1" s="1"/>
  <c r="G362" i="1" s="1"/>
  <c r="D355" i="1"/>
  <c r="D499" i="1"/>
  <c r="F499" i="1" s="1"/>
  <c r="D498" i="1"/>
  <c r="F498" i="1" s="1"/>
  <c r="D497" i="1"/>
  <c r="F497" i="1" s="1"/>
  <c r="D496" i="1"/>
  <c r="F496" i="1" s="1"/>
  <c r="G493" i="1"/>
  <c r="G494" i="1" s="1"/>
  <c r="G495" i="1" s="1"/>
  <c r="G496" i="1" s="1"/>
  <c r="G497" i="1" s="1"/>
  <c r="G498" i="1" s="1"/>
  <c r="G499" i="1" s="1"/>
  <c r="D493" i="1"/>
  <c r="F493" i="1" s="1"/>
  <c r="D335" i="1"/>
  <c r="F335" i="1" s="1"/>
  <c r="D334" i="1"/>
  <c r="F334" i="1" s="1"/>
  <c r="D333" i="1"/>
  <c r="F333" i="1" s="1"/>
  <c r="D332" i="1"/>
  <c r="F332" i="1" s="1"/>
  <c r="D331" i="1"/>
  <c r="F331" i="1" s="1"/>
  <c r="D330" i="1"/>
  <c r="F330" i="1" s="1"/>
  <c r="D329" i="1"/>
  <c r="F329" i="1" s="1"/>
  <c r="G328" i="1"/>
  <c r="G329" i="1" s="1"/>
  <c r="G330" i="1" s="1"/>
  <c r="G331" i="1" s="1"/>
  <c r="G332" i="1" s="1"/>
  <c r="G333" i="1" s="1"/>
  <c r="G334" i="1" s="1"/>
  <c r="G335" i="1" s="1"/>
  <c r="D328" i="1"/>
  <c r="D292" i="1"/>
  <c r="F292" i="1" s="1"/>
  <c r="D291" i="1"/>
  <c r="F291" i="1" s="1"/>
  <c r="D290" i="1"/>
  <c r="F290" i="1" s="1"/>
  <c r="G289" i="1"/>
  <c r="G290" i="1" s="1"/>
  <c r="G291" i="1" s="1"/>
  <c r="G292" i="1" s="1"/>
  <c r="D289" i="1"/>
  <c r="F289" i="1" s="1"/>
  <c r="D507" i="1"/>
  <c r="F507" i="1" s="1"/>
  <c r="D506" i="1"/>
  <c r="F506" i="1" s="1"/>
  <c r="D505" i="1"/>
  <c r="F505" i="1" s="1"/>
  <c r="D504" i="1"/>
  <c r="F504" i="1" s="1"/>
  <c r="D503" i="1"/>
  <c r="F503" i="1" s="1"/>
  <c r="D502" i="1"/>
  <c r="F502" i="1" s="1"/>
  <c r="G501" i="1"/>
  <c r="G502" i="1" s="1"/>
  <c r="G503" i="1" s="1"/>
  <c r="G504" i="1" s="1"/>
  <c r="G505" i="1" s="1"/>
  <c r="G506" i="1" s="1"/>
  <c r="G507" i="1" s="1"/>
  <c r="D501" i="1"/>
  <c r="F501" i="1" s="1"/>
  <c r="D351" i="1"/>
  <c r="F351" i="1" s="1"/>
  <c r="D350" i="1"/>
  <c r="F350" i="1" s="1"/>
  <c r="D349" i="1"/>
  <c r="F349" i="1" s="1"/>
  <c r="D348" i="1"/>
  <c r="F348" i="1" s="1"/>
  <c r="D347" i="1"/>
  <c r="F347" i="1" s="1"/>
  <c r="G346" i="1"/>
  <c r="G347" i="1" s="1"/>
  <c r="G348" i="1" s="1"/>
  <c r="G349" i="1" s="1"/>
  <c r="G350" i="1" s="1"/>
  <c r="G351" i="1" s="1"/>
  <c r="G352" i="1" s="1"/>
  <c r="G353" i="1" s="1"/>
  <c r="D346" i="1"/>
  <c r="F346" i="1" s="1"/>
  <c r="D287" i="1"/>
  <c r="F287" i="1" s="1"/>
  <c r="D285" i="1"/>
  <c r="F285" i="1" s="1"/>
  <c r="G284" i="1"/>
  <c r="G285" i="1" s="1"/>
  <c r="G286" i="1" s="1"/>
  <c r="G287" i="1" s="1"/>
  <c r="D284" i="1"/>
  <c r="F284" i="1" s="1"/>
  <c r="D344" i="1"/>
  <c r="F344" i="1" s="1"/>
  <c r="D343" i="1"/>
  <c r="F343" i="1" s="1"/>
  <c r="D342" i="1"/>
  <c r="F342" i="1" s="1"/>
  <c r="D341" i="1"/>
  <c r="F341" i="1" s="1"/>
  <c r="D340" i="1"/>
  <c r="F340" i="1" s="1"/>
  <c r="D339" i="1"/>
  <c r="F339" i="1" s="1"/>
  <c r="D338" i="1"/>
  <c r="F338" i="1" s="1"/>
  <c r="G337" i="1"/>
  <c r="G338" i="1" s="1"/>
  <c r="G339" i="1" s="1"/>
  <c r="G340" i="1" s="1"/>
  <c r="G341" i="1" s="1"/>
  <c r="G342" i="1" s="1"/>
  <c r="G343" i="1" s="1"/>
  <c r="G344" i="1" s="1"/>
  <c r="D337" i="1"/>
  <c r="D280" i="1"/>
  <c r="D281" i="1"/>
  <c r="D282" i="1"/>
  <c r="D279" i="1"/>
  <c r="B598" i="1"/>
  <c r="C140" i="1" l="1"/>
  <c r="E140" i="1"/>
  <c r="E138" i="1"/>
  <c r="C138" i="1"/>
  <c r="F305" i="1"/>
  <c r="G139" i="1" s="1"/>
  <c r="C139" i="1"/>
  <c r="E139" i="1"/>
  <c r="F360" i="1"/>
  <c r="F337" i="1"/>
  <c r="F328" i="1"/>
  <c r="F364" i="1"/>
  <c r="F373" i="1"/>
  <c r="F382" i="1"/>
  <c r="F355" i="1"/>
  <c r="F365" i="1"/>
  <c r="F366" i="1"/>
  <c r="F367" i="1"/>
  <c r="F370" i="1"/>
  <c r="F371" i="1"/>
  <c r="F374" i="1"/>
  <c r="F375" i="1"/>
  <c r="F376" i="1"/>
  <c r="F379" i="1"/>
  <c r="F380" i="1"/>
  <c r="D326" i="1"/>
  <c r="D325" i="1"/>
  <c r="D310" i="1"/>
  <c r="D324" i="1"/>
  <c r="D323" i="1"/>
  <c r="D322" i="1"/>
  <c r="D321" i="1"/>
  <c r="D320" i="1"/>
  <c r="G319" i="1"/>
  <c r="G320" i="1" s="1"/>
  <c r="G321" i="1" s="1"/>
  <c r="G322" i="1" s="1"/>
  <c r="G323" i="1" s="1"/>
  <c r="G324" i="1" s="1"/>
  <c r="G325" i="1" s="1"/>
  <c r="G326" i="1" s="1"/>
  <c r="D319" i="1"/>
  <c r="D491" i="1"/>
  <c r="F491" i="1" s="1"/>
  <c r="D490" i="1"/>
  <c r="F490" i="1" s="1"/>
  <c r="D489" i="1"/>
  <c r="F489" i="1" s="1"/>
  <c r="D488" i="1"/>
  <c r="F488" i="1" s="1"/>
  <c r="D487" i="1"/>
  <c r="F487" i="1" s="1"/>
  <c r="D486" i="1"/>
  <c r="F486" i="1" s="1"/>
  <c r="G485" i="1"/>
  <c r="G486" i="1" s="1"/>
  <c r="G487" i="1" s="1"/>
  <c r="G488" i="1" s="1"/>
  <c r="G489" i="1" s="1"/>
  <c r="G490" i="1" s="1"/>
  <c r="G491" i="1" s="1"/>
  <c r="D485" i="1"/>
  <c r="F485" i="1" s="1"/>
  <c r="D481" i="1"/>
  <c r="F481" i="1" s="1"/>
  <c r="D480" i="1"/>
  <c r="F480" i="1" s="1"/>
  <c r="D482" i="1"/>
  <c r="F482" i="1" s="1"/>
  <c r="D483" i="1"/>
  <c r="F483" i="1" s="1"/>
  <c r="D479" i="1"/>
  <c r="F479" i="1" s="1"/>
  <c r="D478" i="1"/>
  <c r="F478" i="1" s="1"/>
  <c r="G477" i="1"/>
  <c r="G478" i="1" s="1"/>
  <c r="G479" i="1" s="1"/>
  <c r="G480" i="1" s="1"/>
  <c r="G481" i="1" s="1"/>
  <c r="G482" i="1" s="1"/>
  <c r="G483" i="1" s="1"/>
  <c r="D477" i="1"/>
  <c r="F477" i="1" s="1"/>
  <c r="E315" i="1"/>
  <c r="E314" i="1"/>
  <c r="E313" i="1"/>
  <c r="E312" i="1"/>
  <c r="D315" i="1"/>
  <c r="D314" i="1"/>
  <c r="D313" i="1"/>
  <c r="D312" i="1"/>
  <c r="E310" i="1"/>
  <c r="D311" i="1"/>
  <c r="E311" i="1"/>
  <c r="G310" i="1"/>
  <c r="G311" i="1" s="1"/>
  <c r="G312" i="1" s="1"/>
  <c r="G313" i="1" s="1"/>
  <c r="G314" i="1" s="1"/>
  <c r="G315" i="1" s="1"/>
  <c r="G316" i="1" s="1"/>
  <c r="G317" i="1" s="1"/>
  <c r="F282" i="1"/>
  <c r="F281" i="1"/>
  <c r="F280" i="1"/>
  <c r="G279" i="1"/>
  <c r="G280" i="1" s="1"/>
  <c r="G281" i="1" s="1"/>
  <c r="G282" i="1" s="1"/>
  <c r="F279" i="1"/>
  <c r="D208" i="1"/>
  <c r="F208" i="1" s="1"/>
  <c r="D207" i="1"/>
  <c r="F207" i="1" s="1"/>
  <c r="D206" i="1"/>
  <c r="F206" i="1" s="1"/>
  <c r="D205" i="1"/>
  <c r="F205" i="1" s="1"/>
  <c r="A205" i="1"/>
  <c r="A206" i="1" s="1"/>
  <c r="A207" i="1" s="1"/>
  <c r="A208" i="1" s="1"/>
  <c r="G204" i="1"/>
  <c r="G205" i="1" s="1"/>
  <c r="G206" i="1" s="1"/>
  <c r="G207" i="1" s="1"/>
  <c r="G208" i="1" s="1"/>
  <c r="D204" i="1"/>
  <c r="F204" i="1" s="1"/>
  <c r="D202" i="1"/>
  <c r="F202" i="1" s="1"/>
  <c r="D201" i="1"/>
  <c r="F201" i="1" s="1"/>
  <c r="D200" i="1"/>
  <c r="F200" i="1" s="1"/>
  <c r="D199" i="1"/>
  <c r="F199" i="1" s="1"/>
  <c r="A199" i="1"/>
  <c r="A200" i="1" s="1"/>
  <c r="A201" i="1" s="1"/>
  <c r="A202" i="1" s="1"/>
  <c r="G198" i="1"/>
  <c r="G199" i="1" s="1"/>
  <c r="G200" i="1" s="1"/>
  <c r="G201" i="1" s="1"/>
  <c r="G202" i="1" s="1"/>
  <c r="D198" i="1"/>
  <c r="F198" i="1" s="1"/>
  <c r="D196" i="1"/>
  <c r="F196" i="1" s="1"/>
  <c r="D195" i="1"/>
  <c r="F195" i="1" s="1"/>
  <c r="D193" i="1"/>
  <c r="F193" i="1" s="1"/>
  <c r="A193" i="1"/>
  <c r="A194" i="1" s="1"/>
  <c r="A195" i="1" s="1"/>
  <c r="A196" i="1" s="1"/>
  <c r="G192" i="1"/>
  <c r="G193" i="1" s="1"/>
  <c r="G194" i="1" s="1"/>
  <c r="G195" i="1" s="1"/>
  <c r="G196" i="1" s="1"/>
  <c r="D192" i="1"/>
  <c r="F192" i="1" s="1"/>
  <c r="D190" i="1"/>
  <c r="F190" i="1" s="1"/>
  <c r="D189" i="1"/>
  <c r="F189" i="1" s="1"/>
  <c r="D188" i="1"/>
  <c r="F188" i="1" s="1"/>
  <c r="D187" i="1"/>
  <c r="F187" i="1" s="1"/>
  <c r="A187" i="1"/>
  <c r="A188" i="1" s="1"/>
  <c r="A189" i="1" s="1"/>
  <c r="A190" i="1" s="1"/>
  <c r="G186" i="1"/>
  <c r="G187" i="1" s="1"/>
  <c r="G188" i="1" s="1"/>
  <c r="G189" i="1" s="1"/>
  <c r="G190" i="1" s="1"/>
  <c r="D186" i="1"/>
  <c r="F186" i="1" s="1"/>
  <c r="D184" i="1"/>
  <c r="F184" i="1" s="1"/>
  <c r="D183" i="1"/>
  <c r="F183" i="1" s="1"/>
  <c r="D182" i="1"/>
  <c r="F182" i="1" s="1"/>
  <c r="D181" i="1"/>
  <c r="F181" i="1" s="1"/>
  <c r="A181" i="1"/>
  <c r="A182" i="1" s="1"/>
  <c r="A183" i="1" s="1"/>
  <c r="A184" i="1" s="1"/>
  <c r="G180" i="1"/>
  <c r="G181" i="1" s="1"/>
  <c r="G182" i="1" s="1"/>
  <c r="G183" i="1" s="1"/>
  <c r="G184" i="1" s="1"/>
  <c r="D180" i="1"/>
  <c r="F180" i="1" s="1"/>
  <c r="G241" i="1"/>
  <c r="D172" i="1"/>
  <c r="F172" i="1" s="1"/>
  <c r="D171" i="1"/>
  <c r="F171" i="1" s="1"/>
  <c r="D170" i="1"/>
  <c r="F170" i="1" s="1"/>
  <c r="D169" i="1"/>
  <c r="F169" i="1" s="1"/>
  <c r="A169" i="1"/>
  <c r="A170" i="1" s="1"/>
  <c r="A171" i="1" s="1"/>
  <c r="G168" i="1"/>
  <c r="G169" i="1" s="1"/>
  <c r="G170" i="1" s="1"/>
  <c r="G171" i="1" s="1"/>
  <c r="G172" i="1" s="1"/>
  <c r="D168" i="1"/>
  <c r="F168" i="1" s="1"/>
  <c r="G239" i="1"/>
  <c r="D166" i="1"/>
  <c r="F166" i="1" s="1"/>
  <c r="D165" i="1"/>
  <c r="F165" i="1" s="1"/>
  <c r="D164" i="1"/>
  <c r="F164" i="1" s="1"/>
  <c r="D163" i="1"/>
  <c r="F163" i="1" s="1"/>
  <c r="A163" i="1"/>
  <c r="A164" i="1" s="1"/>
  <c r="A165" i="1" s="1"/>
  <c r="G162" i="1"/>
  <c r="G163" i="1" s="1"/>
  <c r="G164" i="1" s="1"/>
  <c r="G165" i="1" s="1"/>
  <c r="G166" i="1" s="1"/>
  <c r="D162" i="1"/>
  <c r="G229" i="1"/>
  <c r="D160" i="1"/>
  <c r="F160" i="1" s="1"/>
  <c r="D159" i="1"/>
  <c r="F159" i="1" s="1"/>
  <c r="D158" i="1"/>
  <c r="F158" i="1" s="1"/>
  <c r="D157" i="1"/>
  <c r="F157" i="1" s="1"/>
  <c r="A157" i="1"/>
  <c r="A158" i="1" s="1"/>
  <c r="A159" i="1" s="1"/>
  <c r="G156" i="1"/>
  <c r="G157" i="1" s="1"/>
  <c r="G158" i="1" s="1"/>
  <c r="G159" i="1" s="1"/>
  <c r="G160" i="1" s="1"/>
  <c r="D156" i="1"/>
  <c r="F156" i="1" s="1"/>
  <c r="F152" i="1"/>
  <c r="G124" i="1" s="1"/>
  <c r="D151" i="1"/>
  <c r="F151" i="1" s="1"/>
  <c r="A151" i="1"/>
  <c r="A152" i="1" s="1"/>
  <c r="G150" i="1"/>
  <c r="G151" i="1" s="1"/>
  <c r="G152" i="1" s="1"/>
  <c r="D150" i="1"/>
  <c r="G140" i="1" l="1"/>
  <c r="G138" i="1"/>
  <c r="E141" i="1"/>
  <c r="C141" i="1"/>
  <c r="F162" i="1"/>
  <c r="F150" i="1"/>
  <c r="F315" i="1"/>
  <c r="F311" i="1"/>
  <c r="F310" i="1"/>
  <c r="F313" i="1"/>
  <c r="F312" i="1"/>
  <c r="F314" i="1"/>
  <c r="F320" i="1"/>
  <c r="F321" i="1"/>
  <c r="F322" i="1"/>
  <c r="F323" i="1"/>
  <c r="F324" i="1"/>
  <c r="F319" i="1"/>
  <c r="F325" i="1"/>
  <c r="F326" i="1"/>
  <c r="D467" i="1"/>
  <c r="F467" i="1" s="1"/>
  <c r="D466" i="1"/>
  <c r="F466" i="1" s="1"/>
  <c r="D465" i="1"/>
  <c r="F465" i="1" s="1"/>
  <c r="D464" i="1"/>
  <c r="F464" i="1" s="1"/>
  <c r="D463" i="1"/>
  <c r="F463" i="1" s="1"/>
  <c r="G462" i="1"/>
  <c r="G463" i="1" s="1"/>
  <c r="G464" i="1" s="1"/>
  <c r="G465" i="1" s="1"/>
  <c r="G466" i="1" s="1"/>
  <c r="G467" i="1" s="1"/>
  <c r="D462" i="1"/>
  <c r="F462" i="1" s="1"/>
  <c r="D460" i="1"/>
  <c r="F460" i="1" s="1"/>
  <c r="D459" i="1"/>
  <c r="F459" i="1" s="1"/>
  <c r="D458" i="1"/>
  <c r="F458" i="1" s="1"/>
  <c r="D457" i="1"/>
  <c r="F457" i="1" s="1"/>
  <c r="D456" i="1"/>
  <c r="F456" i="1" s="1"/>
  <c r="G455" i="1"/>
  <c r="G456" i="1" s="1"/>
  <c r="G457" i="1" s="1"/>
  <c r="G458" i="1" s="1"/>
  <c r="G459" i="1" s="1"/>
  <c r="G460" i="1" s="1"/>
  <c r="D455" i="1"/>
  <c r="F455" i="1" s="1"/>
  <c r="D453" i="1"/>
  <c r="F453" i="1" s="1"/>
  <c r="D452" i="1"/>
  <c r="F452" i="1" s="1"/>
  <c r="D451" i="1"/>
  <c r="F451" i="1" s="1"/>
  <c r="G448" i="1"/>
  <c r="G449" i="1" s="1"/>
  <c r="G450" i="1" s="1"/>
  <c r="G451" i="1" s="1"/>
  <c r="G452" i="1" s="1"/>
  <c r="G453" i="1" s="1"/>
  <c r="D448" i="1"/>
  <c r="F448" i="1" s="1"/>
  <c r="D446" i="1"/>
  <c r="F446" i="1" s="1"/>
  <c r="D445" i="1"/>
  <c r="F445" i="1" s="1"/>
  <c r="D444" i="1"/>
  <c r="F444" i="1" s="1"/>
  <c r="D443" i="1"/>
  <c r="F443" i="1" s="1"/>
  <c r="D442" i="1"/>
  <c r="F442" i="1" s="1"/>
  <c r="G441" i="1"/>
  <c r="G442" i="1" s="1"/>
  <c r="G443" i="1" s="1"/>
  <c r="G444" i="1" s="1"/>
  <c r="G445" i="1" s="1"/>
  <c r="G446" i="1" s="1"/>
  <c r="D441" i="1"/>
  <c r="F441" i="1" s="1"/>
  <c r="D439" i="1"/>
  <c r="F439" i="1" s="1"/>
  <c r="D438" i="1"/>
  <c r="D437" i="1"/>
  <c r="D434" i="1"/>
  <c r="D435" i="1"/>
  <c r="D436" i="1"/>
  <c r="D178" i="1"/>
  <c r="F178" i="1" s="1"/>
  <c r="D177" i="1"/>
  <c r="F177" i="1" s="1"/>
  <c r="D176" i="1"/>
  <c r="F176" i="1" s="1"/>
  <c r="D175" i="1"/>
  <c r="F175" i="1" s="1"/>
  <c r="A175" i="1"/>
  <c r="A176" i="1" s="1"/>
  <c r="A177" i="1" s="1"/>
  <c r="A178" i="1" s="1"/>
  <c r="G174" i="1"/>
  <c r="G175" i="1" s="1"/>
  <c r="G176" i="1" s="1"/>
  <c r="G177" i="1" s="1"/>
  <c r="G178" i="1" s="1"/>
  <c r="D174" i="1"/>
  <c r="F174" i="1" s="1"/>
  <c r="F249" i="1"/>
  <c r="F248" i="1"/>
  <c r="F247" i="1"/>
  <c r="F245" i="1"/>
  <c r="D244" i="1"/>
  <c r="F271" i="1"/>
  <c r="F270" i="1"/>
  <c r="F269" i="1"/>
  <c r="F268" i="1"/>
  <c r="F267" i="1"/>
  <c r="A267" i="1"/>
  <c r="A268" i="1" s="1"/>
  <c r="A269" i="1" s="1"/>
  <c r="G266" i="1"/>
  <c r="G267" i="1" s="1"/>
  <c r="G268" i="1" s="1"/>
  <c r="G269" i="1" s="1"/>
  <c r="F243" i="1"/>
  <c r="F242" i="1"/>
  <c r="A242" i="1"/>
  <c r="D264" i="1"/>
  <c r="F264" i="1" s="1"/>
  <c r="G264" i="1"/>
  <c r="C142" i="1" l="1"/>
  <c r="C143" i="1" s="1"/>
  <c r="E142" i="1"/>
  <c r="E143" i="1" s="1"/>
  <c r="E133" i="1"/>
  <c r="C133" i="1"/>
  <c r="G141" i="1"/>
  <c r="E132" i="1"/>
  <c r="C132" i="1"/>
  <c r="G132" i="1"/>
  <c r="F244" i="1"/>
  <c r="F241" i="1"/>
  <c r="F266" i="1"/>
  <c r="G134" i="1" s="1"/>
  <c r="G270" i="1"/>
  <c r="G249" i="1" s="1"/>
  <c r="G271" i="1"/>
  <c r="G242" i="1"/>
  <c r="F239" i="1"/>
  <c r="G127" i="1" s="1"/>
  <c r="D262" i="1"/>
  <c r="F262" i="1" s="1"/>
  <c r="D261" i="1"/>
  <c r="F261" i="1" s="1"/>
  <c r="A262" i="1"/>
  <c r="G261" i="1"/>
  <c r="G262" i="1" s="1"/>
  <c r="D234" i="1"/>
  <c r="F234" i="1" s="1"/>
  <c r="D232" i="1"/>
  <c r="F232" i="1" s="1"/>
  <c r="D235" i="1"/>
  <c r="F235" i="1" s="1"/>
  <c r="D229" i="1"/>
  <c r="F229" i="1" s="1"/>
  <c r="A237" i="1"/>
  <c r="A228" i="1"/>
  <c r="A231" i="1" s="1"/>
  <c r="A235" i="1"/>
  <c r="A232" i="1" s="1"/>
  <c r="A234" i="1" s="1"/>
  <c r="G235" i="1"/>
  <c r="G232" i="1" s="1"/>
  <c r="G234" i="1" s="1"/>
  <c r="G228" i="1" s="1"/>
  <c r="G230" i="1" s="1"/>
  <c r="G231" i="1" s="1"/>
  <c r="G233" i="1" s="1"/>
  <c r="G236" i="1" s="1"/>
  <c r="G237" i="1" s="1"/>
  <c r="D154" i="1"/>
  <c r="F154" i="1" s="1"/>
  <c r="D153" i="1"/>
  <c r="D225" i="1"/>
  <c r="F225" i="1" s="1"/>
  <c r="D224" i="1"/>
  <c r="F224" i="1" s="1"/>
  <c r="D223" i="1"/>
  <c r="F223" i="1" s="1"/>
  <c r="D222" i="1"/>
  <c r="F222" i="1" s="1"/>
  <c r="D221" i="1"/>
  <c r="F221" i="1" s="1"/>
  <c r="D220" i="1"/>
  <c r="F220" i="1" s="1"/>
  <c r="D219" i="1"/>
  <c r="F219" i="1" s="1"/>
  <c r="D218" i="1"/>
  <c r="F218" i="1" s="1"/>
  <c r="A224" i="1"/>
  <c r="A225" i="1" s="1"/>
  <c r="A153" i="1" s="1"/>
  <c r="A154" i="1" s="1"/>
  <c r="A219" i="1"/>
  <c r="A220" i="1" s="1"/>
  <c r="A221" i="1" s="1"/>
  <c r="A222" i="1" s="1"/>
  <c r="D259" i="1"/>
  <c r="F259" i="1" s="1"/>
  <c r="F258" i="1"/>
  <c r="D257" i="1"/>
  <c r="F257" i="1" s="1"/>
  <c r="D256" i="1"/>
  <c r="F256" i="1" s="1"/>
  <c r="D255" i="1"/>
  <c r="F255" i="1" s="1"/>
  <c r="D254" i="1"/>
  <c r="F217" i="1"/>
  <c r="F216" i="1"/>
  <c r="D215" i="1"/>
  <c r="F215" i="1" s="1"/>
  <c r="D214" i="1"/>
  <c r="F214" i="1" s="1"/>
  <c r="D213" i="1"/>
  <c r="F213" i="1" s="1"/>
  <c r="D212" i="1"/>
  <c r="A214" i="1"/>
  <c r="A215" i="1" s="1"/>
  <c r="A216" i="1" s="1"/>
  <c r="A217" i="1" s="1"/>
  <c r="A255" i="1"/>
  <c r="A256" i="1" s="1"/>
  <c r="A257" i="1" s="1"/>
  <c r="A258" i="1" s="1"/>
  <c r="A259" i="1" s="1"/>
  <c r="G254" i="1"/>
  <c r="G255" i="1" s="1"/>
  <c r="G256" i="1" s="1"/>
  <c r="G257" i="1" s="1"/>
  <c r="G258" i="1" s="1"/>
  <c r="G259" i="1" s="1"/>
  <c r="E135" i="1" l="1"/>
  <c r="G133" i="1"/>
  <c r="C135" i="1"/>
  <c r="G135" i="1"/>
  <c r="E128" i="1"/>
  <c r="C128" i="1"/>
  <c r="E126" i="1"/>
  <c r="C126" i="1"/>
  <c r="C123" i="1"/>
  <c r="E123" i="1"/>
  <c r="F153" i="1"/>
  <c r="G123" i="1" s="1"/>
  <c r="F212" i="1"/>
  <c r="G126" i="1" s="1"/>
  <c r="F254" i="1"/>
  <c r="G128" i="1" s="1"/>
  <c r="G244" i="1"/>
  <c r="G245" i="1" s="1"/>
  <c r="G246" i="1" s="1"/>
  <c r="G243" i="1"/>
  <c r="E28" i="1"/>
  <c r="G129" i="1" l="1"/>
  <c r="E129" i="1"/>
  <c r="C129" i="1"/>
  <c r="G248" i="1"/>
  <c r="G247" i="1"/>
  <c r="F120" i="1" l="1"/>
  <c r="C14" i="1" l="1"/>
  <c r="F438" i="1" l="1"/>
  <c r="F437" i="1"/>
  <c r="F436" i="1"/>
  <c r="F435" i="1"/>
  <c r="F434" i="1"/>
  <c r="G142" i="1" l="1"/>
  <c r="G143" i="1" s="1"/>
  <c r="B599" i="1"/>
  <c r="F11" i="5" l="1"/>
  <c r="G11" i="5" s="1"/>
  <c r="G10" i="5"/>
  <c r="F9" i="5"/>
  <c r="G9" i="5" s="1"/>
  <c r="G8" i="5"/>
  <c r="F8" i="5"/>
  <c r="F7" i="5"/>
  <c r="G7" i="5" s="1"/>
  <c r="F6" i="5"/>
  <c r="G6" i="5" s="1"/>
  <c r="F5" i="5"/>
  <c r="G5" i="5" s="1"/>
  <c r="D621" i="1"/>
  <c r="G434" i="1"/>
  <c r="G435" i="1" s="1"/>
  <c r="G436" i="1" s="1"/>
  <c r="G437" i="1" s="1"/>
  <c r="G438" i="1" s="1"/>
  <c r="G439" i="1" s="1"/>
  <c r="G213" i="1"/>
  <c r="G214" i="1" s="1"/>
  <c r="G215" i="1" s="1"/>
  <c r="G216" i="1" s="1"/>
  <c r="G217" i="1" s="1"/>
  <c r="G218" i="1" s="1"/>
  <c r="G219" i="1" s="1"/>
  <c r="J105" i="1"/>
  <c r="J104" i="1"/>
  <c r="J103" i="1"/>
  <c r="J102" i="1"/>
  <c r="C94" i="1"/>
  <c r="J77" i="1"/>
  <c r="J76" i="1"/>
  <c r="J75" i="1"/>
  <c r="J74" i="1"/>
  <c r="C66" i="1"/>
  <c r="D53" i="1"/>
  <c r="G48" i="1"/>
  <c r="C48" i="1"/>
  <c r="E41" i="1"/>
  <c r="E42" i="1" s="1"/>
  <c r="E25" i="1"/>
  <c r="E23" i="1"/>
  <c r="E7" i="1"/>
  <c r="E3" i="1"/>
  <c r="H67" i="1"/>
  <c r="H95" i="1"/>
  <c r="G12" i="5" l="1"/>
  <c r="G220" i="1"/>
  <c r="G221" i="1" s="1"/>
  <c r="G222" i="1" s="1"/>
  <c r="G223" i="1" s="1"/>
  <c r="G224" i="1" s="1"/>
  <c r="G225" i="1" s="1"/>
  <c r="G153" i="1" s="1"/>
  <c r="G154" i="1" s="1"/>
  <c r="D60" i="1"/>
  <c r="D105" i="1"/>
  <c r="D106" i="1"/>
  <c r="D107" i="1"/>
  <c r="D101" i="1"/>
  <c r="D102" i="1"/>
  <c r="D103" i="1"/>
  <c r="D104" i="1"/>
  <c r="D100" i="1"/>
  <c r="D79" i="1"/>
  <c r="D77" i="1"/>
  <c r="D76" i="1"/>
  <c r="D75" i="1"/>
  <c r="D73" i="1"/>
  <c r="D72" i="1"/>
  <c r="D78" i="1"/>
  <c r="D74" i="1"/>
  <c r="J70" i="1"/>
  <c r="J71" i="1"/>
  <c r="C70" i="1" s="1"/>
  <c r="J69" i="1"/>
  <c r="J72" i="1"/>
  <c r="J73" i="1" s="1"/>
  <c r="J78" i="1" s="1"/>
  <c r="J79" i="1" s="1"/>
  <c r="C71" i="1" s="1"/>
  <c r="J100" i="1"/>
  <c r="J101" i="1" s="1"/>
  <c r="J106" i="1" s="1"/>
  <c r="J107" i="1" s="1"/>
  <c r="C99" i="1" s="1"/>
  <c r="J98" i="1"/>
  <c r="J99" i="1"/>
  <c r="C98" i="1" s="1"/>
  <c r="J97" i="1"/>
  <c r="E70" i="1" l="1"/>
  <c r="D71" i="1"/>
  <c r="G70" i="1"/>
  <c r="D64" i="1" s="1"/>
  <c r="D70" i="1"/>
  <c r="E98" i="1"/>
  <c r="D99" i="1"/>
  <c r="G98" i="1"/>
  <c r="D98" i="1"/>
  <c r="H81" i="1"/>
  <c r="D93" i="1" l="1"/>
  <c r="D89" i="1"/>
  <c r="D91" i="1"/>
  <c r="D90" i="1"/>
  <c r="J83" i="1"/>
  <c r="D92" i="1"/>
  <c r="D88" i="1"/>
  <c r="J84" i="1"/>
  <c r="D87" i="1"/>
  <c r="D86" i="1"/>
  <c r="J86" i="1"/>
  <c r="J87" i="1" s="1"/>
  <c r="J92" i="1" s="1"/>
  <c r="J93" i="1" s="1"/>
  <c r="J85" i="1"/>
  <c r="D84" i="1" s="1"/>
  <c r="I66" i="1"/>
  <c r="C68" i="1" s="1"/>
  <c r="I94" i="1"/>
  <c r="C96" i="1" s="1"/>
  <c r="F65" i="1"/>
  <c r="D65" i="1"/>
  <c r="E84" i="1" l="1"/>
  <c r="I80" i="1" s="1"/>
  <c r="C82" i="1" s="1"/>
  <c r="D85" i="1"/>
  <c r="G84" i="1"/>
</calcChain>
</file>

<file path=xl/sharedStrings.xml><?xml version="1.0" encoding="utf-8"?>
<sst xmlns="http://schemas.openxmlformats.org/spreadsheetml/2006/main" count="1182" uniqueCount="297">
  <si>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</si>
  <si>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</si>
  <si>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</si>
  <si>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</si>
  <si>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</si>
  <si>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</si>
  <si>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</si>
  <si>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</si>
  <si>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</si>
  <si>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</si>
  <si>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</si>
  <si>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</si>
  <si>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</si>
  <si>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</si>
  <si>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</si>
  <si>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</si>
  <si>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</si>
  <si>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</si>
  <si>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</si>
  <si>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</si>
  <si>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</si>
  <si>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</si>
  <si>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</si>
  <si>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</si>
  <si>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</si>
  <si>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</si>
  <si>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</si>
  <si>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</si>
  <si>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</si>
  <si>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</si>
  <si>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</si>
  <si>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</si>
  <si>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</si>
  <si>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</si>
  <si>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</si>
  <si>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</si>
  <si>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</si>
  <si>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</si>
  <si>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</si>
  <si>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</si>
  <si>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</si>
  <si>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</si>
  <si>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</si>
  <si>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</si>
  <si>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</si>
  <si>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</si>
  <si>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</si>
  <si>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</si>
  <si>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</si>
  <si>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</si>
  <si>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</si>
  <si>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</si>
  <si>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</si>
  <si>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</si>
  <si>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</si>
  <si>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</si>
  <si>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</si>
  <si>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</si>
  <si>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</si>
  <si>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</si>
  <si>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</si>
  <si>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</si>
  <si>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</si>
  <si>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</si>
  <si>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</si>
  <si>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</si>
  <si>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</si>
  <si>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</si>
  <si>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</si>
  <si>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</si>
  <si>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</si>
  <si>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</si>
  <si>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</si>
  <si>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</si>
  <si>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</si>
  <si>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</si>
  <si>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</si>
  <si>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</si>
  <si>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</si>
  <si>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</si>
  <si>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</si>
  <si>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</si>
  <si>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</si>
  <si>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</si>
  <si>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</si>
  <si>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</si>
  <si>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</si>
  <si>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</si>
  <si>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</si>
  <si>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</si>
  <si>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</si>
  <si>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</si>
  <si>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</si>
  <si>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</si>
  <si>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</si>
  <si>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</si>
  <si>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</si>
  <si>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</si>
  <si>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</si>
  <si>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</si>
  <si>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</si>
  <si>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</si>
  <si>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</si>
  <si>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</si>
  <si>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</si>
  <si>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</si>
  <si>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</si>
  <si>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</si>
  <si>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</si>
  <si>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</si>
  <si>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</si>
  <si>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</si>
  <si>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</si>
  <si>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</si>
  <si>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</si>
  <si>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</si>
  <si>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</si>
  <si>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</si>
  <si>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</si>
  <si>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</si>
  <si>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</si>
  <si>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</si>
  <si>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</si>
  <si>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</si>
  <si>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</si>
  <si>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</si>
  <si>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</si>
  <si>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</si>
  <si>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</si>
  <si>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</si>
  <si>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</si>
  <si>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</si>
  <si>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</si>
  <si>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</si>
  <si>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</si>
  <si>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</si>
  <si>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</si>
  <si>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</si>
  <si>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</si>
  <si>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</si>
  <si>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</si>
  <si>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</si>
  <si>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</si>
  <si>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</si>
  <si>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</si>
  <si>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</si>
  <si>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</si>
  <si>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</si>
  <si>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</si>
  <si>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</si>
  <si>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</si>
  <si>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</si>
  <si>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</si>
  <si>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</si>
  <si>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</si>
  <si>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</si>
  <si>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</si>
  <si>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</si>
  <si>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Flat Per Sq. Ft.</t>
  </si>
  <si>
    <t>Recommended rate of the Office Per Sq. Ft.</t>
  </si>
  <si>
    <t>On Saleable Area</t>
  </si>
  <si>
    <t>Axis Goregaon</t>
  </si>
  <si>
    <t>M/s. Golden Realty</t>
  </si>
  <si>
    <t>CTS No</t>
  </si>
  <si>
    <t>1.4 KM from Grant Road Railway Station</t>
  </si>
  <si>
    <t>Parshuram Pupala Marg</t>
  </si>
  <si>
    <t>Name of the Project As per RERA Site</t>
  </si>
  <si>
    <t>Mumbai</t>
  </si>
  <si>
    <t>Manaji Rajuji Road</t>
  </si>
  <si>
    <t>Dedh Galli</t>
  </si>
  <si>
    <t>Building</t>
  </si>
  <si>
    <t>Dinanath building</t>
  </si>
  <si>
    <t>Ward E, Byculla</t>
  </si>
  <si>
    <t>CHE/CTY/0759/E/337(NEW)</t>
  </si>
  <si>
    <t>Municipal Corporation Of Greater Mumbai (MCGM)</t>
  </si>
  <si>
    <t>A Wing</t>
  </si>
  <si>
    <t>B Wing</t>
  </si>
  <si>
    <t>Shop
(Sale Or Rehab)</t>
  </si>
  <si>
    <t>Sale</t>
  </si>
  <si>
    <t>Shop</t>
  </si>
  <si>
    <t>Rehab</t>
  </si>
  <si>
    <t>Shop Duplex with 1st Floor</t>
  </si>
  <si>
    <t xml:space="preserve">Shop </t>
  </si>
  <si>
    <t>1st Floor</t>
  </si>
  <si>
    <t>Shop Duplex with Ground Floor</t>
  </si>
  <si>
    <t>Golden Residency</t>
  </si>
  <si>
    <t>Business Office</t>
  </si>
  <si>
    <t>Restaurant</t>
  </si>
  <si>
    <t>3rd Floor</t>
  </si>
  <si>
    <t>Professional Office</t>
  </si>
  <si>
    <t>4th Floor For Fitness Center</t>
  </si>
  <si>
    <t>1BHK</t>
  </si>
  <si>
    <t>1RK</t>
  </si>
  <si>
    <t>6th Floor</t>
  </si>
  <si>
    <t>8th Floor</t>
  </si>
  <si>
    <t>-</t>
  </si>
  <si>
    <t>Refuge Area</t>
  </si>
  <si>
    <t>7th Floor (Part Refuge Area)</t>
  </si>
  <si>
    <t>9th Floor</t>
  </si>
  <si>
    <t>A Wing - Extension</t>
  </si>
  <si>
    <t>6th Floor For Commercial</t>
  </si>
  <si>
    <t>7th Floor For Commercial (Part Refuge Area)</t>
  </si>
  <si>
    <t>8th Floor For Commercial</t>
  </si>
  <si>
    <t>9th Floor For Commercial</t>
  </si>
  <si>
    <t>4th to 7th Floor For Parking Area</t>
  </si>
  <si>
    <t>10th Floor For Fitness Center</t>
  </si>
  <si>
    <t>8th Floor Double Height Area</t>
  </si>
  <si>
    <t>9th Floor (Part Refuge Area)</t>
  </si>
  <si>
    <t>1.5BHK</t>
  </si>
  <si>
    <t>10th Floor</t>
  </si>
  <si>
    <t>11th to 12th Floor For Fitness Center</t>
  </si>
  <si>
    <t>11th &amp; 12th Floor</t>
  </si>
  <si>
    <t>13th, 15th &amp; 16th Floor</t>
  </si>
  <si>
    <t>12th, 14th &amp; 15thFloor</t>
  </si>
  <si>
    <t>17th Floor</t>
  </si>
  <si>
    <t>16th Floor (Part Refuge Area)</t>
  </si>
  <si>
    <t>14th Floor (Part Refuge Area)</t>
  </si>
  <si>
    <t>13th Floor</t>
  </si>
  <si>
    <t>18th Floor</t>
  </si>
  <si>
    <t>19th Floor</t>
  </si>
  <si>
    <t>18th Floor (Part Terrace Area)</t>
  </si>
  <si>
    <t xml:space="preserve"> Terrace Area</t>
  </si>
  <si>
    <t>20th Floor</t>
  </si>
  <si>
    <t xml:space="preserve"> Terrace Area Below</t>
  </si>
  <si>
    <t>21st Floor (Part Refuge Area)</t>
  </si>
  <si>
    <t>We considered Gross carpet area = Net carpet.</t>
  </si>
  <si>
    <t>21st Floor</t>
  </si>
  <si>
    <t>22nd Floor</t>
  </si>
  <si>
    <t>10th &amp; 11th Floor (Part Refuge Area)</t>
  </si>
  <si>
    <t>23rd, 25th to 30th Floor</t>
  </si>
  <si>
    <t>22nd, 24th to 29th Floor</t>
  </si>
  <si>
    <t>30th Floor (Part Refuge Area)</t>
  </si>
  <si>
    <t>31st Floor</t>
  </si>
  <si>
    <t>24th Floor</t>
  </si>
  <si>
    <t>23rd Floor (Part Refuge Area)</t>
  </si>
  <si>
    <t>32nd to 34th Floor</t>
  </si>
  <si>
    <t>35th Floor (Part Refuge Area)</t>
  </si>
  <si>
    <t>34th Floor</t>
  </si>
  <si>
    <t>36th &amp; 37th Floor</t>
  </si>
  <si>
    <t>A Wing = G + 1st to 36th Floor</t>
  </si>
  <si>
    <t>B Wing = G + 1st to 37th Floor</t>
  </si>
  <si>
    <t xml:space="preserve">Commencement-CC No
Valid Up to: </t>
  </si>
  <si>
    <t>31st to 33rd Floor</t>
  </si>
  <si>
    <t>Furniture &amp; Fixture</t>
  </si>
  <si>
    <t>Maintenance Charges (for 2yrs)</t>
  </si>
  <si>
    <t>Society Formation Charges &amp; Registration Charges</t>
  </si>
  <si>
    <t>Approved Plans, CC, Sale Plans, Cost Sheet</t>
  </si>
  <si>
    <t>35th &amp; 36th Floor</t>
  </si>
  <si>
    <t>P51900007576</t>
  </si>
  <si>
    <t>Grant Road East</t>
  </si>
  <si>
    <t>Infrastructure / Development Charges</t>
  </si>
  <si>
    <t>Ground Floor for Commercial &amp; Parking</t>
  </si>
  <si>
    <t>plzz check name &amp; CA</t>
  </si>
  <si>
    <t>1st Floor for Commercial</t>
  </si>
  <si>
    <t xml:space="preserve">4th Floor </t>
  </si>
  <si>
    <t xml:space="preserve">5th Floor </t>
  </si>
  <si>
    <t>13th, 15th &amp; 16th Floor for Residential</t>
  </si>
  <si>
    <t>plzz check CA</t>
  </si>
  <si>
    <t>Plzz check</t>
  </si>
  <si>
    <t>Plzz check numbering</t>
  </si>
  <si>
    <t>5th Floor for Residential</t>
  </si>
  <si>
    <t>Commercial Area Details : Shop</t>
  </si>
  <si>
    <t>Commercial Area Details : Office</t>
  </si>
  <si>
    <t>Residential Area Details : Flat</t>
  </si>
  <si>
    <t xml:space="preserve">Sale </t>
  </si>
  <si>
    <t>Sale (Restaurant)</t>
  </si>
  <si>
    <t xml:space="preserve">A Wing </t>
  </si>
  <si>
    <t>Sale Shop - 10, Rehab Shop - 30, Sale Office - 52, Sale Flat - 254, Rehab Flat - 163, Restaurant - 1</t>
  </si>
  <si>
    <t>A &amp; B Wing = Office numbering of 3rd floor asssume clockwise direction.</t>
  </si>
  <si>
    <t>Recommended rate of the Shop (For Ground Floor) Per Sq. Ft.</t>
  </si>
  <si>
    <t>Recommended rate of the Shop (Above Ground Floor) Per Sq. Ft.</t>
  </si>
  <si>
    <t>plzzz check</t>
  </si>
  <si>
    <t xml:space="preserve">A &amp; B Wing, A Wing Extension </t>
  </si>
  <si>
    <t>3 Wings</t>
  </si>
  <si>
    <t>Recommended rate of the Restaurant Per Sq. Ft.</t>
  </si>
  <si>
    <t>28, 29, 34 &amp; 35 of Byculla Division, E - ward, Bearing C.S.No. / Ward No. E-770 to 774, E-1089 to 1091 &amp; 1086 to 1088 at Bapty Road &amp; Kamathipura.</t>
  </si>
  <si>
    <t>Redevelopment of CS 28, 29, 34, 35</t>
  </si>
  <si>
    <t>Kamatipura</t>
  </si>
  <si>
    <t>Shelaji Avenue</t>
  </si>
  <si>
    <t>This CC is endorsed and extended further up to 36th floors for 'A' Wing and upto 36th floor for 'B' Wing as per the last amended plans dated 30.12.2021.</t>
  </si>
  <si>
    <t>As per RERA - 30/12/2023</t>
  </si>
  <si>
    <t>https://goo.gl/maps/ruD4nSthAcUQcJxN8</t>
  </si>
  <si>
    <t xml:space="preserve">A Wing = G + 1st to 36th Floor
A Wing (Extension) = G + 1st to 20th Floor
B Wing = G + 1st to 37th Floor
</t>
  </si>
  <si>
    <t>A Wing (Extension) = G + 1st to 20th Floor</t>
  </si>
  <si>
    <t xml:space="preserve">1. Vitrified tiles flooring 2. Granite Kitchen Platform 3. Decorative Enternace etc.
</t>
  </si>
  <si>
    <t>Office No. 1031, Wing J, Akshar Business Park, Plot No. 03 Sector 25, Near APMC Market, 
Vashi, Navi Mumbai, Maharashtra 400703 TEL: 022-46090378/79/8
E mail : vsjcapf@gmail.com. Web site : www.vsjadon.com</t>
  </si>
  <si>
    <t>Location Link</t>
  </si>
  <si>
    <t>Latitude, Longitude</t>
  </si>
  <si>
    <t>18.963515,72.825484</t>
  </si>
  <si>
    <t>Karan Misal</t>
  </si>
  <si>
    <t xml:space="preserve">As per RERA, completion period of project Golden Residency is expired on 30/12/2023 but still project is under construction.
</t>
  </si>
  <si>
    <t>CHE/CTY/0759/E/337(NEW)/FCC/4/ Amend</t>
  </si>
  <si>
    <t>Validity of CC is expired on 30/12/2022. Please provide latest CC.</t>
  </si>
  <si>
    <t>A &amp; B Wing = Internal visit not allowed. We were unable to determine building progress from an external visit; so, we are maintaining the same progress as in the previous report.
A Wing Extension = Work not yet started. Internal visit was not allowed.</t>
  </si>
  <si>
    <t xml:space="preserve">A &amp; B Wing = Construction work same as visit dtd. 09/08/2024
A Wing Extension = Work not yet started. Internal visit was not allowed.
</t>
  </si>
  <si>
    <t>Remark change as per discussion with sachin sir</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</si>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</sst>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b/>
      <sz val="14"/>
      <color indexed="8"/>
      <name val="Times New Roman"/>
      <family val="1"/>
    </font>
    <font>
      <sz val="11"/>
      <color indexed="8"/>
      <name val="Times New Roman"/>
      <family val="1"/>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4">
    <xf numFmtId="0" fontId="0" fillId="0" borderId="0" xfId="0"/>
    <xf numFmtId="0" fontId="6" fillId="0" borderId="0" xfId="4" applyFont="1"/>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2" fillId="0" borderId="1" xfId="5" applyFont="1" applyBorder="1" applyAlignment="1">
      <alignment horizontal="center" vertical="center"/>
    </xf>
    <xf numFmtId="0" fontId="6" fillId="0" borderId="1" xfId="4" applyFont="1" applyBorder="1" applyAlignment="1">
      <alignment horizontal="center" vertical="center"/>
    </xf>
    <xf numFmtId="9" fontId="9" fillId="0" borderId="18" xfId="8" applyFont="1" applyFill="1" applyBorder="1" applyAlignment="1" applyProtection="1">
      <alignment horizontal="center" vertical="top" wrapText="1"/>
      <protection locked="0"/>
    </xf>
    <xf numFmtId="0" fontId="18" fillId="0" borderId="0" xfId="0" applyFont="1" applyFill="1" applyBorder="1" applyProtection="1">
      <protection hidden="1"/>
    </xf>
    <xf numFmtId="0" fontId="8" fillId="0" borderId="10" xfId="1" applyFont="1" applyFill="1" applyBorder="1" applyProtection="1">
      <protection hidden="1"/>
    </xf>
    <xf numFmtId="0" fontId="8" fillId="0" borderId="0" xfId="1" applyFont="1" applyFill="1" applyBorder="1" applyProtection="1">
      <protection hidden="1"/>
    </xf>
    <xf numFmtId="0" fontId="18" fillId="0" borderId="13" xfId="0" applyFont="1" applyFill="1" applyBorder="1" applyProtection="1">
      <protection hidden="1"/>
    </xf>
    <xf numFmtId="0" fontId="13" fillId="0" borderId="4" xfId="1" applyFont="1" applyFill="1" applyBorder="1" applyAlignment="1" applyProtection="1">
      <alignment horizontal="center" vertical="top"/>
      <protection locked="0"/>
    </xf>
    <xf numFmtId="0" fontId="13" fillId="0" borderId="5" xfId="1" applyFont="1" applyFill="1" applyBorder="1" applyAlignment="1" applyProtection="1">
      <alignment horizontal="center" vertical="top"/>
      <protection locked="0"/>
    </xf>
    <xf numFmtId="0" fontId="7" fillId="0" borderId="1" xfId="1" applyFont="1" applyFill="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applyFill="1"/>
    <xf numFmtId="0" fontId="16" fillId="0" borderId="0" xfId="1" applyFont="1" applyFill="1"/>
    <xf numFmtId="0" fontId="13" fillId="0" borderId="0" xfId="1" applyFont="1" applyFill="1"/>
    <xf numFmtId="1" fontId="8" fillId="0" borderId="0" xfId="1" applyNumberFormat="1" applyFont="1" applyFill="1"/>
    <xf numFmtId="0" fontId="8" fillId="0" borderId="0" xfId="1" applyNumberFormat="1" applyFont="1" applyFill="1"/>
    <xf numFmtId="14" fontId="8" fillId="0" borderId="0" xfId="1" applyNumberFormat="1" applyFont="1" applyFill="1"/>
    <xf numFmtId="0" fontId="8" fillId="0" borderId="0" xfId="1" applyFont="1" applyFill="1" applyProtection="1">
      <protection hidden="1"/>
    </xf>
    <xf numFmtId="0" fontId="24" fillId="0" borderId="0" xfId="1" applyFont="1" applyFill="1"/>
    <xf numFmtId="0" fontId="8" fillId="0" borderId="11" xfId="1" applyFont="1" applyFill="1" applyBorder="1" applyProtection="1">
      <protection hidden="1"/>
    </xf>
    <xf numFmtId="0" fontId="8" fillId="0" borderId="12" xfId="1" applyFont="1" applyFill="1" applyBorder="1" applyProtection="1">
      <protection hidden="1"/>
    </xf>
    <xf numFmtId="0" fontId="8" fillId="0" borderId="12" xfId="1" applyFont="1" applyFill="1" applyBorder="1"/>
    <xf numFmtId="0" fontId="18" fillId="0" borderId="12" xfId="0" applyNumberFormat="1" applyFont="1" applyFill="1" applyBorder="1" applyProtection="1">
      <protection hidden="1"/>
    </xf>
    <xf numFmtId="1" fontId="0" fillId="0" borderId="12" xfId="0" applyNumberFormat="1" applyFill="1" applyBorder="1"/>
    <xf numFmtId="1" fontId="0" fillId="0" borderId="12" xfId="0" applyNumberFormat="1" applyFill="1" applyBorder="1" applyAlignment="1">
      <alignment horizontal="right"/>
    </xf>
    <xf numFmtId="1" fontId="0" fillId="0" borderId="14" xfId="0" applyNumberFormat="1" applyFill="1" applyBorder="1"/>
    <xf numFmtId="0" fontId="17" fillId="0" borderId="0" xfId="1" applyFont="1" applyFill="1"/>
    <xf numFmtId="0" fontId="7" fillId="0" borderId="0" xfId="2" applyFont="1" applyFill="1"/>
    <xf numFmtId="0" fontId="8" fillId="0" borderId="0" xfId="0" applyFont="1" applyFill="1" applyAlignment="1">
      <alignment horizontal="center" vertical="center"/>
    </xf>
    <xf numFmtId="1" fontId="8" fillId="0" borderId="0" xfId="1" applyNumberFormat="1" applyFont="1" applyFill="1" applyAlignment="1">
      <alignment horizontal="center" vertical="center"/>
    </xf>
    <xf numFmtId="0" fontId="8" fillId="0" borderId="0" xfId="1" applyNumberFormat="1" applyFont="1" applyFill="1" applyAlignment="1">
      <alignment horizontal="center" vertical="center"/>
    </xf>
    <xf numFmtId="0" fontId="9" fillId="0" borderId="0" xfId="1" applyFont="1" applyFill="1" applyBorder="1" applyAlignment="1" applyProtection="1">
      <alignment vertical="top"/>
      <protection locked="0"/>
    </xf>
    <xf numFmtId="0" fontId="9" fillId="0" borderId="0" xfId="1" applyFont="1" applyFill="1" applyBorder="1" applyAlignment="1" applyProtection="1">
      <alignment vertical="top" wrapText="1"/>
      <protection locked="0"/>
    </xf>
    <xf numFmtId="0" fontId="8" fillId="0" borderId="0" xfId="1" applyFont="1" applyFill="1" applyProtection="1">
      <protection locked="0"/>
    </xf>
    <xf numFmtId="0" fontId="11" fillId="0" borderId="0" xfId="1" applyFont="1" applyFill="1" applyProtection="1">
      <protection locked="0"/>
    </xf>
    <xf numFmtId="1" fontId="7" fillId="0" borderId="1" xfId="1" applyNumberFormat="1" applyFont="1" applyFill="1" applyBorder="1" applyAlignment="1" applyProtection="1">
      <alignment horizontal="center" vertical="center" wrapText="1"/>
      <protection locked="0"/>
    </xf>
    <xf numFmtId="1" fontId="9" fillId="0" borderId="3" xfId="1" applyNumberFormat="1" applyFont="1" applyFill="1" applyBorder="1" applyAlignment="1" applyProtection="1">
      <alignment horizontal="center" vertical="top" wrapText="1"/>
      <protection locked="0"/>
    </xf>
    <xf numFmtId="0" fontId="8" fillId="0" borderId="1" xfId="1" applyFont="1" applyFill="1" applyBorder="1" applyAlignment="1" applyProtection="1">
      <alignment horizontal="center" vertical="top" wrapText="1"/>
      <protection locked="0"/>
    </xf>
    <xf numFmtId="0" fontId="8" fillId="0" borderId="7" xfId="1" applyFont="1" applyFill="1" applyBorder="1" applyAlignment="1" applyProtection="1">
      <alignment horizontal="center" vertical="top" wrapText="1"/>
      <protection locked="0"/>
    </xf>
    <xf numFmtId="0" fontId="9" fillId="0" borderId="1" xfId="1" applyFont="1" applyFill="1" applyBorder="1" applyAlignment="1" applyProtection="1">
      <alignment vertical="top"/>
      <protection locked="0"/>
    </xf>
    <xf numFmtId="1" fontId="7" fillId="0" borderId="1" xfId="0" applyNumberFormat="1" applyFont="1" applyFill="1" applyBorder="1" applyAlignment="1" applyProtection="1">
      <alignment horizontal="center" vertical="center" wrapText="1"/>
      <protection locked="0"/>
    </xf>
    <xf numFmtId="0" fontId="8" fillId="0" borderId="0" xfId="1" applyFont="1" applyFill="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8" fillId="0" borderId="0" xfId="1" applyFont="1" applyFill="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8" fillId="0" borderId="0" xfId="1" applyFont="1" applyFill="1" applyAlignment="1">
      <alignment horizontal="center" vertical="center"/>
    </xf>
    <xf numFmtId="0" fontId="8" fillId="0" borderId="0" xfId="1" applyFont="1" applyFill="1" applyAlignment="1">
      <alignment horizontal="center" vertical="center"/>
    </xf>
    <xf numFmtId="0" fontId="8" fillId="0" borderId="0" xfId="1" applyFont="1" applyFill="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8" fillId="0" borderId="0" xfId="1" applyFont="1" applyFill="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top"/>
      <protection locked="0"/>
    </xf>
    <xf numFmtId="0" fontId="13" fillId="0" borderId="0" xfId="1" applyFont="1" applyFill="1" applyBorder="1" applyProtection="1">
      <protection hidden="1"/>
    </xf>
    <xf numFmtId="0" fontId="13" fillId="0" borderId="12" xfId="1" applyFont="1" applyFill="1" applyBorder="1" applyProtection="1">
      <protection hidden="1"/>
    </xf>
    <xf numFmtId="1" fontId="7"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wrapText="1"/>
      <protection locked="0"/>
    </xf>
    <xf numFmtId="0" fontId="8" fillId="0" borderId="0" xfId="1" applyFont="1" applyFill="1" applyAlignment="1">
      <alignment horizontal="center" vertical="center"/>
    </xf>
    <xf numFmtId="0" fontId="8" fillId="0" borderId="1" xfId="1" applyFont="1" applyFill="1" applyBorder="1" applyAlignment="1" applyProtection="1">
      <alignment horizontal="center" vertical="top" wrapText="1"/>
      <protection locked="0"/>
    </xf>
    <xf numFmtId="0" fontId="8" fillId="0" borderId="7"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protection locked="0"/>
    </xf>
    <xf numFmtId="1" fontId="13" fillId="0" borderId="1" xfId="1" applyNumberFormat="1" applyFont="1" applyFill="1" applyBorder="1" applyAlignment="1" applyProtection="1">
      <alignment horizontal="center" vertical="center" wrapText="1"/>
      <protection locked="0"/>
    </xf>
    <xf numFmtId="0" fontId="8" fillId="2" borderId="0" xfId="1" applyFont="1" applyFill="1" applyAlignment="1">
      <alignment horizontal="center" vertical="center"/>
    </xf>
    <xf numFmtId="1" fontId="26" fillId="0" borderId="1" xfId="0" applyNumberFormat="1" applyFont="1" applyFill="1" applyBorder="1" applyAlignment="1" applyProtection="1">
      <alignment horizontal="center" vertical="center" wrapText="1"/>
      <protection locked="0"/>
    </xf>
    <xf numFmtId="0" fontId="8" fillId="2" borderId="0" xfId="1" applyFont="1" applyFill="1"/>
    <xf numFmtId="0" fontId="1" fillId="0" borderId="1" xfId="5" applyFont="1" applyBorder="1" applyAlignment="1">
      <alignment horizontal="left" vertical="center"/>
    </xf>
    <xf numFmtId="1"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1" fontId="8"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pplyProtection="1">
      <alignment horizontal="center" vertical="top" wrapText="1"/>
      <protection locked="0"/>
    </xf>
    <xf numFmtId="1" fontId="9" fillId="0" borderId="1" xfId="0"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left" vertical="top"/>
      <protection locked="0"/>
    </xf>
    <xf numFmtId="167" fontId="13" fillId="0" borderId="1" xfId="9" applyNumberFormat="1" applyFont="1" applyFill="1" applyBorder="1" applyAlignment="1" applyProtection="1">
      <alignment horizontal="left" vertical="top"/>
      <protection locked="0"/>
    </xf>
    <xf numFmtId="0" fontId="9" fillId="0" borderId="1" xfId="1" applyFont="1" applyFill="1" applyBorder="1" applyAlignment="1" applyProtection="1">
      <alignment horizontal="left" vertical="top"/>
      <protection locked="0"/>
    </xf>
    <xf numFmtId="0" fontId="11" fillId="0" borderId="1" xfId="0" applyFont="1" applyFill="1" applyBorder="1" applyAlignment="1" applyProtection="1">
      <alignment horizontal="center" vertical="top" wrapText="1"/>
      <protection locked="0"/>
    </xf>
    <xf numFmtId="0" fontId="8" fillId="0" borderId="4" xfId="1" applyFont="1" applyFill="1" applyBorder="1" applyAlignment="1" applyProtection="1">
      <alignment horizontal="center" vertical="top" wrapText="1"/>
      <protection locked="0"/>
    </xf>
    <xf numFmtId="0" fontId="8" fillId="0" borderId="1" xfId="1" applyFont="1" applyFill="1" applyBorder="1" applyAlignment="1" applyProtection="1">
      <alignment horizontal="center" vertical="top" wrapText="1"/>
      <protection locked="0"/>
    </xf>
    <xf numFmtId="0" fontId="11" fillId="0" borderId="1" xfId="0" applyFont="1" applyFill="1" applyBorder="1" applyAlignment="1" applyProtection="1">
      <alignment horizontal="center" vertical="center"/>
      <protection locked="0"/>
    </xf>
    <xf numFmtId="1" fontId="9" fillId="0" borderId="1" xfId="0" applyNumberFormat="1" applyFont="1" applyFill="1" applyBorder="1" applyAlignment="1" applyProtection="1">
      <alignment horizontal="center" vertical="top" wrapText="1"/>
      <protection locked="0"/>
    </xf>
    <xf numFmtId="1" fontId="11" fillId="0" borderId="1" xfId="0" applyNumberFormat="1" applyFont="1" applyFill="1" applyBorder="1" applyAlignment="1" applyProtection="1">
      <alignment horizontal="center" vertical="center"/>
      <protection locked="0"/>
    </xf>
    <xf numFmtId="1" fontId="11" fillId="0" borderId="1" xfId="0"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 fontId="7" fillId="0" borderId="8"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left" vertical="top"/>
      <protection locked="0"/>
    </xf>
    <xf numFmtId="0" fontId="9" fillId="0" borderId="24" xfId="1" applyFont="1" applyFill="1" applyBorder="1" applyAlignment="1" applyProtection="1">
      <alignment horizontal="left" vertical="top" wrapText="1"/>
      <protection locked="0"/>
    </xf>
    <xf numFmtId="0" fontId="9" fillId="0" borderId="17" xfId="1" applyFont="1" applyFill="1" applyBorder="1" applyAlignment="1" applyProtection="1">
      <alignment horizontal="left" vertical="top" wrapText="1"/>
      <protection locked="0"/>
    </xf>
    <xf numFmtId="0" fontId="9" fillId="0" borderId="15" xfId="1" applyFont="1" applyFill="1" applyBorder="1" applyAlignment="1" applyProtection="1">
      <alignment horizontal="left" vertical="top" wrapText="1"/>
      <protection locked="0"/>
    </xf>
    <xf numFmtId="0" fontId="9" fillId="0" borderId="16" xfId="1" applyFont="1" applyFill="1" applyBorder="1" applyAlignment="1" applyProtection="1">
      <alignment horizontal="left" vertical="top" wrapText="1"/>
      <protection locked="0"/>
    </xf>
    <xf numFmtId="0" fontId="9" fillId="0" borderId="25" xfId="1" applyFont="1" applyFill="1" applyBorder="1" applyAlignment="1" applyProtection="1">
      <alignment horizontal="left" vertical="top" wrapText="1"/>
      <protection locked="0"/>
    </xf>
    <xf numFmtId="0" fontId="14" fillId="0" borderId="4"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wrapText="1"/>
      <protection locked="0"/>
    </xf>
    <xf numFmtId="0" fontId="14" fillId="0" borderId="5" xfId="1" applyFont="1" applyFill="1" applyBorder="1" applyAlignment="1" applyProtection="1">
      <alignment horizontal="left" vertical="top" wrapText="1"/>
      <protection locked="0"/>
    </xf>
    <xf numFmtId="0" fontId="8" fillId="0" borderId="5" xfId="1" applyFont="1" applyFill="1" applyBorder="1" applyAlignment="1" applyProtection="1">
      <alignment horizontal="center" vertical="top" wrapText="1"/>
      <protection locked="0"/>
    </xf>
    <xf numFmtId="9" fontId="8" fillId="0" borderId="19" xfId="8" applyFont="1" applyFill="1" applyBorder="1" applyAlignment="1" applyProtection="1">
      <alignment horizontal="center" vertical="center" wrapText="1"/>
      <protection locked="0"/>
    </xf>
    <xf numFmtId="9" fontId="8" fillId="0" borderId="20" xfId="8" applyFont="1" applyFill="1" applyBorder="1" applyAlignment="1" applyProtection="1">
      <alignment horizontal="center" vertical="center" wrapText="1"/>
      <protection locked="0"/>
    </xf>
    <xf numFmtId="9" fontId="8" fillId="0" borderId="27"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30" xfId="8" applyFont="1" applyFill="1" applyBorder="1" applyAlignment="1" applyProtection="1">
      <alignment horizontal="center" vertical="center" wrapText="1"/>
      <protection locked="0"/>
    </xf>
    <xf numFmtId="9" fontId="8" fillId="0" borderId="31"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9" fontId="8" fillId="0" borderId="14" xfId="8"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top" wrapText="1"/>
      <protection locked="0"/>
    </xf>
    <xf numFmtId="0" fontId="8" fillId="0" borderId="7" xfId="1" applyFont="1" applyFill="1" applyBorder="1" applyAlignment="1" applyProtection="1">
      <alignment horizontal="center" vertical="top" wrapText="1"/>
      <protection locked="0"/>
    </xf>
    <xf numFmtId="1" fontId="9" fillId="0" borderId="8" xfId="1" applyNumberFormat="1" applyFont="1" applyFill="1" applyBorder="1" applyAlignment="1" applyProtection="1">
      <alignment horizontal="center" vertical="center" wrapText="1"/>
      <protection locked="0"/>
    </xf>
    <xf numFmtId="1" fontId="9" fillId="0" borderId="23" xfId="1" applyNumberFormat="1" applyFont="1" applyFill="1" applyBorder="1" applyAlignment="1" applyProtection="1">
      <alignment horizontal="center" vertical="center" wrapText="1"/>
      <protection locked="0"/>
    </xf>
    <xf numFmtId="1" fontId="9" fillId="0" borderId="9" xfId="1" applyNumberFormat="1" applyFont="1" applyFill="1" applyBorder="1" applyAlignment="1" applyProtection="1">
      <alignment horizontal="center" vertical="center" wrapText="1"/>
      <protection locked="0"/>
    </xf>
    <xf numFmtId="1" fontId="7" fillId="0" borderId="19" xfId="1" applyNumberFormat="1" applyFont="1" applyFill="1" applyBorder="1" applyAlignment="1" applyProtection="1">
      <alignment horizontal="center" vertical="center" wrapText="1"/>
      <protection locked="0"/>
    </xf>
    <xf numFmtId="1" fontId="7" fillId="0" borderId="26" xfId="1" applyNumberFormat="1" applyFont="1" applyFill="1" applyBorder="1" applyAlignment="1" applyProtection="1">
      <alignment horizontal="center" vertical="center" wrapText="1"/>
      <protection locked="0"/>
    </xf>
    <xf numFmtId="1" fontId="7" fillId="0" borderId="20" xfId="1" applyNumberFormat="1" applyFont="1" applyFill="1" applyBorder="1" applyAlignment="1" applyProtection="1">
      <alignment horizontal="center" vertical="center" wrapText="1"/>
      <protection locked="0"/>
    </xf>
    <xf numFmtId="1" fontId="7" fillId="0" borderId="21" xfId="1" applyNumberFormat="1" applyFont="1" applyFill="1" applyBorder="1" applyAlignment="1" applyProtection="1">
      <alignment horizontal="center" vertical="center" wrapText="1"/>
      <protection locked="0"/>
    </xf>
    <xf numFmtId="1" fontId="7" fillId="0" borderId="2" xfId="1" applyNumberFormat="1" applyFont="1" applyFill="1" applyBorder="1" applyAlignment="1" applyProtection="1">
      <alignment horizontal="center" vertical="center" wrapText="1"/>
      <protection locked="0"/>
    </xf>
    <xf numFmtId="1" fontId="7" fillId="0" borderId="22" xfId="1" applyNumberFormat="1" applyFont="1" applyFill="1" applyBorder="1" applyAlignment="1" applyProtection="1">
      <alignment horizontal="center" vertical="center" wrapText="1"/>
      <protection locked="0"/>
    </xf>
    <xf numFmtId="1" fontId="7" fillId="0" borderId="23" xfId="1" applyNumberFormat="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top"/>
      <protection locked="0"/>
    </xf>
    <xf numFmtId="1" fontId="9" fillId="0" borderId="3" xfId="1" applyNumberFormat="1" applyFont="1" applyFill="1" applyBorder="1" applyAlignment="1" applyProtection="1">
      <alignment horizontal="center" vertical="top" wrapText="1"/>
      <protection locked="0"/>
    </xf>
    <xf numFmtId="1" fontId="9" fillId="0" borderId="18" xfId="1" applyNumberFormat="1" applyFont="1" applyFill="1" applyBorder="1" applyAlignment="1" applyProtection="1">
      <alignment horizontal="center" vertical="top" wrapText="1"/>
      <protection locked="0"/>
    </xf>
    <xf numFmtId="1" fontId="7" fillId="0" borderId="3" xfId="0" applyNumberFormat="1" applyFont="1" applyFill="1" applyBorder="1" applyAlignment="1" applyProtection="1">
      <alignment horizontal="center" vertical="center" wrapText="1"/>
      <protection locked="0"/>
    </xf>
    <xf numFmtId="1" fontId="7" fillId="0" borderId="18" xfId="0" applyNumberFormat="1" applyFont="1" applyFill="1" applyBorder="1" applyAlignment="1" applyProtection="1">
      <alignment horizontal="center" vertical="center" wrapText="1"/>
      <protection locked="0"/>
    </xf>
    <xf numFmtId="1" fontId="14" fillId="0" borderId="8" xfId="1" applyNumberFormat="1" applyFont="1" applyFill="1" applyBorder="1" applyAlignment="1" applyProtection="1">
      <alignment horizontal="center" vertical="center" wrapText="1"/>
      <protection locked="0"/>
    </xf>
    <xf numFmtId="1" fontId="14" fillId="0" borderId="23" xfId="1" applyNumberFormat="1" applyFont="1" applyFill="1" applyBorder="1" applyAlignment="1" applyProtection="1">
      <alignment horizontal="center" vertical="center" wrapText="1"/>
      <protection locked="0"/>
    </xf>
    <xf numFmtId="1" fontId="14" fillId="0" borderId="9" xfId="1" applyNumberFormat="1" applyFont="1" applyFill="1" applyBorder="1" applyAlignment="1" applyProtection="1">
      <alignment horizontal="center" vertical="center" wrapText="1"/>
      <protection locked="0"/>
    </xf>
    <xf numFmtId="0" fontId="8" fillId="0" borderId="0" xfId="1" applyFont="1" applyFill="1" applyAlignment="1">
      <alignment horizontal="center" vertical="center"/>
    </xf>
    <xf numFmtId="1" fontId="25" fillId="0" borderId="8" xfId="1" applyNumberFormat="1" applyFont="1" applyFill="1" applyBorder="1" applyAlignment="1" applyProtection="1">
      <alignment horizontal="center" vertical="center" wrapText="1"/>
      <protection locked="0"/>
    </xf>
    <xf numFmtId="1" fontId="25" fillId="0" borderId="23" xfId="1" applyNumberFormat="1" applyFont="1" applyFill="1" applyBorder="1" applyAlignment="1" applyProtection="1">
      <alignment horizontal="center" vertical="center" wrapText="1"/>
      <protection locked="0"/>
    </xf>
    <xf numFmtId="1" fontId="25" fillId="0" borderId="9" xfId="1" applyNumberFormat="1" applyFont="1" applyFill="1" applyBorder="1" applyAlignment="1" applyProtection="1">
      <alignment horizontal="center" vertical="center" wrapText="1"/>
      <protection locked="0"/>
    </xf>
    <xf numFmtId="1" fontId="9" fillId="0" borderId="19" xfId="1" applyNumberFormat="1" applyFont="1" applyFill="1" applyBorder="1" applyAlignment="1" applyProtection="1">
      <alignment horizontal="center" vertical="top" wrapText="1"/>
      <protection locked="0"/>
    </xf>
    <xf numFmtId="1" fontId="9" fillId="0" borderId="21" xfId="1" applyNumberFormat="1" applyFont="1" applyFill="1" applyBorder="1" applyAlignment="1" applyProtection="1">
      <alignment horizontal="center" vertical="top" wrapText="1"/>
      <protection locked="0"/>
    </xf>
    <xf numFmtId="1" fontId="8" fillId="0" borderId="27" xfId="1" applyNumberFormat="1" applyFont="1" applyFill="1" applyBorder="1" applyAlignment="1">
      <alignment horizontal="center" vertical="center"/>
    </xf>
    <xf numFmtId="1" fontId="8" fillId="0" borderId="0" xfId="1" applyNumberFormat="1" applyFont="1" applyFill="1" applyAlignment="1">
      <alignment horizontal="center" vertical="center"/>
    </xf>
    <xf numFmtId="0" fontId="7" fillId="0" borderId="1" xfId="1" applyFont="1" applyFill="1" applyBorder="1" applyAlignment="1" applyProtection="1">
      <alignment vertical="top"/>
      <protection locked="0"/>
    </xf>
    <xf numFmtId="1" fontId="5" fillId="0" borderId="3" xfId="1" applyNumberFormat="1" applyFont="1" applyFill="1" applyBorder="1" applyAlignment="1" applyProtection="1">
      <alignment horizontal="center" vertical="top" wrapText="1"/>
      <protection locked="0"/>
    </xf>
    <xf numFmtId="1" fontId="5" fillId="0" borderId="18" xfId="1" applyNumberFormat="1" applyFont="1" applyFill="1" applyBorder="1" applyAlignment="1" applyProtection="1">
      <alignment horizontal="center" vertical="top" wrapText="1"/>
      <protection locked="0"/>
    </xf>
    <xf numFmtId="1" fontId="9" fillId="0" borderId="20" xfId="1" applyNumberFormat="1" applyFont="1" applyFill="1" applyBorder="1" applyAlignment="1" applyProtection="1">
      <alignment horizontal="center" vertical="top" wrapText="1"/>
      <protection locked="0"/>
    </xf>
    <xf numFmtId="1" fontId="9" fillId="0" borderId="22" xfId="1" applyNumberFormat="1" applyFont="1" applyFill="1" applyBorder="1" applyAlignment="1" applyProtection="1">
      <alignment horizontal="center" vertical="top" wrapText="1"/>
      <protection locked="0"/>
    </xf>
    <xf numFmtId="0" fontId="9" fillId="0" borderId="1" xfId="1" applyFont="1" applyFill="1" applyBorder="1" applyAlignment="1" applyProtection="1">
      <alignment vertical="top"/>
      <protection locked="0"/>
    </xf>
    <xf numFmtId="1" fontId="28" fillId="0" borderId="8" xfId="0" applyNumberFormat="1" applyFont="1" applyFill="1" applyBorder="1" applyAlignment="1" applyProtection="1">
      <alignment vertical="top" wrapText="1"/>
      <protection locked="0"/>
    </xf>
    <xf numFmtId="1" fontId="28" fillId="0" borderId="23" xfId="0" applyNumberFormat="1" applyFont="1" applyFill="1" applyBorder="1" applyAlignment="1" applyProtection="1">
      <alignment vertical="top" wrapText="1"/>
      <protection locked="0"/>
    </xf>
    <xf numFmtId="1" fontId="28" fillId="0" borderId="9" xfId="0" applyNumberFormat="1" applyFont="1" applyFill="1" applyBorder="1" applyAlignment="1" applyProtection="1">
      <alignment vertical="top" wrapText="1"/>
      <protection locked="0"/>
    </xf>
    <xf numFmtId="167" fontId="14" fillId="0" borderId="1" xfId="9" applyNumberFormat="1" applyFont="1" applyFill="1" applyBorder="1" applyAlignment="1" applyProtection="1">
      <alignment horizontal="left" vertical="top"/>
      <protection locked="0"/>
    </xf>
    <xf numFmtId="165" fontId="7" fillId="0" borderId="1" xfId="1" applyNumberFormat="1" applyFont="1" applyFill="1" applyBorder="1" applyAlignment="1" applyProtection="1">
      <alignment horizontal="left" vertical="top"/>
      <protection locked="0"/>
    </xf>
    <xf numFmtId="0" fontId="7" fillId="0" borderId="8" xfId="1" applyFont="1" applyFill="1" applyBorder="1" applyAlignment="1" applyProtection="1">
      <alignment horizontal="left" vertical="top" wrapText="1"/>
      <protection locked="0"/>
    </xf>
    <xf numFmtId="0" fontId="7" fillId="0" borderId="9" xfId="1" applyFont="1" applyFill="1" applyBorder="1" applyAlignment="1" applyProtection="1">
      <alignment horizontal="left" vertical="top" wrapText="1"/>
      <protection locked="0"/>
    </xf>
    <xf numFmtId="0" fontId="7" fillId="0" borderId="23"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wrapText="1"/>
      <protection locked="0"/>
    </xf>
    <xf numFmtId="0" fontId="7" fillId="0" borderId="3" xfId="1" applyFont="1" applyFill="1" applyBorder="1" applyAlignment="1" applyProtection="1">
      <alignment horizontal="left" vertical="top" wrapText="1"/>
      <protection locked="0"/>
    </xf>
    <xf numFmtId="0" fontId="13" fillId="0" borderId="3" xfId="1" applyFont="1" applyFill="1" applyBorder="1" applyAlignment="1" applyProtection="1">
      <alignment horizontal="left" vertical="top" wrapText="1"/>
      <protection locked="0"/>
    </xf>
    <xf numFmtId="0" fontId="13" fillId="0" borderId="0" xfId="1" applyFont="1" applyFill="1" applyBorder="1" applyAlignment="1" applyProtection="1">
      <alignment horizontal="left" vertical="top"/>
      <protection locked="0"/>
    </xf>
    <xf numFmtId="1" fontId="7" fillId="0" borderId="1" xfId="1" applyNumberFormat="1" applyFont="1" applyFill="1" applyBorder="1" applyAlignment="1" applyProtection="1">
      <alignment horizontal="left" vertical="top" wrapText="1"/>
      <protection locked="0"/>
    </xf>
    <xf numFmtId="0" fontId="7" fillId="0" borderId="3" xfId="1" applyFont="1" applyFill="1" applyBorder="1" applyAlignment="1" applyProtection="1">
      <alignment horizontal="left" vertical="top"/>
      <protection locked="0"/>
    </xf>
    <xf numFmtId="0" fontId="14" fillId="0" borderId="1" xfId="1" applyFont="1" applyFill="1" applyBorder="1" applyAlignment="1" applyProtection="1">
      <alignment horizontal="center" vertical="top" wrapText="1"/>
      <protection locked="0"/>
    </xf>
    <xf numFmtId="0" fontId="15" fillId="0" borderId="1" xfId="1" applyFont="1" applyFill="1" applyBorder="1" applyAlignment="1" applyProtection="1">
      <alignment horizontal="center" vertical="top" wrapText="1"/>
      <protection locked="0"/>
    </xf>
    <xf numFmtId="1" fontId="9" fillId="0" borderId="1" xfId="0" applyNumberFormat="1" applyFont="1" applyFill="1" applyBorder="1" applyAlignment="1" applyProtection="1">
      <alignment horizontal="left" vertical="top" wrapText="1"/>
      <protection locked="0"/>
    </xf>
    <xf numFmtId="1" fontId="9" fillId="0" borderId="8" xfId="0" applyNumberFormat="1" applyFont="1" applyFill="1" applyBorder="1" applyAlignment="1" applyProtection="1">
      <alignment vertical="top" wrapText="1"/>
      <protection locked="0"/>
    </xf>
    <xf numFmtId="1" fontId="9" fillId="0" borderId="23" xfId="0" applyNumberFormat="1" applyFont="1" applyFill="1" applyBorder="1" applyAlignment="1" applyProtection="1">
      <alignment vertical="top" wrapText="1"/>
      <protection locked="0"/>
    </xf>
    <xf numFmtId="1" fontId="9" fillId="0" borderId="9" xfId="0" applyNumberFormat="1" applyFont="1" applyFill="1" applyBorder="1" applyAlignment="1" applyProtection="1">
      <alignment vertical="top" wrapText="1"/>
      <protection locked="0"/>
    </xf>
    <xf numFmtId="2" fontId="7" fillId="0" borderId="1" xfId="1" applyNumberFormat="1" applyFont="1" applyFill="1" applyBorder="1" applyAlignment="1" applyProtection="1">
      <alignment horizontal="left" vertical="top"/>
      <protection locked="0"/>
    </xf>
    <xf numFmtId="0" fontId="13" fillId="0" borderId="3" xfId="1" applyFont="1" applyFill="1" applyBorder="1" applyAlignment="1" applyProtection="1">
      <alignment horizontal="left" vertical="top"/>
      <protection locked="0"/>
    </xf>
    <xf numFmtId="0" fontId="13" fillId="0" borderId="19"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20" xfId="1" applyFont="1" applyFill="1" applyBorder="1" applyAlignment="1" applyProtection="1">
      <alignment horizontal="left" vertical="top" wrapText="1"/>
      <protection locked="0"/>
    </xf>
    <xf numFmtId="14" fontId="7" fillId="0" borderId="8" xfId="1" applyNumberFormat="1" applyFont="1" applyFill="1" applyBorder="1" applyAlignment="1" applyProtection="1">
      <alignment horizontal="left" vertical="top" wrapText="1"/>
      <protection locked="0"/>
    </xf>
    <xf numFmtId="14" fontId="7" fillId="0" borderId="9" xfId="1" applyNumberFormat="1" applyFont="1" applyFill="1" applyBorder="1" applyAlignment="1" applyProtection="1">
      <alignment horizontal="left" vertical="top" wrapText="1"/>
      <protection locked="0"/>
    </xf>
    <xf numFmtId="0" fontId="7" fillId="0" borderId="19" xfId="1" applyFont="1" applyFill="1" applyBorder="1" applyAlignment="1" applyProtection="1">
      <alignment horizontal="left" vertical="top" wrapText="1"/>
      <protection locked="0"/>
    </xf>
    <xf numFmtId="0" fontId="7" fillId="0" borderId="20" xfId="1" applyFont="1" applyFill="1" applyBorder="1" applyAlignment="1" applyProtection="1">
      <alignment horizontal="left" vertical="top" wrapText="1"/>
      <protection locked="0"/>
    </xf>
    <xf numFmtId="0" fontId="7" fillId="0" borderId="21" xfId="1" applyFont="1" applyFill="1" applyBorder="1" applyAlignment="1" applyProtection="1">
      <alignment horizontal="left" vertical="top" wrapText="1"/>
      <protection locked="0"/>
    </xf>
    <xf numFmtId="0" fontId="7" fillId="0" borderId="22"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protection locked="0"/>
    </xf>
    <xf numFmtId="0" fontId="13" fillId="0" borderId="20" xfId="1" applyFont="1" applyFill="1" applyBorder="1" applyAlignment="1" applyProtection="1">
      <alignment horizontal="left" vertical="top"/>
      <protection locked="0"/>
    </xf>
    <xf numFmtId="0" fontId="13" fillId="0" borderId="28" xfId="1" applyFont="1" applyFill="1" applyBorder="1" applyAlignment="1" applyProtection="1">
      <alignment horizontal="left" vertical="top"/>
      <protection locked="0"/>
    </xf>
    <xf numFmtId="0" fontId="9" fillId="0" borderId="8" xfId="1" applyFont="1" applyFill="1" applyBorder="1" applyAlignment="1" applyProtection="1">
      <alignment horizontal="left" vertical="top" wrapText="1"/>
      <protection locked="0"/>
    </xf>
    <xf numFmtId="0" fontId="9" fillId="0" borderId="9" xfId="1" applyFont="1" applyFill="1" applyBorder="1" applyAlignment="1" applyProtection="1">
      <alignment horizontal="left" vertical="top" wrapText="1"/>
      <protection locked="0"/>
    </xf>
    <xf numFmtId="0" fontId="9" fillId="0" borderId="23" xfId="1" applyFont="1" applyFill="1" applyBorder="1" applyAlignment="1" applyProtection="1">
      <alignment horizontal="left" vertical="top" wrapText="1"/>
      <protection locked="0"/>
    </xf>
    <xf numFmtId="0" fontId="9" fillId="0" borderId="8" xfId="1" applyFont="1" applyFill="1" applyBorder="1" applyAlignment="1" applyProtection="1">
      <alignment horizontal="left" vertical="top"/>
      <protection locked="0"/>
    </xf>
    <xf numFmtId="0" fontId="9" fillId="0" borderId="9" xfId="1" applyFont="1" applyFill="1" applyBorder="1" applyAlignment="1" applyProtection="1">
      <alignment horizontal="left" vertical="top"/>
      <protection locked="0"/>
    </xf>
    <xf numFmtId="0" fontId="12" fillId="0" borderId="1" xfId="1" applyFont="1" applyFill="1" applyBorder="1" applyAlignment="1" applyProtection="1">
      <alignment horizontal="center" vertical="top" wrapText="1"/>
      <protection locked="0"/>
    </xf>
    <xf numFmtId="14" fontId="13" fillId="0" borderId="1" xfId="1" applyNumberFormat="1" applyFont="1" applyFill="1" applyBorder="1" applyAlignment="1" applyProtection="1">
      <alignment horizontal="left" vertical="top"/>
      <protection locked="0"/>
    </xf>
    <xf numFmtId="2" fontId="7" fillId="0" borderId="1" xfId="1" applyNumberFormat="1" applyFont="1" applyFill="1" applyBorder="1" applyAlignment="1" applyProtection="1">
      <alignment horizontal="left" vertical="top" wrapText="1"/>
      <protection locked="0"/>
    </xf>
    <xf numFmtId="0" fontId="13" fillId="0" borderId="1" xfId="1" applyFont="1" applyFill="1" applyBorder="1" applyAlignment="1" applyProtection="1">
      <alignment horizontal="left"/>
      <protection locked="0"/>
    </xf>
    <xf numFmtId="0" fontId="13" fillId="0" borderId="1" xfId="1" applyFont="1" applyFill="1" applyBorder="1" applyAlignment="1" applyProtection="1">
      <alignment horizontal="center"/>
      <protection locked="0"/>
    </xf>
    <xf numFmtId="0" fontId="13" fillId="0" borderId="1"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0" fontId="14" fillId="0" borderId="1" xfId="1" applyFont="1" applyFill="1" applyBorder="1" applyAlignment="1" applyProtection="1">
      <alignment horizontal="center"/>
      <protection locked="0"/>
    </xf>
    <xf numFmtId="0" fontId="8" fillId="0" borderId="8" xfId="1" applyFont="1" applyFill="1" applyBorder="1" applyAlignment="1" applyProtection="1">
      <alignment horizontal="left"/>
      <protection locked="0"/>
    </xf>
    <xf numFmtId="0" fontId="8" fillId="0" borderId="23" xfId="1" applyFont="1" applyFill="1" applyBorder="1" applyAlignment="1" applyProtection="1">
      <alignment horizontal="left"/>
      <protection locked="0"/>
    </xf>
    <xf numFmtId="0" fontId="8" fillId="0" borderId="9" xfId="1" applyFont="1" applyFill="1" applyBorder="1" applyAlignment="1" applyProtection="1">
      <alignment horizontal="left"/>
      <protection locked="0"/>
    </xf>
    <xf numFmtId="1" fontId="7" fillId="0" borderId="32" xfId="0" applyNumberFormat="1" applyFont="1" applyFill="1" applyBorder="1" applyAlignment="1" applyProtection="1">
      <alignment horizontal="center" vertical="center" wrapText="1"/>
      <protection locked="0"/>
    </xf>
    <xf numFmtId="0" fontId="9" fillId="0" borderId="18" xfId="1" applyFont="1" applyFill="1" applyBorder="1" applyAlignment="1" applyProtection="1">
      <alignment horizontal="left" vertical="top"/>
      <protection locked="0"/>
    </xf>
    <xf numFmtId="0" fontId="14" fillId="0" borderId="18" xfId="1" applyFont="1" applyFill="1" applyBorder="1" applyAlignment="1" applyProtection="1">
      <alignment horizontal="center" vertical="top"/>
      <protection locked="0"/>
    </xf>
    <xf numFmtId="1" fontId="14" fillId="0" borderId="8" xfId="0" applyNumberFormat="1" applyFont="1" applyFill="1" applyBorder="1" applyAlignment="1" applyProtection="1">
      <alignment vertical="top" wrapText="1"/>
      <protection locked="0"/>
    </xf>
    <xf numFmtId="1" fontId="14" fillId="0" borderId="23" xfId="0" applyNumberFormat="1" applyFont="1" applyFill="1" applyBorder="1" applyAlignment="1" applyProtection="1">
      <alignment vertical="top" wrapText="1"/>
      <protection locked="0"/>
    </xf>
    <xf numFmtId="1" fontId="14" fillId="0" borderId="9" xfId="0" applyNumberFormat="1" applyFont="1" applyFill="1" applyBorder="1" applyAlignment="1" applyProtection="1">
      <alignment vertical="top" wrapText="1"/>
      <protection locked="0"/>
    </xf>
    <xf numFmtId="0" fontId="14" fillId="0" borderId="8" xfId="1" applyFont="1" applyFill="1" applyBorder="1" applyAlignment="1" applyProtection="1">
      <alignment horizontal="left" vertical="top"/>
      <protection locked="0"/>
    </xf>
    <xf numFmtId="0" fontId="14" fillId="0" borderId="23" xfId="1" applyFont="1" applyFill="1" applyBorder="1" applyAlignment="1" applyProtection="1">
      <alignment horizontal="left" vertical="top"/>
      <protection locked="0"/>
    </xf>
    <xf numFmtId="0" fontId="14" fillId="0" borderId="9" xfId="1" applyFont="1" applyFill="1" applyBorder="1" applyAlignment="1" applyProtection="1">
      <alignment horizontal="left" vertical="top"/>
      <protection locked="0"/>
    </xf>
    <xf numFmtId="1" fontId="8" fillId="2" borderId="27" xfId="1" applyNumberFormat="1" applyFont="1" applyFill="1" applyBorder="1" applyAlignment="1">
      <alignment horizontal="center" vertical="center"/>
    </xf>
    <xf numFmtId="1" fontId="8" fillId="2" borderId="0" xfId="1" applyNumberFormat="1" applyFont="1" applyFill="1" applyAlignment="1">
      <alignment horizontal="center" vertical="center"/>
    </xf>
    <xf numFmtId="1" fontId="13" fillId="0" borderId="8" xfId="1" applyNumberFormat="1" applyFont="1" applyFill="1" applyBorder="1" applyAlignment="1" applyProtection="1">
      <alignment horizontal="center" vertical="center" wrapText="1"/>
      <protection locked="0"/>
    </xf>
    <xf numFmtId="1" fontId="13" fillId="0" borderId="9" xfId="1" applyNumberFormat="1" applyFont="1" applyFill="1" applyBorder="1" applyAlignment="1" applyProtection="1">
      <alignment horizontal="center" vertical="center" wrapText="1"/>
      <protection locked="0"/>
    </xf>
    <xf numFmtId="0" fontId="8" fillId="2" borderId="27" xfId="1" applyFont="1" applyFill="1" applyBorder="1" applyAlignment="1">
      <alignment horizontal="center" vertical="center"/>
    </xf>
    <xf numFmtId="0" fontId="8" fillId="2" borderId="0" xfId="1" applyFont="1" applyFill="1" applyAlignment="1">
      <alignment horizontal="center" vertical="center"/>
    </xf>
    <xf numFmtId="0" fontId="27" fillId="0" borderId="8" xfId="10" applyFill="1" applyBorder="1" applyAlignment="1" applyProtection="1">
      <alignment horizontal="left"/>
      <protection locked="0"/>
    </xf>
    <xf numFmtId="0" fontId="8" fillId="0" borderId="27" xfId="0" applyFont="1" applyFill="1" applyBorder="1" applyAlignment="1">
      <alignment horizontal="center" vertical="center"/>
    </xf>
    <xf numFmtId="0" fontId="8" fillId="0" borderId="0" xfId="0" applyFont="1" applyFill="1" applyAlignment="1">
      <alignment horizontal="center" vertical="center"/>
    </xf>
    <xf numFmtId="0" fontId="8" fillId="0" borderId="27" xfId="0" applyFont="1" applyFill="1" applyBorder="1" applyAlignment="1">
      <alignment horizontal="center" vertical="top" wrapText="1"/>
    </xf>
    <xf numFmtId="0" fontId="8" fillId="0" borderId="0" xfId="0" applyFont="1" applyFill="1" applyBorder="1" applyAlignment="1">
      <alignment horizontal="center" vertical="top" wrapText="1"/>
    </xf>
    <xf numFmtId="0" fontId="10"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324974</xdr:colOff>
      <xdr:row>685</xdr:row>
      <xdr:rowOff>195947</xdr:rowOff>
    </xdr:from>
    <xdr:to>
      <xdr:col>7</xdr:col>
      <xdr:colOff>522285</xdr:colOff>
      <xdr:row>702</xdr:row>
      <xdr:rowOff>145227</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24974" y="158030800"/>
          <a:ext cx="6315723" cy="3378280"/>
        </a:xfrm>
        <a:prstGeom prst="rect">
          <a:avLst/>
        </a:prstGeom>
        <a:ln>
          <a:solidFill>
            <a:schemeClr val="accent1"/>
          </a:solidFill>
        </a:ln>
      </xdr:spPr>
    </xdr:pic>
    <xdr:clientData/>
  </xdr:twoCellAnchor>
  <xdr:twoCellAnchor editAs="oneCell">
    <xdr:from>
      <xdr:col>0</xdr:col>
      <xdr:colOff>324974</xdr:colOff>
      <xdr:row>666</xdr:row>
      <xdr:rowOff>0</xdr:rowOff>
    </xdr:from>
    <xdr:to>
      <xdr:col>7</xdr:col>
      <xdr:colOff>522285</xdr:colOff>
      <xdr:row>684</xdr:row>
      <xdr:rowOff>168199</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324974" y="154002441"/>
          <a:ext cx="6315723" cy="3798904"/>
        </a:xfrm>
        <a:prstGeom prst="rect">
          <a:avLst/>
        </a:prstGeom>
        <a:ln>
          <a:solidFill>
            <a:schemeClr val="accent1"/>
          </a:solidFill>
        </a:ln>
      </xdr:spPr>
    </xdr:pic>
    <xdr:clientData/>
  </xdr:twoCellAnchor>
  <xdr:twoCellAnchor>
    <xdr:from>
      <xdr:col>8</xdr:col>
      <xdr:colOff>154306</xdr:colOff>
      <xdr:row>622</xdr:row>
      <xdr:rowOff>32385</xdr:rowOff>
    </xdr:from>
    <xdr:to>
      <xdr:col>15</xdr:col>
      <xdr:colOff>382906</xdr:colOff>
      <xdr:row>664</xdr:row>
      <xdr:rowOff>0</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6678931" y="145555335"/>
          <a:ext cx="5848350" cy="8359140"/>
          <a:chOff x="232173" y="163680"/>
          <a:chExt cx="6010451" cy="7200000"/>
        </a:xfrm>
      </xdr:grpSpPr>
      <xdr:grpSp>
        <xdr:nvGrpSpPr>
          <xdr:cNvPr id="20" name="Group 19">
            <a:extLst>
              <a:ext uri="{FF2B5EF4-FFF2-40B4-BE49-F238E27FC236}">
                <a16:creationId xmlns:a16="http://schemas.microsoft.com/office/drawing/2014/main" id="{00000000-0008-0000-0000-000014000000}"/>
              </a:ext>
            </a:extLst>
          </xdr:cNvPr>
          <xdr:cNvGrpSpPr/>
        </xdr:nvGrpSpPr>
        <xdr:grpSpPr>
          <a:xfrm>
            <a:off x="232173" y="163680"/>
            <a:ext cx="6010451" cy="5220000"/>
            <a:chOff x="232173" y="163680"/>
            <a:chExt cx="6010451" cy="5220000"/>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354593" y="2863680"/>
              <a:ext cx="1888031"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354593" y="163680"/>
              <a:ext cx="1888031"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32173" y="163680"/>
              <a:ext cx="3910921" cy="5220000"/>
            </a:xfrm>
            <a:prstGeom prst="rect">
              <a:avLst/>
            </a:prstGeom>
            <a:ln>
              <a:solidFill>
                <a:schemeClr val="tx1"/>
              </a:solidFill>
            </a:ln>
          </xdr:spPr>
        </xdr:pic>
      </xdr:grpSp>
      <xdr:grpSp>
        <xdr:nvGrpSpPr>
          <xdr:cNvPr id="21" name="Group 20">
            <a:extLst>
              <a:ext uri="{FF2B5EF4-FFF2-40B4-BE49-F238E27FC236}">
                <a16:creationId xmlns:a16="http://schemas.microsoft.com/office/drawing/2014/main" id="{00000000-0008-0000-0000-000015000000}"/>
              </a:ext>
            </a:extLst>
          </xdr:cNvPr>
          <xdr:cNvGrpSpPr/>
        </xdr:nvGrpSpPr>
        <xdr:grpSpPr>
          <a:xfrm>
            <a:off x="1003008" y="5563680"/>
            <a:ext cx="4468780" cy="1800000"/>
            <a:chOff x="1234407" y="5563680"/>
            <a:chExt cx="4468780" cy="1800000"/>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354593" y="5563680"/>
              <a:ext cx="1348594"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34407" y="5563680"/>
              <a:ext cx="1348594"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794500" y="5563680"/>
              <a:ext cx="1348594" cy="1800000"/>
            </a:xfrm>
            <a:prstGeom prst="rect">
              <a:avLst/>
            </a:prstGeom>
            <a:ln>
              <a:solidFill>
                <a:schemeClr val="tx1"/>
              </a:solidFill>
            </a:ln>
          </xdr:spPr>
        </xdr:pic>
      </xdr:grpSp>
    </xdr:grpSp>
    <xdr:clientData/>
  </xdr:twoCellAnchor>
  <xdr:twoCellAnchor>
    <xdr:from>
      <xdr:col>9</xdr:col>
      <xdr:colOff>19050</xdr:colOff>
      <xdr:row>621</xdr:row>
      <xdr:rowOff>123825</xdr:rowOff>
    </xdr:from>
    <xdr:to>
      <xdr:col>16</xdr:col>
      <xdr:colOff>609491</xdr:colOff>
      <xdr:row>664</xdr:row>
      <xdr:rowOff>36700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705725" y="145446750"/>
          <a:ext cx="5829191" cy="8504425"/>
          <a:chOff x="381000" y="145341975"/>
          <a:chExt cx="5829191" cy="8504425"/>
        </a:xfrm>
      </xdr:grpSpPr>
      <xdr:pic>
        <xdr:nvPicPr>
          <xdr:cNvPr id="36" name="Picture 35" descr="insp-233805-1525.jpg (959×1280)">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359302" y="151686400"/>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insp-233805-843.jpg (959×1280)">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378352" y="14534197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insp-233805-851.jpg (959×1280)">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351580" y="14907800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insp-233805-861.jpg (959×1280)">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322160" y="14907800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insp-233805-871.jpg (959×1280)">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589661" y="14534197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insp-233805-922.jpg (959×128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81000" y="14907800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insp-233805-925.jpg (959×1280)">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1649486" y="151686400"/>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619125</xdr:colOff>
      <xdr:row>621</xdr:row>
      <xdr:rowOff>180975</xdr:rowOff>
    </xdr:from>
    <xdr:to>
      <xdr:col>7</xdr:col>
      <xdr:colOff>238125</xdr:colOff>
      <xdr:row>660</xdr:row>
      <xdr:rowOff>142875</xdr:rowOff>
    </xdr:to>
    <xdr:grpSp>
      <xdr:nvGrpSpPr>
        <xdr:cNvPr id="30" name="Group 29">
          <a:extLst>
            <a:ext uri="{FF2B5EF4-FFF2-40B4-BE49-F238E27FC236}">
              <a16:creationId xmlns:a16="http://schemas.microsoft.com/office/drawing/2014/main" id="{F568F6E9-4AAB-473D-B4FA-8BD8441647C9}"/>
            </a:ext>
          </a:extLst>
        </xdr:cNvPr>
        <xdr:cNvGrpSpPr/>
      </xdr:nvGrpSpPr>
      <xdr:grpSpPr>
        <a:xfrm>
          <a:off x="619125" y="145503900"/>
          <a:ext cx="5314950" cy="7753350"/>
          <a:chOff x="754112" y="297274"/>
          <a:chExt cx="5149010" cy="7515362"/>
        </a:xfrm>
      </xdr:grpSpPr>
      <xdr:pic>
        <xdr:nvPicPr>
          <xdr:cNvPr id="31" name="Picture 30">
            <a:extLst>
              <a:ext uri="{FF2B5EF4-FFF2-40B4-BE49-F238E27FC236}">
                <a16:creationId xmlns:a16="http://schemas.microsoft.com/office/drawing/2014/main" id="{D8770D03-ABA5-4D99-A89E-4985A684E6FF}"/>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808976" y="297274"/>
            <a:ext cx="2427469" cy="3240000"/>
          </a:xfrm>
          <a:prstGeom prst="rect">
            <a:avLst/>
          </a:prstGeom>
          <a:ln>
            <a:solidFill>
              <a:schemeClr val="tx1"/>
            </a:solidFill>
          </a:ln>
        </xdr:spPr>
      </xdr:pic>
      <xdr:pic>
        <xdr:nvPicPr>
          <xdr:cNvPr id="32" name="Picture 31">
            <a:extLst>
              <a:ext uri="{FF2B5EF4-FFF2-40B4-BE49-F238E27FC236}">
                <a16:creationId xmlns:a16="http://schemas.microsoft.com/office/drawing/2014/main" id="{9A75A9CF-F02F-4F1A-BF83-89720278E94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429000" y="297274"/>
            <a:ext cx="2427469" cy="3240000"/>
          </a:xfrm>
          <a:prstGeom prst="rect">
            <a:avLst/>
          </a:prstGeom>
          <a:ln>
            <a:solidFill>
              <a:schemeClr val="tx1"/>
            </a:solidFill>
          </a:ln>
        </xdr:spPr>
      </xdr:pic>
      <xdr:pic>
        <xdr:nvPicPr>
          <xdr:cNvPr id="33" name="Picture 32">
            <a:extLst>
              <a:ext uri="{FF2B5EF4-FFF2-40B4-BE49-F238E27FC236}">
                <a16:creationId xmlns:a16="http://schemas.microsoft.com/office/drawing/2014/main" id="{6A4FAECA-D4DE-4F1F-BE7C-33B8EF5F6A0D}"/>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519461" y="3694955"/>
            <a:ext cx="1618312"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97F18401-2A27-447D-86FE-36800FF63281}"/>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754112" y="3694955"/>
            <a:ext cx="1618312" cy="2160000"/>
          </a:xfrm>
          <a:prstGeom prst="rect">
            <a:avLst/>
          </a:prstGeom>
          <a:ln>
            <a:solidFill>
              <a:schemeClr val="tx1"/>
            </a:solidFill>
          </a:ln>
        </xdr:spPr>
      </xdr:pic>
      <xdr:pic>
        <xdr:nvPicPr>
          <xdr:cNvPr id="35" name="Picture 34">
            <a:extLst>
              <a:ext uri="{FF2B5EF4-FFF2-40B4-BE49-F238E27FC236}">
                <a16:creationId xmlns:a16="http://schemas.microsoft.com/office/drawing/2014/main" id="{35B8E773-3305-41DD-95D8-6FD4A41255C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4284810" y="3694955"/>
            <a:ext cx="1618312" cy="2160000"/>
          </a:xfrm>
          <a:prstGeom prst="rect">
            <a:avLst/>
          </a:prstGeom>
          <a:ln>
            <a:solidFill>
              <a:schemeClr val="tx1"/>
            </a:solidFill>
          </a:ln>
        </xdr:spPr>
      </xdr:pic>
      <xdr:pic>
        <xdr:nvPicPr>
          <xdr:cNvPr id="43" name="Picture 42">
            <a:extLst>
              <a:ext uri="{FF2B5EF4-FFF2-40B4-BE49-F238E27FC236}">
                <a16:creationId xmlns:a16="http://schemas.microsoft.com/office/drawing/2014/main" id="{843D09F6-4A1E-4D29-BC8E-9C1975A8196D}"/>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887851" y="6012636"/>
            <a:ext cx="1348594" cy="1800000"/>
          </a:xfrm>
          <a:prstGeom prst="rect">
            <a:avLst/>
          </a:prstGeom>
          <a:ln>
            <a:solidFill>
              <a:schemeClr val="tx1"/>
            </a:solidFill>
          </a:ln>
        </xdr:spPr>
      </xdr:pic>
      <xdr:pic>
        <xdr:nvPicPr>
          <xdr:cNvPr id="44" name="Picture 43">
            <a:extLst>
              <a:ext uri="{FF2B5EF4-FFF2-40B4-BE49-F238E27FC236}">
                <a16:creationId xmlns:a16="http://schemas.microsoft.com/office/drawing/2014/main" id="{1B4E5F6E-794D-4273-BC5E-477542D347E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429000" y="6012636"/>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15</xdr:col>
      <xdr:colOff>100348</xdr:colOff>
      <xdr:row>52</xdr:row>
      <xdr:rowOff>75286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82706" y="2678206"/>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uD4nSthAcUQcJxN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665"/>
  <sheetViews>
    <sheetView tabSelected="1" view="pageBreakPreview" topLeftCell="A607" zoomScaleNormal="100" zoomScaleSheetLayoutView="100" zoomScalePageLayoutView="85" workbookViewId="0">
      <selection activeCell="J9" sqref="J9"/>
    </sheetView>
  </sheetViews>
  <sheetFormatPr defaultColWidth="9.140625" defaultRowHeight="15.75" x14ac:dyDescent="0.25"/>
  <cols>
    <col min="1" max="1" width="11.42578125" style="47" customWidth="1"/>
    <col min="2" max="2" width="12" style="47" customWidth="1"/>
    <col min="3" max="3" width="12.7109375" style="47" customWidth="1"/>
    <col min="4" max="4" width="14.140625" style="47" customWidth="1"/>
    <col min="5" max="7" width="11.7109375" style="47" customWidth="1"/>
    <col min="8" max="8" width="12.42578125" style="47" customWidth="1"/>
    <col min="9" max="9" width="17.42578125" style="25" customWidth="1"/>
    <col min="10" max="10" width="11.42578125" style="25" customWidth="1"/>
    <col min="11" max="11" width="10.5703125" style="25" bestFit="1" customWidth="1"/>
    <col min="12" max="12" width="10.5703125" style="25" customWidth="1"/>
    <col min="13" max="13" width="11.85546875" style="25" customWidth="1"/>
    <col min="14" max="14" width="12.5703125" style="25" customWidth="1"/>
    <col min="15" max="15" width="9.85546875" style="25" customWidth="1"/>
    <col min="16" max="16" width="11.7109375" style="25" customWidth="1"/>
    <col min="17" max="247" width="9.140625" style="25"/>
    <col min="248" max="248" width="8.7109375" style="25" customWidth="1"/>
    <col min="249" max="249" width="9.85546875" style="25" customWidth="1"/>
    <col min="250" max="250" width="14.42578125" style="25" customWidth="1"/>
    <col min="251" max="251" width="7.28515625" style="25" customWidth="1"/>
    <col min="252" max="252" width="5.5703125" style="25" customWidth="1"/>
    <col min="253" max="253" width="9" style="25" customWidth="1"/>
    <col min="254" max="255" width="9.85546875" style="25" customWidth="1"/>
    <col min="256" max="256" width="11.140625" style="25" customWidth="1"/>
    <col min="257" max="257" width="2.85546875" style="25" customWidth="1"/>
    <col min="258" max="258" width="3.5703125" style="25" customWidth="1"/>
    <col min="259" max="503" width="9.140625" style="25"/>
    <col min="504" max="504" width="8.7109375" style="25" customWidth="1"/>
    <col min="505" max="505" width="9.85546875" style="25" customWidth="1"/>
    <col min="506" max="506" width="14.42578125" style="25" customWidth="1"/>
    <col min="507" max="507" width="7.28515625" style="25" customWidth="1"/>
    <col min="508" max="508" width="5.5703125" style="25" customWidth="1"/>
    <col min="509" max="509" width="9" style="25" customWidth="1"/>
    <col min="510" max="511" width="9.85546875" style="25" customWidth="1"/>
    <col min="512" max="512" width="11.140625" style="25" customWidth="1"/>
    <col min="513" max="513" width="2.85546875" style="25" customWidth="1"/>
    <col min="514" max="514" width="3.5703125" style="25" customWidth="1"/>
    <col min="515" max="759" width="9.140625" style="25"/>
    <col min="760" max="760" width="8.7109375" style="25" customWidth="1"/>
    <col min="761" max="761" width="9.85546875" style="25" customWidth="1"/>
    <col min="762" max="762" width="14.42578125" style="25" customWidth="1"/>
    <col min="763" max="763" width="7.28515625" style="25" customWidth="1"/>
    <col min="764" max="764" width="5.5703125" style="25" customWidth="1"/>
    <col min="765" max="765" width="9" style="25" customWidth="1"/>
    <col min="766" max="767" width="9.85546875" style="25" customWidth="1"/>
    <col min="768" max="768" width="11.140625" style="25" customWidth="1"/>
    <col min="769" max="769" width="2.85546875" style="25" customWidth="1"/>
    <col min="770" max="770" width="3.5703125" style="25" customWidth="1"/>
    <col min="771" max="1015" width="9.140625" style="25"/>
    <col min="1016" max="1016" width="8.7109375" style="25" customWidth="1"/>
    <col min="1017" max="1017" width="9.85546875" style="25" customWidth="1"/>
    <col min="1018" max="1018" width="14.42578125" style="25" customWidth="1"/>
    <col min="1019" max="1019" width="7.28515625" style="25" customWidth="1"/>
    <col min="1020" max="1020" width="5.5703125" style="25" customWidth="1"/>
    <col min="1021" max="1021" width="9" style="25" customWidth="1"/>
    <col min="1022" max="1023" width="9.85546875" style="25" customWidth="1"/>
    <col min="1024" max="1024" width="11.140625" style="25" customWidth="1"/>
    <col min="1025" max="1025" width="2.85546875" style="25" customWidth="1"/>
    <col min="1026" max="1026" width="3.5703125" style="25" customWidth="1"/>
    <col min="1027" max="1271" width="9.140625" style="25"/>
    <col min="1272" max="1272" width="8.7109375" style="25" customWidth="1"/>
    <col min="1273" max="1273" width="9.85546875" style="25" customWidth="1"/>
    <col min="1274" max="1274" width="14.42578125" style="25" customWidth="1"/>
    <col min="1275" max="1275" width="7.28515625" style="25" customWidth="1"/>
    <col min="1276" max="1276" width="5.5703125" style="25" customWidth="1"/>
    <col min="1277" max="1277" width="9" style="25" customWidth="1"/>
    <col min="1278" max="1279" width="9.85546875" style="25" customWidth="1"/>
    <col min="1280" max="1280" width="11.140625" style="25" customWidth="1"/>
    <col min="1281" max="1281" width="2.85546875" style="25" customWidth="1"/>
    <col min="1282" max="1282" width="3.5703125" style="25" customWidth="1"/>
    <col min="1283" max="1527" width="9.140625" style="25"/>
    <col min="1528" max="1528" width="8.7109375" style="25" customWidth="1"/>
    <col min="1529" max="1529" width="9.85546875" style="25" customWidth="1"/>
    <col min="1530" max="1530" width="14.42578125" style="25" customWidth="1"/>
    <col min="1531" max="1531" width="7.28515625" style="25" customWidth="1"/>
    <col min="1532" max="1532" width="5.5703125" style="25" customWidth="1"/>
    <col min="1533" max="1533" width="9" style="25" customWidth="1"/>
    <col min="1534" max="1535" width="9.85546875" style="25" customWidth="1"/>
    <col min="1536" max="1536" width="11.140625" style="25" customWidth="1"/>
    <col min="1537" max="1537" width="2.85546875" style="25" customWidth="1"/>
    <col min="1538" max="1538" width="3.5703125" style="25" customWidth="1"/>
    <col min="1539" max="1783" width="9.140625" style="25"/>
    <col min="1784" max="1784" width="8.7109375" style="25" customWidth="1"/>
    <col min="1785" max="1785" width="9.85546875" style="25" customWidth="1"/>
    <col min="1786" max="1786" width="14.42578125" style="25" customWidth="1"/>
    <col min="1787" max="1787" width="7.28515625" style="25" customWidth="1"/>
    <col min="1788" max="1788" width="5.5703125" style="25" customWidth="1"/>
    <col min="1789" max="1789" width="9" style="25" customWidth="1"/>
    <col min="1790" max="1791" width="9.85546875" style="25" customWidth="1"/>
    <col min="1792" max="1792" width="11.140625" style="25" customWidth="1"/>
    <col min="1793" max="1793" width="2.85546875" style="25" customWidth="1"/>
    <col min="1794" max="1794" width="3.5703125" style="25" customWidth="1"/>
    <col min="1795" max="2039" width="9.140625" style="25"/>
    <col min="2040" max="2040" width="8.7109375" style="25" customWidth="1"/>
    <col min="2041" max="2041" width="9.85546875" style="25" customWidth="1"/>
    <col min="2042" max="2042" width="14.42578125" style="25" customWidth="1"/>
    <col min="2043" max="2043" width="7.28515625" style="25" customWidth="1"/>
    <col min="2044" max="2044" width="5.5703125" style="25" customWidth="1"/>
    <col min="2045" max="2045" width="9" style="25" customWidth="1"/>
    <col min="2046" max="2047" width="9.85546875" style="25" customWidth="1"/>
    <col min="2048" max="2048" width="11.140625" style="25" customWidth="1"/>
    <col min="2049" max="2049" width="2.85546875" style="25" customWidth="1"/>
    <col min="2050" max="2050" width="3.5703125" style="25" customWidth="1"/>
    <col min="2051" max="2295" width="9.140625" style="25"/>
    <col min="2296" max="2296" width="8.7109375" style="25" customWidth="1"/>
    <col min="2297" max="2297" width="9.85546875" style="25" customWidth="1"/>
    <col min="2298" max="2298" width="14.42578125" style="25" customWidth="1"/>
    <col min="2299" max="2299" width="7.28515625" style="25" customWidth="1"/>
    <col min="2300" max="2300" width="5.5703125" style="25" customWidth="1"/>
    <col min="2301" max="2301" width="9" style="25" customWidth="1"/>
    <col min="2302" max="2303" width="9.85546875" style="25" customWidth="1"/>
    <col min="2304" max="2304" width="11.140625" style="25" customWidth="1"/>
    <col min="2305" max="2305" width="2.85546875" style="25" customWidth="1"/>
    <col min="2306" max="2306" width="3.5703125" style="25" customWidth="1"/>
    <col min="2307" max="2551" width="9.140625" style="25"/>
    <col min="2552" max="2552" width="8.7109375" style="25" customWidth="1"/>
    <col min="2553" max="2553" width="9.85546875" style="25" customWidth="1"/>
    <col min="2554" max="2554" width="14.42578125" style="25" customWidth="1"/>
    <col min="2555" max="2555" width="7.28515625" style="25" customWidth="1"/>
    <col min="2556" max="2556" width="5.5703125" style="25" customWidth="1"/>
    <col min="2557" max="2557" width="9" style="25" customWidth="1"/>
    <col min="2558" max="2559" width="9.85546875" style="25" customWidth="1"/>
    <col min="2560" max="2560" width="11.140625" style="25" customWidth="1"/>
    <col min="2561" max="2561" width="2.85546875" style="25" customWidth="1"/>
    <col min="2562" max="2562" width="3.5703125" style="25" customWidth="1"/>
    <col min="2563" max="2807" width="9.140625" style="25"/>
    <col min="2808" max="2808" width="8.7109375" style="25" customWidth="1"/>
    <col min="2809" max="2809" width="9.85546875" style="25" customWidth="1"/>
    <col min="2810" max="2810" width="14.42578125" style="25" customWidth="1"/>
    <col min="2811" max="2811" width="7.28515625" style="25" customWidth="1"/>
    <col min="2812" max="2812" width="5.5703125" style="25" customWidth="1"/>
    <col min="2813" max="2813" width="9" style="25" customWidth="1"/>
    <col min="2814" max="2815" width="9.85546875" style="25" customWidth="1"/>
    <col min="2816" max="2816" width="11.140625" style="25" customWidth="1"/>
    <col min="2817" max="2817" width="2.85546875" style="25" customWidth="1"/>
    <col min="2818" max="2818" width="3.5703125" style="25" customWidth="1"/>
    <col min="2819" max="3063" width="9.140625" style="25"/>
    <col min="3064" max="3064" width="8.7109375" style="25" customWidth="1"/>
    <col min="3065" max="3065" width="9.85546875" style="25" customWidth="1"/>
    <col min="3066" max="3066" width="14.42578125" style="25" customWidth="1"/>
    <col min="3067" max="3067" width="7.28515625" style="25" customWidth="1"/>
    <col min="3068" max="3068" width="5.5703125" style="25" customWidth="1"/>
    <col min="3069" max="3069" width="9" style="25" customWidth="1"/>
    <col min="3070" max="3071" width="9.85546875" style="25" customWidth="1"/>
    <col min="3072" max="3072" width="11.140625" style="25" customWidth="1"/>
    <col min="3073" max="3073" width="2.85546875" style="25" customWidth="1"/>
    <col min="3074" max="3074" width="3.5703125" style="25" customWidth="1"/>
    <col min="3075" max="3319" width="9.140625" style="25"/>
    <col min="3320" max="3320" width="8.7109375" style="25" customWidth="1"/>
    <col min="3321" max="3321" width="9.85546875" style="25" customWidth="1"/>
    <col min="3322" max="3322" width="14.42578125" style="25" customWidth="1"/>
    <col min="3323" max="3323" width="7.28515625" style="25" customWidth="1"/>
    <col min="3324" max="3324" width="5.5703125" style="25" customWidth="1"/>
    <col min="3325" max="3325" width="9" style="25" customWidth="1"/>
    <col min="3326" max="3327" width="9.85546875" style="25" customWidth="1"/>
    <col min="3328" max="3328" width="11.140625" style="25" customWidth="1"/>
    <col min="3329" max="3329" width="2.85546875" style="25" customWidth="1"/>
    <col min="3330" max="3330" width="3.5703125" style="25" customWidth="1"/>
    <col min="3331" max="3575" width="9.140625" style="25"/>
    <col min="3576" max="3576" width="8.7109375" style="25" customWidth="1"/>
    <col min="3577" max="3577" width="9.85546875" style="25" customWidth="1"/>
    <col min="3578" max="3578" width="14.42578125" style="25" customWidth="1"/>
    <col min="3579" max="3579" width="7.28515625" style="25" customWidth="1"/>
    <col min="3580" max="3580" width="5.5703125" style="25" customWidth="1"/>
    <col min="3581" max="3581" width="9" style="25" customWidth="1"/>
    <col min="3582" max="3583" width="9.85546875" style="25" customWidth="1"/>
    <col min="3584" max="3584" width="11.140625" style="25" customWidth="1"/>
    <col min="3585" max="3585" width="2.85546875" style="25" customWidth="1"/>
    <col min="3586" max="3586" width="3.5703125" style="25" customWidth="1"/>
    <col min="3587" max="3831" width="9.140625" style="25"/>
    <col min="3832" max="3832" width="8.7109375" style="25" customWidth="1"/>
    <col min="3833" max="3833" width="9.85546875" style="25" customWidth="1"/>
    <col min="3834" max="3834" width="14.42578125" style="25" customWidth="1"/>
    <col min="3835" max="3835" width="7.28515625" style="25" customWidth="1"/>
    <col min="3836" max="3836" width="5.5703125" style="25" customWidth="1"/>
    <col min="3837" max="3837" width="9" style="25" customWidth="1"/>
    <col min="3838" max="3839" width="9.85546875" style="25" customWidth="1"/>
    <col min="3840" max="3840" width="11.140625" style="25" customWidth="1"/>
    <col min="3841" max="3841" width="2.85546875" style="25" customWidth="1"/>
    <col min="3842" max="3842" width="3.5703125" style="25" customWidth="1"/>
    <col min="3843" max="4087" width="9.140625" style="25"/>
    <col min="4088" max="4088" width="8.7109375" style="25" customWidth="1"/>
    <col min="4089" max="4089" width="9.85546875" style="25" customWidth="1"/>
    <col min="4090" max="4090" width="14.42578125" style="25" customWidth="1"/>
    <col min="4091" max="4091" width="7.28515625" style="25" customWidth="1"/>
    <col min="4092" max="4092" width="5.5703125" style="25" customWidth="1"/>
    <col min="4093" max="4093" width="9" style="25" customWidth="1"/>
    <col min="4094" max="4095" width="9.85546875" style="25" customWidth="1"/>
    <col min="4096" max="4096" width="11.140625" style="25" customWidth="1"/>
    <col min="4097" max="4097" width="2.85546875" style="25" customWidth="1"/>
    <col min="4098" max="4098" width="3.5703125" style="25" customWidth="1"/>
    <col min="4099" max="4343" width="9.140625" style="25"/>
    <col min="4344" max="4344" width="8.7109375" style="25" customWidth="1"/>
    <col min="4345" max="4345" width="9.85546875" style="25" customWidth="1"/>
    <col min="4346" max="4346" width="14.42578125" style="25" customWidth="1"/>
    <col min="4347" max="4347" width="7.28515625" style="25" customWidth="1"/>
    <col min="4348" max="4348" width="5.5703125" style="25" customWidth="1"/>
    <col min="4349" max="4349" width="9" style="25" customWidth="1"/>
    <col min="4350" max="4351" width="9.85546875" style="25" customWidth="1"/>
    <col min="4352" max="4352" width="11.140625" style="25" customWidth="1"/>
    <col min="4353" max="4353" width="2.85546875" style="25" customWidth="1"/>
    <col min="4354" max="4354" width="3.5703125" style="25" customWidth="1"/>
    <col min="4355" max="4599" width="9.140625" style="25"/>
    <col min="4600" max="4600" width="8.7109375" style="25" customWidth="1"/>
    <col min="4601" max="4601" width="9.85546875" style="25" customWidth="1"/>
    <col min="4602" max="4602" width="14.42578125" style="25" customWidth="1"/>
    <col min="4603" max="4603" width="7.28515625" style="25" customWidth="1"/>
    <col min="4604" max="4604" width="5.5703125" style="25" customWidth="1"/>
    <col min="4605" max="4605" width="9" style="25" customWidth="1"/>
    <col min="4606" max="4607" width="9.85546875" style="25" customWidth="1"/>
    <col min="4608" max="4608" width="11.140625" style="25" customWidth="1"/>
    <col min="4609" max="4609" width="2.85546875" style="25" customWidth="1"/>
    <col min="4610" max="4610" width="3.5703125" style="25" customWidth="1"/>
    <col min="4611" max="4855" width="9.140625" style="25"/>
    <col min="4856" max="4856" width="8.7109375" style="25" customWidth="1"/>
    <col min="4857" max="4857" width="9.85546875" style="25" customWidth="1"/>
    <col min="4858" max="4858" width="14.42578125" style="25" customWidth="1"/>
    <col min="4859" max="4859" width="7.28515625" style="25" customWidth="1"/>
    <col min="4860" max="4860" width="5.5703125" style="25" customWidth="1"/>
    <col min="4861" max="4861" width="9" style="25" customWidth="1"/>
    <col min="4862" max="4863" width="9.85546875" style="25" customWidth="1"/>
    <col min="4864" max="4864" width="11.140625" style="25" customWidth="1"/>
    <col min="4865" max="4865" width="2.85546875" style="25" customWidth="1"/>
    <col min="4866" max="4866" width="3.5703125" style="25" customWidth="1"/>
    <col min="4867" max="5111" width="9.140625" style="25"/>
    <col min="5112" max="5112" width="8.7109375" style="25" customWidth="1"/>
    <col min="5113" max="5113" width="9.85546875" style="25" customWidth="1"/>
    <col min="5114" max="5114" width="14.42578125" style="25" customWidth="1"/>
    <col min="5115" max="5115" width="7.28515625" style="25" customWidth="1"/>
    <col min="5116" max="5116" width="5.5703125" style="25" customWidth="1"/>
    <col min="5117" max="5117" width="9" style="25" customWidth="1"/>
    <col min="5118" max="5119" width="9.85546875" style="25" customWidth="1"/>
    <col min="5120" max="5120" width="11.140625" style="25" customWidth="1"/>
    <col min="5121" max="5121" width="2.85546875" style="25" customWidth="1"/>
    <col min="5122" max="5122" width="3.5703125" style="25" customWidth="1"/>
    <col min="5123" max="5367" width="9.140625" style="25"/>
    <col min="5368" max="5368" width="8.7109375" style="25" customWidth="1"/>
    <col min="5369" max="5369" width="9.85546875" style="25" customWidth="1"/>
    <col min="5370" max="5370" width="14.42578125" style="25" customWidth="1"/>
    <col min="5371" max="5371" width="7.28515625" style="25" customWidth="1"/>
    <col min="5372" max="5372" width="5.5703125" style="25" customWidth="1"/>
    <col min="5373" max="5373" width="9" style="25" customWidth="1"/>
    <col min="5374" max="5375" width="9.85546875" style="25" customWidth="1"/>
    <col min="5376" max="5376" width="11.140625" style="25" customWidth="1"/>
    <col min="5377" max="5377" width="2.85546875" style="25" customWidth="1"/>
    <col min="5378" max="5378" width="3.5703125" style="25" customWidth="1"/>
    <col min="5379" max="5623" width="9.140625" style="25"/>
    <col min="5624" max="5624" width="8.7109375" style="25" customWidth="1"/>
    <col min="5625" max="5625" width="9.85546875" style="25" customWidth="1"/>
    <col min="5626" max="5626" width="14.42578125" style="25" customWidth="1"/>
    <col min="5627" max="5627" width="7.28515625" style="25" customWidth="1"/>
    <col min="5628" max="5628" width="5.5703125" style="25" customWidth="1"/>
    <col min="5629" max="5629" width="9" style="25" customWidth="1"/>
    <col min="5630" max="5631" width="9.85546875" style="25" customWidth="1"/>
    <col min="5632" max="5632" width="11.140625" style="25" customWidth="1"/>
    <col min="5633" max="5633" width="2.85546875" style="25" customWidth="1"/>
    <col min="5634" max="5634" width="3.5703125" style="25" customWidth="1"/>
    <col min="5635" max="5879" width="9.140625" style="25"/>
    <col min="5880" max="5880" width="8.7109375" style="25" customWidth="1"/>
    <col min="5881" max="5881" width="9.85546875" style="25" customWidth="1"/>
    <col min="5882" max="5882" width="14.42578125" style="25" customWidth="1"/>
    <col min="5883" max="5883" width="7.28515625" style="25" customWidth="1"/>
    <col min="5884" max="5884" width="5.5703125" style="25" customWidth="1"/>
    <col min="5885" max="5885" width="9" style="25" customWidth="1"/>
    <col min="5886" max="5887" width="9.85546875" style="25" customWidth="1"/>
    <col min="5888" max="5888" width="11.140625" style="25" customWidth="1"/>
    <col min="5889" max="5889" width="2.85546875" style="25" customWidth="1"/>
    <col min="5890" max="5890" width="3.5703125" style="25" customWidth="1"/>
    <col min="5891" max="6135" width="9.140625" style="25"/>
    <col min="6136" max="6136" width="8.7109375" style="25" customWidth="1"/>
    <col min="6137" max="6137" width="9.85546875" style="25" customWidth="1"/>
    <col min="6138" max="6138" width="14.42578125" style="25" customWidth="1"/>
    <col min="6139" max="6139" width="7.28515625" style="25" customWidth="1"/>
    <col min="6140" max="6140" width="5.5703125" style="25" customWidth="1"/>
    <col min="6141" max="6141" width="9" style="25" customWidth="1"/>
    <col min="6142" max="6143" width="9.85546875" style="25" customWidth="1"/>
    <col min="6144" max="6144" width="11.140625" style="25" customWidth="1"/>
    <col min="6145" max="6145" width="2.85546875" style="25" customWidth="1"/>
    <col min="6146" max="6146" width="3.5703125" style="25" customWidth="1"/>
    <col min="6147" max="6391" width="9.140625" style="25"/>
    <col min="6392" max="6392" width="8.7109375" style="25" customWidth="1"/>
    <col min="6393" max="6393" width="9.85546875" style="25" customWidth="1"/>
    <col min="6394" max="6394" width="14.42578125" style="25" customWidth="1"/>
    <col min="6395" max="6395" width="7.28515625" style="25" customWidth="1"/>
    <col min="6396" max="6396" width="5.5703125" style="25" customWidth="1"/>
    <col min="6397" max="6397" width="9" style="25" customWidth="1"/>
    <col min="6398" max="6399" width="9.85546875" style="25" customWidth="1"/>
    <col min="6400" max="6400" width="11.140625" style="25" customWidth="1"/>
    <col min="6401" max="6401" width="2.85546875" style="25" customWidth="1"/>
    <col min="6402" max="6402" width="3.5703125" style="25" customWidth="1"/>
    <col min="6403" max="6647" width="9.140625" style="25"/>
    <col min="6648" max="6648" width="8.7109375" style="25" customWidth="1"/>
    <col min="6649" max="6649" width="9.85546875" style="25" customWidth="1"/>
    <col min="6650" max="6650" width="14.42578125" style="25" customWidth="1"/>
    <col min="6651" max="6651" width="7.28515625" style="25" customWidth="1"/>
    <col min="6652" max="6652" width="5.5703125" style="25" customWidth="1"/>
    <col min="6653" max="6653" width="9" style="25" customWidth="1"/>
    <col min="6654" max="6655" width="9.85546875" style="25" customWidth="1"/>
    <col min="6656" max="6656" width="11.140625" style="25" customWidth="1"/>
    <col min="6657" max="6657" width="2.85546875" style="25" customWidth="1"/>
    <col min="6658" max="6658" width="3.5703125" style="25" customWidth="1"/>
    <col min="6659" max="6903" width="9.140625" style="25"/>
    <col min="6904" max="6904" width="8.7109375" style="25" customWidth="1"/>
    <col min="6905" max="6905" width="9.85546875" style="25" customWidth="1"/>
    <col min="6906" max="6906" width="14.42578125" style="25" customWidth="1"/>
    <col min="6907" max="6907" width="7.28515625" style="25" customWidth="1"/>
    <col min="6908" max="6908" width="5.5703125" style="25" customWidth="1"/>
    <col min="6909" max="6909" width="9" style="25" customWidth="1"/>
    <col min="6910" max="6911" width="9.85546875" style="25" customWidth="1"/>
    <col min="6912" max="6912" width="11.140625" style="25" customWidth="1"/>
    <col min="6913" max="6913" width="2.85546875" style="25" customWidth="1"/>
    <col min="6914" max="6914" width="3.5703125" style="25" customWidth="1"/>
    <col min="6915" max="7159" width="9.140625" style="25"/>
    <col min="7160" max="7160" width="8.7109375" style="25" customWidth="1"/>
    <col min="7161" max="7161" width="9.85546875" style="25" customWidth="1"/>
    <col min="7162" max="7162" width="14.42578125" style="25" customWidth="1"/>
    <col min="7163" max="7163" width="7.28515625" style="25" customWidth="1"/>
    <col min="7164" max="7164" width="5.5703125" style="25" customWidth="1"/>
    <col min="7165" max="7165" width="9" style="25" customWidth="1"/>
    <col min="7166" max="7167" width="9.85546875" style="25" customWidth="1"/>
    <col min="7168" max="7168" width="11.140625" style="25" customWidth="1"/>
    <col min="7169" max="7169" width="2.85546875" style="25" customWidth="1"/>
    <col min="7170" max="7170" width="3.5703125" style="25" customWidth="1"/>
    <col min="7171" max="7415" width="9.140625" style="25"/>
    <col min="7416" max="7416" width="8.7109375" style="25" customWidth="1"/>
    <col min="7417" max="7417" width="9.85546875" style="25" customWidth="1"/>
    <col min="7418" max="7418" width="14.42578125" style="25" customWidth="1"/>
    <col min="7419" max="7419" width="7.28515625" style="25" customWidth="1"/>
    <col min="7420" max="7420" width="5.5703125" style="25" customWidth="1"/>
    <col min="7421" max="7421" width="9" style="25" customWidth="1"/>
    <col min="7422" max="7423" width="9.85546875" style="25" customWidth="1"/>
    <col min="7424" max="7424" width="11.140625" style="25" customWidth="1"/>
    <col min="7425" max="7425" width="2.85546875" style="25" customWidth="1"/>
    <col min="7426" max="7426" width="3.5703125" style="25" customWidth="1"/>
    <col min="7427" max="7671" width="9.140625" style="25"/>
    <col min="7672" max="7672" width="8.7109375" style="25" customWidth="1"/>
    <col min="7673" max="7673" width="9.85546875" style="25" customWidth="1"/>
    <col min="7674" max="7674" width="14.42578125" style="25" customWidth="1"/>
    <col min="7675" max="7675" width="7.28515625" style="25" customWidth="1"/>
    <col min="7676" max="7676" width="5.5703125" style="25" customWidth="1"/>
    <col min="7677" max="7677" width="9" style="25" customWidth="1"/>
    <col min="7678" max="7679" width="9.85546875" style="25" customWidth="1"/>
    <col min="7680" max="7680" width="11.140625" style="25" customWidth="1"/>
    <col min="7681" max="7681" width="2.85546875" style="25" customWidth="1"/>
    <col min="7682" max="7682" width="3.5703125" style="25" customWidth="1"/>
    <col min="7683" max="7927" width="9.140625" style="25"/>
    <col min="7928" max="7928" width="8.7109375" style="25" customWidth="1"/>
    <col min="7929" max="7929" width="9.85546875" style="25" customWidth="1"/>
    <col min="7930" max="7930" width="14.42578125" style="25" customWidth="1"/>
    <col min="7931" max="7931" width="7.28515625" style="25" customWidth="1"/>
    <col min="7932" max="7932" width="5.5703125" style="25" customWidth="1"/>
    <col min="7933" max="7933" width="9" style="25" customWidth="1"/>
    <col min="7934" max="7935" width="9.85546875" style="25" customWidth="1"/>
    <col min="7936" max="7936" width="11.140625" style="25" customWidth="1"/>
    <col min="7937" max="7937" width="2.85546875" style="25" customWidth="1"/>
    <col min="7938" max="7938" width="3.5703125" style="25" customWidth="1"/>
    <col min="7939" max="8183" width="9.140625" style="25"/>
    <col min="8184" max="8184" width="8.7109375" style="25" customWidth="1"/>
    <col min="8185" max="8185" width="9.85546875" style="25" customWidth="1"/>
    <col min="8186" max="8186" width="14.42578125" style="25" customWidth="1"/>
    <col min="8187" max="8187" width="7.28515625" style="25" customWidth="1"/>
    <col min="8188" max="8188" width="5.5703125" style="25" customWidth="1"/>
    <col min="8189" max="8189" width="9" style="25" customWidth="1"/>
    <col min="8190" max="8191" width="9.85546875" style="25" customWidth="1"/>
    <col min="8192" max="8192" width="11.140625" style="25" customWidth="1"/>
    <col min="8193" max="8193" width="2.85546875" style="25" customWidth="1"/>
    <col min="8194" max="8194" width="3.5703125" style="25" customWidth="1"/>
    <col min="8195" max="8439" width="9.140625" style="25"/>
    <col min="8440" max="8440" width="8.7109375" style="25" customWidth="1"/>
    <col min="8441" max="8441" width="9.85546875" style="25" customWidth="1"/>
    <col min="8442" max="8442" width="14.42578125" style="25" customWidth="1"/>
    <col min="8443" max="8443" width="7.28515625" style="25" customWidth="1"/>
    <col min="8444" max="8444" width="5.5703125" style="25" customWidth="1"/>
    <col min="8445" max="8445" width="9" style="25" customWidth="1"/>
    <col min="8446" max="8447" width="9.85546875" style="25" customWidth="1"/>
    <col min="8448" max="8448" width="11.140625" style="25" customWidth="1"/>
    <col min="8449" max="8449" width="2.85546875" style="25" customWidth="1"/>
    <col min="8450" max="8450" width="3.5703125" style="25" customWidth="1"/>
    <col min="8451" max="8695" width="9.140625" style="25"/>
    <col min="8696" max="8696" width="8.7109375" style="25" customWidth="1"/>
    <col min="8697" max="8697" width="9.85546875" style="25" customWidth="1"/>
    <col min="8698" max="8698" width="14.42578125" style="25" customWidth="1"/>
    <col min="8699" max="8699" width="7.28515625" style="25" customWidth="1"/>
    <col min="8700" max="8700" width="5.5703125" style="25" customWidth="1"/>
    <col min="8701" max="8701" width="9" style="25" customWidth="1"/>
    <col min="8702" max="8703" width="9.85546875" style="25" customWidth="1"/>
    <col min="8704" max="8704" width="11.140625" style="25" customWidth="1"/>
    <col min="8705" max="8705" width="2.85546875" style="25" customWidth="1"/>
    <col min="8706" max="8706" width="3.5703125" style="25" customWidth="1"/>
    <col min="8707" max="8951" width="9.140625" style="25"/>
    <col min="8952" max="8952" width="8.7109375" style="25" customWidth="1"/>
    <col min="8953" max="8953" width="9.85546875" style="25" customWidth="1"/>
    <col min="8954" max="8954" width="14.42578125" style="25" customWidth="1"/>
    <col min="8955" max="8955" width="7.28515625" style="25" customWidth="1"/>
    <col min="8956" max="8956" width="5.5703125" style="25" customWidth="1"/>
    <col min="8957" max="8957" width="9" style="25" customWidth="1"/>
    <col min="8958" max="8959" width="9.85546875" style="25" customWidth="1"/>
    <col min="8960" max="8960" width="11.140625" style="25" customWidth="1"/>
    <col min="8961" max="8961" width="2.85546875" style="25" customWidth="1"/>
    <col min="8962" max="8962" width="3.5703125" style="25" customWidth="1"/>
    <col min="8963" max="9207" width="9.140625" style="25"/>
    <col min="9208" max="9208" width="8.7109375" style="25" customWidth="1"/>
    <col min="9209" max="9209" width="9.85546875" style="25" customWidth="1"/>
    <col min="9210" max="9210" width="14.42578125" style="25" customWidth="1"/>
    <col min="9211" max="9211" width="7.28515625" style="25" customWidth="1"/>
    <col min="9212" max="9212" width="5.5703125" style="25" customWidth="1"/>
    <col min="9213" max="9213" width="9" style="25" customWidth="1"/>
    <col min="9214" max="9215" width="9.85546875" style="25" customWidth="1"/>
    <col min="9216" max="9216" width="11.140625" style="25" customWidth="1"/>
    <col min="9217" max="9217" width="2.85546875" style="25" customWidth="1"/>
    <col min="9218" max="9218" width="3.5703125" style="25" customWidth="1"/>
    <col min="9219" max="9463" width="9.140625" style="25"/>
    <col min="9464" max="9464" width="8.7109375" style="25" customWidth="1"/>
    <col min="9465" max="9465" width="9.85546875" style="25" customWidth="1"/>
    <col min="9466" max="9466" width="14.42578125" style="25" customWidth="1"/>
    <col min="9467" max="9467" width="7.28515625" style="25" customWidth="1"/>
    <col min="9468" max="9468" width="5.5703125" style="25" customWidth="1"/>
    <col min="9469" max="9469" width="9" style="25" customWidth="1"/>
    <col min="9470" max="9471" width="9.85546875" style="25" customWidth="1"/>
    <col min="9472" max="9472" width="11.140625" style="25" customWidth="1"/>
    <col min="9473" max="9473" width="2.85546875" style="25" customWidth="1"/>
    <col min="9474" max="9474" width="3.5703125" style="25" customWidth="1"/>
    <col min="9475" max="9719" width="9.140625" style="25"/>
    <col min="9720" max="9720" width="8.7109375" style="25" customWidth="1"/>
    <col min="9721" max="9721" width="9.85546875" style="25" customWidth="1"/>
    <col min="9722" max="9722" width="14.42578125" style="25" customWidth="1"/>
    <col min="9723" max="9723" width="7.28515625" style="25" customWidth="1"/>
    <col min="9724" max="9724" width="5.5703125" style="25" customWidth="1"/>
    <col min="9725" max="9725" width="9" style="25" customWidth="1"/>
    <col min="9726" max="9727" width="9.85546875" style="25" customWidth="1"/>
    <col min="9728" max="9728" width="11.140625" style="25" customWidth="1"/>
    <col min="9729" max="9729" width="2.85546875" style="25" customWidth="1"/>
    <col min="9730" max="9730" width="3.5703125" style="25" customWidth="1"/>
    <col min="9731" max="9975" width="9.140625" style="25"/>
    <col min="9976" max="9976" width="8.7109375" style="25" customWidth="1"/>
    <col min="9977" max="9977" width="9.85546875" style="25" customWidth="1"/>
    <col min="9978" max="9978" width="14.42578125" style="25" customWidth="1"/>
    <col min="9979" max="9979" width="7.28515625" style="25" customWidth="1"/>
    <col min="9980" max="9980" width="5.5703125" style="25" customWidth="1"/>
    <col min="9981" max="9981" width="9" style="25" customWidth="1"/>
    <col min="9982" max="9983" width="9.85546875" style="25" customWidth="1"/>
    <col min="9984" max="9984" width="11.140625" style="25" customWidth="1"/>
    <col min="9985" max="9985" width="2.85546875" style="25" customWidth="1"/>
    <col min="9986" max="9986" width="3.5703125" style="25" customWidth="1"/>
    <col min="9987" max="10231" width="9.140625" style="25"/>
    <col min="10232" max="10232" width="8.7109375" style="25" customWidth="1"/>
    <col min="10233" max="10233" width="9.85546875" style="25" customWidth="1"/>
    <col min="10234" max="10234" width="14.42578125" style="25" customWidth="1"/>
    <col min="10235" max="10235" width="7.28515625" style="25" customWidth="1"/>
    <col min="10236" max="10236" width="5.5703125" style="25" customWidth="1"/>
    <col min="10237" max="10237" width="9" style="25" customWidth="1"/>
    <col min="10238" max="10239" width="9.85546875" style="25" customWidth="1"/>
    <col min="10240" max="10240" width="11.140625" style="25" customWidth="1"/>
    <col min="10241" max="10241" width="2.85546875" style="25" customWidth="1"/>
    <col min="10242" max="10242" width="3.5703125" style="25" customWidth="1"/>
    <col min="10243" max="10487" width="9.140625" style="25"/>
    <col min="10488" max="10488" width="8.7109375" style="25" customWidth="1"/>
    <col min="10489" max="10489" width="9.85546875" style="25" customWidth="1"/>
    <col min="10490" max="10490" width="14.42578125" style="25" customWidth="1"/>
    <col min="10491" max="10491" width="7.28515625" style="25" customWidth="1"/>
    <col min="10492" max="10492" width="5.5703125" style="25" customWidth="1"/>
    <col min="10493" max="10493" width="9" style="25" customWidth="1"/>
    <col min="10494" max="10495" width="9.85546875" style="25" customWidth="1"/>
    <col min="10496" max="10496" width="11.140625" style="25" customWidth="1"/>
    <col min="10497" max="10497" width="2.85546875" style="25" customWidth="1"/>
    <col min="10498" max="10498" width="3.5703125" style="25" customWidth="1"/>
    <col min="10499" max="10743" width="9.140625" style="25"/>
    <col min="10744" max="10744" width="8.7109375" style="25" customWidth="1"/>
    <col min="10745" max="10745" width="9.85546875" style="25" customWidth="1"/>
    <col min="10746" max="10746" width="14.42578125" style="25" customWidth="1"/>
    <col min="10747" max="10747" width="7.28515625" style="25" customWidth="1"/>
    <col min="10748" max="10748" width="5.5703125" style="25" customWidth="1"/>
    <col min="10749" max="10749" width="9" style="25" customWidth="1"/>
    <col min="10750" max="10751" width="9.85546875" style="25" customWidth="1"/>
    <col min="10752" max="10752" width="11.140625" style="25" customWidth="1"/>
    <col min="10753" max="10753" width="2.85546875" style="25" customWidth="1"/>
    <col min="10754" max="10754" width="3.5703125" style="25" customWidth="1"/>
    <col min="10755" max="10999" width="9.140625" style="25"/>
    <col min="11000" max="11000" width="8.7109375" style="25" customWidth="1"/>
    <col min="11001" max="11001" width="9.85546875" style="25" customWidth="1"/>
    <col min="11002" max="11002" width="14.42578125" style="25" customWidth="1"/>
    <col min="11003" max="11003" width="7.28515625" style="25" customWidth="1"/>
    <col min="11004" max="11004" width="5.5703125" style="25" customWidth="1"/>
    <col min="11005" max="11005" width="9" style="25" customWidth="1"/>
    <col min="11006" max="11007" width="9.85546875" style="25" customWidth="1"/>
    <col min="11008" max="11008" width="11.140625" style="25" customWidth="1"/>
    <col min="11009" max="11009" width="2.85546875" style="25" customWidth="1"/>
    <col min="11010" max="11010" width="3.5703125" style="25" customWidth="1"/>
    <col min="11011" max="11255" width="9.140625" style="25"/>
    <col min="11256" max="11256" width="8.7109375" style="25" customWidth="1"/>
    <col min="11257" max="11257" width="9.85546875" style="25" customWidth="1"/>
    <col min="11258" max="11258" width="14.42578125" style="25" customWidth="1"/>
    <col min="11259" max="11259" width="7.28515625" style="25" customWidth="1"/>
    <col min="11260" max="11260" width="5.5703125" style="25" customWidth="1"/>
    <col min="11261" max="11261" width="9" style="25" customWidth="1"/>
    <col min="11262" max="11263" width="9.85546875" style="25" customWidth="1"/>
    <col min="11264" max="11264" width="11.140625" style="25" customWidth="1"/>
    <col min="11265" max="11265" width="2.85546875" style="25" customWidth="1"/>
    <col min="11266" max="11266" width="3.5703125" style="25" customWidth="1"/>
    <col min="11267" max="11511" width="9.140625" style="25"/>
    <col min="11512" max="11512" width="8.7109375" style="25" customWidth="1"/>
    <col min="11513" max="11513" width="9.85546875" style="25" customWidth="1"/>
    <col min="11514" max="11514" width="14.42578125" style="25" customWidth="1"/>
    <col min="11515" max="11515" width="7.28515625" style="25" customWidth="1"/>
    <col min="11516" max="11516" width="5.5703125" style="25" customWidth="1"/>
    <col min="11517" max="11517" width="9" style="25" customWidth="1"/>
    <col min="11518" max="11519" width="9.85546875" style="25" customWidth="1"/>
    <col min="11520" max="11520" width="11.140625" style="25" customWidth="1"/>
    <col min="11521" max="11521" width="2.85546875" style="25" customWidth="1"/>
    <col min="11522" max="11522" width="3.5703125" style="25" customWidth="1"/>
    <col min="11523" max="11767" width="9.140625" style="25"/>
    <col min="11768" max="11768" width="8.7109375" style="25" customWidth="1"/>
    <col min="11769" max="11769" width="9.85546875" style="25" customWidth="1"/>
    <col min="11770" max="11770" width="14.42578125" style="25" customWidth="1"/>
    <col min="11771" max="11771" width="7.28515625" style="25" customWidth="1"/>
    <col min="11772" max="11772" width="5.5703125" style="25" customWidth="1"/>
    <col min="11773" max="11773" width="9" style="25" customWidth="1"/>
    <col min="11774" max="11775" width="9.85546875" style="25" customWidth="1"/>
    <col min="11776" max="11776" width="11.140625" style="25" customWidth="1"/>
    <col min="11777" max="11777" width="2.85546875" style="25" customWidth="1"/>
    <col min="11778" max="11778" width="3.5703125" style="25" customWidth="1"/>
    <col min="11779" max="12023" width="9.140625" style="25"/>
    <col min="12024" max="12024" width="8.7109375" style="25" customWidth="1"/>
    <col min="12025" max="12025" width="9.85546875" style="25" customWidth="1"/>
    <col min="12026" max="12026" width="14.42578125" style="25" customWidth="1"/>
    <col min="12027" max="12027" width="7.28515625" style="25" customWidth="1"/>
    <col min="12028" max="12028" width="5.5703125" style="25" customWidth="1"/>
    <col min="12029" max="12029" width="9" style="25" customWidth="1"/>
    <col min="12030" max="12031" width="9.85546875" style="25" customWidth="1"/>
    <col min="12032" max="12032" width="11.140625" style="25" customWidth="1"/>
    <col min="12033" max="12033" width="2.85546875" style="25" customWidth="1"/>
    <col min="12034" max="12034" width="3.5703125" style="25" customWidth="1"/>
    <col min="12035" max="12279" width="9.140625" style="25"/>
    <col min="12280" max="12280" width="8.7109375" style="25" customWidth="1"/>
    <col min="12281" max="12281" width="9.85546875" style="25" customWidth="1"/>
    <col min="12282" max="12282" width="14.42578125" style="25" customWidth="1"/>
    <col min="12283" max="12283" width="7.28515625" style="25" customWidth="1"/>
    <col min="12284" max="12284" width="5.5703125" style="25" customWidth="1"/>
    <col min="12285" max="12285" width="9" style="25" customWidth="1"/>
    <col min="12286" max="12287" width="9.85546875" style="25" customWidth="1"/>
    <col min="12288" max="12288" width="11.140625" style="25" customWidth="1"/>
    <col min="12289" max="12289" width="2.85546875" style="25" customWidth="1"/>
    <col min="12290" max="12290" width="3.5703125" style="25" customWidth="1"/>
    <col min="12291" max="12535" width="9.140625" style="25"/>
    <col min="12536" max="12536" width="8.7109375" style="25" customWidth="1"/>
    <col min="12537" max="12537" width="9.85546875" style="25" customWidth="1"/>
    <col min="12538" max="12538" width="14.42578125" style="25" customWidth="1"/>
    <col min="12539" max="12539" width="7.28515625" style="25" customWidth="1"/>
    <col min="12540" max="12540" width="5.5703125" style="25" customWidth="1"/>
    <col min="12541" max="12541" width="9" style="25" customWidth="1"/>
    <col min="12542" max="12543" width="9.85546875" style="25" customWidth="1"/>
    <col min="12544" max="12544" width="11.140625" style="25" customWidth="1"/>
    <col min="12545" max="12545" width="2.85546875" style="25" customWidth="1"/>
    <col min="12546" max="12546" width="3.5703125" style="25" customWidth="1"/>
    <col min="12547" max="12791" width="9.140625" style="25"/>
    <col min="12792" max="12792" width="8.7109375" style="25" customWidth="1"/>
    <col min="12793" max="12793" width="9.85546875" style="25" customWidth="1"/>
    <col min="12794" max="12794" width="14.42578125" style="25" customWidth="1"/>
    <col min="12795" max="12795" width="7.28515625" style="25" customWidth="1"/>
    <col min="12796" max="12796" width="5.5703125" style="25" customWidth="1"/>
    <col min="12797" max="12797" width="9" style="25" customWidth="1"/>
    <col min="12798" max="12799" width="9.85546875" style="25" customWidth="1"/>
    <col min="12800" max="12800" width="11.140625" style="25" customWidth="1"/>
    <col min="12801" max="12801" width="2.85546875" style="25" customWidth="1"/>
    <col min="12802" max="12802" width="3.5703125" style="25" customWidth="1"/>
    <col min="12803" max="13047" width="9.140625" style="25"/>
    <col min="13048" max="13048" width="8.7109375" style="25" customWidth="1"/>
    <col min="13049" max="13049" width="9.85546875" style="25" customWidth="1"/>
    <col min="13050" max="13050" width="14.42578125" style="25" customWidth="1"/>
    <col min="13051" max="13051" width="7.28515625" style="25" customWidth="1"/>
    <col min="13052" max="13052" width="5.5703125" style="25" customWidth="1"/>
    <col min="13053" max="13053" width="9" style="25" customWidth="1"/>
    <col min="13054" max="13055" width="9.85546875" style="25" customWidth="1"/>
    <col min="13056" max="13056" width="11.140625" style="25" customWidth="1"/>
    <col min="13057" max="13057" width="2.85546875" style="25" customWidth="1"/>
    <col min="13058" max="13058" width="3.5703125" style="25" customWidth="1"/>
    <col min="13059" max="13303" width="9.140625" style="25"/>
    <col min="13304" max="13304" width="8.7109375" style="25" customWidth="1"/>
    <col min="13305" max="13305" width="9.85546875" style="25" customWidth="1"/>
    <col min="13306" max="13306" width="14.42578125" style="25" customWidth="1"/>
    <col min="13307" max="13307" width="7.28515625" style="25" customWidth="1"/>
    <col min="13308" max="13308" width="5.5703125" style="25" customWidth="1"/>
    <col min="13309" max="13309" width="9" style="25" customWidth="1"/>
    <col min="13310" max="13311" width="9.85546875" style="25" customWidth="1"/>
    <col min="13312" max="13312" width="11.140625" style="25" customWidth="1"/>
    <col min="13313" max="13313" width="2.85546875" style="25" customWidth="1"/>
    <col min="13314" max="13314" width="3.5703125" style="25" customWidth="1"/>
    <col min="13315" max="13559" width="9.140625" style="25"/>
    <col min="13560" max="13560" width="8.7109375" style="25" customWidth="1"/>
    <col min="13561" max="13561" width="9.85546875" style="25" customWidth="1"/>
    <col min="13562" max="13562" width="14.42578125" style="25" customWidth="1"/>
    <col min="13563" max="13563" width="7.28515625" style="25" customWidth="1"/>
    <col min="13564" max="13564" width="5.5703125" style="25" customWidth="1"/>
    <col min="13565" max="13565" width="9" style="25" customWidth="1"/>
    <col min="13566" max="13567" width="9.85546875" style="25" customWidth="1"/>
    <col min="13568" max="13568" width="11.140625" style="25" customWidth="1"/>
    <col min="13569" max="13569" width="2.85546875" style="25" customWidth="1"/>
    <col min="13570" max="13570" width="3.5703125" style="25" customWidth="1"/>
    <col min="13571" max="13815" width="9.140625" style="25"/>
    <col min="13816" max="13816" width="8.7109375" style="25" customWidth="1"/>
    <col min="13817" max="13817" width="9.85546875" style="25" customWidth="1"/>
    <col min="13818" max="13818" width="14.42578125" style="25" customWidth="1"/>
    <col min="13819" max="13819" width="7.28515625" style="25" customWidth="1"/>
    <col min="13820" max="13820" width="5.5703125" style="25" customWidth="1"/>
    <col min="13821" max="13821" width="9" style="25" customWidth="1"/>
    <col min="13822" max="13823" width="9.85546875" style="25" customWidth="1"/>
    <col min="13824" max="13824" width="11.140625" style="25" customWidth="1"/>
    <col min="13825" max="13825" width="2.85546875" style="25" customWidth="1"/>
    <col min="13826" max="13826" width="3.5703125" style="25" customWidth="1"/>
    <col min="13827" max="14071" width="9.140625" style="25"/>
    <col min="14072" max="14072" width="8.7109375" style="25" customWidth="1"/>
    <col min="14073" max="14073" width="9.85546875" style="25" customWidth="1"/>
    <col min="14074" max="14074" width="14.42578125" style="25" customWidth="1"/>
    <col min="14075" max="14075" width="7.28515625" style="25" customWidth="1"/>
    <col min="14076" max="14076" width="5.5703125" style="25" customWidth="1"/>
    <col min="14077" max="14077" width="9" style="25" customWidth="1"/>
    <col min="14078" max="14079" width="9.85546875" style="25" customWidth="1"/>
    <col min="14080" max="14080" width="11.140625" style="25" customWidth="1"/>
    <col min="14081" max="14081" width="2.85546875" style="25" customWidth="1"/>
    <col min="14082" max="14082" width="3.5703125" style="25" customWidth="1"/>
    <col min="14083" max="14327" width="9.140625" style="25"/>
    <col min="14328" max="14328" width="8.7109375" style="25" customWidth="1"/>
    <col min="14329" max="14329" width="9.85546875" style="25" customWidth="1"/>
    <col min="14330" max="14330" width="14.42578125" style="25" customWidth="1"/>
    <col min="14331" max="14331" width="7.28515625" style="25" customWidth="1"/>
    <col min="14332" max="14332" width="5.5703125" style="25" customWidth="1"/>
    <col min="14333" max="14333" width="9" style="25" customWidth="1"/>
    <col min="14334" max="14335" width="9.85546875" style="25" customWidth="1"/>
    <col min="14336" max="14336" width="11.140625" style="25" customWidth="1"/>
    <col min="14337" max="14337" width="2.85546875" style="25" customWidth="1"/>
    <col min="14338" max="14338" width="3.5703125" style="25" customWidth="1"/>
    <col min="14339" max="14583" width="9.140625" style="25"/>
    <col min="14584" max="14584" width="8.7109375" style="25" customWidth="1"/>
    <col min="14585" max="14585" width="9.85546875" style="25" customWidth="1"/>
    <col min="14586" max="14586" width="14.42578125" style="25" customWidth="1"/>
    <col min="14587" max="14587" width="7.28515625" style="25" customWidth="1"/>
    <col min="14588" max="14588" width="5.5703125" style="25" customWidth="1"/>
    <col min="14589" max="14589" width="9" style="25" customWidth="1"/>
    <col min="14590" max="14591" width="9.85546875" style="25" customWidth="1"/>
    <col min="14592" max="14592" width="11.140625" style="25" customWidth="1"/>
    <col min="14593" max="14593" width="2.85546875" style="25" customWidth="1"/>
    <col min="14594" max="14594" width="3.5703125" style="25" customWidth="1"/>
    <col min="14595" max="14839" width="9.140625" style="25"/>
    <col min="14840" max="14840" width="8.7109375" style="25" customWidth="1"/>
    <col min="14841" max="14841" width="9.85546875" style="25" customWidth="1"/>
    <col min="14842" max="14842" width="14.42578125" style="25" customWidth="1"/>
    <col min="14843" max="14843" width="7.28515625" style="25" customWidth="1"/>
    <col min="14844" max="14844" width="5.5703125" style="25" customWidth="1"/>
    <col min="14845" max="14845" width="9" style="25" customWidth="1"/>
    <col min="14846" max="14847" width="9.85546875" style="25" customWidth="1"/>
    <col min="14848" max="14848" width="11.140625" style="25" customWidth="1"/>
    <col min="14849" max="14849" width="2.85546875" style="25" customWidth="1"/>
    <col min="14850" max="14850" width="3.5703125" style="25" customWidth="1"/>
    <col min="14851" max="15095" width="9.140625" style="25"/>
    <col min="15096" max="15096" width="8.7109375" style="25" customWidth="1"/>
    <col min="15097" max="15097" width="9.85546875" style="25" customWidth="1"/>
    <col min="15098" max="15098" width="14.42578125" style="25" customWidth="1"/>
    <col min="15099" max="15099" width="7.28515625" style="25" customWidth="1"/>
    <col min="15100" max="15100" width="5.5703125" style="25" customWidth="1"/>
    <col min="15101" max="15101" width="9" style="25" customWidth="1"/>
    <col min="15102" max="15103" width="9.85546875" style="25" customWidth="1"/>
    <col min="15104" max="15104" width="11.140625" style="25" customWidth="1"/>
    <col min="15105" max="15105" width="2.85546875" style="25" customWidth="1"/>
    <col min="15106" max="15106" width="3.5703125" style="25" customWidth="1"/>
    <col min="15107" max="15351" width="9.140625" style="25"/>
    <col min="15352" max="15352" width="8.7109375" style="25" customWidth="1"/>
    <col min="15353" max="15353" width="9.85546875" style="25" customWidth="1"/>
    <col min="15354" max="15354" width="14.42578125" style="25" customWidth="1"/>
    <col min="15355" max="15355" width="7.28515625" style="25" customWidth="1"/>
    <col min="15356" max="15356" width="5.5703125" style="25" customWidth="1"/>
    <col min="15357" max="15357" width="9" style="25" customWidth="1"/>
    <col min="15358" max="15359" width="9.85546875" style="25" customWidth="1"/>
    <col min="15360" max="15360" width="11.140625" style="25" customWidth="1"/>
    <col min="15361" max="15361" width="2.85546875" style="25" customWidth="1"/>
    <col min="15362" max="15362" width="3.5703125" style="25" customWidth="1"/>
    <col min="15363" max="15607" width="9.140625" style="25"/>
    <col min="15608" max="15608" width="8.7109375" style="25" customWidth="1"/>
    <col min="15609" max="15609" width="9.85546875" style="25" customWidth="1"/>
    <col min="15610" max="15610" width="14.42578125" style="25" customWidth="1"/>
    <col min="15611" max="15611" width="7.28515625" style="25" customWidth="1"/>
    <col min="15612" max="15612" width="5.5703125" style="25" customWidth="1"/>
    <col min="15613" max="15613" width="9" style="25" customWidth="1"/>
    <col min="15614" max="15615" width="9.85546875" style="25" customWidth="1"/>
    <col min="15616" max="15616" width="11.140625" style="25" customWidth="1"/>
    <col min="15617" max="15617" width="2.85546875" style="25" customWidth="1"/>
    <col min="15618" max="15618" width="3.5703125" style="25" customWidth="1"/>
    <col min="15619" max="15863" width="9.140625" style="25"/>
    <col min="15864" max="15864" width="8.7109375" style="25" customWidth="1"/>
    <col min="15865" max="15865" width="9.85546875" style="25" customWidth="1"/>
    <col min="15866" max="15866" width="14.42578125" style="25" customWidth="1"/>
    <col min="15867" max="15867" width="7.28515625" style="25" customWidth="1"/>
    <col min="15868" max="15868" width="5.5703125" style="25" customWidth="1"/>
    <col min="15869" max="15869" width="9" style="25" customWidth="1"/>
    <col min="15870" max="15871" width="9.85546875" style="25" customWidth="1"/>
    <col min="15872" max="15872" width="11.140625" style="25" customWidth="1"/>
    <col min="15873" max="15873" width="2.85546875" style="25" customWidth="1"/>
    <col min="15874" max="15874" width="3.5703125" style="25" customWidth="1"/>
    <col min="15875" max="16119" width="9.140625" style="25"/>
    <col min="16120" max="16120" width="8.7109375" style="25" customWidth="1"/>
    <col min="16121" max="16121" width="9.85546875" style="25" customWidth="1"/>
    <col min="16122" max="16122" width="14.42578125" style="25" customWidth="1"/>
    <col min="16123" max="16123" width="7.28515625" style="25" customWidth="1"/>
    <col min="16124" max="16124" width="5.5703125" style="25" customWidth="1"/>
    <col min="16125" max="16125" width="9" style="25" customWidth="1"/>
    <col min="16126" max="16127" width="9.85546875" style="25" customWidth="1"/>
    <col min="16128" max="16128" width="11.140625" style="25" customWidth="1"/>
    <col min="16129" max="16129" width="2.85546875" style="25" customWidth="1"/>
    <col min="16130" max="16130" width="3.5703125" style="25" customWidth="1"/>
    <col min="16131" max="16384" width="9.140625" style="25"/>
  </cols>
  <sheetData>
    <row r="1" spans="1:8" ht="46.5" customHeight="1" x14ac:dyDescent="0.25">
      <c r="A1" s="192" t="s">
        <v>285</v>
      </c>
      <c r="B1" s="192"/>
      <c r="C1" s="192"/>
      <c r="D1" s="192"/>
      <c r="E1" s="192"/>
      <c r="F1" s="192"/>
      <c r="G1" s="192"/>
      <c r="H1" s="192"/>
    </row>
    <row r="2" spans="1:8" ht="16.5" customHeight="1" x14ac:dyDescent="0.25">
      <c r="A2" s="130" t="s">
        <v>0</v>
      </c>
      <c r="B2" s="130"/>
      <c r="C2" s="130"/>
      <c r="D2" s="130"/>
      <c r="E2" s="130"/>
      <c r="F2" s="130"/>
      <c r="G2" s="130"/>
      <c r="H2" s="130"/>
    </row>
    <row r="3" spans="1:8" x14ac:dyDescent="0.25">
      <c r="A3" s="98" t="s">
        <v>1</v>
      </c>
      <c r="B3" s="98"/>
      <c r="C3" s="98"/>
      <c r="D3" s="98"/>
      <c r="E3" s="98" t="str">
        <f ca="1">TEXT(TODAY(),"DD/MM/YYYY")</f>
        <v>12/08/2025</v>
      </c>
      <c r="F3" s="98"/>
      <c r="G3" s="98"/>
      <c r="H3" s="98"/>
    </row>
    <row r="4" spans="1:8" ht="15" customHeight="1" x14ac:dyDescent="0.25">
      <c r="A4" s="98" t="s">
        <v>2</v>
      </c>
      <c r="B4" s="98"/>
      <c r="C4" s="98"/>
      <c r="D4" s="98"/>
      <c r="E4" s="98" t="s">
        <v>161</v>
      </c>
      <c r="F4" s="98"/>
      <c r="G4" s="98"/>
      <c r="H4" s="98"/>
    </row>
    <row r="5" spans="1:8" x14ac:dyDescent="0.25">
      <c r="A5" s="98" t="s">
        <v>3</v>
      </c>
      <c r="B5" s="98"/>
      <c r="C5" s="98"/>
      <c r="D5" s="98"/>
      <c r="E5" s="193">
        <v>45881</v>
      </c>
      <c r="F5" s="98"/>
      <c r="G5" s="98"/>
      <c r="H5" s="98"/>
    </row>
    <row r="6" spans="1:8" ht="16.5" customHeight="1" x14ac:dyDescent="0.25">
      <c r="A6" s="98" t="s">
        <v>4</v>
      </c>
      <c r="B6" s="98"/>
      <c r="C6" s="98"/>
      <c r="D6" s="98"/>
      <c r="E6" s="98" t="s">
        <v>162</v>
      </c>
      <c r="F6" s="98"/>
      <c r="G6" s="98"/>
      <c r="H6" s="98"/>
    </row>
    <row r="7" spans="1:8" ht="15" customHeight="1" x14ac:dyDescent="0.25">
      <c r="A7" s="98" t="s">
        <v>5</v>
      </c>
      <c r="B7" s="98"/>
      <c r="C7" s="98"/>
      <c r="D7" s="98"/>
      <c r="E7" s="98" t="str">
        <f>E6</f>
        <v>M/s. Golden Realty</v>
      </c>
      <c r="F7" s="98"/>
      <c r="G7" s="98"/>
      <c r="H7" s="98"/>
    </row>
    <row r="8" spans="1:8" x14ac:dyDescent="0.25">
      <c r="A8" s="98" t="s">
        <v>6</v>
      </c>
      <c r="B8" s="98"/>
      <c r="C8" s="98"/>
      <c r="D8" s="98"/>
      <c r="E8" s="105" t="s">
        <v>185</v>
      </c>
      <c r="F8" s="105"/>
      <c r="G8" s="105"/>
      <c r="H8" s="105"/>
    </row>
    <row r="9" spans="1:8" x14ac:dyDescent="0.25">
      <c r="A9" s="98" t="s">
        <v>166</v>
      </c>
      <c r="B9" s="98"/>
      <c r="C9" s="98"/>
      <c r="D9" s="98"/>
      <c r="E9" s="98" t="s">
        <v>276</v>
      </c>
      <c r="F9" s="98"/>
      <c r="G9" s="98"/>
      <c r="H9" s="98"/>
    </row>
    <row r="10" spans="1:8" x14ac:dyDescent="0.25">
      <c r="A10" s="98" t="s">
        <v>121</v>
      </c>
      <c r="B10" s="98"/>
      <c r="C10" s="98"/>
      <c r="D10" s="98"/>
      <c r="E10" s="98">
        <v>9167094321</v>
      </c>
      <c r="F10" s="98"/>
      <c r="G10" s="98"/>
      <c r="H10" s="98"/>
    </row>
    <row r="11" spans="1:8" x14ac:dyDescent="0.25">
      <c r="A11" s="98" t="s">
        <v>7</v>
      </c>
      <c r="B11" s="98"/>
      <c r="C11" s="98"/>
      <c r="D11" s="98"/>
      <c r="E11" s="98" t="s">
        <v>272</v>
      </c>
      <c r="F11" s="98"/>
      <c r="G11" s="98"/>
      <c r="H11" s="98"/>
    </row>
    <row r="12" spans="1:8" x14ac:dyDescent="0.25">
      <c r="A12" s="84" t="s">
        <v>8</v>
      </c>
      <c r="B12" s="84"/>
      <c r="C12" s="84"/>
      <c r="D12" s="84"/>
      <c r="E12" s="161" t="s">
        <v>246</v>
      </c>
      <c r="F12" s="161"/>
      <c r="G12" s="161"/>
      <c r="H12" s="161"/>
    </row>
    <row r="13" spans="1:8" x14ac:dyDescent="0.25">
      <c r="A13" s="84" t="s">
        <v>9</v>
      </c>
      <c r="B13" s="84"/>
      <c r="C13" s="84"/>
      <c r="D13" s="84"/>
      <c r="E13" s="161" t="s">
        <v>248</v>
      </c>
      <c r="F13" s="98"/>
      <c r="G13" s="98"/>
      <c r="H13" s="98"/>
    </row>
    <row r="14" spans="1:8" ht="66.75" customHeight="1" x14ac:dyDescent="0.25">
      <c r="A14" s="160" t="s">
        <v>10</v>
      </c>
      <c r="B14" s="160"/>
      <c r="C14" s="160" t="str">
        <f>CONCATENATE((IF(OR(E8="",E8="NA"),"",E8)),", ",(IF(OR(A15="",A15="NA"),"",A15)),".",(IF(OR(C15="",C15="NA"),"",C15)),", near ",(IF(OR(C19="",C19="NA"),"",C19)),", ",(IF(OR(C16="",C16="NA"),"",C16)),", ",(IF(OR(G16="",G16="NA"),"",G16)),", ",(IF(OR(C17="",C17="NA"),"",C17)),", ",(IF(OR(C18="",C18="NA"),"",C18)),", ",(IF(OR(G17="",G17="NA"),"",G17))," - ",(IF(OR(G18="",G18="NA"),"",G18)),".")</f>
        <v>Golden Residency, CTS No.28, 29, 34 &amp; 35 of Byculla Division, E - ward, Bearing C.S.No. / Ward No. E-770 to 774, E-1089 to 1091 &amp; 1086 to 1088 at Bapty Road &amp; Kamathipura., near Dinanath building, Parshuram Pupala Marg, Kamatipura, Grant Road East, Ward E, Byculla, Mumbai - 400008.</v>
      </c>
      <c r="D14" s="160"/>
      <c r="E14" s="160"/>
      <c r="F14" s="160"/>
      <c r="G14" s="160"/>
      <c r="H14" s="160"/>
    </row>
    <row r="15" spans="1:8" ht="33.75" customHeight="1" x14ac:dyDescent="0.25">
      <c r="A15" s="161" t="s">
        <v>163</v>
      </c>
      <c r="B15" s="161"/>
      <c r="C15" s="161" t="s">
        <v>275</v>
      </c>
      <c r="D15" s="161"/>
      <c r="E15" s="161"/>
      <c r="F15" s="161"/>
      <c r="G15" s="161"/>
      <c r="H15" s="161"/>
    </row>
    <row r="16" spans="1:8" ht="15.75" customHeight="1" x14ac:dyDescent="0.25">
      <c r="A16" s="160" t="s">
        <v>11</v>
      </c>
      <c r="B16" s="160"/>
      <c r="C16" s="98" t="s">
        <v>165</v>
      </c>
      <c r="D16" s="98"/>
      <c r="E16" s="160" t="s">
        <v>74</v>
      </c>
      <c r="F16" s="160"/>
      <c r="G16" s="161" t="s">
        <v>277</v>
      </c>
      <c r="H16" s="161"/>
    </row>
    <row r="17" spans="1:8" x14ac:dyDescent="0.25">
      <c r="A17" s="84" t="s">
        <v>13</v>
      </c>
      <c r="B17" s="84"/>
      <c r="C17" s="161" t="s">
        <v>249</v>
      </c>
      <c r="D17" s="161"/>
      <c r="E17" s="160" t="s">
        <v>12</v>
      </c>
      <c r="F17" s="160"/>
      <c r="G17" s="195" t="s">
        <v>167</v>
      </c>
      <c r="H17" s="195"/>
    </row>
    <row r="18" spans="1:8" x14ac:dyDescent="0.25">
      <c r="A18" s="84" t="s">
        <v>75</v>
      </c>
      <c r="B18" s="84"/>
      <c r="C18" s="161" t="s">
        <v>172</v>
      </c>
      <c r="D18" s="161"/>
      <c r="E18" s="160" t="s">
        <v>14</v>
      </c>
      <c r="F18" s="160"/>
      <c r="G18" s="161">
        <v>400008</v>
      </c>
      <c r="H18" s="161"/>
    </row>
    <row r="19" spans="1:8" ht="32.25" customHeight="1" x14ac:dyDescent="0.25">
      <c r="A19" s="84" t="s">
        <v>123</v>
      </c>
      <c r="B19" s="84"/>
      <c r="C19" s="161" t="s">
        <v>171</v>
      </c>
      <c r="D19" s="161"/>
      <c r="E19" s="160" t="s">
        <v>15</v>
      </c>
      <c r="F19" s="160"/>
      <c r="G19" s="161" t="s">
        <v>164</v>
      </c>
      <c r="H19" s="161"/>
    </row>
    <row r="20" spans="1:8" ht="15" customHeight="1" x14ac:dyDescent="0.25">
      <c r="A20" s="160" t="s">
        <v>77</v>
      </c>
      <c r="B20" s="160"/>
      <c r="C20" s="160"/>
      <c r="D20" s="160"/>
      <c r="E20" s="98" t="s">
        <v>16</v>
      </c>
      <c r="F20" s="98"/>
      <c r="G20" s="98"/>
      <c r="H20" s="98"/>
    </row>
    <row r="21" spans="1:8" ht="18.75" customHeight="1" x14ac:dyDescent="0.25">
      <c r="A21" s="160"/>
      <c r="B21" s="160"/>
      <c r="C21" s="160"/>
      <c r="D21" s="160"/>
      <c r="E21" s="98"/>
      <c r="F21" s="98"/>
      <c r="G21" s="98"/>
      <c r="H21" s="98"/>
    </row>
    <row r="22" spans="1:8" ht="15" customHeight="1" x14ac:dyDescent="0.25">
      <c r="A22" s="160" t="s">
        <v>17</v>
      </c>
      <c r="B22" s="160"/>
      <c r="C22" s="160"/>
      <c r="D22" s="160"/>
      <c r="E22" s="161" t="s">
        <v>18</v>
      </c>
      <c r="F22" s="161"/>
      <c r="G22" s="161"/>
      <c r="H22" s="161"/>
    </row>
    <row r="23" spans="1:8" x14ac:dyDescent="0.25">
      <c r="A23" s="84" t="s">
        <v>19</v>
      </c>
      <c r="B23" s="84"/>
      <c r="C23" s="84"/>
      <c r="D23" s="84"/>
      <c r="E23" s="161" t="str">
        <f>IF(AND(G17="Mumbai"),"Upper Class","Middle Class")</f>
        <v>Upper Class</v>
      </c>
      <c r="F23" s="161"/>
      <c r="G23" s="161"/>
      <c r="H23" s="161"/>
    </row>
    <row r="24" spans="1:8" x14ac:dyDescent="0.25">
      <c r="A24" s="84" t="s">
        <v>20</v>
      </c>
      <c r="B24" s="84"/>
      <c r="C24" s="84"/>
      <c r="D24" s="84"/>
      <c r="E24" s="161" t="s">
        <v>21</v>
      </c>
      <c r="F24" s="161"/>
      <c r="G24" s="161"/>
      <c r="H24" s="161"/>
    </row>
    <row r="25" spans="1:8" ht="15.75" customHeight="1" x14ac:dyDescent="0.25">
      <c r="A25" s="84" t="s">
        <v>22</v>
      </c>
      <c r="B25" s="84"/>
      <c r="C25" s="84"/>
      <c r="D25" s="84"/>
      <c r="E25" s="161" t="str">
        <f>IF(AND(G17="Mumbai"),"Developed","Developing")</f>
        <v>Developed</v>
      </c>
      <c r="F25" s="161"/>
      <c r="G25" s="161"/>
      <c r="H25" s="161"/>
    </row>
    <row r="26" spans="1:8" x14ac:dyDescent="0.25">
      <c r="A26" s="84" t="s">
        <v>23</v>
      </c>
      <c r="B26" s="84"/>
      <c r="C26" s="84"/>
      <c r="D26" s="84"/>
      <c r="E26" s="161" t="s">
        <v>24</v>
      </c>
      <c r="F26" s="161"/>
      <c r="G26" s="161"/>
      <c r="H26" s="161"/>
    </row>
    <row r="27" spans="1:8" ht="15.75" customHeight="1" x14ac:dyDescent="0.25">
      <c r="A27" s="84" t="s">
        <v>82</v>
      </c>
      <c r="B27" s="84"/>
      <c r="C27" s="84"/>
      <c r="D27" s="84"/>
      <c r="E27" s="161" t="s">
        <v>83</v>
      </c>
      <c r="F27" s="161"/>
      <c r="G27" s="161"/>
      <c r="H27" s="161"/>
    </row>
    <row r="28" spans="1:8" ht="15" customHeight="1" x14ac:dyDescent="0.25">
      <c r="A28" s="84" t="s">
        <v>33</v>
      </c>
      <c r="B28" s="84"/>
      <c r="C28" s="84"/>
      <c r="D28" s="84"/>
      <c r="E28" s="161" t="str">
        <f>IF(AND(ISNUMBER(SEARCH("Flat",D54)),ISNUMBER(SEARCH("Shop",D54)),ISNUMBER(SEARCH("Office",D54))),"Residential + Commercial",IF(AND(ISNUMBER(SEARCH("Flat",D54)),ISNUMBER(SEARCH("Shop",D54))),"Residential + Commercial",IF(AND(ISNUMBER(SEARCH("Flat",D54)),ISNUMBER(SEARCH("Office",D54))),"Residential + Commercial",IF(AND(ISNUMBER(SEARCH("Shop",D54)),ISNUMBER(SEARCH("Office",D54))),"Commercial",IF(ISNUMBER(SEARCH("Shop",D54)),"Commercial",IF(ISNUMBER(SEARCH("Office",D54)),"Commercial",IF(ISNUMBER(SEARCH("Flat",D54)),"Residential")))))))</f>
        <v>Residential + Commercial</v>
      </c>
      <c r="F28" s="161"/>
      <c r="G28" s="161"/>
      <c r="H28" s="161"/>
    </row>
    <row r="29" spans="1:8" ht="15.75" customHeight="1" x14ac:dyDescent="0.25">
      <c r="A29" s="84" t="s">
        <v>94</v>
      </c>
      <c r="B29" s="84"/>
      <c r="C29" s="84"/>
      <c r="D29" s="84"/>
      <c r="E29" s="161" t="s">
        <v>34</v>
      </c>
      <c r="F29" s="161"/>
      <c r="G29" s="161"/>
      <c r="H29" s="161"/>
    </row>
    <row r="30" spans="1:8" s="26" customFormat="1" x14ac:dyDescent="0.25">
      <c r="A30" s="199" t="s">
        <v>95</v>
      </c>
      <c r="B30" s="199"/>
      <c r="C30" s="198" t="s">
        <v>29</v>
      </c>
      <c r="D30" s="198"/>
      <c r="E30" s="198"/>
      <c r="F30" s="198" t="s">
        <v>31</v>
      </c>
      <c r="G30" s="198"/>
      <c r="H30" s="198"/>
    </row>
    <row r="31" spans="1:8" s="26" customFormat="1" x14ac:dyDescent="0.25">
      <c r="A31" s="196" t="s">
        <v>25</v>
      </c>
      <c r="B31" s="196" t="s">
        <v>30</v>
      </c>
      <c r="C31" s="197" t="s">
        <v>30</v>
      </c>
      <c r="D31" s="197"/>
      <c r="E31" s="197"/>
      <c r="F31" s="197" t="s">
        <v>168</v>
      </c>
      <c r="G31" s="197"/>
      <c r="H31" s="197"/>
    </row>
    <row r="32" spans="1:8" x14ac:dyDescent="0.25">
      <c r="A32" s="196" t="s">
        <v>26</v>
      </c>
      <c r="B32" s="196" t="s">
        <v>30</v>
      </c>
      <c r="C32" s="197" t="s">
        <v>30</v>
      </c>
      <c r="D32" s="197"/>
      <c r="E32" s="197"/>
      <c r="F32" s="197" t="s">
        <v>170</v>
      </c>
      <c r="G32" s="197"/>
      <c r="H32" s="197"/>
    </row>
    <row r="33" spans="1:8" s="26" customFormat="1" x14ac:dyDescent="0.25">
      <c r="A33" s="196" t="s">
        <v>28</v>
      </c>
      <c r="B33" s="196" t="s">
        <v>30</v>
      </c>
      <c r="C33" s="197" t="s">
        <v>30</v>
      </c>
      <c r="D33" s="197"/>
      <c r="E33" s="197"/>
      <c r="F33" s="197" t="s">
        <v>169</v>
      </c>
      <c r="G33" s="197"/>
      <c r="H33" s="197"/>
    </row>
    <row r="34" spans="1:8" x14ac:dyDescent="0.25">
      <c r="A34" s="196" t="s">
        <v>27</v>
      </c>
      <c r="B34" s="196" t="s">
        <v>30</v>
      </c>
      <c r="C34" s="197" t="s">
        <v>30</v>
      </c>
      <c r="D34" s="197"/>
      <c r="E34" s="197"/>
      <c r="F34" s="197" t="s">
        <v>165</v>
      </c>
      <c r="G34" s="197"/>
      <c r="H34" s="197"/>
    </row>
    <row r="35" spans="1:8" x14ac:dyDescent="0.25">
      <c r="A35" s="84" t="s">
        <v>32</v>
      </c>
      <c r="B35" s="84"/>
      <c r="C35" s="84"/>
      <c r="D35" s="84"/>
      <c r="E35" s="84"/>
      <c r="F35" s="84"/>
      <c r="G35" s="84"/>
      <c r="H35" s="84"/>
    </row>
    <row r="36" spans="1:8" ht="15.75" customHeight="1" x14ac:dyDescent="0.25">
      <c r="A36" s="130" t="s">
        <v>287</v>
      </c>
      <c r="B36" s="130"/>
      <c r="C36" s="200" t="s">
        <v>288</v>
      </c>
      <c r="D36" s="201"/>
      <c r="E36" s="201"/>
      <c r="F36" s="201"/>
      <c r="G36" s="201"/>
      <c r="H36" s="202"/>
    </row>
    <row r="37" spans="1:8" ht="15.75" customHeight="1" x14ac:dyDescent="0.25">
      <c r="A37" s="130" t="s">
        <v>286</v>
      </c>
      <c r="B37" s="130"/>
      <c r="C37" s="218" t="s">
        <v>281</v>
      </c>
      <c r="D37" s="201"/>
      <c r="E37" s="201"/>
      <c r="F37" s="201"/>
      <c r="G37" s="201"/>
      <c r="H37" s="202"/>
    </row>
    <row r="38" spans="1:8" x14ac:dyDescent="0.25">
      <c r="A38" s="86" t="s">
        <v>35</v>
      </c>
      <c r="B38" s="86"/>
      <c r="C38" s="86"/>
      <c r="D38" s="86"/>
      <c r="E38" s="86"/>
      <c r="F38" s="86"/>
      <c r="G38" s="86"/>
      <c r="H38" s="86"/>
    </row>
    <row r="39" spans="1:8" x14ac:dyDescent="0.25">
      <c r="A39" s="84" t="s">
        <v>36</v>
      </c>
      <c r="B39" s="84"/>
      <c r="C39" s="84"/>
      <c r="D39" s="84"/>
      <c r="E39" s="194">
        <v>1465.12</v>
      </c>
      <c r="F39" s="194"/>
      <c r="G39" s="194"/>
      <c r="H39" s="194"/>
    </row>
    <row r="40" spans="1:8" x14ac:dyDescent="0.25">
      <c r="A40" s="84" t="s">
        <v>37</v>
      </c>
      <c r="B40" s="84"/>
      <c r="C40" s="84"/>
      <c r="D40" s="84"/>
      <c r="E40" s="156">
        <v>4.7</v>
      </c>
      <c r="F40" s="156"/>
      <c r="G40" s="156"/>
      <c r="H40" s="156"/>
    </row>
    <row r="41" spans="1:8" x14ac:dyDescent="0.25">
      <c r="A41" s="84" t="s">
        <v>38</v>
      </c>
      <c r="B41" s="84"/>
      <c r="C41" s="84"/>
      <c r="D41" s="84"/>
      <c r="E41" s="156">
        <f>E43/E39-E40</f>
        <v>5.353067325543301</v>
      </c>
      <c r="F41" s="156"/>
      <c r="G41" s="156"/>
      <c r="H41" s="156"/>
    </row>
    <row r="42" spans="1:8" x14ac:dyDescent="0.25">
      <c r="A42" s="84" t="s">
        <v>39</v>
      </c>
      <c r="B42" s="84"/>
      <c r="C42" s="84"/>
      <c r="D42" s="84"/>
      <c r="E42" s="156">
        <f>E40+E41</f>
        <v>10.053067325543301</v>
      </c>
      <c r="F42" s="156"/>
      <c r="G42" s="156"/>
      <c r="H42" s="156"/>
    </row>
    <row r="43" spans="1:8" x14ac:dyDescent="0.25">
      <c r="A43" s="84" t="s">
        <v>93</v>
      </c>
      <c r="B43" s="84"/>
      <c r="C43" s="84"/>
      <c r="D43" s="84"/>
      <c r="E43" s="173">
        <v>14728.95</v>
      </c>
      <c r="F43" s="173"/>
      <c r="G43" s="173"/>
      <c r="H43" s="173"/>
    </row>
    <row r="44" spans="1:8" x14ac:dyDescent="0.25">
      <c r="A44" s="98" t="s">
        <v>40</v>
      </c>
      <c r="B44" s="98"/>
      <c r="C44" s="98"/>
      <c r="D44" s="98"/>
      <c r="E44" s="98" t="s">
        <v>273</v>
      </c>
      <c r="F44" s="98"/>
      <c r="G44" s="98"/>
      <c r="H44" s="98"/>
    </row>
    <row r="45" spans="1:8" x14ac:dyDescent="0.25">
      <c r="A45" s="86" t="s">
        <v>41</v>
      </c>
      <c r="B45" s="86"/>
      <c r="C45" s="86"/>
      <c r="D45" s="86"/>
      <c r="E45" s="86"/>
      <c r="F45" s="86"/>
      <c r="G45" s="86"/>
      <c r="H45" s="86"/>
    </row>
    <row r="46" spans="1:8" ht="33.75" customHeight="1" x14ac:dyDescent="0.25">
      <c r="A46" s="157" t="s">
        <v>152</v>
      </c>
      <c r="B46" s="158"/>
      <c r="C46" s="209" t="s">
        <v>174</v>
      </c>
      <c r="D46" s="210"/>
      <c r="E46" s="210"/>
      <c r="F46" s="210"/>
      <c r="G46" s="210"/>
      <c r="H46" s="211"/>
    </row>
    <row r="47" spans="1:8" ht="15.75" customHeight="1" x14ac:dyDescent="0.25">
      <c r="A47" s="157" t="s">
        <v>42</v>
      </c>
      <c r="B47" s="158"/>
      <c r="C47" s="157" t="s">
        <v>173</v>
      </c>
      <c r="D47" s="159"/>
      <c r="E47" s="158"/>
      <c r="F47" s="22" t="s">
        <v>43</v>
      </c>
      <c r="G47" s="178">
        <v>44560</v>
      </c>
      <c r="H47" s="158"/>
    </row>
    <row r="48" spans="1:8" x14ac:dyDescent="0.25">
      <c r="A48" s="157" t="s">
        <v>44</v>
      </c>
      <c r="B48" s="158"/>
      <c r="C48" s="157" t="str">
        <f>C47</f>
        <v>CHE/CTY/0759/E/337(NEW)</v>
      </c>
      <c r="D48" s="159"/>
      <c r="E48" s="158"/>
      <c r="F48" s="22" t="s">
        <v>43</v>
      </c>
      <c r="G48" s="178">
        <f>G47</f>
        <v>44560</v>
      </c>
      <c r="H48" s="179"/>
    </row>
    <row r="49" spans="1:14" s="27" customFormat="1" ht="33" customHeight="1" x14ac:dyDescent="0.25">
      <c r="A49" s="180" t="s">
        <v>241</v>
      </c>
      <c r="B49" s="181"/>
      <c r="C49" s="157" t="s">
        <v>291</v>
      </c>
      <c r="D49" s="159"/>
      <c r="E49" s="158"/>
      <c r="F49" s="22" t="s">
        <v>43</v>
      </c>
      <c r="G49" s="178">
        <v>44776</v>
      </c>
      <c r="H49" s="158"/>
    </row>
    <row r="50" spans="1:14" s="27" customFormat="1" ht="61.5" customHeight="1" x14ac:dyDescent="0.25">
      <c r="A50" s="182"/>
      <c r="B50" s="183"/>
      <c r="C50" s="157" t="s">
        <v>279</v>
      </c>
      <c r="D50" s="159"/>
      <c r="E50" s="158"/>
      <c r="F50" s="22" t="s">
        <v>122</v>
      </c>
      <c r="G50" s="178">
        <v>44925</v>
      </c>
      <c r="H50" s="158"/>
    </row>
    <row r="51" spans="1:14" x14ac:dyDescent="0.25">
      <c r="A51" s="187" t="s">
        <v>45</v>
      </c>
      <c r="B51" s="188"/>
      <c r="C51" s="187" t="s">
        <v>103</v>
      </c>
      <c r="D51" s="189"/>
      <c r="E51" s="188"/>
      <c r="F51" s="53" t="s">
        <v>43</v>
      </c>
      <c r="G51" s="190" t="s">
        <v>30</v>
      </c>
      <c r="H51" s="191"/>
    </row>
    <row r="52" spans="1:14" x14ac:dyDescent="0.25">
      <c r="A52" s="151" t="s">
        <v>47</v>
      </c>
      <c r="B52" s="151"/>
      <c r="C52" s="151"/>
      <c r="D52" s="151"/>
      <c r="E52" s="151"/>
      <c r="F52" s="151"/>
      <c r="G52" s="151"/>
      <c r="H52" s="151"/>
    </row>
    <row r="53" spans="1:14" x14ac:dyDescent="0.25">
      <c r="A53" s="160" t="s">
        <v>92</v>
      </c>
      <c r="B53" s="160"/>
      <c r="C53" s="160"/>
      <c r="D53" s="84">
        <f>E43</f>
        <v>14728.95</v>
      </c>
      <c r="E53" s="84"/>
      <c r="F53" s="84"/>
      <c r="G53" s="84"/>
      <c r="H53" s="84"/>
    </row>
    <row r="54" spans="1:14" ht="32.25" customHeight="1" x14ac:dyDescent="0.25">
      <c r="A54" s="161" t="s">
        <v>48</v>
      </c>
      <c r="B54" s="98"/>
      <c r="C54" s="98"/>
      <c r="D54" s="161" t="s">
        <v>267</v>
      </c>
      <c r="E54" s="98"/>
      <c r="F54" s="98"/>
      <c r="G54" s="98"/>
      <c r="H54" s="98"/>
      <c r="I54" s="28"/>
    </row>
    <row r="55" spans="1:14" ht="50.25" customHeight="1" x14ac:dyDescent="0.25">
      <c r="A55" s="175" t="s">
        <v>49</v>
      </c>
      <c r="B55" s="176"/>
      <c r="C55" s="177"/>
      <c r="D55" s="163" t="s">
        <v>282</v>
      </c>
      <c r="E55" s="174"/>
      <c r="F55" s="174"/>
      <c r="G55" s="174"/>
      <c r="H55" s="174"/>
      <c r="I55" s="29">
        <f>141+24</f>
        <v>165</v>
      </c>
      <c r="J55" s="25">
        <f>135+32</f>
        <v>167</v>
      </c>
    </row>
    <row r="56" spans="1:14" ht="15.75" customHeight="1" x14ac:dyDescent="0.25">
      <c r="A56" s="161" t="s">
        <v>90</v>
      </c>
      <c r="B56" s="161"/>
      <c r="C56" s="161"/>
      <c r="D56" s="184" t="s">
        <v>239</v>
      </c>
      <c r="E56" s="184"/>
      <c r="F56" s="184"/>
      <c r="G56" s="184"/>
      <c r="H56" s="185"/>
      <c r="I56" s="29"/>
    </row>
    <row r="57" spans="1:14" ht="15.75" customHeight="1" x14ac:dyDescent="0.25">
      <c r="A57" s="161"/>
      <c r="B57" s="161"/>
      <c r="C57" s="161"/>
      <c r="D57" s="164" t="s">
        <v>283</v>
      </c>
      <c r="E57" s="164"/>
      <c r="F57" s="164"/>
      <c r="G57" s="164"/>
      <c r="H57" s="164"/>
      <c r="I57" s="29"/>
    </row>
    <row r="58" spans="1:14" ht="15.75" customHeight="1" x14ac:dyDescent="0.25">
      <c r="A58" s="161"/>
      <c r="B58" s="161"/>
      <c r="C58" s="161"/>
      <c r="D58" s="164" t="s">
        <v>240</v>
      </c>
      <c r="E58" s="164"/>
      <c r="F58" s="164"/>
      <c r="G58" s="164"/>
      <c r="H58" s="186"/>
      <c r="I58" s="29"/>
    </row>
    <row r="59" spans="1:14" ht="15.75" customHeight="1" x14ac:dyDescent="0.25">
      <c r="A59" s="84" t="s">
        <v>46</v>
      </c>
      <c r="B59" s="84"/>
      <c r="C59" s="84"/>
      <c r="D59" s="160" t="s">
        <v>280</v>
      </c>
      <c r="E59" s="160"/>
      <c r="F59" s="160"/>
      <c r="G59" s="160"/>
      <c r="H59" s="160"/>
      <c r="J59" s="30"/>
      <c r="K59" s="28"/>
      <c r="N59" s="28"/>
    </row>
    <row r="60" spans="1:14" ht="15.75" customHeight="1" x14ac:dyDescent="0.25">
      <c r="A60" s="84" t="s">
        <v>88</v>
      </c>
      <c r="B60" s="84"/>
      <c r="C60" s="84"/>
      <c r="D60" s="165" t="str">
        <f>(IF(G51="NA","60 Years After Completion",IF(G51&lt;&gt;"NA",""&amp;60-ROUNDDOWN((E3-G51)/360,0)&amp;" Years"," ")))</f>
        <v>60 Years After Completion</v>
      </c>
      <c r="E60" s="165"/>
      <c r="F60" s="165"/>
      <c r="G60" s="165"/>
      <c r="H60" s="165"/>
      <c r="N60" s="28"/>
    </row>
    <row r="61" spans="1:14" ht="15.75" customHeight="1" x14ac:dyDescent="0.25">
      <c r="A61" s="84" t="s">
        <v>89</v>
      </c>
      <c r="B61" s="84"/>
      <c r="C61" s="84"/>
      <c r="D61" s="160" t="s">
        <v>24</v>
      </c>
      <c r="E61" s="160"/>
      <c r="F61" s="160"/>
      <c r="G61" s="160"/>
      <c r="H61" s="160"/>
      <c r="J61" s="31"/>
      <c r="K61" s="31"/>
    </row>
    <row r="62" spans="1:14" ht="30.75" customHeight="1" x14ac:dyDescent="0.25">
      <c r="A62" s="84" t="s">
        <v>76</v>
      </c>
      <c r="B62" s="84"/>
      <c r="C62" s="84"/>
      <c r="D62" s="161" t="s">
        <v>284</v>
      </c>
      <c r="E62" s="160"/>
      <c r="F62" s="160"/>
      <c r="G62" s="160"/>
      <c r="H62" s="160"/>
    </row>
    <row r="63" spans="1:14" x14ac:dyDescent="0.25">
      <c r="A63" s="160" t="s">
        <v>149</v>
      </c>
      <c r="B63" s="160"/>
      <c r="C63" s="160"/>
      <c r="D63" s="160" t="s">
        <v>30</v>
      </c>
      <c r="E63" s="160"/>
      <c r="F63" s="160"/>
      <c r="G63" s="160"/>
      <c r="H63" s="160"/>
      <c r="I63" s="32"/>
      <c r="J63" s="32"/>
      <c r="K63" s="32"/>
      <c r="L63" s="32"/>
      <c r="M63" s="32"/>
      <c r="N63" s="32"/>
    </row>
    <row r="64" spans="1:14" ht="15.75" customHeight="1" x14ac:dyDescent="0.25">
      <c r="A64" s="166" t="s">
        <v>87</v>
      </c>
      <c r="B64" s="166"/>
      <c r="C64" s="166"/>
      <c r="D64" s="163" t="str">
        <f ca="1">(IF(G70&gt;95%,"Nothing",IF(G70&gt;0%,"Cement, Aggregate, Steel, etc",IF(G70=0%,"Work not yet Started"))))</f>
        <v>Cement, Aggregate, Steel, etc</v>
      </c>
      <c r="E64" s="163"/>
      <c r="F64" s="163"/>
      <c r="G64" s="163"/>
      <c r="H64" s="163"/>
      <c r="J64" s="31"/>
    </row>
    <row r="65" spans="1:10" ht="33.75" customHeight="1" thickBot="1" x14ac:dyDescent="0.3">
      <c r="A65" s="162" t="s">
        <v>116</v>
      </c>
      <c r="B65" s="162"/>
      <c r="C65" s="162"/>
      <c r="D65" s="163" t="str">
        <f ca="1">(IF(D64="Nothing","Yes",IF(D64="Cement, Aggregate, Steel, etc","Under Construction",IF(D64="Work not yet Started","Work not yet Started"))))</f>
        <v>Under Construction</v>
      </c>
      <c r="E65" s="163"/>
      <c r="F65" s="163" t="str">
        <f ca="1">(IF(D64="Nothing","Yes",IF(D64="Cement, Aggregate, Steel, etc","Under Construction",IF(D64="Work not yet Started","Work not yet Started"))))</f>
        <v>Under Construction</v>
      </c>
      <c r="G65" s="163"/>
      <c r="H65" s="163"/>
    </row>
    <row r="66" spans="1:10" ht="15.75" customHeight="1" x14ac:dyDescent="0.25">
      <c r="A66" s="99" t="s">
        <v>141</v>
      </c>
      <c r="B66" s="100"/>
      <c r="C66" s="101" t="str">
        <f>D56</f>
        <v>A Wing = G + 1st to 36th Floor</v>
      </c>
      <c r="D66" s="102"/>
      <c r="E66" s="102"/>
      <c r="F66" s="102"/>
      <c r="G66" s="102"/>
      <c r="H66" s="103"/>
      <c r="I66" s="17" t="str">
        <f ca="1">(IF(E70&gt;99%,"All work completed. Please provide OC.",IF(E70&gt;89.8%,"Plinth, RCC, Brick, Plaster, Flooring, Painting work Completed. Finishing work is in process.",IF(E70&lt;94%,(IF(C70=0,"Work not yet Started.",IF(D70=25%,"Piling work in process",IF(D70=50%,"Excavation work in process",IF(D70=100%,"Excavation work Completed. ","0")))&amp;(IF(C71=0%,"",IF(C71=J72,"Footing work is process",IF(C71=J73,"Footing work Completed",IF(C71=J74,"1st Basement Completed",IF(C71=J75,"1st &amp; 2nd Basement Completed",IF(C71=J76,"1st to 3rd Basement Completed",IF(C71=J77,"1st to 4th Basement Completed",IF(C71=J78,"Plinth work is process",IF(C71=J79,"Plinth work completed","0")))))))))))&amp;(IF(C72=(D67+F67+H67),", RCC Slab Completed",IF(C72&gt;0,", RCC upto "&amp;C72&amp;" Slab Completed",""))&amp;(IF(C73=H67,", Brickwork Completed",IF(C73&gt;0,", Brickwork upto "&amp;C73&amp;" Floor Completed",""))&amp;(IF(C74=H67,", Internal Plaster Completed",IF(C74&gt;0,", Internal Plaster upto "&amp;C74&amp;" Floor Completed",""))&amp;(IF(C75=H67,", External Plaster Completed",IF(C75&gt;0,", External Plaster upto "&amp;C75&amp;" Floor Completed",""))&amp;(IF(C76=H67,", Flooring Completed",IF(C76&gt;0,", Flooring upto "&amp;C76&amp;" Floor Completed",""))&amp;(IF(C77=H67,", Painting Completed",IF(C77&gt;0,", Painting upto "&amp;C77&amp;" Floor Completed",""))&amp;(IF(C78&gt;0,", Finishing upto "&amp;C78&amp;" Floor Completed","")&amp;(IF(C72&gt;0.5,".",""))))))))))))))</f>
        <v>Excavation work Completed. Plinth work completed, RCC Slab Completed, Brickwork upto 35 Floor Completed, Internal Plaster upto 30 Floor Completed, External Plaster upto 25 Floor Completed, Flooring upto 15 Floor Completed, Painting upto 10 Floor Completed.</v>
      </c>
      <c r="J66" s="33"/>
    </row>
    <row r="67" spans="1:10" s="27" customFormat="1" x14ac:dyDescent="0.25">
      <c r="A67" s="20" t="s">
        <v>143</v>
      </c>
      <c r="B67" s="65">
        <v>0</v>
      </c>
      <c r="C67" s="65" t="s">
        <v>73</v>
      </c>
      <c r="D67" s="65">
        <v>1</v>
      </c>
      <c r="E67" s="65" t="s">
        <v>72</v>
      </c>
      <c r="F67" s="65">
        <v>0</v>
      </c>
      <c r="G67" s="65" t="s">
        <v>81</v>
      </c>
      <c r="H67" s="21">
        <f ca="1">--TRIM(RIGHT(SUBSTITUTE(LEFT(C66,_xlfn.AGGREGATE(16,6,FIND({0,1,2,3,4,5,6,7,8,9},C66,ROW(INDIRECT("1:"&amp;LEN(C66)))),1))," ",REPT(" ",LEN(C66))),LEN(C66)))</f>
        <v>36</v>
      </c>
      <c r="I67" s="66"/>
      <c r="J67" s="67"/>
    </row>
    <row r="68" spans="1:10" ht="65.25" customHeight="1" x14ac:dyDescent="0.25">
      <c r="A68" s="104" t="s">
        <v>91</v>
      </c>
      <c r="B68" s="105"/>
      <c r="C68" s="106" t="str">
        <f ca="1">(IF($G$51="NA",I66,"All work Completed. OC Received."))</f>
        <v>Excavation work Completed. Plinth work completed, RCC Slab Completed, Brickwork upto 35 Floor Completed, Internal Plaster upto 30 Floor Completed, External Plaster upto 25 Floor Completed, Flooring upto 15 Floor Completed, Painting upto 10 Floor Completed.</v>
      </c>
      <c r="D68" s="106"/>
      <c r="E68" s="106"/>
      <c r="F68" s="106"/>
      <c r="G68" s="106"/>
      <c r="H68" s="107"/>
      <c r="I68" s="18" t="s">
        <v>102</v>
      </c>
      <c r="J68" s="34"/>
    </row>
    <row r="69" spans="1:10" ht="15.75" customHeight="1" x14ac:dyDescent="0.25">
      <c r="A69" s="88" t="s">
        <v>50</v>
      </c>
      <c r="B69" s="89"/>
      <c r="C69" s="51" t="s">
        <v>140</v>
      </c>
      <c r="D69" s="51" t="s">
        <v>84</v>
      </c>
      <c r="E69" s="89" t="s">
        <v>86</v>
      </c>
      <c r="F69" s="89"/>
      <c r="G69" s="89" t="s">
        <v>85</v>
      </c>
      <c r="H69" s="108"/>
      <c r="I69" s="16" t="s">
        <v>142</v>
      </c>
      <c r="J69" s="35">
        <f ca="1">H67*25%</f>
        <v>9</v>
      </c>
    </row>
    <row r="70" spans="1:10" x14ac:dyDescent="0.25">
      <c r="A70" s="88" t="s">
        <v>129</v>
      </c>
      <c r="B70" s="89"/>
      <c r="C70" s="51">
        <f ca="1">J71</f>
        <v>36</v>
      </c>
      <c r="D70" s="23">
        <f ca="1">((100/H67)*C70)/100</f>
        <v>1</v>
      </c>
      <c r="E70" s="109">
        <f ca="1">(((C71/H67*10)+(40/(D67+F67+H67)*C72)+(7.5/(H67)*C73)+(7.5/(H67)*C74)+(10/H67*C75)+(10/H67*C76)+(5/H67*C77)+(5/H67*C78)+(5/H67*C79))/100)</f>
        <v>0.76041666666666674</v>
      </c>
      <c r="F70" s="110"/>
      <c r="G70" s="109">
        <f ca="1">((((C70/H67)*20)+((C71/H67)*25)+(30/(H67+F67+D67)*C72)+(5/H67*C73)+(5/H67*C74)+(5/H67*C75)+(5/H67*C76)+(0/H67*C77)+(0/H67*C78)+(5/H67*C79))/100)</f>
        <v>0.89583333333333348</v>
      </c>
      <c r="H70" s="115"/>
      <c r="I70" s="16" t="s">
        <v>97</v>
      </c>
      <c r="J70" s="36">
        <f ca="1">H67*50%</f>
        <v>18</v>
      </c>
    </row>
    <row r="71" spans="1:10" x14ac:dyDescent="0.25">
      <c r="A71" s="88" t="s">
        <v>51</v>
      </c>
      <c r="B71" s="89"/>
      <c r="C71" s="51">
        <f ca="1">J79</f>
        <v>36</v>
      </c>
      <c r="D71" s="23">
        <f ca="1">((100/H67)*C71)/100</f>
        <v>1</v>
      </c>
      <c r="E71" s="111"/>
      <c r="F71" s="112"/>
      <c r="G71" s="111"/>
      <c r="H71" s="116"/>
      <c r="I71" s="16" t="s">
        <v>98</v>
      </c>
      <c r="J71" s="36">
        <f ca="1">H67</f>
        <v>36</v>
      </c>
    </row>
    <row r="72" spans="1:10" ht="15.75" customHeight="1" x14ac:dyDescent="0.25">
      <c r="A72" s="88" t="s">
        <v>130</v>
      </c>
      <c r="B72" s="89"/>
      <c r="C72" s="51">
        <v>37</v>
      </c>
      <c r="D72" s="23">
        <f ca="1">((100/(D67+F67+H67))*C72)/100</f>
        <v>1</v>
      </c>
      <c r="E72" s="111"/>
      <c r="F72" s="112"/>
      <c r="G72" s="111"/>
      <c r="H72" s="116"/>
      <c r="I72" s="16" t="s">
        <v>99</v>
      </c>
      <c r="J72" s="37">
        <f ca="1">(IF(B67&gt;1,(H67/(B67+2)),H67/4))</f>
        <v>9</v>
      </c>
    </row>
    <row r="73" spans="1:10" ht="15.75" customHeight="1" x14ac:dyDescent="0.25">
      <c r="A73" s="88" t="s">
        <v>137</v>
      </c>
      <c r="B73" s="89" t="s">
        <v>131</v>
      </c>
      <c r="C73" s="51">
        <v>35</v>
      </c>
      <c r="D73" s="23">
        <f ca="1">((100/H67)*C73)/100</f>
        <v>0.9722222222222221</v>
      </c>
      <c r="E73" s="111"/>
      <c r="F73" s="112"/>
      <c r="G73" s="111"/>
      <c r="H73" s="116"/>
      <c r="I73" s="16" t="s">
        <v>100</v>
      </c>
      <c r="J73" s="37">
        <f ca="1">(IF(B67&gt;1,(H67/(B67+2)+J72),H67/4+J72))</f>
        <v>18</v>
      </c>
    </row>
    <row r="74" spans="1:10" ht="15.75" customHeight="1" x14ac:dyDescent="0.25">
      <c r="A74" s="88" t="s">
        <v>138</v>
      </c>
      <c r="B74" s="89" t="s">
        <v>131</v>
      </c>
      <c r="C74" s="51">
        <v>30</v>
      </c>
      <c r="D74" s="23">
        <f ca="1">((100/H67)*C74)/100</f>
        <v>0.83333333333333326</v>
      </c>
      <c r="E74" s="111"/>
      <c r="F74" s="112"/>
      <c r="G74" s="111"/>
      <c r="H74" s="116"/>
      <c r="I74" s="16" t="s">
        <v>147</v>
      </c>
      <c r="J74" s="37">
        <f>(IF(B67&gt;1,(H67/(B67+2)+J73),0))</f>
        <v>0</v>
      </c>
    </row>
    <row r="75" spans="1:10" ht="15" customHeight="1" x14ac:dyDescent="0.25">
      <c r="A75" s="88" t="s">
        <v>136</v>
      </c>
      <c r="B75" s="89" t="s">
        <v>133</v>
      </c>
      <c r="C75" s="51">
        <v>25</v>
      </c>
      <c r="D75" s="23">
        <f ca="1">((100/(H67))*C75)/100</f>
        <v>0.69444444444444442</v>
      </c>
      <c r="E75" s="111"/>
      <c r="F75" s="112"/>
      <c r="G75" s="111"/>
      <c r="H75" s="116"/>
      <c r="I75" s="16" t="s">
        <v>144</v>
      </c>
      <c r="J75" s="37">
        <f>(IF(B67&gt;2,(H67/(B67+2)+J74),0))</f>
        <v>0</v>
      </c>
    </row>
    <row r="76" spans="1:10" ht="15.75" customHeight="1" x14ac:dyDescent="0.25">
      <c r="A76" s="88" t="s">
        <v>132</v>
      </c>
      <c r="B76" s="89" t="s">
        <v>132</v>
      </c>
      <c r="C76" s="51">
        <v>15</v>
      </c>
      <c r="D76" s="23">
        <f ca="1">((100/H67)*C76)/100</f>
        <v>0.41666666666666663</v>
      </c>
      <c r="E76" s="111"/>
      <c r="F76" s="112"/>
      <c r="G76" s="111"/>
      <c r="H76" s="116"/>
      <c r="I76" s="16" t="s">
        <v>145</v>
      </c>
      <c r="J76" s="38">
        <f>(IF(B67&gt;3,(H67/(B67+2)+J75),0))</f>
        <v>0</v>
      </c>
    </row>
    <row r="77" spans="1:10" ht="15.75" customHeight="1" x14ac:dyDescent="0.25">
      <c r="A77" s="88" t="s">
        <v>139</v>
      </c>
      <c r="B77" s="89"/>
      <c r="C77" s="51">
        <v>10</v>
      </c>
      <c r="D77" s="23">
        <f ca="1">((100/H67)*C77)/100</f>
        <v>0.27777777777777779</v>
      </c>
      <c r="E77" s="111"/>
      <c r="F77" s="112"/>
      <c r="G77" s="111"/>
      <c r="H77" s="116"/>
      <c r="I77" s="16" t="s">
        <v>146</v>
      </c>
      <c r="J77" s="37">
        <f>(IF(B67&gt;4,(H67/(B67+2)+J76),0))</f>
        <v>0</v>
      </c>
    </row>
    <row r="78" spans="1:10" ht="15.75" customHeight="1" x14ac:dyDescent="0.25">
      <c r="A78" s="88" t="s">
        <v>134</v>
      </c>
      <c r="B78" s="89" t="s">
        <v>134</v>
      </c>
      <c r="C78" s="51">
        <v>0</v>
      </c>
      <c r="D78" s="23">
        <f ca="1">((100/(H67))*C78)/100</f>
        <v>0</v>
      </c>
      <c r="E78" s="111"/>
      <c r="F78" s="112"/>
      <c r="G78" s="111"/>
      <c r="H78" s="116"/>
      <c r="I78" s="16" t="s">
        <v>148</v>
      </c>
      <c r="J78" s="37">
        <f ca="1">(IF(B67=1,(H67/(B67+3)+J73),IF(B67=0,(H67/4+J73),IF(B67&gt;1,0))))</f>
        <v>27</v>
      </c>
    </row>
    <row r="79" spans="1:10" ht="16.5" thickBot="1" x14ac:dyDescent="0.3">
      <c r="A79" s="118" t="s">
        <v>135</v>
      </c>
      <c r="B79" s="119"/>
      <c r="C79" s="52">
        <v>0</v>
      </c>
      <c r="D79" s="24">
        <f ca="1">((100/(H67))*C79)/100</f>
        <v>0</v>
      </c>
      <c r="E79" s="113"/>
      <c r="F79" s="114"/>
      <c r="G79" s="113"/>
      <c r="H79" s="117"/>
      <c r="I79" s="19" t="s">
        <v>101</v>
      </c>
      <c r="J79" s="39">
        <f ca="1">(IF(B67&gt;1.5,(H67/(B67+2)+J73+MAX(0,J74-J73)+MAX(0,J75-J74)+MAX(0,J76-J75)+MAX(0,J77-J76)+MAX(0,J78-J77)),IF(B67=1,(H67/(B67+3)+J78),IF(B67=0,H67/4+J78))))</f>
        <v>36</v>
      </c>
    </row>
    <row r="80" spans="1:10" ht="15.75" customHeight="1" x14ac:dyDescent="0.25">
      <c r="A80" s="99" t="s">
        <v>141</v>
      </c>
      <c r="B80" s="100"/>
      <c r="C80" s="101" t="str">
        <f>D57</f>
        <v>A Wing (Extension) = G + 1st to 20th Floor</v>
      </c>
      <c r="D80" s="102"/>
      <c r="E80" s="102"/>
      <c r="F80" s="102"/>
      <c r="G80" s="102"/>
      <c r="H80" s="103"/>
      <c r="I80" s="17" t="str">
        <f ca="1">(IF(E84&gt;99%,"All work completed. Please provide OC.",IF(E84&gt;89.8%,"Plinth, RCC, Brick, Plaster, Flooring, Painting work Completed. Finishing work is in process.",IF(E84&lt;94%,(IF(C84=0,"Work not yet Started.",IF(D84=25%,"Piling work in process",IF(D84=50%,"Excavation work in process",IF(D84=100%,"Excavation work Completed. ","0")))&amp;(IF(C85=0%,"",IF(C85=J86,"Footing work is process",IF(C85=J87,"Footing work Completed",IF(C85=J88,"1st Basement Completed",IF(C85=J89,"1st &amp; 2nd Basement Completed",IF(C85=J90,"1st to 3rd Basement Completed",IF(C85=J91,"1st to 4th Basement Completed",IF(C85=J92,"Plinth work is process",IF(C85=J93,"Plinth work completed","0")))))))))))&amp;(IF(C86=(D81+F81+H81),", RCC Slab Completed",IF(C86&gt;0,", RCC upto "&amp;C86&amp;" Slab Completed",""))&amp;(IF(C87=H81,", Brickwork Completed",IF(C87&gt;0,", Brickwork upto "&amp;C87&amp;" Floor Completed",""))&amp;(IF(C88=H81,", Internal Plaster Completed",IF(C88&gt;0,", Internal Plaster upto "&amp;C88&amp;" Floor Completed",""))&amp;(IF(C89=H81,", External Plaster Completed",IF(C89&gt;0,", External Plaster upto "&amp;C89&amp;" Floor Completed",""))&amp;(IF(C90=H81,", Flooring Completed",IF(C90&gt;0,", Flooring upto "&amp;C90&amp;" Floor Completed",""))&amp;(IF(C91=H81,", Painting Completed",IF(C91&gt;0,", Painting upto "&amp;C91&amp;" Floor Completed",""))&amp;(IF(C92&gt;0,", Finishing upto "&amp;C92&amp;" Floor Completed","")&amp;(IF(C86&gt;0.5,".",""))))))))))))))</f>
        <v>Work not yet Started.</v>
      </c>
      <c r="J80" s="33"/>
    </row>
    <row r="81" spans="1:10" s="27" customFormat="1" x14ac:dyDescent="0.25">
      <c r="A81" s="20" t="s">
        <v>143</v>
      </c>
      <c r="B81" s="73">
        <v>0</v>
      </c>
      <c r="C81" s="73" t="s">
        <v>73</v>
      </c>
      <c r="D81" s="73">
        <v>1</v>
      </c>
      <c r="E81" s="73" t="s">
        <v>72</v>
      </c>
      <c r="F81" s="73">
        <v>0</v>
      </c>
      <c r="G81" s="73" t="s">
        <v>81</v>
      </c>
      <c r="H81" s="21">
        <f ca="1">--TRIM(RIGHT(SUBSTITUTE(LEFT(C80,_xlfn.AGGREGATE(16,6,FIND({0,1,2,3,4,5,6,7,8,9},C80,ROW(INDIRECT("1:"&amp;LEN(C80)))),1))," ",REPT(" ",LEN(C80))),LEN(C80)))</f>
        <v>20</v>
      </c>
      <c r="I81" s="66"/>
      <c r="J81" s="67"/>
    </row>
    <row r="82" spans="1:10" x14ac:dyDescent="0.25">
      <c r="A82" s="104" t="s">
        <v>91</v>
      </c>
      <c r="B82" s="105"/>
      <c r="C82" s="106" t="str">
        <f ca="1">(IF($G$51="NA",I80,"All work Completed. OC Received."))</f>
        <v>Work not yet Started.</v>
      </c>
      <c r="D82" s="106"/>
      <c r="E82" s="106"/>
      <c r="F82" s="106"/>
      <c r="G82" s="106"/>
      <c r="H82" s="107"/>
      <c r="I82" s="18" t="s">
        <v>102</v>
      </c>
      <c r="J82" s="34"/>
    </row>
    <row r="83" spans="1:10" ht="15.75" customHeight="1" x14ac:dyDescent="0.25">
      <c r="A83" s="88" t="s">
        <v>50</v>
      </c>
      <c r="B83" s="89"/>
      <c r="C83" s="71" t="s">
        <v>140</v>
      </c>
      <c r="D83" s="71" t="s">
        <v>84</v>
      </c>
      <c r="E83" s="89" t="s">
        <v>86</v>
      </c>
      <c r="F83" s="89"/>
      <c r="G83" s="89" t="s">
        <v>85</v>
      </c>
      <c r="H83" s="108"/>
      <c r="I83" s="16" t="s">
        <v>142</v>
      </c>
      <c r="J83" s="35">
        <f ca="1">H81*25%</f>
        <v>5</v>
      </c>
    </row>
    <row r="84" spans="1:10" x14ac:dyDescent="0.25">
      <c r="A84" s="88" t="s">
        <v>129</v>
      </c>
      <c r="B84" s="89"/>
      <c r="C84" s="71">
        <v>0</v>
      </c>
      <c r="D84" s="23">
        <f ca="1">((100/H81)*C84)/100</f>
        <v>0</v>
      </c>
      <c r="E84" s="109">
        <f ca="1">(((C85/H81*10)+(40/(D81+F81+H81)*C86)+(7.5/(H81)*C87)+(7.5/(H81)*C88)+(10/H81*C89)+(10/H81*C90)+(5/H81*C91)+(5/H81*C92)+(5/H81*C93))/100)</f>
        <v>0</v>
      </c>
      <c r="F84" s="110"/>
      <c r="G84" s="109">
        <f ca="1">((((C84/H81)*20)+((C85/H81)*25)+(30/(H81+F81+D81)*C86)+(5/H81*C87)+(5/H81*C88)+(5/H81*C89)+(5/H81*C90)+(0/H81*C91)+(0/H81*C92)+(5/H81*C93))/100)</f>
        <v>0</v>
      </c>
      <c r="H84" s="115"/>
      <c r="I84" s="16" t="s">
        <v>97</v>
      </c>
      <c r="J84" s="36">
        <f ca="1">H81*50%</f>
        <v>10</v>
      </c>
    </row>
    <row r="85" spans="1:10" x14ac:dyDescent="0.25">
      <c r="A85" s="88" t="s">
        <v>51</v>
      </c>
      <c r="B85" s="89"/>
      <c r="C85" s="71">
        <v>0</v>
      </c>
      <c r="D85" s="23">
        <f ca="1">((100/H81)*C85)/100</f>
        <v>0</v>
      </c>
      <c r="E85" s="111"/>
      <c r="F85" s="112"/>
      <c r="G85" s="111"/>
      <c r="H85" s="116"/>
      <c r="I85" s="16" t="s">
        <v>98</v>
      </c>
      <c r="J85" s="36">
        <f ca="1">H81</f>
        <v>20</v>
      </c>
    </row>
    <row r="86" spans="1:10" ht="15.75" customHeight="1" x14ac:dyDescent="0.25">
      <c r="A86" s="88" t="s">
        <v>130</v>
      </c>
      <c r="B86" s="89"/>
      <c r="C86" s="71">
        <v>0</v>
      </c>
      <c r="D86" s="23">
        <f ca="1">((100/(D81+F81+H81))*C86)/100</f>
        <v>0</v>
      </c>
      <c r="E86" s="111"/>
      <c r="F86" s="112"/>
      <c r="G86" s="111"/>
      <c r="H86" s="116"/>
      <c r="I86" s="16" t="s">
        <v>99</v>
      </c>
      <c r="J86" s="37">
        <f ca="1">(IF(B81&gt;1,(H81/(B81+2)),H81/4))</f>
        <v>5</v>
      </c>
    </row>
    <row r="87" spans="1:10" ht="15.75" customHeight="1" x14ac:dyDescent="0.25">
      <c r="A87" s="88" t="s">
        <v>137</v>
      </c>
      <c r="B87" s="89" t="s">
        <v>131</v>
      </c>
      <c r="C87" s="71">
        <v>0</v>
      </c>
      <c r="D87" s="23">
        <f ca="1">((100/H81)*C87)/100</f>
        <v>0</v>
      </c>
      <c r="E87" s="111"/>
      <c r="F87" s="112"/>
      <c r="G87" s="111"/>
      <c r="H87" s="116"/>
      <c r="I87" s="16" t="s">
        <v>100</v>
      </c>
      <c r="J87" s="37">
        <f ca="1">(IF(B81&gt;1,(H81/(B81+2)+J86),H81/4+J86))</f>
        <v>10</v>
      </c>
    </row>
    <row r="88" spans="1:10" ht="15.75" customHeight="1" x14ac:dyDescent="0.25">
      <c r="A88" s="88" t="s">
        <v>138</v>
      </c>
      <c r="B88" s="89" t="s">
        <v>131</v>
      </c>
      <c r="C88" s="71">
        <v>0</v>
      </c>
      <c r="D88" s="23">
        <f ca="1">((100/H81)*C88)/100</f>
        <v>0</v>
      </c>
      <c r="E88" s="111"/>
      <c r="F88" s="112"/>
      <c r="G88" s="111"/>
      <c r="H88" s="116"/>
      <c r="I88" s="16" t="s">
        <v>147</v>
      </c>
      <c r="J88" s="37">
        <f>(IF(B81&gt;1,(H81/(B81+2)+J87),0))</f>
        <v>0</v>
      </c>
    </row>
    <row r="89" spans="1:10" ht="15" customHeight="1" x14ac:dyDescent="0.25">
      <c r="A89" s="88" t="s">
        <v>136</v>
      </c>
      <c r="B89" s="89" t="s">
        <v>133</v>
      </c>
      <c r="C89" s="71">
        <v>0</v>
      </c>
      <c r="D89" s="23">
        <f ca="1">((100/(H81))*C89)/100</f>
        <v>0</v>
      </c>
      <c r="E89" s="111"/>
      <c r="F89" s="112"/>
      <c r="G89" s="111"/>
      <c r="H89" s="116"/>
      <c r="I89" s="16" t="s">
        <v>144</v>
      </c>
      <c r="J89" s="37">
        <f>(IF(B81&gt;2,(H81/(B81+2)+J88),0))</f>
        <v>0</v>
      </c>
    </row>
    <row r="90" spans="1:10" ht="15.75" customHeight="1" x14ac:dyDescent="0.25">
      <c r="A90" s="88" t="s">
        <v>132</v>
      </c>
      <c r="B90" s="89" t="s">
        <v>132</v>
      </c>
      <c r="C90" s="71">
        <v>0</v>
      </c>
      <c r="D90" s="23">
        <f ca="1">((100/H81)*C90)/100</f>
        <v>0</v>
      </c>
      <c r="E90" s="111"/>
      <c r="F90" s="112"/>
      <c r="G90" s="111"/>
      <c r="H90" s="116"/>
      <c r="I90" s="16" t="s">
        <v>145</v>
      </c>
      <c r="J90" s="38">
        <f>(IF(B81&gt;3,(H81/(B81+2)+J89),0))</f>
        <v>0</v>
      </c>
    </row>
    <row r="91" spans="1:10" ht="15.75" customHeight="1" x14ac:dyDescent="0.25">
      <c r="A91" s="88" t="s">
        <v>139</v>
      </c>
      <c r="B91" s="89"/>
      <c r="C91" s="71">
        <v>0</v>
      </c>
      <c r="D91" s="23">
        <f ca="1">((100/H81)*C91)/100</f>
        <v>0</v>
      </c>
      <c r="E91" s="111"/>
      <c r="F91" s="112"/>
      <c r="G91" s="111"/>
      <c r="H91" s="116"/>
      <c r="I91" s="16" t="s">
        <v>146</v>
      </c>
      <c r="J91" s="37">
        <f>(IF(B81&gt;4,(H81/(B81+2)+J90),0))</f>
        <v>0</v>
      </c>
    </row>
    <row r="92" spans="1:10" ht="15.75" customHeight="1" x14ac:dyDescent="0.25">
      <c r="A92" s="88" t="s">
        <v>134</v>
      </c>
      <c r="B92" s="89" t="s">
        <v>134</v>
      </c>
      <c r="C92" s="71">
        <v>0</v>
      </c>
      <c r="D92" s="23">
        <f ca="1">((100/(H81))*C92)/100</f>
        <v>0</v>
      </c>
      <c r="E92" s="111"/>
      <c r="F92" s="112"/>
      <c r="G92" s="111"/>
      <c r="H92" s="116"/>
      <c r="I92" s="16" t="s">
        <v>148</v>
      </c>
      <c r="J92" s="37">
        <f ca="1">(IF(B81=1,(H81/(B81+3)+J87),IF(B81=0,(H81/4+J87),IF(B81&gt;1,0))))</f>
        <v>15</v>
      </c>
    </row>
    <row r="93" spans="1:10" ht="16.5" thickBot="1" x14ac:dyDescent="0.3">
      <c r="A93" s="118" t="s">
        <v>135</v>
      </c>
      <c r="B93" s="119"/>
      <c r="C93" s="72">
        <v>0</v>
      </c>
      <c r="D93" s="24">
        <f ca="1">((100/(H81))*C93)/100</f>
        <v>0</v>
      </c>
      <c r="E93" s="113"/>
      <c r="F93" s="114"/>
      <c r="G93" s="113"/>
      <c r="H93" s="117"/>
      <c r="I93" s="19" t="s">
        <v>101</v>
      </c>
      <c r="J93" s="39">
        <f ca="1">(IF(B81&gt;1.5,(H81/(B81+2)+J87+MAX(0,J88-J87)+MAX(0,J89-J88)+MAX(0,J90-J89)+MAX(0,J91-J90)+MAX(0,J92-J91)),IF(B81=1,(H81/(B81+3)+J92),IF(B81=0,H81/4+J92))))</f>
        <v>20</v>
      </c>
    </row>
    <row r="94" spans="1:10" ht="15.75" customHeight="1" x14ac:dyDescent="0.25">
      <c r="A94" s="99" t="s">
        <v>141</v>
      </c>
      <c r="B94" s="100"/>
      <c r="C94" s="101" t="str">
        <f>D58</f>
        <v>B Wing = G + 1st to 37th Floor</v>
      </c>
      <c r="D94" s="102"/>
      <c r="E94" s="102"/>
      <c r="F94" s="102"/>
      <c r="G94" s="102"/>
      <c r="H94" s="103"/>
      <c r="I94" s="17" t="str">
        <f ca="1">(IF(E98&gt;99%,"All work completed. Please provide OC.",IF(E98&gt;89.8%,"Plinth, RCC, Brick, Plaster, Flooring, Painting work Completed. Finishing work is in process.",IF(E98&lt;94%,(IF(C98=0,"Work not yet Started.",IF(D98=25%,"Piling work in process",IF(D98=50%,"Excavation work in process",IF(D98=100%,"Excavation work Completed. ","0")))&amp;(IF(C99=0%,"",IF(C99=J100,"Footing work is process",IF(C99=J101,"Footing work Completed",IF(C99=J102,"1st Basement Completed",IF(C99=J103,"1st &amp; 2nd Basement Completed",IF(C99=J104,"1st to 3rd Basement Completed",IF(C99=J105,"1st to 4th Basement Completed",IF(C99=J106,"Plinth work is process",IF(C99=J107,"Plinth work completed","0")))))))))))&amp;(IF(C100=(D95+F95+H95),", RCC Slab Completed",IF(C100&gt;0,", RCC upto "&amp;C100&amp;" Slab Completed",""))&amp;(IF(C101=H95,", Brickwork Completed",IF(C101&gt;0,", Brickwork upto "&amp;C101&amp;" Floor Completed",""))&amp;(IF(C102=H95,", Internal Plaster Completed",IF(C102&gt;0,", Internal Plaster upto "&amp;C102&amp;" Floor Completed",""))&amp;(IF(C103=H95,", External Plaster Completed",IF(C103&gt;0,", External Plaster upto "&amp;C103&amp;" Floor Completed",""))&amp;(IF(C104=H95,", Flooring Completed",IF(C104&gt;0,", Flooring upto "&amp;C104&amp;" Floor Completed",""))&amp;(IF(C105=H95,", Painting Completed",IF(C105&gt;0,", Painting upto "&amp;C105&amp;" Floor Completed",""))&amp;(IF(C106&gt;0,", Finishing upto "&amp;C106&amp;" Floor Completed","")&amp;(IF(C100&gt;0.5,".",""))))))))))))))</f>
        <v>Excavation work Completed. Plinth work completed, RCC Slab Completed, Brickwork upto 35 Floor Completed, Internal Plaster upto 27 Floor Completed, External Plaster upto 25 Floor Completed, Flooring upto 12 Floor Completed, Painting upto 10 Floor Completed.</v>
      </c>
      <c r="J94" s="33"/>
    </row>
    <row r="95" spans="1:10" s="27" customFormat="1" x14ac:dyDescent="0.25">
      <c r="A95" s="20" t="s">
        <v>143</v>
      </c>
      <c r="B95" s="65">
        <v>0</v>
      </c>
      <c r="C95" s="65" t="s">
        <v>73</v>
      </c>
      <c r="D95" s="65">
        <v>1</v>
      </c>
      <c r="E95" s="65" t="s">
        <v>72</v>
      </c>
      <c r="F95" s="65">
        <v>0</v>
      </c>
      <c r="G95" s="65" t="s">
        <v>81</v>
      </c>
      <c r="H95" s="21">
        <f ca="1">--TRIM(RIGHT(SUBSTITUTE(LEFT(C94,_xlfn.AGGREGATE(16,6,FIND({0,1,2,3,4,5,6,7,8,9},C94,ROW(INDIRECT("1:"&amp;LEN(C94)))),1))," ",REPT(" ",LEN(C94))),LEN(C94)))</f>
        <v>37</v>
      </c>
      <c r="I95" s="66"/>
      <c r="J95" s="67"/>
    </row>
    <row r="96" spans="1:10" ht="65.25" customHeight="1" x14ac:dyDescent="0.25">
      <c r="A96" s="104" t="s">
        <v>91</v>
      </c>
      <c r="B96" s="105"/>
      <c r="C96" s="106" t="str">
        <f ca="1">(IF($G$51="NA",I94,"All work Completed. OC Received."))</f>
        <v>Excavation work Completed. Plinth work completed, RCC Slab Completed, Brickwork upto 35 Floor Completed, Internal Plaster upto 27 Floor Completed, External Plaster upto 25 Floor Completed, Flooring upto 12 Floor Completed, Painting upto 10 Floor Completed.</v>
      </c>
      <c r="D96" s="106"/>
      <c r="E96" s="106"/>
      <c r="F96" s="106"/>
      <c r="G96" s="106"/>
      <c r="H96" s="107"/>
      <c r="I96" s="18" t="s">
        <v>102</v>
      </c>
      <c r="J96" s="34"/>
    </row>
    <row r="97" spans="1:10" ht="15.75" customHeight="1" x14ac:dyDescent="0.25">
      <c r="A97" s="88" t="s">
        <v>50</v>
      </c>
      <c r="B97" s="89"/>
      <c r="C97" s="51" t="s">
        <v>140</v>
      </c>
      <c r="D97" s="51" t="s">
        <v>84</v>
      </c>
      <c r="E97" s="89" t="s">
        <v>86</v>
      </c>
      <c r="F97" s="89"/>
      <c r="G97" s="89" t="s">
        <v>85</v>
      </c>
      <c r="H97" s="108"/>
      <c r="I97" s="16" t="s">
        <v>142</v>
      </c>
      <c r="J97" s="35">
        <f ca="1">H95*25%</f>
        <v>9.25</v>
      </c>
    </row>
    <row r="98" spans="1:10" x14ac:dyDescent="0.25">
      <c r="A98" s="88" t="s">
        <v>129</v>
      </c>
      <c r="B98" s="89"/>
      <c r="C98" s="51">
        <f ca="1">J99</f>
        <v>37</v>
      </c>
      <c r="D98" s="23">
        <f ca="1">((100/H95)*C98)/100</f>
        <v>1</v>
      </c>
      <c r="E98" s="109">
        <f ca="1">(((C99/H95*10)+(40/(D95+F95+H95)*C100)+(7.5/(H95)*C101)+(7.5/(H95)*C102)+(10/H95*C103)+(10/H95*C104)+(5/H95*C105)+(5/H95*C106)+(5/H95*C107))/100)</f>
        <v>0.73918918918918919</v>
      </c>
      <c r="F98" s="110"/>
      <c r="G98" s="109">
        <f ca="1">((((C98/H95)*20)+((C99/H95)*25)+(30/(H95+F95+D95)*C100)+(5/H95*C101)+(5/H95*C102)+(5/H95*C103)+(5/H95*C104)+(0/H95*C105)+(0/H95*C106)+(5/H95*C107))/100)</f>
        <v>0.88378378378378375</v>
      </c>
      <c r="H98" s="115"/>
      <c r="I98" s="16" t="s">
        <v>97</v>
      </c>
      <c r="J98" s="36">
        <f ca="1">H95*50%</f>
        <v>18.5</v>
      </c>
    </row>
    <row r="99" spans="1:10" x14ac:dyDescent="0.25">
      <c r="A99" s="88" t="s">
        <v>51</v>
      </c>
      <c r="B99" s="89"/>
      <c r="C99" s="51">
        <f ca="1">J107</f>
        <v>37</v>
      </c>
      <c r="D99" s="23">
        <f ca="1">((100/H95)*C99)/100</f>
        <v>1</v>
      </c>
      <c r="E99" s="111"/>
      <c r="F99" s="112"/>
      <c r="G99" s="111"/>
      <c r="H99" s="116"/>
      <c r="I99" s="16" t="s">
        <v>98</v>
      </c>
      <c r="J99" s="36">
        <f ca="1">H95</f>
        <v>37</v>
      </c>
    </row>
    <row r="100" spans="1:10" ht="15.75" customHeight="1" x14ac:dyDescent="0.25">
      <c r="A100" s="88" t="s">
        <v>130</v>
      </c>
      <c r="B100" s="89"/>
      <c r="C100" s="51">
        <v>38</v>
      </c>
      <c r="D100" s="23">
        <f ca="1">((100/(D95+F95+H95))*C100)/100</f>
        <v>1</v>
      </c>
      <c r="E100" s="111"/>
      <c r="F100" s="112"/>
      <c r="G100" s="111"/>
      <c r="H100" s="116"/>
      <c r="I100" s="16" t="s">
        <v>99</v>
      </c>
      <c r="J100" s="37">
        <f ca="1">(IF(B95&gt;1,(H95/(B95+2)),H95/4))</f>
        <v>9.25</v>
      </c>
    </row>
    <row r="101" spans="1:10" ht="15.75" customHeight="1" x14ac:dyDescent="0.25">
      <c r="A101" s="88" t="s">
        <v>137</v>
      </c>
      <c r="B101" s="89" t="s">
        <v>131</v>
      </c>
      <c r="C101" s="51">
        <v>35</v>
      </c>
      <c r="D101" s="23">
        <f ca="1">((100/H95)*C101)/100</f>
        <v>0.94594594594594594</v>
      </c>
      <c r="E101" s="111"/>
      <c r="F101" s="112"/>
      <c r="G101" s="111"/>
      <c r="H101" s="116"/>
      <c r="I101" s="16" t="s">
        <v>100</v>
      </c>
      <c r="J101" s="37">
        <f ca="1">(IF(B95&gt;1,(H95/(B95+2)+J100),H95/4+J100))</f>
        <v>18.5</v>
      </c>
    </row>
    <row r="102" spans="1:10" ht="15.75" customHeight="1" x14ac:dyDescent="0.25">
      <c r="A102" s="88" t="s">
        <v>138</v>
      </c>
      <c r="B102" s="89" t="s">
        <v>131</v>
      </c>
      <c r="C102" s="51">
        <v>27</v>
      </c>
      <c r="D102" s="23">
        <f ca="1">((100/H95)*C102)/100</f>
        <v>0.72972972972972971</v>
      </c>
      <c r="E102" s="111"/>
      <c r="F102" s="112"/>
      <c r="G102" s="111"/>
      <c r="H102" s="116"/>
      <c r="I102" s="16" t="s">
        <v>147</v>
      </c>
      <c r="J102" s="37">
        <f>(IF(B95&gt;1,(H95/(B95+2)+J101),0))</f>
        <v>0</v>
      </c>
    </row>
    <row r="103" spans="1:10" ht="15" customHeight="1" x14ac:dyDescent="0.25">
      <c r="A103" s="88" t="s">
        <v>136</v>
      </c>
      <c r="B103" s="89" t="s">
        <v>133</v>
      </c>
      <c r="C103" s="51">
        <v>25</v>
      </c>
      <c r="D103" s="23">
        <f ca="1">((100/(H95))*C103)/100</f>
        <v>0.67567567567567566</v>
      </c>
      <c r="E103" s="111"/>
      <c r="F103" s="112"/>
      <c r="G103" s="111"/>
      <c r="H103" s="116"/>
      <c r="I103" s="16" t="s">
        <v>144</v>
      </c>
      <c r="J103" s="37">
        <f>(IF(B95&gt;2,(H95/(B95+2)+J102),0))</f>
        <v>0</v>
      </c>
    </row>
    <row r="104" spans="1:10" ht="15.75" customHeight="1" x14ac:dyDescent="0.25">
      <c r="A104" s="88" t="s">
        <v>132</v>
      </c>
      <c r="B104" s="89" t="s">
        <v>132</v>
      </c>
      <c r="C104" s="51">
        <v>12</v>
      </c>
      <c r="D104" s="23">
        <f ca="1">((100/H95)*C104)/100</f>
        <v>0.32432432432432434</v>
      </c>
      <c r="E104" s="111"/>
      <c r="F104" s="112"/>
      <c r="G104" s="111"/>
      <c r="H104" s="116"/>
      <c r="I104" s="16" t="s">
        <v>145</v>
      </c>
      <c r="J104" s="38">
        <f>(IF(B95&gt;3,(H95/(B95+2)+J103),0))</f>
        <v>0</v>
      </c>
    </row>
    <row r="105" spans="1:10" ht="15.75" customHeight="1" x14ac:dyDescent="0.25">
      <c r="A105" s="88" t="s">
        <v>139</v>
      </c>
      <c r="B105" s="89"/>
      <c r="C105" s="51">
        <v>10</v>
      </c>
      <c r="D105" s="23">
        <f ca="1">((100/H95)*C105)/100</f>
        <v>0.27027027027027023</v>
      </c>
      <c r="E105" s="111"/>
      <c r="F105" s="112"/>
      <c r="G105" s="111"/>
      <c r="H105" s="116"/>
      <c r="I105" s="16" t="s">
        <v>146</v>
      </c>
      <c r="J105" s="37">
        <f>(IF(B95&gt;4,(H95/(B95+2)+J104),0))</f>
        <v>0</v>
      </c>
    </row>
    <row r="106" spans="1:10" ht="15.75" customHeight="1" x14ac:dyDescent="0.25">
      <c r="A106" s="88" t="s">
        <v>134</v>
      </c>
      <c r="B106" s="89" t="s">
        <v>134</v>
      </c>
      <c r="C106" s="51">
        <v>0</v>
      </c>
      <c r="D106" s="23">
        <f ca="1">((100/(H95))*C106)/100</f>
        <v>0</v>
      </c>
      <c r="E106" s="111"/>
      <c r="F106" s="112"/>
      <c r="G106" s="111"/>
      <c r="H106" s="116"/>
      <c r="I106" s="16" t="s">
        <v>148</v>
      </c>
      <c r="J106" s="37">
        <f ca="1">(IF(B95=1,(H95/(B95+3)+J101),IF(B95=0,(H95/4+J101),IF(B95&gt;1,0))))</f>
        <v>27.75</v>
      </c>
    </row>
    <row r="107" spans="1:10" ht="16.5" thickBot="1" x14ac:dyDescent="0.3">
      <c r="A107" s="118" t="s">
        <v>135</v>
      </c>
      <c r="B107" s="119"/>
      <c r="C107" s="52">
        <v>0</v>
      </c>
      <c r="D107" s="24">
        <f ca="1">((100/(H95))*C107)/100</f>
        <v>0</v>
      </c>
      <c r="E107" s="113"/>
      <c r="F107" s="114"/>
      <c r="G107" s="113"/>
      <c r="H107" s="117"/>
      <c r="I107" s="19" t="s">
        <v>101</v>
      </c>
      <c r="J107" s="39">
        <f ca="1">(IF(B95&gt;1.5,(H95/(B95+2)+J101+MAX(0,J102-J101)+MAX(0,J103-J102)+MAX(0,J104-J103)+MAX(0,J105-J104)+MAX(0,J106-J105)),IF(B95=1,(H95/(B95+3)+J106),IF(B95=0,H95/4+J106))))</f>
        <v>37</v>
      </c>
    </row>
    <row r="108" spans="1:10" x14ac:dyDescent="0.25">
      <c r="A108" s="204" t="s">
        <v>157</v>
      </c>
      <c r="B108" s="204"/>
      <c r="C108" s="204"/>
      <c r="D108" s="204"/>
      <c r="E108" s="204"/>
      <c r="F108" s="205" t="s">
        <v>160</v>
      </c>
      <c r="G108" s="205"/>
      <c r="H108" s="205"/>
    </row>
    <row r="109" spans="1:10" x14ac:dyDescent="0.25">
      <c r="A109" s="98" t="s">
        <v>158</v>
      </c>
      <c r="B109" s="98"/>
      <c r="C109" s="98"/>
      <c r="D109" s="98"/>
      <c r="E109" s="98"/>
      <c r="F109" s="155">
        <v>24000</v>
      </c>
      <c r="G109" s="155"/>
      <c r="H109" s="155"/>
      <c r="I109" s="77" t="s">
        <v>271</v>
      </c>
    </row>
    <row r="110" spans="1:10" x14ac:dyDescent="0.25">
      <c r="A110" s="98" t="s">
        <v>269</v>
      </c>
      <c r="B110" s="98"/>
      <c r="C110" s="98"/>
      <c r="D110" s="98"/>
      <c r="E110" s="98"/>
      <c r="F110" s="85">
        <v>40000</v>
      </c>
      <c r="G110" s="85"/>
      <c r="H110" s="85"/>
    </row>
    <row r="111" spans="1:10" x14ac:dyDescent="0.25">
      <c r="A111" s="98" t="s">
        <v>270</v>
      </c>
      <c r="B111" s="98"/>
      <c r="C111" s="98"/>
      <c r="D111" s="98"/>
      <c r="E111" s="98"/>
      <c r="F111" s="85">
        <v>35000</v>
      </c>
      <c r="G111" s="85"/>
      <c r="H111" s="85"/>
    </row>
    <row r="112" spans="1:10" x14ac:dyDescent="0.25">
      <c r="A112" s="98" t="s">
        <v>159</v>
      </c>
      <c r="B112" s="98"/>
      <c r="C112" s="98"/>
      <c r="D112" s="98"/>
      <c r="E112" s="98"/>
      <c r="F112" s="85">
        <v>32000</v>
      </c>
      <c r="G112" s="85"/>
      <c r="H112" s="85"/>
    </row>
    <row r="113" spans="1:9" x14ac:dyDescent="0.25">
      <c r="A113" s="98" t="s">
        <v>274</v>
      </c>
      <c r="B113" s="98"/>
      <c r="C113" s="98"/>
      <c r="D113" s="98"/>
      <c r="E113" s="98"/>
      <c r="F113" s="85">
        <v>30000</v>
      </c>
      <c r="G113" s="85"/>
      <c r="H113" s="85"/>
    </row>
    <row r="114" spans="1:9" s="40" customFormat="1" hidden="1" x14ac:dyDescent="0.25">
      <c r="A114" s="98" t="s">
        <v>243</v>
      </c>
      <c r="B114" s="98"/>
      <c r="C114" s="98"/>
      <c r="D114" s="98"/>
      <c r="E114" s="98"/>
      <c r="F114" s="85">
        <v>900000</v>
      </c>
      <c r="G114" s="85"/>
      <c r="H114" s="85"/>
    </row>
    <row r="115" spans="1:9" s="40" customFormat="1" x14ac:dyDescent="0.25">
      <c r="A115" s="98" t="s">
        <v>250</v>
      </c>
      <c r="B115" s="98"/>
      <c r="C115" s="98"/>
      <c r="D115" s="98"/>
      <c r="E115" s="98"/>
      <c r="F115" s="85">
        <v>50000</v>
      </c>
      <c r="G115" s="85"/>
      <c r="H115" s="85"/>
    </row>
    <row r="116" spans="1:9" s="40" customFormat="1" x14ac:dyDescent="0.25">
      <c r="A116" s="98" t="s">
        <v>96</v>
      </c>
      <c r="B116" s="98"/>
      <c r="C116" s="98"/>
      <c r="D116" s="98"/>
      <c r="E116" s="98"/>
      <c r="F116" s="85">
        <v>100000</v>
      </c>
      <c r="G116" s="85"/>
      <c r="H116" s="85"/>
    </row>
    <row r="117" spans="1:9" s="40" customFormat="1" x14ac:dyDescent="0.25">
      <c r="A117" s="84" t="s">
        <v>244</v>
      </c>
      <c r="B117" s="84"/>
      <c r="C117" s="84"/>
      <c r="D117" s="84"/>
      <c r="E117" s="84"/>
      <c r="F117" s="85">
        <v>120000</v>
      </c>
      <c r="G117" s="85"/>
      <c r="H117" s="85"/>
    </row>
    <row r="118" spans="1:9" s="40" customFormat="1" x14ac:dyDescent="0.25">
      <c r="A118" s="84" t="s">
        <v>245</v>
      </c>
      <c r="B118" s="84"/>
      <c r="C118" s="84"/>
      <c r="D118" s="84"/>
      <c r="E118" s="84"/>
      <c r="F118" s="85">
        <v>5000</v>
      </c>
      <c r="G118" s="85"/>
      <c r="H118" s="85"/>
    </row>
    <row r="119" spans="1:9" x14ac:dyDescent="0.25">
      <c r="A119" s="84" t="s">
        <v>52</v>
      </c>
      <c r="B119" s="84"/>
      <c r="C119" s="84"/>
      <c r="D119" s="84"/>
      <c r="E119" s="84"/>
      <c r="F119" s="85">
        <v>1000000</v>
      </c>
      <c r="G119" s="85"/>
      <c r="H119" s="85"/>
    </row>
    <row r="120" spans="1:9" s="41" customFormat="1" x14ac:dyDescent="0.25">
      <c r="A120" s="86" t="s">
        <v>53</v>
      </c>
      <c r="B120" s="86"/>
      <c r="C120" s="86"/>
      <c r="D120" s="86"/>
      <c r="E120" s="86"/>
      <c r="F120" s="85">
        <f>F109*0.8</f>
        <v>19200</v>
      </c>
      <c r="G120" s="85"/>
      <c r="H120" s="85"/>
    </row>
    <row r="121" spans="1:9" s="42" customFormat="1" ht="15.75" customHeight="1" x14ac:dyDescent="0.25">
      <c r="A121" s="83" t="s">
        <v>261</v>
      </c>
      <c r="B121" s="83"/>
      <c r="C121" s="83"/>
      <c r="D121" s="83"/>
      <c r="E121" s="83"/>
      <c r="F121" s="83"/>
      <c r="G121" s="83"/>
      <c r="H121" s="83"/>
    </row>
    <row r="122" spans="1:9" s="42" customFormat="1" ht="15.75" customHeight="1" x14ac:dyDescent="0.25">
      <c r="A122" s="91" t="s">
        <v>54</v>
      </c>
      <c r="B122" s="91"/>
      <c r="C122" s="90" t="s">
        <v>79</v>
      </c>
      <c r="D122" s="90"/>
      <c r="E122" s="87" t="s">
        <v>55</v>
      </c>
      <c r="F122" s="87"/>
      <c r="G122" s="91" t="s">
        <v>56</v>
      </c>
      <c r="H122" s="91"/>
    </row>
    <row r="123" spans="1:9" s="42" customFormat="1" x14ac:dyDescent="0.25">
      <c r="A123" s="133" t="s">
        <v>199</v>
      </c>
      <c r="B123" s="69" t="s">
        <v>264</v>
      </c>
      <c r="C123" s="79">
        <f>COUNT(D150:D151,D153:D154)+COUNT(D156:D160)</f>
        <v>9</v>
      </c>
      <c r="D123" s="80"/>
      <c r="E123" s="81">
        <f>SUM(D150:D151,D153:D154)+SUM(D156:D160)</f>
        <v>2141.8207199999997</v>
      </c>
      <c r="F123" s="82"/>
      <c r="G123" s="81">
        <f>SUM(F150:F151,F153:F154)+SUM(F156:F160)</f>
        <v>3426.9131520000001</v>
      </c>
      <c r="H123" s="82"/>
    </row>
    <row r="124" spans="1:9" s="42" customFormat="1" x14ac:dyDescent="0.25">
      <c r="A124" s="134"/>
      <c r="B124" s="69" t="s">
        <v>180</v>
      </c>
      <c r="C124" s="79">
        <f>COUNT(D152)</f>
        <v>1</v>
      </c>
      <c r="D124" s="80"/>
      <c r="E124" s="81">
        <f>SUM(D152)</f>
        <v>251.47933199999997</v>
      </c>
      <c r="F124" s="82"/>
      <c r="G124" s="81">
        <f>SUM(F152)</f>
        <v>402.36693119999995</v>
      </c>
      <c r="H124" s="82"/>
    </row>
    <row r="125" spans="1:9" s="42" customFormat="1" x14ac:dyDescent="0.25">
      <c r="A125" s="133" t="s">
        <v>175</v>
      </c>
      <c r="B125" s="69" t="s">
        <v>264</v>
      </c>
      <c r="C125" s="79">
        <f>COUNT(D211)</f>
        <v>1</v>
      </c>
      <c r="D125" s="80"/>
      <c r="E125" s="81">
        <f>SUM(D211)</f>
        <v>73.62576</v>
      </c>
      <c r="F125" s="82"/>
      <c r="G125" s="81">
        <f>SUM(F211)</f>
        <v>117.80121600000001</v>
      </c>
      <c r="H125" s="82"/>
      <c r="I125" s="42">
        <f>19+9</f>
        <v>28</v>
      </c>
    </row>
    <row r="126" spans="1:9" s="42" customFormat="1" x14ac:dyDescent="0.25">
      <c r="A126" s="203"/>
      <c r="B126" s="69" t="s">
        <v>180</v>
      </c>
      <c r="C126" s="79">
        <f>COUNT(D212:D225)+COUNT(D229,D232,D234:D235)+COUNT(D245:D246)</f>
        <v>20</v>
      </c>
      <c r="D126" s="80"/>
      <c r="E126" s="81">
        <f>SUM(D212:D225)+SUM(D229,D232,D234:D235)+SUM(D245:D246)</f>
        <v>7810.8965999999982</v>
      </c>
      <c r="F126" s="82"/>
      <c r="G126" s="81">
        <f>SUM(F212:F225)+SUM(F229,F232,F234:F235)+SUM(F245:F246)</f>
        <v>12497.434560000002</v>
      </c>
      <c r="H126" s="82"/>
    </row>
    <row r="127" spans="1:9" s="42" customFormat="1" ht="38.25" customHeight="1" x14ac:dyDescent="0.25">
      <c r="A127" s="134"/>
      <c r="B127" s="76" t="s">
        <v>265</v>
      </c>
      <c r="C127" s="79">
        <f>COUNT(D239)</f>
        <v>1</v>
      </c>
      <c r="D127" s="80"/>
      <c r="E127" s="94">
        <f>SUM(D239)</f>
        <v>4672.1142</v>
      </c>
      <c r="F127" s="95"/>
      <c r="G127" s="94">
        <f>SUM(F239)</f>
        <v>7475.3827200000005</v>
      </c>
      <c r="H127" s="95"/>
    </row>
    <row r="128" spans="1:9" s="42" customFormat="1" x14ac:dyDescent="0.25">
      <c r="A128" s="69" t="s">
        <v>176</v>
      </c>
      <c r="B128" s="69" t="s">
        <v>180</v>
      </c>
      <c r="C128" s="79">
        <f>COUNT(D254:D259)+COUNT(D261:D262)+COUNT(D264)</f>
        <v>9</v>
      </c>
      <c r="D128" s="80"/>
      <c r="E128" s="81">
        <f>SUM(D254:D259)+SUM(D261:D262)+SUM(D264)</f>
        <v>5074.3691855999996</v>
      </c>
      <c r="F128" s="82"/>
      <c r="G128" s="81">
        <f>SUM(F254:F259)+SUM(F261:F262)+SUM(F264)</f>
        <v>8118.9906969599997</v>
      </c>
      <c r="H128" s="82"/>
    </row>
    <row r="129" spans="1:9" s="42" customFormat="1" x14ac:dyDescent="0.25">
      <c r="A129" s="83" t="s">
        <v>151</v>
      </c>
      <c r="B129" s="83"/>
      <c r="C129" s="92">
        <f>SUM(C123:D127)</f>
        <v>32</v>
      </c>
      <c r="D129" s="90"/>
      <c r="E129" s="93">
        <f>SUM(E123:F128)</f>
        <v>20024.305797599998</v>
      </c>
      <c r="F129" s="87"/>
      <c r="G129" s="91">
        <f>SUM(G123:H128)</f>
        <v>32038.88927616</v>
      </c>
      <c r="H129" s="91"/>
    </row>
    <row r="130" spans="1:9" s="42" customFormat="1" ht="15.75" customHeight="1" x14ac:dyDescent="0.25">
      <c r="A130" s="83" t="s">
        <v>262</v>
      </c>
      <c r="B130" s="83"/>
      <c r="C130" s="83"/>
      <c r="D130" s="83"/>
      <c r="E130" s="83"/>
      <c r="F130" s="83"/>
      <c r="G130" s="83"/>
      <c r="H130" s="83"/>
    </row>
    <row r="131" spans="1:9" s="42" customFormat="1" ht="15.75" customHeight="1" x14ac:dyDescent="0.25">
      <c r="A131" s="91" t="s">
        <v>54</v>
      </c>
      <c r="B131" s="91"/>
      <c r="C131" s="90" t="s">
        <v>79</v>
      </c>
      <c r="D131" s="90"/>
      <c r="E131" s="87" t="s">
        <v>55</v>
      </c>
      <c r="F131" s="87"/>
      <c r="G131" s="91" t="s">
        <v>56</v>
      </c>
      <c r="H131" s="91"/>
    </row>
    <row r="132" spans="1:9" s="42" customFormat="1" ht="31.5" x14ac:dyDescent="0.25">
      <c r="A132" s="69" t="s">
        <v>199</v>
      </c>
      <c r="B132" s="69" t="s">
        <v>178</v>
      </c>
      <c r="C132" s="79">
        <f>COUNT(D162:D166)+COUNT(D168:D172)+COUNT(D174:D178)+COUNT(D180:D184)+COUNT(D186:D190)+COUNT(D192:D193,D195:D196)+COUNT(D198:D202)+COUNT(D204:D208)</f>
        <v>39</v>
      </c>
      <c r="D132" s="80"/>
      <c r="E132" s="94">
        <f>SUM(D162:D166)+SUM(D168:D172)+SUM(D174:D178)+SUM(D180:D184)+SUM(D186:D190)+SUM(D192:D193,D195:D196)+SUM(D198:D202)+SUM(D204:D208)</f>
        <v>10778.42376</v>
      </c>
      <c r="F132" s="95"/>
      <c r="G132" s="94">
        <f>SUM(F162:F166)+SUM(F168:F172)+SUM(F174:F178)+SUM(F180:F184)+SUM(F186:F190)+SUM(F192:F193,F195:F196)+SUM(F198:F202)+SUM(F204:F208)</f>
        <v>17245.478016000001</v>
      </c>
      <c r="H132" s="95"/>
    </row>
    <row r="133" spans="1:9" s="42" customFormat="1" x14ac:dyDescent="0.25">
      <c r="A133" s="69" t="s">
        <v>266</v>
      </c>
      <c r="B133" s="69" t="s">
        <v>178</v>
      </c>
      <c r="C133" s="79">
        <f>COUNT(D241:D244,D247:D249)</f>
        <v>7</v>
      </c>
      <c r="D133" s="80"/>
      <c r="E133" s="81">
        <f>SUM(D241:D244,D247:D249)</f>
        <v>3364.0729200000001</v>
      </c>
      <c r="F133" s="82"/>
      <c r="G133" s="81">
        <f>SUM(F241:F244,F247:F249)</f>
        <v>5382.5166719999988</v>
      </c>
      <c r="H133" s="82"/>
    </row>
    <row r="134" spans="1:9" s="42" customFormat="1" x14ac:dyDescent="0.25">
      <c r="A134" s="69" t="s">
        <v>176</v>
      </c>
      <c r="B134" s="69" t="s">
        <v>178</v>
      </c>
      <c r="C134" s="79">
        <f>COUNT(D266:D271)</f>
        <v>6</v>
      </c>
      <c r="D134" s="80"/>
      <c r="E134" s="81">
        <f>SUM(D266:D271)</f>
        <v>1934.0755199999996</v>
      </c>
      <c r="F134" s="82"/>
      <c r="G134" s="81">
        <f>SUM(F266:F271)</f>
        <v>3094.5208319999997</v>
      </c>
      <c r="H134" s="82"/>
      <c r="I134" s="42">
        <f>19+9</f>
        <v>28</v>
      </c>
    </row>
    <row r="135" spans="1:9" s="42" customFormat="1" x14ac:dyDescent="0.25">
      <c r="A135" s="83" t="s">
        <v>151</v>
      </c>
      <c r="B135" s="83"/>
      <c r="C135" s="92">
        <f>SUM(C132:D134)</f>
        <v>52</v>
      </c>
      <c r="D135" s="90"/>
      <c r="E135" s="93">
        <f>SUM(E132:F134)</f>
        <v>16076.572200000001</v>
      </c>
      <c r="F135" s="87"/>
      <c r="G135" s="93">
        <f>SUM(G132:H134)</f>
        <v>25722.515519999997</v>
      </c>
      <c r="H135" s="87"/>
    </row>
    <row r="136" spans="1:9" s="42" customFormat="1" x14ac:dyDescent="0.25">
      <c r="A136" s="83" t="s">
        <v>263</v>
      </c>
      <c r="B136" s="83"/>
      <c r="C136" s="83"/>
      <c r="D136" s="83"/>
      <c r="E136" s="83"/>
      <c r="F136" s="83"/>
      <c r="G136" s="83"/>
      <c r="H136" s="83"/>
    </row>
    <row r="137" spans="1:9" s="42" customFormat="1" ht="15.75" customHeight="1" x14ac:dyDescent="0.25">
      <c r="A137" s="91" t="s">
        <v>54</v>
      </c>
      <c r="B137" s="91"/>
      <c r="C137" s="90" t="s">
        <v>79</v>
      </c>
      <c r="D137" s="90"/>
      <c r="E137" s="87" t="s">
        <v>55</v>
      </c>
      <c r="F137" s="87"/>
      <c r="G137" s="91" t="s">
        <v>56</v>
      </c>
      <c r="H137" s="91"/>
    </row>
    <row r="138" spans="1:9" s="42" customFormat="1" x14ac:dyDescent="0.25">
      <c r="A138" s="133" t="s">
        <v>199</v>
      </c>
      <c r="B138" s="69" t="s">
        <v>180</v>
      </c>
      <c r="C138" s="79">
        <f>COUNT(D279:D282)*3+COUNT(D284:D285,D287)+COUNT(D289:D292)+COUNT(D294:D297)+COUNT(D299:D302)+COUNT(D304)</f>
        <v>28</v>
      </c>
      <c r="D138" s="80"/>
      <c r="E138" s="81">
        <f>SUM(D279:D282)*3+SUM(D284:D285,D287)+SUM(D289:D292)+SUM(D294:D297)+SUM(D299:D302)+SUM(D304)</f>
        <v>10847.098080000002</v>
      </c>
      <c r="F138" s="82"/>
      <c r="G138" s="81">
        <f>SUM(F279:F282)*3+SUM(F284:F285,F287)+SUM(F289:F292)+SUM(F294:F297)+SUM(F299:F302)+SUM(F304)</f>
        <v>16813.002024000001</v>
      </c>
      <c r="H138" s="82"/>
    </row>
    <row r="139" spans="1:9" s="42" customFormat="1" x14ac:dyDescent="0.25">
      <c r="A139" s="134"/>
      <c r="B139" s="69" t="s">
        <v>178</v>
      </c>
      <c r="C139" s="79">
        <f>COUNT(D305:D307)</f>
        <v>3</v>
      </c>
      <c r="D139" s="80"/>
      <c r="E139" s="81">
        <f>SUM(D305:D307)</f>
        <v>1162.1890800000001</v>
      </c>
      <c r="F139" s="82"/>
      <c r="G139" s="81">
        <f>SUM(F305:F307)</f>
        <v>1801.3930740000001</v>
      </c>
      <c r="H139" s="82"/>
      <c r="I139" s="42">
        <f>219+32</f>
        <v>251</v>
      </c>
    </row>
    <row r="140" spans="1:9" s="42" customFormat="1" x14ac:dyDescent="0.25">
      <c r="A140" s="133" t="s">
        <v>266</v>
      </c>
      <c r="B140" s="69" t="s">
        <v>178</v>
      </c>
      <c r="C140" s="79">
        <f>COUNT(D360:D361)+COUNT(D370:D371)+COUNT(D379:D380)+COUNT(D386:D387)+COUNT(D392:D394)+COUNT(D408:D410)*7</f>
        <v>32</v>
      </c>
      <c r="D140" s="80"/>
      <c r="E140" s="81">
        <f>SUM(D360:D361)+SUM(D370:D371)+SUM(D379:D380)+SUM(D386:D387)+SUM(D392:D394)+SUM(D408:D410)*7</f>
        <v>12039.534</v>
      </c>
      <c r="F140" s="82"/>
      <c r="G140" s="81">
        <f>SUM(F360:F361)+SUM(F370:F371)+SUM(F379:F380)+SUM(F386:F387)+SUM(F392:F394)+SUM(F408:F410)*7</f>
        <v>18661.277699999999</v>
      </c>
      <c r="H140" s="82"/>
    </row>
    <row r="141" spans="1:9" s="42" customFormat="1" x14ac:dyDescent="0.25">
      <c r="A141" s="134"/>
      <c r="B141" s="69" t="s">
        <v>180</v>
      </c>
      <c r="C141" s="79">
        <f>COUNT(D310:D315)+COUNT(D319:D326)*2+COUNT(D328:D335)+COUNT(D337:D344)*3+COUNT(D346:D351)+COUNT(D355:D359,D362)+COUNT(D364:D367)+COUNT(D373:D376)+COUNT(D382:D385)+COUNT(D389:D391)+COUNT(D396:D401)+COUNT(D405:D407)*7+COUNT(D413:D415)+COUNT(D417:D420)*3+COUNT(D422:D425)+COUNT(D427:D430)*2</f>
        <v>135</v>
      </c>
      <c r="D141" s="80"/>
      <c r="E141" s="81">
        <f>SUM(D310:D315)+SUM(D319:D326)*2+SUM(D328:D335)+SUM(D337:D344)*3+SUM(D346:D351)+SUM(D355:D359,D362)+SUM(D364:D367)+SUM(D373:D376)+SUM(D382:D385)+SUM(D389:D391)+SUM(D396:D401)+SUM(D405:D407)*7+SUM(D413:D415)+SUM(D417:D420)*3+SUM(D422:D425)+SUM(D427:D430)*2</f>
        <v>51044.260409999981</v>
      </c>
      <c r="F141" s="82"/>
      <c r="G141" s="81">
        <f>SUM(F310:F315)+SUM(F319:F326)*2+SUM(F328:F335)+SUM(F337:F344)*3+SUM(F346:F351)+SUM(F355:F359,F362)+SUM(F364:F367)+SUM(F373:F376)+SUM(F382:F385)+SUM(F389:F391)+SUM(F396:F401)+SUM(F405:F407)*7+SUM(F413:F415)+SUM(F417:F420)*3+SUM(F422:F425)+SUM(F427:F430)*2</f>
        <v>79605.46294350001</v>
      </c>
      <c r="H141" s="82"/>
      <c r="I141" s="42">
        <f>219+32</f>
        <v>251</v>
      </c>
    </row>
    <row r="142" spans="1:9" s="42" customFormat="1" x14ac:dyDescent="0.25">
      <c r="A142" s="69" t="s">
        <v>176</v>
      </c>
      <c r="B142" s="69" t="s">
        <v>178</v>
      </c>
      <c r="C142" s="80">
        <f>COUNT(D434:D439)+COUNT(D441:D446,D448,D451:D453,D455:D460,D462:D467,D469:D475)+COUNT(D477:D483)*2+COUNT(D485:D491)*3+COUNT(D493,D496:D499,D501:D507,D509:D515,D517:D523,D525:D531,D533,D536:D539,D541:D547,D549:D555)+COUNT(D557:D563)*7+COUNT(D565:D571)+COUNT(D573:D579)*3+COUNT(D581,D583:D587)+COUNT(D589:D595)*2</f>
        <v>219</v>
      </c>
      <c r="D142" s="80"/>
      <c r="E142" s="81">
        <f>SUM(D434:D439)+SUM(D441:D446,D448,D451:D453,D455:D460,D462:D467,D469:D475)+SUM(D477:D483)*2+SUM(D485:D491)*3+SUM(D493,D496:D499,D501:D507,D509:D515,D517:D523,D525:D531,D533,D536:D539,D541:D547,D549:D555)+SUM(D557:D563)*7+SUM(D565:D571)+SUM(D573:D579)*3+SUM(D581,D583:D587)+SUM(D589:D595)*2</f>
        <v>56385.276480000008</v>
      </c>
      <c r="F142" s="82"/>
      <c r="G142" s="81">
        <f>SUM(F434:F439)+SUM(F441:F446,F448,F451:F453,F455:F460,F462:F467,F469:F475)+SUM(F477:F483)*2+SUM(F485:F491)*3+SUM(F493,F496:F499,F501:F507,F509:F515,F517:F523,F525:F531,F533,F536:F539,F541:F547,F549:F555)+SUM(F557:F563)*7+SUM(F565:F571)+SUM(F573:F579)*3+SUM(F581,F583:F587)+SUM(F589:F595)*2</f>
        <v>87397.178543999995</v>
      </c>
      <c r="H142" s="82"/>
    </row>
    <row r="143" spans="1:9" s="42" customFormat="1" x14ac:dyDescent="0.25">
      <c r="A143" s="83" t="s">
        <v>151</v>
      </c>
      <c r="B143" s="83"/>
      <c r="C143" s="92">
        <f>SUM(C138:D142)</f>
        <v>417</v>
      </c>
      <c r="D143" s="90"/>
      <c r="E143" s="93">
        <f>SUM(E138:F142)</f>
        <v>131478.35804999998</v>
      </c>
      <c r="F143" s="87"/>
      <c r="G143" s="91">
        <f>SUM(G138:H142)</f>
        <v>204278.3142855</v>
      </c>
      <c r="H143" s="91"/>
    </row>
    <row r="144" spans="1:9" s="41" customFormat="1" x14ac:dyDescent="0.25">
      <c r="A144" s="130" t="s">
        <v>57</v>
      </c>
      <c r="B144" s="130"/>
      <c r="C144" s="130"/>
      <c r="D144" s="130"/>
      <c r="E144" s="130"/>
      <c r="F144" s="130"/>
      <c r="G144" s="130"/>
      <c r="H144" s="130"/>
    </row>
    <row r="145" spans="1:14" x14ac:dyDescent="0.25">
      <c r="A145" s="130" t="s">
        <v>58</v>
      </c>
      <c r="B145" s="130"/>
      <c r="C145" s="130"/>
      <c r="D145" s="130"/>
      <c r="E145" s="130"/>
      <c r="F145" s="130"/>
      <c r="G145" s="130"/>
      <c r="H145" s="130"/>
    </row>
    <row r="146" spans="1:14" ht="47.25" customHeight="1" x14ac:dyDescent="0.25">
      <c r="A146" s="131" t="s">
        <v>118</v>
      </c>
      <c r="B146" s="131" t="s">
        <v>177</v>
      </c>
      <c r="C146" s="131" t="s">
        <v>59</v>
      </c>
      <c r="D146" s="131" t="s">
        <v>60</v>
      </c>
      <c r="E146" s="147" t="s">
        <v>156</v>
      </c>
      <c r="F146" s="50" t="s">
        <v>150</v>
      </c>
      <c r="G146" s="142" t="s">
        <v>62</v>
      </c>
      <c r="H146" s="149"/>
    </row>
    <row r="147" spans="1:14" s="55" customFormat="1" x14ac:dyDescent="0.25">
      <c r="A147" s="132"/>
      <c r="B147" s="132"/>
      <c r="C147" s="132"/>
      <c r="D147" s="132"/>
      <c r="E147" s="148"/>
      <c r="F147" s="15">
        <v>0.6</v>
      </c>
      <c r="G147" s="143"/>
      <c r="H147" s="150"/>
    </row>
    <row r="148" spans="1:14" s="60" customFormat="1" ht="18.75" x14ac:dyDescent="0.25">
      <c r="A148" s="139" t="s">
        <v>199</v>
      </c>
      <c r="B148" s="140"/>
      <c r="C148" s="140"/>
      <c r="D148" s="140"/>
      <c r="E148" s="140"/>
      <c r="F148" s="140"/>
      <c r="G148" s="140"/>
      <c r="H148" s="141"/>
      <c r="J148" s="43"/>
    </row>
    <row r="149" spans="1:14" s="61" customFormat="1" x14ac:dyDescent="0.25">
      <c r="A149" s="120" t="s">
        <v>251</v>
      </c>
      <c r="B149" s="121"/>
      <c r="C149" s="121"/>
      <c r="D149" s="121"/>
      <c r="E149" s="121"/>
      <c r="F149" s="121"/>
      <c r="G149" s="121"/>
      <c r="H149" s="122"/>
      <c r="J149" s="43"/>
    </row>
    <row r="150" spans="1:14" s="61" customFormat="1" x14ac:dyDescent="0.25">
      <c r="A150" s="62">
        <v>1</v>
      </c>
      <c r="B150" s="62" t="s">
        <v>178</v>
      </c>
      <c r="C150" s="62" t="s">
        <v>179</v>
      </c>
      <c r="D150" s="62">
        <f>19.67*10.764</f>
        <v>211.72788</v>
      </c>
      <c r="E150" s="62">
        <v>0</v>
      </c>
      <c r="F150" s="62">
        <f>(D150+E150)*(($F$147)+1)</f>
        <v>338.76460800000001</v>
      </c>
      <c r="G150" s="96" t="str">
        <f>A149</f>
        <v>Ground Floor for Commercial &amp; Parking</v>
      </c>
      <c r="H150" s="97"/>
      <c r="I150" s="43"/>
      <c r="L150" s="138"/>
      <c r="M150" s="138"/>
      <c r="N150" s="43"/>
    </row>
    <row r="151" spans="1:14" s="61" customFormat="1" x14ac:dyDescent="0.25">
      <c r="A151" s="62">
        <f t="shared" ref="A151:A152" si="0">A150+1</f>
        <v>2</v>
      </c>
      <c r="B151" s="62" t="s">
        <v>178</v>
      </c>
      <c r="C151" s="74" t="s">
        <v>179</v>
      </c>
      <c r="D151" s="74">
        <f>19.67*10.764</f>
        <v>211.72788</v>
      </c>
      <c r="E151" s="62">
        <v>0</v>
      </c>
      <c r="F151" s="62">
        <f t="shared" ref="F151:F152" si="1">(D151+E151)*(($F$147)+1)</f>
        <v>338.76460800000001</v>
      </c>
      <c r="G151" s="96" t="str">
        <f t="shared" ref="G151:G152" si="2">G150</f>
        <v>Ground Floor for Commercial &amp; Parking</v>
      </c>
      <c r="H151" s="97"/>
      <c r="I151" s="43"/>
      <c r="L151" s="138"/>
      <c r="M151" s="138"/>
      <c r="N151" s="43"/>
    </row>
    <row r="152" spans="1:14" s="61" customFormat="1" x14ac:dyDescent="0.25">
      <c r="A152" s="62">
        <f t="shared" si="0"/>
        <v>3</v>
      </c>
      <c r="B152" s="62" t="s">
        <v>180</v>
      </c>
      <c r="C152" s="74" t="s">
        <v>179</v>
      </c>
      <c r="D152" s="74">
        <f>(3.05*7.66)*10.764</f>
        <v>251.47933199999997</v>
      </c>
      <c r="E152" s="62">
        <v>0</v>
      </c>
      <c r="F152" s="62">
        <f t="shared" si="1"/>
        <v>402.36693119999995</v>
      </c>
      <c r="G152" s="96" t="str">
        <f t="shared" si="2"/>
        <v>Ground Floor for Commercial &amp; Parking</v>
      </c>
      <c r="H152" s="97"/>
      <c r="I152" s="212" t="s">
        <v>252</v>
      </c>
      <c r="J152" s="213"/>
      <c r="L152" s="138"/>
      <c r="M152" s="138"/>
      <c r="N152" s="43"/>
    </row>
    <row r="153" spans="1:14" s="57" customFormat="1" x14ac:dyDescent="0.25">
      <c r="A153" s="56">
        <f>A225+1</f>
        <v>25</v>
      </c>
      <c r="B153" s="56" t="s">
        <v>178</v>
      </c>
      <c r="C153" s="74" t="s">
        <v>182</v>
      </c>
      <c r="D153" s="74">
        <f>19.44*10.764</f>
        <v>209.25216</v>
      </c>
      <c r="E153" s="56">
        <v>0</v>
      </c>
      <c r="F153" s="56">
        <f>(D153+E153)*(($F$147)+1)</f>
        <v>334.80345600000004</v>
      </c>
      <c r="G153" s="96" t="str">
        <f>G225</f>
        <v>Ground Floor for Commercial &amp; Parking</v>
      </c>
      <c r="H153" s="97"/>
      <c r="I153" s="43"/>
      <c r="L153" s="138"/>
      <c r="M153" s="138"/>
      <c r="N153" s="43"/>
    </row>
    <row r="154" spans="1:14" s="57" customFormat="1" x14ac:dyDescent="0.25">
      <c r="A154" s="56">
        <f>A153+1</f>
        <v>26</v>
      </c>
      <c r="B154" s="56" t="s">
        <v>178</v>
      </c>
      <c r="C154" s="56" t="s">
        <v>182</v>
      </c>
      <c r="D154" s="56">
        <f>19.44*10.764</f>
        <v>209.25216</v>
      </c>
      <c r="E154" s="56">
        <v>0</v>
      </c>
      <c r="F154" s="56">
        <f t="shared" ref="F154" si="3">(D154+E154)*(($F$147)+1)</f>
        <v>334.80345600000004</v>
      </c>
      <c r="G154" s="96" t="str">
        <f>G153</f>
        <v>Ground Floor for Commercial &amp; Parking</v>
      </c>
      <c r="H154" s="97"/>
      <c r="I154" s="43"/>
      <c r="L154" s="138"/>
      <c r="M154" s="138"/>
      <c r="N154" s="43"/>
    </row>
    <row r="155" spans="1:14" s="61" customFormat="1" x14ac:dyDescent="0.25">
      <c r="A155" s="120" t="s">
        <v>253</v>
      </c>
      <c r="B155" s="121"/>
      <c r="C155" s="121"/>
      <c r="D155" s="121"/>
      <c r="E155" s="121"/>
      <c r="F155" s="121"/>
      <c r="G155" s="121"/>
      <c r="H155" s="122"/>
      <c r="J155" s="43"/>
    </row>
    <row r="156" spans="1:14" s="61" customFormat="1" x14ac:dyDescent="0.25">
      <c r="A156" s="62">
        <v>1</v>
      </c>
      <c r="B156" s="62" t="s">
        <v>178</v>
      </c>
      <c r="C156" s="62" t="s">
        <v>179</v>
      </c>
      <c r="D156" s="62">
        <f>23.91*10.764</f>
        <v>257.36723999999998</v>
      </c>
      <c r="E156" s="62">
        <v>0</v>
      </c>
      <c r="F156" s="62">
        <f>(D156+E156)*(($F$147)+1)</f>
        <v>411.78758399999998</v>
      </c>
      <c r="G156" s="96" t="str">
        <f>A155</f>
        <v>1st Floor for Commercial</v>
      </c>
      <c r="H156" s="97"/>
      <c r="I156" s="43"/>
      <c r="L156" s="138"/>
      <c r="M156" s="138"/>
      <c r="N156" s="43"/>
    </row>
    <row r="157" spans="1:14" s="61" customFormat="1" x14ac:dyDescent="0.25">
      <c r="A157" s="62">
        <f t="shared" ref="A157:A159" si="4">A156+1</f>
        <v>2</v>
      </c>
      <c r="B157" s="62" t="s">
        <v>178</v>
      </c>
      <c r="C157" s="62" t="s">
        <v>179</v>
      </c>
      <c r="D157" s="62">
        <f>23.91*10.764</f>
        <v>257.36723999999998</v>
      </c>
      <c r="E157" s="62">
        <v>0</v>
      </c>
      <c r="F157" s="62">
        <f t="shared" ref="F157:F159" si="5">(D157+E157)*(($F$147)+1)</f>
        <v>411.78758399999998</v>
      </c>
      <c r="G157" s="96" t="str">
        <f t="shared" ref="G157:G160" si="6">G156</f>
        <v>1st Floor for Commercial</v>
      </c>
      <c r="H157" s="97"/>
      <c r="I157" s="43"/>
      <c r="L157" s="138"/>
      <c r="M157" s="138"/>
      <c r="N157" s="43"/>
    </row>
    <row r="158" spans="1:14" s="61" customFormat="1" x14ac:dyDescent="0.25">
      <c r="A158" s="62">
        <f t="shared" si="4"/>
        <v>3</v>
      </c>
      <c r="B158" s="62" t="s">
        <v>178</v>
      </c>
      <c r="C158" s="62" t="s">
        <v>179</v>
      </c>
      <c r="D158" s="62">
        <f>32.57*10.764</f>
        <v>350.58348000000001</v>
      </c>
      <c r="E158" s="62">
        <v>0</v>
      </c>
      <c r="F158" s="62">
        <f t="shared" si="5"/>
        <v>560.93356800000004</v>
      </c>
      <c r="G158" s="96" t="str">
        <f t="shared" si="6"/>
        <v>1st Floor for Commercial</v>
      </c>
      <c r="H158" s="97"/>
      <c r="I158" s="43"/>
      <c r="L158" s="138"/>
      <c r="M158" s="138"/>
      <c r="N158" s="43"/>
    </row>
    <row r="159" spans="1:14" s="61" customFormat="1" x14ac:dyDescent="0.25">
      <c r="A159" s="62">
        <f t="shared" si="4"/>
        <v>4</v>
      </c>
      <c r="B159" s="62" t="s">
        <v>178</v>
      </c>
      <c r="C159" s="62" t="s">
        <v>179</v>
      </c>
      <c r="D159" s="62">
        <f>25.98*10.764</f>
        <v>279.64871999999997</v>
      </c>
      <c r="E159" s="62">
        <v>0</v>
      </c>
      <c r="F159" s="62">
        <f t="shared" si="5"/>
        <v>447.437952</v>
      </c>
      <c r="G159" s="96" t="str">
        <f t="shared" si="6"/>
        <v>1st Floor for Commercial</v>
      </c>
      <c r="H159" s="97"/>
      <c r="I159" s="43"/>
      <c r="L159" s="138"/>
      <c r="M159" s="138"/>
      <c r="N159" s="43"/>
    </row>
    <row r="160" spans="1:14" s="61" customFormat="1" x14ac:dyDescent="0.25">
      <c r="A160" s="62">
        <v>5</v>
      </c>
      <c r="B160" s="62" t="s">
        <v>178</v>
      </c>
      <c r="C160" s="62" t="s">
        <v>179</v>
      </c>
      <c r="D160" s="62">
        <f>14.39*10.764</f>
        <v>154.89395999999999</v>
      </c>
      <c r="E160" s="62">
        <v>0</v>
      </c>
      <c r="F160" s="62">
        <f>(D160+E160)*(($F$147)+1)</f>
        <v>247.83033599999999</v>
      </c>
      <c r="G160" s="96" t="str">
        <f t="shared" si="6"/>
        <v>1st Floor for Commercial</v>
      </c>
      <c r="H160" s="97"/>
      <c r="I160" s="43"/>
      <c r="L160" s="138"/>
      <c r="M160" s="138"/>
      <c r="N160" s="43"/>
    </row>
    <row r="161" spans="1:14" s="61" customFormat="1" x14ac:dyDescent="0.25">
      <c r="A161" s="120" t="s">
        <v>117</v>
      </c>
      <c r="B161" s="121"/>
      <c r="C161" s="121"/>
      <c r="D161" s="121"/>
      <c r="E161" s="121"/>
      <c r="F161" s="121"/>
      <c r="G161" s="121"/>
      <c r="H161" s="122"/>
      <c r="J161" s="43"/>
    </row>
    <row r="162" spans="1:14" s="61" customFormat="1" ht="31.5" x14ac:dyDescent="0.25">
      <c r="A162" s="62">
        <v>1</v>
      </c>
      <c r="B162" s="62" t="s">
        <v>178</v>
      </c>
      <c r="C162" s="62" t="s">
        <v>186</v>
      </c>
      <c r="D162" s="62">
        <f>23.91*10.764</f>
        <v>257.36723999999998</v>
      </c>
      <c r="E162" s="62">
        <v>0</v>
      </c>
      <c r="F162" s="62">
        <f>(D162+E162)*(($F$147)+1)</f>
        <v>411.78758399999998</v>
      </c>
      <c r="G162" s="96" t="str">
        <f>A161</f>
        <v>2nd Floor</v>
      </c>
      <c r="H162" s="97"/>
      <c r="I162" s="43"/>
      <c r="L162" s="138"/>
      <c r="M162" s="138"/>
      <c r="N162" s="43"/>
    </row>
    <row r="163" spans="1:14" s="61" customFormat="1" ht="31.5" x14ac:dyDescent="0.25">
      <c r="A163" s="62">
        <f t="shared" ref="A163:A165" si="7">A162+1</f>
        <v>2</v>
      </c>
      <c r="B163" s="62" t="s">
        <v>178</v>
      </c>
      <c r="C163" s="62" t="s">
        <v>186</v>
      </c>
      <c r="D163" s="62">
        <f>23.91*10.764</f>
        <v>257.36723999999998</v>
      </c>
      <c r="E163" s="62">
        <v>0</v>
      </c>
      <c r="F163" s="62">
        <f t="shared" ref="F163:F166" si="8">(D163+E163)*(($F$147)+1)</f>
        <v>411.78758399999998</v>
      </c>
      <c r="G163" s="96" t="str">
        <f t="shared" ref="G163:G166" si="9">G162</f>
        <v>2nd Floor</v>
      </c>
      <c r="H163" s="97"/>
      <c r="I163" s="43"/>
      <c r="L163" s="138"/>
      <c r="M163" s="138"/>
      <c r="N163" s="43"/>
    </row>
    <row r="164" spans="1:14" s="61" customFormat="1" ht="31.5" x14ac:dyDescent="0.25">
      <c r="A164" s="62">
        <f t="shared" si="7"/>
        <v>3</v>
      </c>
      <c r="B164" s="62" t="s">
        <v>178</v>
      </c>
      <c r="C164" s="62" t="s">
        <v>186</v>
      </c>
      <c r="D164" s="62">
        <f>32.57*10.764</f>
        <v>350.58348000000001</v>
      </c>
      <c r="E164" s="62">
        <v>0</v>
      </c>
      <c r="F164" s="62">
        <f t="shared" si="8"/>
        <v>560.93356800000004</v>
      </c>
      <c r="G164" s="96" t="str">
        <f t="shared" si="9"/>
        <v>2nd Floor</v>
      </c>
      <c r="H164" s="97"/>
      <c r="I164" s="43"/>
      <c r="L164" s="138"/>
      <c r="M164" s="138"/>
      <c r="N164" s="43"/>
    </row>
    <row r="165" spans="1:14" s="61" customFormat="1" ht="31.5" x14ac:dyDescent="0.25">
      <c r="A165" s="62">
        <f t="shared" si="7"/>
        <v>4</v>
      </c>
      <c r="B165" s="62" t="s">
        <v>178</v>
      </c>
      <c r="C165" s="62" t="s">
        <v>186</v>
      </c>
      <c r="D165" s="62">
        <f>25.98*10.764</f>
        <v>279.64871999999997</v>
      </c>
      <c r="E165" s="62">
        <v>0</v>
      </c>
      <c r="F165" s="62">
        <f t="shared" si="8"/>
        <v>447.437952</v>
      </c>
      <c r="G165" s="96" t="str">
        <f t="shared" si="9"/>
        <v>2nd Floor</v>
      </c>
      <c r="H165" s="97"/>
      <c r="I165" s="43"/>
      <c r="L165" s="138"/>
      <c r="M165" s="138"/>
      <c r="N165" s="43"/>
    </row>
    <row r="166" spans="1:14" s="61" customFormat="1" ht="31.5" x14ac:dyDescent="0.25">
      <c r="A166" s="62">
        <v>5</v>
      </c>
      <c r="B166" s="62" t="s">
        <v>178</v>
      </c>
      <c r="C166" s="62" t="s">
        <v>186</v>
      </c>
      <c r="D166" s="62">
        <f>23.34*10.764</f>
        <v>251.23175999999998</v>
      </c>
      <c r="E166" s="62">
        <v>0</v>
      </c>
      <c r="F166" s="62">
        <f t="shared" si="8"/>
        <v>401.97081600000001</v>
      </c>
      <c r="G166" s="96" t="str">
        <f t="shared" si="9"/>
        <v>2nd Floor</v>
      </c>
      <c r="H166" s="97"/>
      <c r="I166" s="43"/>
      <c r="L166" s="138"/>
      <c r="M166" s="138"/>
      <c r="N166" s="43"/>
    </row>
    <row r="167" spans="1:14" s="61" customFormat="1" x14ac:dyDescent="0.25">
      <c r="A167" s="120" t="s">
        <v>188</v>
      </c>
      <c r="B167" s="121"/>
      <c r="C167" s="121"/>
      <c r="D167" s="121"/>
      <c r="E167" s="121"/>
      <c r="F167" s="121"/>
      <c r="G167" s="121"/>
      <c r="H167" s="122"/>
      <c r="J167" s="43"/>
    </row>
    <row r="168" spans="1:14" s="61" customFormat="1" ht="31.5" x14ac:dyDescent="0.25">
      <c r="A168" s="62">
        <v>1</v>
      </c>
      <c r="B168" s="62" t="s">
        <v>178</v>
      </c>
      <c r="C168" s="62" t="s">
        <v>189</v>
      </c>
      <c r="D168" s="62">
        <f>23.91*10.764</f>
        <v>257.36723999999998</v>
      </c>
      <c r="E168" s="62">
        <v>0</v>
      </c>
      <c r="F168" s="62">
        <f>(D168+E168)*(($F$147)+1)</f>
        <v>411.78758399999998</v>
      </c>
      <c r="G168" s="96" t="str">
        <f>A167</f>
        <v>3rd Floor</v>
      </c>
      <c r="H168" s="97"/>
      <c r="I168" s="43"/>
      <c r="L168" s="138"/>
      <c r="M168" s="138"/>
      <c r="N168" s="43"/>
    </row>
    <row r="169" spans="1:14" s="61" customFormat="1" ht="31.5" x14ac:dyDescent="0.25">
      <c r="A169" s="62">
        <f t="shared" ref="A169:A171" si="10">A168+1</f>
        <v>2</v>
      </c>
      <c r="B169" s="62" t="s">
        <v>178</v>
      </c>
      <c r="C169" s="62" t="s">
        <v>189</v>
      </c>
      <c r="D169" s="62">
        <f>23.91*10.764</f>
        <v>257.36723999999998</v>
      </c>
      <c r="E169" s="62">
        <v>0</v>
      </c>
      <c r="F169" s="62">
        <f t="shared" ref="F169:F172" si="11">(D169+E169)*(($F$147)+1)</f>
        <v>411.78758399999998</v>
      </c>
      <c r="G169" s="96" t="str">
        <f t="shared" ref="G169:G172" si="12">G168</f>
        <v>3rd Floor</v>
      </c>
      <c r="H169" s="97"/>
      <c r="I169" s="43"/>
      <c r="L169" s="138"/>
      <c r="M169" s="138"/>
      <c r="N169" s="43"/>
    </row>
    <row r="170" spans="1:14" s="61" customFormat="1" ht="31.5" x14ac:dyDescent="0.25">
      <c r="A170" s="62">
        <f t="shared" si="10"/>
        <v>3</v>
      </c>
      <c r="B170" s="62" t="s">
        <v>178</v>
      </c>
      <c r="C170" s="62" t="s">
        <v>189</v>
      </c>
      <c r="D170" s="62">
        <f>32.57*10.764</f>
        <v>350.58348000000001</v>
      </c>
      <c r="E170" s="62">
        <v>0</v>
      </c>
      <c r="F170" s="62">
        <f t="shared" si="11"/>
        <v>560.93356800000004</v>
      </c>
      <c r="G170" s="96" t="str">
        <f t="shared" si="12"/>
        <v>3rd Floor</v>
      </c>
      <c r="H170" s="97"/>
      <c r="I170" s="43"/>
      <c r="L170" s="138"/>
      <c r="M170" s="138"/>
      <c r="N170" s="43"/>
    </row>
    <row r="171" spans="1:14" s="61" customFormat="1" ht="31.5" x14ac:dyDescent="0.25">
      <c r="A171" s="62">
        <f t="shared" si="10"/>
        <v>4</v>
      </c>
      <c r="B171" s="62" t="s">
        <v>178</v>
      </c>
      <c r="C171" s="62" t="s">
        <v>189</v>
      </c>
      <c r="D171" s="62">
        <f>25.98*10.764</f>
        <v>279.64871999999997</v>
      </c>
      <c r="E171" s="62">
        <v>0</v>
      </c>
      <c r="F171" s="62">
        <f t="shared" si="11"/>
        <v>447.437952</v>
      </c>
      <c r="G171" s="96" t="str">
        <f t="shared" si="12"/>
        <v>3rd Floor</v>
      </c>
      <c r="H171" s="97"/>
      <c r="I171" s="43"/>
      <c r="L171" s="138"/>
      <c r="M171" s="138"/>
      <c r="N171" s="43"/>
    </row>
    <row r="172" spans="1:14" s="61" customFormat="1" ht="31.5" x14ac:dyDescent="0.25">
      <c r="A172" s="62">
        <v>5</v>
      </c>
      <c r="B172" s="62" t="s">
        <v>178</v>
      </c>
      <c r="C172" s="62" t="s">
        <v>189</v>
      </c>
      <c r="D172" s="62">
        <f>23.34*10.764</f>
        <v>251.23175999999998</v>
      </c>
      <c r="E172" s="62">
        <v>0</v>
      </c>
      <c r="F172" s="62">
        <f t="shared" si="11"/>
        <v>401.97081600000001</v>
      </c>
      <c r="G172" s="96" t="str">
        <f t="shared" si="12"/>
        <v>3rd Floor</v>
      </c>
      <c r="H172" s="97"/>
      <c r="I172" s="43"/>
      <c r="L172" s="138"/>
      <c r="M172" s="138"/>
      <c r="N172" s="43"/>
    </row>
    <row r="173" spans="1:14" s="59" customFormat="1" x14ac:dyDescent="0.25">
      <c r="A173" s="120" t="s">
        <v>254</v>
      </c>
      <c r="B173" s="121"/>
      <c r="C173" s="121"/>
      <c r="D173" s="121"/>
      <c r="E173" s="121"/>
      <c r="F173" s="121"/>
      <c r="G173" s="121"/>
      <c r="H173" s="122"/>
      <c r="J173" s="43"/>
    </row>
    <row r="174" spans="1:14" s="59" customFormat="1" ht="31.5" x14ac:dyDescent="0.25">
      <c r="A174" s="58">
        <v>1</v>
      </c>
      <c r="B174" s="58" t="s">
        <v>178</v>
      </c>
      <c r="C174" s="58" t="s">
        <v>186</v>
      </c>
      <c r="D174" s="58">
        <f>23.91*10.764</f>
        <v>257.36723999999998</v>
      </c>
      <c r="E174" s="58">
        <v>0</v>
      </c>
      <c r="F174" s="58">
        <f>(D174+E174)*(($F$147)+1)</f>
        <v>411.78758399999998</v>
      </c>
      <c r="G174" s="96" t="str">
        <f>A173</f>
        <v xml:space="preserve">4th Floor </v>
      </c>
      <c r="H174" s="97"/>
      <c r="I174" s="43"/>
      <c r="L174" s="138"/>
      <c r="M174" s="138"/>
      <c r="N174" s="43"/>
    </row>
    <row r="175" spans="1:14" s="59" customFormat="1" ht="31.5" x14ac:dyDescent="0.25">
      <c r="A175" s="58">
        <f t="shared" ref="A175:A178" si="13">A174+1</f>
        <v>2</v>
      </c>
      <c r="B175" s="58" t="s">
        <v>178</v>
      </c>
      <c r="C175" s="58" t="s">
        <v>186</v>
      </c>
      <c r="D175" s="58">
        <f>23.91*10.764</f>
        <v>257.36723999999998</v>
      </c>
      <c r="E175" s="58">
        <v>0</v>
      </c>
      <c r="F175" s="58">
        <f t="shared" ref="F175:F177" si="14">(D175+E175)*(($F$147)+1)</f>
        <v>411.78758399999998</v>
      </c>
      <c r="G175" s="96" t="str">
        <f t="shared" ref="G175:G178" si="15">G174</f>
        <v xml:space="preserve">4th Floor </v>
      </c>
      <c r="H175" s="97"/>
      <c r="I175" s="43"/>
      <c r="L175" s="138"/>
      <c r="M175" s="138"/>
      <c r="N175" s="43"/>
    </row>
    <row r="176" spans="1:14" s="59" customFormat="1" ht="31.5" x14ac:dyDescent="0.25">
      <c r="A176" s="58">
        <f t="shared" si="13"/>
        <v>3</v>
      </c>
      <c r="B176" s="58" t="s">
        <v>178</v>
      </c>
      <c r="C176" s="58" t="s">
        <v>186</v>
      </c>
      <c r="D176" s="58">
        <f>32.57*10.764</f>
        <v>350.58348000000001</v>
      </c>
      <c r="E176" s="58">
        <v>0</v>
      </c>
      <c r="F176" s="58">
        <f t="shared" si="14"/>
        <v>560.93356800000004</v>
      </c>
      <c r="G176" s="96" t="str">
        <f t="shared" si="15"/>
        <v xml:space="preserve">4th Floor </v>
      </c>
      <c r="H176" s="97"/>
      <c r="I176" s="43"/>
      <c r="L176" s="138"/>
      <c r="M176" s="138"/>
      <c r="N176" s="43"/>
    </row>
    <row r="177" spans="1:14" s="59" customFormat="1" ht="31.5" x14ac:dyDescent="0.25">
      <c r="A177" s="58">
        <f t="shared" si="13"/>
        <v>4</v>
      </c>
      <c r="B177" s="58" t="s">
        <v>178</v>
      </c>
      <c r="C177" s="58" t="s">
        <v>186</v>
      </c>
      <c r="D177" s="58">
        <f>25.98*10.764</f>
        <v>279.64871999999997</v>
      </c>
      <c r="E177" s="58">
        <v>0</v>
      </c>
      <c r="F177" s="58">
        <f t="shared" si="14"/>
        <v>447.437952</v>
      </c>
      <c r="G177" s="96" t="str">
        <f t="shared" si="15"/>
        <v xml:space="preserve">4th Floor </v>
      </c>
      <c r="H177" s="97"/>
      <c r="I177" s="43"/>
      <c r="L177" s="138"/>
      <c r="M177" s="138"/>
      <c r="N177" s="43"/>
    </row>
    <row r="178" spans="1:14" s="59" customFormat="1" ht="31.5" x14ac:dyDescent="0.25">
      <c r="A178" s="58">
        <f t="shared" si="13"/>
        <v>5</v>
      </c>
      <c r="B178" s="58" t="s">
        <v>178</v>
      </c>
      <c r="C178" s="58" t="s">
        <v>186</v>
      </c>
      <c r="D178" s="58">
        <f>23.34*10.764</f>
        <v>251.23175999999998</v>
      </c>
      <c r="E178" s="58">
        <v>0</v>
      </c>
      <c r="F178" s="58">
        <f t="shared" ref="F178" si="16">(D178+E178)*(($F$147)+1)</f>
        <v>401.97081600000001</v>
      </c>
      <c r="G178" s="96" t="str">
        <f t="shared" si="15"/>
        <v xml:space="preserve">4th Floor </v>
      </c>
      <c r="H178" s="97"/>
      <c r="I178" s="43"/>
      <c r="L178" s="138"/>
      <c r="M178" s="138"/>
      <c r="N178" s="43"/>
    </row>
    <row r="179" spans="1:14" s="61" customFormat="1" x14ac:dyDescent="0.25">
      <c r="A179" s="120" t="s">
        <v>255</v>
      </c>
      <c r="B179" s="121"/>
      <c r="C179" s="121"/>
      <c r="D179" s="121"/>
      <c r="E179" s="121"/>
      <c r="F179" s="121"/>
      <c r="G179" s="121"/>
      <c r="H179" s="122"/>
      <c r="J179" s="43"/>
    </row>
    <row r="180" spans="1:14" s="61" customFormat="1" ht="31.5" x14ac:dyDescent="0.25">
      <c r="A180" s="62">
        <v>1</v>
      </c>
      <c r="B180" s="62" t="s">
        <v>178</v>
      </c>
      <c r="C180" s="62" t="s">
        <v>186</v>
      </c>
      <c r="D180" s="62">
        <f>23.91*10.764</f>
        <v>257.36723999999998</v>
      </c>
      <c r="E180" s="62">
        <v>0</v>
      </c>
      <c r="F180" s="62">
        <f>(D180+E180)*(($F$147)+1)</f>
        <v>411.78758399999998</v>
      </c>
      <c r="G180" s="96" t="str">
        <f>A179</f>
        <v xml:space="preserve">5th Floor </v>
      </c>
      <c r="H180" s="97"/>
      <c r="I180" s="43"/>
      <c r="L180" s="138"/>
      <c r="M180" s="138"/>
      <c r="N180" s="43"/>
    </row>
    <row r="181" spans="1:14" s="61" customFormat="1" ht="31.5" x14ac:dyDescent="0.25">
      <c r="A181" s="62">
        <f t="shared" ref="A181:A184" si="17">A180+1</f>
        <v>2</v>
      </c>
      <c r="B181" s="62" t="s">
        <v>178</v>
      </c>
      <c r="C181" s="62" t="s">
        <v>186</v>
      </c>
      <c r="D181" s="62">
        <f>23.91*10.764</f>
        <v>257.36723999999998</v>
      </c>
      <c r="E181" s="62">
        <v>0</v>
      </c>
      <c r="F181" s="62">
        <f t="shared" ref="F181:F184" si="18">(D181+E181)*(($F$147)+1)</f>
        <v>411.78758399999998</v>
      </c>
      <c r="G181" s="96" t="str">
        <f t="shared" ref="G181:G184" si="19">G180</f>
        <v xml:space="preserve">5th Floor </v>
      </c>
      <c r="H181" s="97"/>
      <c r="I181" s="43"/>
      <c r="L181" s="138"/>
      <c r="M181" s="138"/>
      <c r="N181" s="43"/>
    </row>
    <row r="182" spans="1:14" s="61" customFormat="1" ht="31.5" x14ac:dyDescent="0.25">
      <c r="A182" s="62">
        <f t="shared" si="17"/>
        <v>3</v>
      </c>
      <c r="B182" s="62" t="s">
        <v>178</v>
      </c>
      <c r="C182" s="62" t="s">
        <v>186</v>
      </c>
      <c r="D182" s="62">
        <f>32.57*10.764</f>
        <v>350.58348000000001</v>
      </c>
      <c r="E182" s="62">
        <v>0</v>
      </c>
      <c r="F182" s="62">
        <f t="shared" si="18"/>
        <v>560.93356800000004</v>
      </c>
      <c r="G182" s="96" t="str">
        <f t="shared" si="19"/>
        <v xml:space="preserve">5th Floor </v>
      </c>
      <c r="H182" s="97"/>
      <c r="I182" s="43"/>
      <c r="L182" s="138"/>
      <c r="M182" s="138"/>
      <c r="N182" s="43"/>
    </row>
    <row r="183" spans="1:14" s="61" customFormat="1" ht="31.5" x14ac:dyDescent="0.25">
      <c r="A183" s="62">
        <f t="shared" si="17"/>
        <v>4</v>
      </c>
      <c r="B183" s="62" t="s">
        <v>178</v>
      </c>
      <c r="C183" s="62" t="s">
        <v>186</v>
      </c>
      <c r="D183" s="62">
        <f>25.98*10.764</f>
        <v>279.64871999999997</v>
      </c>
      <c r="E183" s="62">
        <v>0</v>
      </c>
      <c r="F183" s="62">
        <f t="shared" si="18"/>
        <v>447.437952</v>
      </c>
      <c r="G183" s="96" t="str">
        <f t="shared" si="19"/>
        <v xml:space="preserve">5th Floor </v>
      </c>
      <c r="H183" s="97"/>
      <c r="I183" s="43"/>
      <c r="L183" s="138"/>
      <c r="M183" s="138"/>
      <c r="N183" s="43"/>
    </row>
    <row r="184" spans="1:14" s="61" customFormat="1" ht="31.5" x14ac:dyDescent="0.25">
      <c r="A184" s="62">
        <f t="shared" si="17"/>
        <v>5</v>
      </c>
      <c r="B184" s="62" t="s">
        <v>178</v>
      </c>
      <c r="C184" s="62" t="s">
        <v>186</v>
      </c>
      <c r="D184" s="62">
        <f>23.34*10.764</f>
        <v>251.23175999999998</v>
      </c>
      <c r="E184" s="62">
        <v>0</v>
      </c>
      <c r="F184" s="62">
        <f t="shared" si="18"/>
        <v>401.97081600000001</v>
      </c>
      <c r="G184" s="96" t="str">
        <f t="shared" si="19"/>
        <v xml:space="preserve">5th Floor </v>
      </c>
      <c r="H184" s="97"/>
      <c r="I184" s="43"/>
      <c r="L184" s="138"/>
      <c r="M184" s="138"/>
      <c r="N184" s="43"/>
    </row>
    <row r="185" spans="1:14" s="61" customFormat="1" x14ac:dyDescent="0.25">
      <c r="A185" s="120" t="s">
        <v>200</v>
      </c>
      <c r="B185" s="121"/>
      <c r="C185" s="121"/>
      <c r="D185" s="121"/>
      <c r="E185" s="121"/>
      <c r="F185" s="121"/>
      <c r="G185" s="121"/>
      <c r="H185" s="122"/>
      <c r="J185" s="43"/>
    </row>
    <row r="186" spans="1:14" s="61" customFormat="1" ht="31.5" x14ac:dyDescent="0.25">
      <c r="A186" s="62">
        <v>1</v>
      </c>
      <c r="B186" s="62" t="s">
        <v>178</v>
      </c>
      <c r="C186" s="62" t="s">
        <v>186</v>
      </c>
      <c r="D186" s="62">
        <f>23.91*10.764</f>
        <v>257.36723999999998</v>
      </c>
      <c r="E186" s="62">
        <v>0</v>
      </c>
      <c r="F186" s="62">
        <f>(D186+E186)*(($F$147)+1)</f>
        <v>411.78758399999998</v>
      </c>
      <c r="G186" s="96" t="str">
        <f>A185</f>
        <v>6th Floor For Commercial</v>
      </c>
      <c r="H186" s="97"/>
      <c r="I186" s="43"/>
      <c r="L186" s="138"/>
      <c r="M186" s="138"/>
      <c r="N186" s="43"/>
    </row>
    <row r="187" spans="1:14" s="61" customFormat="1" ht="31.5" x14ac:dyDescent="0.25">
      <c r="A187" s="62">
        <f t="shared" ref="A187:A190" si="20">A186+1</f>
        <v>2</v>
      </c>
      <c r="B187" s="62" t="s">
        <v>178</v>
      </c>
      <c r="C187" s="62" t="s">
        <v>186</v>
      </c>
      <c r="D187" s="62">
        <f>23.91*10.764</f>
        <v>257.36723999999998</v>
      </c>
      <c r="E187" s="62">
        <v>0</v>
      </c>
      <c r="F187" s="62">
        <f t="shared" ref="F187:F190" si="21">(D187+E187)*(($F$147)+1)</f>
        <v>411.78758399999998</v>
      </c>
      <c r="G187" s="96" t="str">
        <f t="shared" ref="G187:G190" si="22">G186</f>
        <v>6th Floor For Commercial</v>
      </c>
      <c r="H187" s="97"/>
      <c r="I187" s="43"/>
      <c r="L187" s="138"/>
      <c r="M187" s="138"/>
      <c r="N187" s="43"/>
    </row>
    <row r="188" spans="1:14" s="61" customFormat="1" ht="31.5" x14ac:dyDescent="0.25">
      <c r="A188" s="62">
        <f t="shared" si="20"/>
        <v>3</v>
      </c>
      <c r="B188" s="62" t="s">
        <v>178</v>
      </c>
      <c r="C188" s="62" t="s">
        <v>186</v>
      </c>
      <c r="D188" s="62">
        <f>32.57*10.764</f>
        <v>350.58348000000001</v>
      </c>
      <c r="E188" s="62">
        <v>0</v>
      </c>
      <c r="F188" s="62">
        <f t="shared" si="21"/>
        <v>560.93356800000004</v>
      </c>
      <c r="G188" s="96" t="str">
        <f t="shared" si="22"/>
        <v>6th Floor For Commercial</v>
      </c>
      <c r="H188" s="97"/>
      <c r="I188" s="43"/>
      <c r="L188" s="138"/>
      <c r="M188" s="138"/>
      <c r="N188" s="43"/>
    </row>
    <row r="189" spans="1:14" s="61" customFormat="1" ht="31.5" x14ac:dyDescent="0.25">
      <c r="A189" s="62">
        <f t="shared" si="20"/>
        <v>4</v>
      </c>
      <c r="B189" s="62" t="s">
        <v>178</v>
      </c>
      <c r="C189" s="62" t="s">
        <v>186</v>
      </c>
      <c r="D189" s="62">
        <f>25.98*10.764</f>
        <v>279.64871999999997</v>
      </c>
      <c r="E189" s="62">
        <v>0</v>
      </c>
      <c r="F189" s="62">
        <f t="shared" si="21"/>
        <v>447.437952</v>
      </c>
      <c r="G189" s="96" t="str">
        <f t="shared" si="22"/>
        <v>6th Floor For Commercial</v>
      </c>
      <c r="H189" s="97"/>
      <c r="I189" s="43"/>
      <c r="L189" s="138"/>
      <c r="M189" s="138"/>
      <c r="N189" s="43"/>
    </row>
    <row r="190" spans="1:14" s="61" customFormat="1" ht="31.5" x14ac:dyDescent="0.25">
      <c r="A190" s="62">
        <f t="shared" si="20"/>
        <v>5</v>
      </c>
      <c r="B190" s="62" t="s">
        <v>178</v>
      </c>
      <c r="C190" s="62" t="s">
        <v>186</v>
      </c>
      <c r="D190" s="62">
        <f>23.34*10.764</f>
        <v>251.23175999999998</v>
      </c>
      <c r="E190" s="62">
        <v>0</v>
      </c>
      <c r="F190" s="62">
        <f t="shared" si="21"/>
        <v>401.97081600000001</v>
      </c>
      <c r="G190" s="96" t="str">
        <f t="shared" si="22"/>
        <v>6th Floor For Commercial</v>
      </c>
      <c r="H190" s="97"/>
      <c r="I190" s="43"/>
      <c r="L190" s="138"/>
      <c r="M190" s="138"/>
      <c r="N190" s="43"/>
    </row>
    <row r="191" spans="1:14" s="61" customFormat="1" x14ac:dyDescent="0.25">
      <c r="A191" s="120" t="s">
        <v>201</v>
      </c>
      <c r="B191" s="121"/>
      <c r="C191" s="121"/>
      <c r="D191" s="121"/>
      <c r="E191" s="121"/>
      <c r="F191" s="121"/>
      <c r="G191" s="121"/>
      <c r="H191" s="122"/>
      <c r="J191" s="43"/>
    </row>
    <row r="192" spans="1:14" s="61" customFormat="1" ht="31.5" x14ac:dyDescent="0.25">
      <c r="A192" s="62">
        <v>1</v>
      </c>
      <c r="B192" s="62" t="s">
        <v>178</v>
      </c>
      <c r="C192" s="62" t="s">
        <v>186</v>
      </c>
      <c r="D192" s="62">
        <f>23.91*10.764</f>
        <v>257.36723999999998</v>
      </c>
      <c r="E192" s="62">
        <v>0</v>
      </c>
      <c r="F192" s="62">
        <f>(D192+E192)*(($F$147)+1)</f>
        <v>411.78758399999998</v>
      </c>
      <c r="G192" s="96" t="str">
        <f>A191</f>
        <v>7th Floor For Commercial (Part Refuge Area)</v>
      </c>
      <c r="H192" s="97"/>
      <c r="I192" s="43"/>
      <c r="L192" s="138"/>
      <c r="M192" s="138"/>
      <c r="N192" s="43"/>
    </row>
    <row r="193" spans="1:14" s="61" customFormat="1" ht="31.5" x14ac:dyDescent="0.25">
      <c r="A193" s="62">
        <f t="shared" ref="A193:A196" si="23">A192+1</f>
        <v>2</v>
      </c>
      <c r="B193" s="62" t="s">
        <v>178</v>
      </c>
      <c r="C193" s="62" t="s">
        <v>186</v>
      </c>
      <c r="D193" s="62">
        <f>23.91*10.764</f>
        <v>257.36723999999998</v>
      </c>
      <c r="E193" s="62">
        <v>0</v>
      </c>
      <c r="F193" s="62">
        <f t="shared" ref="F193" si="24">(D193+E193)*(($F$147)+1)</f>
        <v>411.78758399999998</v>
      </c>
      <c r="G193" s="96" t="str">
        <f t="shared" ref="G193:G196" si="25">G192</f>
        <v>7th Floor For Commercial (Part Refuge Area)</v>
      </c>
      <c r="H193" s="97"/>
      <c r="I193" s="43"/>
      <c r="L193" s="138"/>
      <c r="M193" s="138"/>
      <c r="N193" s="43"/>
    </row>
    <row r="194" spans="1:14" s="61" customFormat="1" x14ac:dyDescent="0.25">
      <c r="A194" s="62">
        <f t="shared" si="23"/>
        <v>3</v>
      </c>
      <c r="B194" s="62" t="s">
        <v>195</v>
      </c>
      <c r="C194" s="96" t="s">
        <v>196</v>
      </c>
      <c r="D194" s="129"/>
      <c r="E194" s="129"/>
      <c r="F194" s="97"/>
      <c r="G194" s="96" t="str">
        <f t="shared" si="25"/>
        <v>7th Floor For Commercial (Part Refuge Area)</v>
      </c>
      <c r="H194" s="97"/>
      <c r="I194" s="43"/>
      <c r="L194" s="138"/>
      <c r="M194" s="138"/>
      <c r="N194" s="43"/>
    </row>
    <row r="195" spans="1:14" s="61" customFormat="1" ht="31.5" x14ac:dyDescent="0.25">
      <c r="A195" s="62">
        <f t="shared" si="23"/>
        <v>4</v>
      </c>
      <c r="B195" s="62" t="s">
        <v>178</v>
      </c>
      <c r="C195" s="62" t="s">
        <v>186</v>
      </c>
      <c r="D195" s="62">
        <f>22.21*10.764</f>
        <v>239.06843999999998</v>
      </c>
      <c r="E195" s="62">
        <v>0</v>
      </c>
      <c r="F195" s="62">
        <f t="shared" ref="F195:F196" si="26">(D195+E195)*(($F$147)+1)</f>
        <v>382.50950399999999</v>
      </c>
      <c r="G195" s="96" t="str">
        <f t="shared" si="25"/>
        <v>7th Floor For Commercial (Part Refuge Area)</v>
      </c>
      <c r="H195" s="97"/>
      <c r="I195" s="43"/>
      <c r="L195" s="138"/>
      <c r="M195" s="138"/>
      <c r="N195" s="43"/>
    </row>
    <row r="196" spans="1:14" s="61" customFormat="1" ht="31.5" x14ac:dyDescent="0.25">
      <c r="A196" s="62">
        <f t="shared" si="23"/>
        <v>5</v>
      </c>
      <c r="B196" s="62" t="s">
        <v>178</v>
      </c>
      <c r="C196" s="62" t="s">
        <v>186</v>
      </c>
      <c r="D196" s="62">
        <f>23.34*10.764</f>
        <v>251.23175999999998</v>
      </c>
      <c r="E196" s="62">
        <v>0</v>
      </c>
      <c r="F196" s="62">
        <f t="shared" si="26"/>
        <v>401.97081600000001</v>
      </c>
      <c r="G196" s="96" t="str">
        <f t="shared" si="25"/>
        <v>7th Floor For Commercial (Part Refuge Area)</v>
      </c>
      <c r="H196" s="97"/>
      <c r="I196" s="43"/>
      <c r="L196" s="138"/>
      <c r="M196" s="138"/>
      <c r="N196" s="43"/>
    </row>
    <row r="197" spans="1:14" s="61" customFormat="1" x14ac:dyDescent="0.25">
      <c r="A197" s="120" t="s">
        <v>202</v>
      </c>
      <c r="B197" s="121"/>
      <c r="C197" s="121"/>
      <c r="D197" s="121"/>
      <c r="E197" s="121"/>
      <c r="F197" s="121"/>
      <c r="G197" s="121"/>
      <c r="H197" s="122"/>
      <c r="J197" s="43"/>
    </row>
    <row r="198" spans="1:14" s="61" customFormat="1" ht="31.5" x14ac:dyDescent="0.25">
      <c r="A198" s="62">
        <v>1</v>
      </c>
      <c r="B198" s="62" t="s">
        <v>178</v>
      </c>
      <c r="C198" s="62" t="s">
        <v>186</v>
      </c>
      <c r="D198" s="62">
        <f>23.91*10.764</f>
        <v>257.36723999999998</v>
      </c>
      <c r="E198" s="62">
        <v>0</v>
      </c>
      <c r="F198" s="62">
        <f>(D198+E198)*(($F$147)+1)</f>
        <v>411.78758399999998</v>
      </c>
      <c r="G198" s="96" t="str">
        <f>A197</f>
        <v>8th Floor For Commercial</v>
      </c>
      <c r="H198" s="97"/>
      <c r="I198" s="43"/>
      <c r="L198" s="138"/>
      <c r="M198" s="138"/>
      <c r="N198" s="43"/>
    </row>
    <row r="199" spans="1:14" s="61" customFormat="1" ht="31.5" x14ac:dyDescent="0.25">
      <c r="A199" s="62">
        <f t="shared" ref="A199:A202" si="27">A198+1</f>
        <v>2</v>
      </c>
      <c r="B199" s="62" t="s">
        <v>178</v>
      </c>
      <c r="C199" s="62" t="s">
        <v>186</v>
      </c>
      <c r="D199" s="62">
        <f>23.91*10.764</f>
        <v>257.36723999999998</v>
      </c>
      <c r="E199" s="62">
        <v>0</v>
      </c>
      <c r="F199" s="62">
        <f t="shared" ref="F199:F202" si="28">(D199+E199)*(($F$147)+1)</f>
        <v>411.78758399999998</v>
      </c>
      <c r="G199" s="96" t="str">
        <f t="shared" ref="G199:G202" si="29">G198</f>
        <v>8th Floor For Commercial</v>
      </c>
      <c r="H199" s="97"/>
      <c r="I199" s="43"/>
      <c r="L199" s="138"/>
      <c r="M199" s="138"/>
      <c r="N199" s="43"/>
    </row>
    <row r="200" spans="1:14" s="61" customFormat="1" ht="31.5" x14ac:dyDescent="0.25">
      <c r="A200" s="62">
        <f t="shared" si="27"/>
        <v>3</v>
      </c>
      <c r="B200" s="62" t="s">
        <v>178</v>
      </c>
      <c r="C200" s="62" t="s">
        <v>186</v>
      </c>
      <c r="D200" s="62">
        <f>32.57*10.764</f>
        <v>350.58348000000001</v>
      </c>
      <c r="E200" s="62">
        <v>0</v>
      </c>
      <c r="F200" s="62">
        <f t="shared" si="28"/>
        <v>560.93356800000004</v>
      </c>
      <c r="G200" s="96" t="str">
        <f t="shared" si="29"/>
        <v>8th Floor For Commercial</v>
      </c>
      <c r="H200" s="97"/>
      <c r="I200" s="43"/>
      <c r="L200" s="138"/>
      <c r="M200" s="138"/>
      <c r="N200" s="43"/>
    </row>
    <row r="201" spans="1:14" s="61" customFormat="1" ht="31.5" x14ac:dyDescent="0.25">
      <c r="A201" s="62">
        <f t="shared" si="27"/>
        <v>4</v>
      </c>
      <c r="B201" s="62" t="s">
        <v>178</v>
      </c>
      <c r="C201" s="62" t="s">
        <v>186</v>
      </c>
      <c r="D201" s="62">
        <f>25.98*10.764</f>
        <v>279.64871999999997</v>
      </c>
      <c r="E201" s="62">
        <v>0</v>
      </c>
      <c r="F201" s="62">
        <f t="shared" si="28"/>
        <v>447.437952</v>
      </c>
      <c r="G201" s="96" t="str">
        <f t="shared" si="29"/>
        <v>8th Floor For Commercial</v>
      </c>
      <c r="H201" s="97"/>
      <c r="I201" s="43"/>
      <c r="L201" s="138"/>
      <c r="M201" s="138"/>
      <c r="N201" s="43"/>
    </row>
    <row r="202" spans="1:14" s="61" customFormat="1" ht="31.5" x14ac:dyDescent="0.25">
      <c r="A202" s="62">
        <f t="shared" si="27"/>
        <v>5</v>
      </c>
      <c r="B202" s="62" t="s">
        <v>178</v>
      </c>
      <c r="C202" s="62" t="s">
        <v>186</v>
      </c>
      <c r="D202" s="62">
        <f>23.34*10.764</f>
        <v>251.23175999999998</v>
      </c>
      <c r="E202" s="62">
        <v>0</v>
      </c>
      <c r="F202" s="62">
        <f t="shared" si="28"/>
        <v>401.97081600000001</v>
      </c>
      <c r="G202" s="96" t="str">
        <f t="shared" si="29"/>
        <v>8th Floor For Commercial</v>
      </c>
      <c r="H202" s="97"/>
      <c r="I202" s="43"/>
      <c r="L202" s="138"/>
      <c r="M202" s="138"/>
      <c r="N202" s="43"/>
    </row>
    <row r="203" spans="1:14" s="61" customFormat="1" x14ac:dyDescent="0.25">
      <c r="A203" s="120" t="s">
        <v>203</v>
      </c>
      <c r="B203" s="121"/>
      <c r="C203" s="121"/>
      <c r="D203" s="121"/>
      <c r="E203" s="121"/>
      <c r="F203" s="121"/>
      <c r="G203" s="121"/>
      <c r="H203" s="122"/>
      <c r="J203" s="43"/>
    </row>
    <row r="204" spans="1:14" s="61" customFormat="1" ht="31.5" x14ac:dyDescent="0.25">
      <c r="A204" s="62">
        <v>1</v>
      </c>
      <c r="B204" s="62" t="s">
        <v>178</v>
      </c>
      <c r="C204" s="62" t="s">
        <v>186</v>
      </c>
      <c r="D204" s="62">
        <f>23.91*10.764</f>
        <v>257.36723999999998</v>
      </c>
      <c r="E204" s="62">
        <v>0</v>
      </c>
      <c r="F204" s="62">
        <f>(D204+E204)*(($F$147)+1)</f>
        <v>411.78758399999998</v>
      </c>
      <c r="G204" s="96" t="str">
        <f>A203</f>
        <v>9th Floor For Commercial</v>
      </c>
      <c r="H204" s="97"/>
      <c r="I204" s="43"/>
      <c r="L204" s="138"/>
      <c r="M204" s="138"/>
      <c r="N204" s="43"/>
    </row>
    <row r="205" spans="1:14" s="61" customFormat="1" ht="31.5" x14ac:dyDescent="0.25">
      <c r="A205" s="62">
        <f t="shared" ref="A205:A208" si="30">A204+1</f>
        <v>2</v>
      </c>
      <c r="B205" s="62" t="s">
        <v>178</v>
      </c>
      <c r="C205" s="62" t="s">
        <v>186</v>
      </c>
      <c r="D205" s="62">
        <f>23.91*10.764</f>
        <v>257.36723999999998</v>
      </c>
      <c r="E205" s="62">
        <v>0</v>
      </c>
      <c r="F205" s="62">
        <f t="shared" ref="F205:F208" si="31">(D205+E205)*(($F$147)+1)</f>
        <v>411.78758399999998</v>
      </c>
      <c r="G205" s="96" t="str">
        <f t="shared" ref="G205:G208" si="32">G204</f>
        <v>9th Floor For Commercial</v>
      </c>
      <c r="H205" s="97"/>
      <c r="I205" s="43"/>
      <c r="L205" s="138"/>
      <c r="M205" s="138"/>
      <c r="N205" s="43"/>
    </row>
    <row r="206" spans="1:14" s="61" customFormat="1" ht="31.5" x14ac:dyDescent="0.25">
      <c r="A206" s="62">
        <f t="shared" si="30"/>
        <v>3</v>
      </c>
      <c r="B206" s="62" t="s">
        <v>178</v>
      </c>
      <c r="C206" s="62" t="s">
        <v>186</v>
      </c>
      <c r="D206" s="62">
        <f>32.57*10.764</f>
        <v>350.58348000000001</v>
      </c>
      <c r="E206" s="62">
        <v>0</v>
      </c>
      <c r="F206" s="62">
        <f t="shared" si="31"/>
        <v>560.93356800000004</v>
      </c>
      <c r="G206" s="96" t="str">
        <f t="shared" si="32"/>
        <v>9th Floor For Commercial</v>
      </c>
      <c r="H206" s="97"/>
      <c r="I206" s="43"/>
      <c r="L206" s="138"/>
      <c r="M206" s="138"/>
      <c r="N206" s="43"/>
    </row>
    <row r="207" spans="1:14" s="61" customFormat="1" ht="31.5" x14ac:dyDescent="0.25">
      <c r="A207" s="62">
        <f t="shared" si="30"/>
        <v>4</v>
      </c>
      <c r="B207" s="62" t="s">
        <v>178</v>
      </c>
      <c r="C207" s="62" t="s">
        <v>186</v>
      </c>
      <c r="D207" s="62">
        <f>25.98*10.764</f>
        <v>279.64871999999997</v>
      </c>
      <c r="E207" s="62">
        <v>0</v>
      </c>
      <c r="F207" s="62">
        <f t="shared" si="31"/>
        <v>447.437952</v>
      </c>
      <c r="G207" s="96" t="str">
        <f t="shared" si="32"/>
        <v>9th Floor For Commercial</v>
      </c>
      <c r="H207" s="97"/>
      <c r="I207" s="43"/>
      <c r="L207" s="138"/>
      <c r="M207" s="138"/>
      <c r="N207" s="43"/>
    </row>
    <row r="208" spans="1:14" s="61" customFormat="1" ht="31.5" x14ac:dyDescent="0.25">
      <c r="A208" s="62">
        <f t="shared" si="30"/>
        <v>5</v>
      </c>
      <c r="B208" s="62" t="s">
        <v>178</v>
      </c>
      <c r="C208" s="62" t="s">
        <v>186</v>
      </c>
      <c r="D208" s="62">
        <f>23.34*10.764</f>
        <v>251.23175999999998</v>
      </c>
      <c r="E208" s="62">
        <v>0</v>
      </c>
      <c r="F208" s="62">
        <f t="shared" si="31"/>
        <v>401.97081600000001</v>
      </c>
      <c r="G208" s="96" t="str">
        <f t="shared" si="32"/>
        <v>9th Floor For Commercial</v>
      </c>
      <c r="H208" s="97"/>
      <c r="I208" s="43"/>
      <c r="L208" s="138"/>
      <c r="M208" s="138"/>
      <c r="N208" s="43"/>
    </row>
    <row r="209" spans="1:14" s="57" customFormat="1" ht="18.75" x14ac:dyDescent="0.25">
      <c r="A209" s="139" t="s">
        <v>175</v>
      </c>
      <c r="B209" s="140"/>
      <c r="C209" s="140"/>
      <c r="D209" s="140"/>
      <c r="E209" s="140"/>
      <c r="F209" s="140"/>
      <c r="G209" s="140"/>
      <c r="H209" s="141"/>
      <c r="J209" s="43"/>
    </row>
    <row r="210" spans="1:14" s="55" customFormat="1" x14ac:dyDescent="0.25">
      <c r="A210" s="120" t="s">
        <v>251</v>
      </c>
      <c r="B210" s="121"/>
      <c r="C210" s="121"/>
      <c r="D210" s="121"/>
      <c r="E210" s="121"/>
      <c r="F210" s="121"/>
      <c r="G210" s="121"/>
      <c r="H210" s="122"/>
      <c r="J210" s="43"/>
    </row>
    <row r="211" spans="1:14" s="70" customFormat="1" x14ac:dyDescent="0.25">
      <c r="A211" s="64">
        <v>4</v>
      </c>
      <c r="B211" s="64" t="s">
        <v>178</v>
      </c>
      <c r="C211" s="64" t="s">
        <v>179</v>
      </c>
      <c r="D211" s="64">
        <f>6.84*10.764</f>
        <v>73.62576</v>
      </c>
      <c r="E211" s="64">
        <v>0</v>
      </c>
      <c r="F211" s="64">
        <f t="shared" ref="F211" si="33">(D211+E211)*(($F$147)+1)</f>
        <v>117.80121600000001</v>
      </c>
      <c r="G211" s="96" t="str">
        <f>A210</f>
        <v>Ground Floor for Commercial &amp; Parking</v>
      </c>
      <c r="H211" s="97"/>
      <c r="I211" s="43"/>
      <c r="L211" s="138"/>
      <c r="M211" s="138"/>
      <c r="N211" s="43"/>
    </row>
    <row r="212" spans="1:14" s="57" customFormat="1" ht="47.25" x14ac:dyDescent="0.25">
      <c r="A212" s="56">
        <v>5</v>
      </c>
      <c r="B212" s="56" t="s">
        <v>180</v>
      </c>
      <c r="C212" s="56" t="s">
        <v>181</v>
      </c>
      <c r="D212" s="56">
        <f>26.27*10.764</f>
        <v>282.77027999999996</v>
      </c>
      <c r="E212" s="56">
        <v>0</v>
      </c>
      <c r="F212" s="56">
        <f>(D212+E212)*(($F$147)+1)</f>
        <v>452.43244799999997</v>
      </c>
      <c r="G212" s="96" t="str">
        <f>A210</f>
        <v>Ground Floor for Commercial &amp; Parking</v>
      </c>
      <c r="H212" s="97"/>
      <c r="I212" s="43"/>
      <c r="L212" s="138"/>
      <c r="M212" s="138"/>
      <c r="N212" s="43"/>
    </row>
    <row r="213" spans="1:14" s="57" customFormat="1" ht="47.25" x14ac:dyDescent="0.25">
      <c r="A213" s="56">
        <v>6</v>
      </c>
      <c r="B213" s="56" t="s">
        <v>180</v>
      </c>
      <c r="C213" s="56" t="s">
        <v>181</v>
      </c>
      <c r="D213" s="56">
        <f>43.08*10.764</f>
        <v>463.71311999999995</v>
      </c>
      <c r="E213" s="56">
        <v>0</v>
      </c>
      <c r="F213" s="56">
        <f t="shared" ref="F213:F215" si="34">(D213+E213)*(($F$147)+1)</f>
        <v>741.94099199999994</v>
      </c>
      <c r="G213" s="96" t="str">
        <f t="shared" ref="G213:G225" si="35">G212</f>
        <v>Ground Floor for Commercial &amp; Parking</v>
      </c>
      <c r="H213" s="97"/>
      <c r="I213" s="43"/>
      <c r="L213" s="138"/>
      <c r="M213" s="138"/>
      <c r="N213" s="43"/>
    </row>
    <row r="214" spans="1:14" s="57" customFormat="1" x14ac:dyDescent="0.25">
      <c r="A214" s="56">
        <f t="shared" ref="A214:A225" si="36">A213+1</f>
        <v>7</v>
      </c>
      <c r="B214" s="56" t="s">
        <v>180</v>
      </c>
      <c r="C214" s="56" t="s">
        <v>182</v>
      </c>
      <c r="D214" s="56">
        <f>46.9*10.764</f>
        <v>504.83159999999998</v>
      </c>
      <c r="E214" s="56">
        <v>0</v>
      </c>
      <c r="F214" s="56">
        <f t="shared" si="34"/>
        <v>807.73055999999997</v>
      </c>
      <c r="G214" s="96" t="str">
        <f t="shared" si="35"/>
        <v>Ground Floor for Commercial &amp; Parking</v>
      </c>
      <c r="H214" s="97"/>
      <c r="I214" s="43"/>
      <c r="L214" s="138"/>
      <c r="M214" s="138"/>
      <c r="N214" s="43"/>
    </row>
    <row r="215" spans="1:14" s="57" customFormat="1" ht="47.25" x14ac:dyDescent="0.25">
      <c r="A215" s="56">
        <f t="shared" si="36"/>
        <v>8</v>
      </c>
      <c r="B215" s="56" t="s">
        <v>180</v>
      </c>
      <c r="C215" s="56" t="s">
        <v>181</v>
      </c>
      <c r="D215" s="56">
        <f>21.57*10.764</f>
        <v>232.17947999999998</v>
      </c>
      <c r="E215" s="56">
        <v>0</v>
      </c>
      <c r="F215" s="56">
        <f t="shared" si="34"/>
        <v>371.487168</v>
      </c>
      <c r="G215" s="96" t="str">
        <f t="shared" si="35"/>
        <v>Ground Floor for Commercial &amp; Parking</v>
      </c>
      <c r="H215" s="97"/>
      <c r="I215" s="43"/>
      <c r="L215" s="138"/>
      <c r="M215" s="138"/>
      <c r="N215" s="43"/>
    </row>
    <row r="216" spans="1:14" s="57" customFormat="1" ht="47.25" x14ac:dyDescent="0.25">
      <c r="A216" s="56">
        <f t="shared" si="36"/>
        <v>9</v>
      </c>
      <c r="B216" s="56" t="s">
        <v>180</v>
      </c>
      <c r="C216" s="74" t="s">
        <v>181</v>
      </c>
      <c r="D216" s="74">
        <f>47.51*10.764</f>
        <v>511.39763999999997</v>
      </c>
      <c r="E216" s="56">
        <v>0</v>
      </c>
      <c r="F216" s="56">
        <f t="shared" ref="F216" si="37">(D216+E216)*(($F$147)+1)</f>
        <v>818.23622399999999</v>
      </c>
      <c r="G216" s="96" t="str">
        <f t="shared" si="35"/>
        <v>Ground Floor for Commercial &amp; Parking</v>
      </c>
      <c r="H216" s="97"/>
      <c r="I216" s="43"/>
      <c r="L216" s="138"/>
      <c r="M216" s="138"/>
      <c r="N216" s="43"/>
    </row>
    <row r="217" spans="1:14" s="57" customFormat="1" x14ac:dyDescent="0.25">
      <c r="A217" s="56">
        <f t="shared" si="36"/>
        <v>10</v>
      </c>
      <c r="B217" s="56" t="s">
        <v>180</v>
      </c>
      <c r="C217" s="74" t="s">
        <v>182</v>
      </c>
      <c r="D217" s="74">
        <f>41.55*10.764</f>
        <v>447.24419999999992</v>
      </c>
      <c r="E217" s="56">
        <v>0</v>
      </c>
      <c r="F217" s="56">
        <f t="shared" ref="F217:F221" si="38">(D217+E217)*(($F$147)+1)</f>
        <v>715.59071999999992</v>
      </c>
      <c r="G217" s="96" t="str">
        <f t="shared" si="35"/>
        <v>Ground Floor for Commercial &amp; Parking</v>
      </c>
      <c r="H217" s="97"/>
      <c r="I217" s="43"/>
      <c r="L217" s="138"/>
      <c r="M217" s="138"/>
      <c r="N217" s="43"/>
    </row>
    <row r="218" spans="1:14" s="57" customFormat="1" ht="47.25" x14ac:dyDescent="0.25">
      <c r="A218" s="56">
        <v>17</v>
      </c>
      <c r="B218" s="56" t="s">
        <v>180</v>
      </c>
      <c r="C218" s="74" t="s">
        <v>181</v>
      </c>
      <c r="D218" s="74">
        <f>60.41*10.764</f>
        <v>650.25323999999989</v>
      </c>
      <c r="E218" s="56">
        <v>0</v>
      </c>
      <c r="F218" s="56">
        <f t="shared" si="38"/>
        <v>1040.405184</v>
      </c>
      <c r="G218" s="96" t="str">
        <f t="shared" si="35"/>
        <v>Ground Floor for Commercial &amp; Parking</v>
      </c>
      <c r="H218" s="97"/>
      <c r="I218" s="43"/>
      <c r="L218" s="138"/>
      <c r="M218" s="138"/>
      <c r="N218" s="43"/>
    </row>
    <row r="219" spans="1:14" s="57" customFormat="1" x14ac:dyDescent="0.25">
      <c r="A219" s="56">
        <f t="shared" si="36"/>
        <v>18</v>
      </c>
      <c r="B219" s="56" t="s">
        <v>180</v>
      </c>
      <c r="C219" s="56" t="s">
        <v>182</v>
      </c>
      <c r="D219" s="56">
        <f>46.65*10.764</f>
        <v>502.14059999999995</v>
      </c>
      <c r="E219" s="56">
        <v>0</v>
      </c>
      <c r="F219" s="56">
        <f t="shared" si="38"/>
        <v>803.42495999999994</v>
      </c>
      <c r="G219" s="96" t="str">
        <f t="shared" si="35"/>
        <v>Ground Floor for Commercial &amp; Parking</v>
      </c>
      <c r="H219" s="97"/>
      <c r="I219" s="43"/>
      <c r="L219" s="138"/>
      <c r="M219" s="138"/>
      <c r="N219" s="43"/>
    </row>
    <row r="220" spans="1:14" s="57" customFormat="1" x14ac:dyDescent="0.25">
      <c r="A220" s="56">
        <f t="shared" si="36"/>
        <v>19</v>
      </c>
      <c r="B220" s="56" t="s">
        <v>180</v>
      </c>
      <c r="C220" s="56" t="s">
        <v>179</v>
      </c>
      <c r="D220" s="56">
        <f>15.63*10.764</f>
        <v>168.24132</v>
      </c>
      <c r="E220" s="56">
        <v>0</v>
      </c>
      <c r="F220" s="56">
        <f t="shared" si="38"/>
        <v>269.18611200000004</v>
      </c>
      <c r="G220" s="96" t="str">
        <f t="shared" si="35"/>
        <v>Ground Floor for Commercial &amp; Parking</v>
      </c>
      <c r="H220" s="97"/>
      <c r="I220" s="43"/>
      <c r="L220" s="138"/>
      <c r="M220" s="138"/>
      <c r="N220" s="43"/>
    </row>
    <row r="221" spans="1:14" s="57" customFormat="1" x14ac:dyDescent="0.25">
      <c r="A221" s="56">
        <f t="shared" si="36"/>
        <v>20</v>
      </c>
      <c r="B221" s="56" t="s">
        <v>180</v>
      </c>
      <c r="C221" s="56" t="s">
        <v>179</v>
      </c>
      <c r="D221" s="56">
        <f>46.69*10.764</f>
        <v>502.57115999999996</v>
      </c>
      <c r="E221" s="56">
        <v>0</v>
      </c>
      <c r="F221" s="56">
        <f t="shared" si="38"/>
        <v>804.11385599999994</v>
      </c>
      <c r="G221" s="96" t="str">
        <f t="shared" si="35"/>
        <v>Ground Floor for Commercial &amp; Parking</v>
      </c>
      <c r="H221" s="97"/>
      <c r="I221" s="43"/>
      <c r="L221" s="138"/>
      <c r="M221" s="138"/>
      <c r="N221" s="43"/>
    </row>
    <row r="222" spans="1:14" s="57" customFormat="1" ht="47.25" x14ac:dyDescent="0.25">
      <c r="A222" s="56">
        <f t="shared" si="36"/>
        <v>21</v>
      </c>
      <c r="B222" s="56" t="s">
        <v>180</v>
      </c>
      <c r="C222" s="56" t="s">
        <v>181</v>
      </c>
      <c r="D222" s="56">
        <f>47.43*10.764</f>
        <v>510.53651999999994</v>
      </c>
      <c r="E222" s="56">
        <v>0</v>
      </c>
      <c r="F222" s="56">
        <f t="shared" ref="F222:F223" si="39">(D222+E222)*(($F$147)+1)</f>
        <v>816.85843199999999</v>
      </c>
      <c r="G222" s="96" t="str">
        <f t="shared" si="35"/>
        <v>Ground Floor for Commercial &amp; Parking</v>
      </c>
      <c r="H222" s="97"/>
      <c r="I222" s="43"/>
      <c r="L222" s="138"/>
      <c r="M222" s="138"/>
      <c r="N222" s="43"/>
    </row>
    <row r="223" spans="1:14" s="57" customFormat="1" ht="47.25" x14ac:dyDescent="0.25">
      <c r="A223" s="56">
        <v>22</v>
      </c>
      <c r="B223" s="56" t="s">
        <v>180</v>
      </c>
      <c r="C223" s="56" t="s">
        <v>181</v>
      </c>
      <c r="D223" s="56">
        <f>47.48*10.764</f>
        <v>511.07471999999996</v>
      </c>
      <c r="E223" s="56">
        <v>0</v>
      </c>
      <c r="F223" s="56">
        <f t="shared" si="39"/>
        <v>817.71955200000002</v>
      </c>
      <c r="G223" s="96" t="str">
        <f t="shared" si="35"/>
        <v>Ground Floor for Commercial &amp; Parking</v>
      </c>
      <c r="H223" s="97"/>
      <c r="I223" s="43"/>
      <c r="L223" s="138"/>
      <c r="M223" s="138"/>
      <c r="N223" s="43"/>
    </row>
    <row r="224" spans="1:14" s="57" customFormat="1" x14ac:dyDescent="0.25">
      <c r="A224" s="56">
        <f t="shared" si="36"/>
        <v>23</v>
      </c>
      <c r="B224" s="56" t="s">
        <v>180</v>
      </c>
      <c r="C224" s="56" t="s">
        <v>182</v>
      </c>
      <c r="D224" s="56">
        <f>10.5*10.764</f>
        <v>113.02199999999999</v>
      </c>
      <c r="E224" s="56">
        <v>0</v>
      </c>
      <c r="F224" s="56">
        <f t="shared" ref="F224" si="40">(D224+E224)*(($F$147)+1)</f>
        <v>180.83519999999999</v>
      </c>
      <c r="G224" s="96" t="str">
        <f t="shared" si="35"/>
        <v>Ground Floor for Commercial &amp; Parking</v>
      </c>
      <c r="H224" s="97"/>
      <c r="I224" s="43"/>
      <c r="L224" s="138"/>
      <c r="M224" s="138"/>
      <c r="N224" s="43"/>
    </row>
    <row r="225" spans="1:14" s="57" customFormat="1" x14ac:dyDescent="0.25">
      <c r="A225" s="56">
        <f t="shared" si="36"/>
        <v>24</v>
      </c>
      <c r="B225" s="56" t="s">
        <v>180</v>
      </c>
      <c r="C225" s="56" t="s">
        <v>182</v>
      </c>
      <c r="D225" s="56">
        <f>0.33*10.764</f>
        <v>3.5521199999999999</v>
      </c>
      <c r="E225" s="56">
        <v>0</v>
      </c>
      <c r="F225" s="56">
        <f t="shared" ref="F225" si="41">(D225+E225)*(($F$147)+1)</f>
        <v>5.6833920000000004</v>
      </c>
      <c r="G225" s="96" t="str">
        <f t="shared" si="35"/>
        <v>Ground Floor for Commercial &amp; Parking</v>
      </c>
      <c r="H225" s="97"/>
      <c r="I225" s="43"/>
      <c r="L225" s="138"/>
      <c r="M225" s="138"/>
      <c r="N225" s="43"/>
    </row>
    <row r="226" spans="1:14" s="57" customFormat="1" x14ac:dyDescent="0.25">
      <c r="A226" s="120" t="s">
        <v>183</v>
      </c>
      <c r="B226" s="121"/>
      <c r="C226" s="121"/>
      <c r="D226" s="121"/>
      <c r="E226" s="121"/>
      <c r="F226" s="121"/>
      <c r="G226" s="121"/>
      <c r="H226" s="122"/>
      <c r="J226" s="43"/>
    </row>
    <row r="227" spans="1:14" s="57" customFormat="1" x14ac:dyDescent="0.25">
      <c r="A227" s="56">
        <v>5</v>
      </c>
      <c r="B227" s="56" t="s">
        <v>180</v>
      </c>
      <c r="C227" s="96" t="s">
        <v>184</v>
      </c>
      <c r="D227" s="129"/>
      <c r="E227" s="129"/>
      <c r="F227" s="97"/>
      <c r="G227" s="96" t="str">
        <f>A226</f>
        <v>1st Floor</v>
      </c>
      <c r="H227" s="97"/>
      <c r="I227" s="43"/>
      <c r="L227" s="138"/>
      <c r="M227" s="138"/>
      <c r="N227" s="43"/>
    </row>
    <row r="228" spans="1:14" s="57" customFormat="1" x14ac:dyDescent="0.25">
      <c r="A228" s="56">
        <f>A227+1</f>
        <v>6</v>
      </c>
      <c r="B228" s="56" t="s">
        <v>180</v>
      </c>
      <c r="C228" s="96" t="s">
        <v>184</v>
      </c>
      <c r="D228" s="129"/>
      <c r="E228" s="129"/>
      <c r="F228" s="97"/>
      <c r="G228" s="96" t="str">
        <f>G227</f>
        <v>1st Floor</v>
      </c>
      <c r="H228" s="97"/>
      <c r="I228" s="43"/>
      <c r="L228" s="138"/>
      <c r="M228" s="138"/>
      <c r="N228" s="43"/>
    </row>
    <row r="229" spans="1:14" s="57" customFormat="1" x14ac:dyDescent="0.25">
      <c r="A229" s="56">
        <v>27</v>
      </c>
      <c r="B229" s="56" t="s">
        <v>180</v>
      </c>
      <c r="C229" s="56" t="s">
        <v>179</v>
      </c>
      <c r="D229" s="56">
        <f>37.72*10.764</f>
        <v>406.01807999999994</v>
      </c>
      <c r="E229" s="56">
        <v>0</v>
      </c>
      <c r="F229" s="56">
        <f>(D229+E229)*(($F$147)+1)</f>
        <v>649.62892799999997</v>
      </c>
      <c r="G229" s="96" t="str">
        <f>A226</f>
        <v>1st Floor</v>
      </c>
      <c r="H229" s="97"/>
      <c r="I229" s="43"/>
      <c r="L229" s="138"/>
      <c r="M229" s="138"/>
      <c r="N229" s="43"/>
    </row>
    <row r="230" spans="1:14" s="57" customFormat="1" x14ac:dyDescent="0.25">
      <c r="A230" s="56">
        <v>8</v>
      </c>
      <c r="B230" s="56" t="s">
        <v>180</v>
      </c>
      <c r="C230" s="96" t="s">
        <v>184</v>
      </c>
      <c r="D230" s="129"/>
      <c r="E230" s="129"/>
      <c r="F230" s="97"/>
      <c r="G230" s="96" t="str">
        <f>G228</f>
        <v>1st Floor</v>
      </c>
      <c r="H230" s="97"/>
      <c r="I230" s="43"/>
      <c r="L230" s="138"/>
      <c r="M230" s="138"/>
      <c r="N230" s="43"/>
    </row>
    <row r="231" spans="1:14" s="57" customFormat="1" x14ac:dyDescent="0.25">
      <c r="A231" s="56">
        <f>A230+1</f>
        <v>9</v>
      </c>
      <c r="B231" s="56" t="s">
        <v>180</v>
      </c>
      <c r="C231" s="96" t="s">
        <v>184</v>
      </c>
      <c r="D231" s="129"/>
      <c r="E231" s="129"/>
      <c r="F231" s="97"/>
      <c r="G231" s="96" t="str">
        <f>G230</f>
        <v>1st Floor</v>
      </c>
      <c r="H231" s="97"/>
      <c r="I231" s="43"/>
      <c r="L231" s="138"/>
      <c r="M231" s="138"/>
      <c r="N231" s="43"/>
    </row>
    <row r="232" spans="1:14" s="57" customFormat="1" x14ac:dyDescent="0.25">
      <c r="A232" s="56">
        <f>A235+1</f>
        <v>29</v>
      </c>
      <c r="B232" s="56" t="s">
        <v>180</v>
      </c>
      <c r="C232" s="56" t="s">
        <v>179</v>
      </c>
      <c r="D232" s="56">
        <f>46.13*10.764</f>
        <v>496.54331999999999</v>
      </c>
      <c r="E232" s="56">
        <v>0</v>
      </c>
      <c r="F232" s="56">
        <f>(D232+E232)*(($F$147)+1)</f>
        <v>794.46931200000006</v>
      </c>
      <c r="G232" s="96" t="str">
        <f>G235</f>
        <v>1st Floor</v>
      </c>
      <c r="H232" s="97"/>
      <c r="I232" s="43"/>
      <c r="L232" s="138"/>
      <c r="M232" s="138"/>
      <c r="N232" s="43"/>
    </row>
    <row r="233" spans="1:14" s="57" customFormat="1" x14ac:dyDescent="0.25">
      <c r="A233" s="56">
        <v>17</v>
      </c>
      <c r="B233" s="56" t="s">
        <v>180</v>
      </c>
      <c r="C233" s="96" t="s">
        <v>184</v>
      </c>
      <c r="D233" s="129"/>
      <c r="E233" s="129"/>
      <c r="F233" s="97"/>
      <c r="G233" s="96" t="str">
        <f>G231</f>
        <v>1st Floor</v>
      </c>
      <c r="H233" s="97"/>
      <c r="I233" s="43"/>
      <c r="L233" s="138"/>
      <c r="M233" s="138"/>
      <c r="N233" s="43"/>
    </row>
    <row r="234" spans="1:14" s="57" customFormat="1" x14ac:dyDescent="0.25">
      <c r="A234" s="56">
        <f>A232+1</f>
        <v>30</v>
      </c>
      <c r="B234" s="56" t="s">
        <v>180</v>
      </c>
      <c r="C234" s="56" t="s">
        <v>179</v>
      </c>
      <c r="D234" s="56">
        <f>40.28*10.764</f>
        <v>433.57391999999999</v>
      </c>
      <c r="E234" s="56">
        <v>0</v>
      </c>
      <c r="F234" s="56">
        <f>(D234+E234)*(($F$147)+1)</f>
        <v>693.71827200000007</v>
      </c>
      <c r="G234" s="96" t="str">
        <f>G232</f>
        <v>1st Floor</v>
      </c>
      <c r="H234" s="97"/>
      <c r="I234" s="43"/>
      <c r="L234" s="138"/>
      <c r="M234" s="138"/>
      <c r="N234" s="43"/>
    </row>
    <row r="235" spans="1:14" s="57" customFormat="1" x14ac:dyDescent="0.25">
      <c r="A235" s="56">
        <f>A229+1</f>
        <v>28</v>
      </c>
      <c r="B235" s="56" t="s">
        <v>180</v>
      </c>
      <c r="C235" s="56" t="s">
        <v>182</v>
      </c>
      <c r="D235" s="56">
        <f>46.63*10.764</f>
        <v>501.92532</v>
      </c>
      <c r="E235" s="56">
        <v>0</v>
      </c>
      <c r="F235" s="56">
        <f>(D235+E235)*(($F$147)+1)</f>
        <v>803.080512</v>
      </c>
      <c r="G235" s="96" t="str">
        <f>G229</f>
        <v>1st Floor</v>
      </c>
      <c r="H235" s="97"/>
      <c r="I235" s="43"/>
      <c r="L235" s="138"/>
      <c r="M235" s="138"/>
      <c r="N235" s="43"/>
    </row>
    <row r="236" spans="1:14" s="57" customFormat="1" x14ac:dyDescent="0.25">
      <c r="A236" s="56">
        <v>21</v>
      </c>
      <c r="B236" s="56" t="s">
        <v>180</v>
      </c>
      <c r="C236" s="96" t="s">
        <v>184</v>
      </c>
      <c r="D236" s="129"/>
      <c r="E236" s="129"/>
      <c r="F236" s="97"/>
      <c r="G236" s="96" t="str">
        <f>G233</f>
        <v>1st Floor</v>
      </c>
      <c r="H236" s="97"/>
      <c r="I236" s="43"/>
      <c r="L236" s="138"/>
      <c r="M236" s="138"/>
      <c r="N236" s="43"/>
    </row>
    <row r="237" spans="1:14" s="57" customFormat="1" x14ac:dyDescent="0.25">
      <c r="A237" s="56">
        <f>A236+1</f>
        <v>22</v>
      </c>
      <c r="B237" s="56" t="s">
        <v>180</v>
      </c>
      <c r="C237" s="96" t="s">
        <v>184</v>
      </c>
      <c r="D237" s="129"/>
      <c r="E237" s="129"/>
      <c r="F237" s="97"/>
      <c r="G237" s="96" t="str">
        <f>G236</f>
        <v>1st Floor</v>
      </c>
      <c r="H237" s="97"/>
      <c r="I237" s="43"/>
      <c r="L237" s="138"/>
      <c r="M237" s="138"/>
      <c r="N237" s="43"/>
    </row>
    <row r="238" spans="1:14" s="57" customFormat="1" x14ac:dyDescent="0.25">
      <c r="A238" s="120" t="s">
        <v>117</v>
      </c>
      <c r="B238" s="121"/>
      <c r="C238" s="121"/>
      <c r="D238" s="121"/>
      <c r="E238" s="121"/>
      <c r="F238" s="121"/>
      <c r="G238" s="121"/>
      <c r="H238" s="122"/>
      <c r="J238" s="43"/>
    </row>
    <row r="239" spans="1:14" s="57" customFormat="1" x14ac:dyDescent="0.25">
      <c r="A239" s="56">
        <v>1</v>
      </c>
      <c r="B239" s="56" t="s">
        <v>178</v>
      </c>
      <c r="C239" s="74" t="s">
        <v>187</v>
      </c>
      <c r="D239" s="74">
        <f>(434.05)*10.764</f>
        <v>4672.1142</v>
      </c>
      <c r="E239" s="56">
        <v>0</v>
      </c>
      <c r="F239" s="56">
        <f>(D239+E239)*(($F$147)+1)</f>
        <v>7475.3827200000005</v>
      </c>
      <c r="G239" s="96" t="str">
        <f>A238</f>
        <v>2nd Floor</v>
      </c>
      <c r="H239" s="97"/>
      <c r="I239" s="144" t="s">
        <v>257</v>
      </c>
      <c r="J239" s="145"/>
      <c r="L239" s="138"/>
      <c r="M239" s="138"/>
      <c r="N239" s="43"/>
    </row>
    <row r="240" spans="1:14" s="59" customFormat="1" x14ac:dyDescent="0.25">
      <c r="A240" s="120" t="s">
        <v>188</v>
      </c>
      <c r="B240" s="121"/>
      <c r="C240" s="121"/>
      <c r="D240" s="121"/>
      <c r="E240" s="121"/>
      <c r="F240" s="121"/>
      <c r="G240" s="121"/>
      <c r="H240" s="122"/>
      <c r="J240" s="43"/>
    </row>
    <row r="241" spans="1:14" s="59" customFormat="1" ht="31.5" x14ac:dyDescent="0.25">
      <c r="A241" s="58">
        <v>1</v>
      </c>
      <c r="B241" s="58" t="s">
        <v>178</v>
      </c>
      <c r="C241" s="58" t="s">
        <v>189</v>
      </c>
      <c r="D241" s="58">
        <f>(35.16)*10.764</f>
        <v>378.46223999999995</v>
      </c>
      <c r="E241" s="58">
        <v>0</v>
      </c>
      <c r="F241" s="58">
        <f>(D241+E241)*(($F$147)+1)</f>
        <v>605.53958399999999</v>
      </c>
      <c r="G241" s="96" t="str">
        <f>A240</f>
        <v>3rd Floor</v>
      </c>
      <c r="H241" s="97"/>
      <c r="I241" s="43"/>
      <c r="L241" s="138"/>
      <c r="M241" s="138"/>
      <c r="N241" s="43"/>
    </row>
    <row r="242" spans="1:14" s="59" customFormat="1" ht="31.5" x14ac:dyDescent="0.25">
      <c r="A242" s="58">
        <f t="shared" ref="A242" si="42">A241+1</f>
        <v>2</v>
      </c>
      <c r="B242" s="58" t="s">
        <v>178</v>
      </c>
      <c r="C242" s="58" t="s">
        <v>189</v>
      </c>
      <c r="D242" s="58">
        <f>(38.61)*10.764</f>
        <v>415.59803999999997</v>
      </c>
      <c r="E242" s="58">
        <v>0</v>
      </c>
      <c r="F242" s="58">
        <f t="shared" ref="F242:F243" si="43">(D242+E242)*(($F$147)+1)</f>
        <v>664.956864</v>
      </c>
      <c r="G242" s="96" t="str">
        <f t="shared" ref="G242:G246" si="44">G241</f>
        <v>3rd Floor</v>
      </c>
      <c r="H242" s="97"/>
      <c r="I242" s="43"/>
      <c r="L242" s="138"/>
      <c r="M242" s="138"/>
      <c r="N242" s="43"/>
    </row>
    <row r="243" spans="1:14" s="59" customFormat="1" ht="31.5" x14ac:dyDescent="0.25">
      <c r="A243" s="58">
        <v>3</v>
      </c>
      <c r="B243" s="58" t="s">
        <v>178</v>
      </c>
      <c r="C243" s="58" t="s">
        <v>189</v>
      </c>
      <c r="D243" s="58">
        <f>(46.7)*10.764</f>
        <v>502.67880000000002</v>
      </c>
      <c r="E243" s="58">
        <v>0</v>
      </c>
      <c r="F243" s="58">
        <f t="shared" si="43"/>
        <v>804.28608000000008</v>
      </c>
      <c r="G243" s="96" t="str">
        <f t="shared" si="44"/>
        <v>3rd Floor</v>
      </c>
      <c r="H243" s="97"/>
      <c r="I243" s="43"/>
      <c r="L243" s="138"/>
      <c r="M243" s="138"/>
      <c r="N243" s="43"/>
    </row>
    <row r="244" spans="1:14" s="59" customFormat="1" ht="31.5" x14ac:dyDescent="0.25">
      <c r="A244" s="58">
        <v>4</v>
      </c>
      <c r="B244" s="58" t="s">
        <v>178</v>
      </c>
      <c r="C244" s="58" t="s">
        <v>189</v>
      </c>
      <c r="D244" s="58">
        <f>49.38*10.764</f>
        <v>531.52631999999994</v>
      </c>
      <c r="E244" s="58">
        <v>0</v>
      </c>
      <c r="F244" s="58">
        <f>(D244+E244)*(($F$147)+1)</f>
        <v>850.44211199999995</v>
      </c>
      <c r="G244" s="96" t="str">
        <f>G242</f>
        <v>3rd Floor</v>
      </c>
      <c r="H244" s="97"/>
      <c r="I244" s="43"/>
      <c r="L244" s="138"/>
      <c r="M244" s="138"/>
      <c r="N244" s="43"/>
    </row>
    <row r="245" spans="1:14" s="59" customFormat="1" x14ac:dyDescent="0.25">
      <c r="A245" s="58">
        <v>34</v>
      </c>
      <c r="B245" s="58" t="s">
        <v>180</v>
      </c>
      <c r="C245" s="58" t="s">
        <v>179</v>
      </c>
      <c r="D245" s="58">
        <f>(48.16)*10.764</f>
        <v>518.39423999999997</v>
      </c>
      <c r="E245" s="58">
        <v>0</v>
      </c>
      <c r="F245" s="58">
        <f t="shared" ref="F245:F247" si="45">(D245+E245)*(($F$147)+1)</f>
        <v>829.43078400000002</v>
      </c>
      <c r="G245" s="96" t="str">
        <f t="shared" si="44"/>
        <v>3rd Floor</v>
      </c>
      <c r="H245" s="97"/>
      <c r="I245" s="43"/>
      <c r="L245" s="138"/>
      <c r="M245" s="138"/>
      <c r="N245" s="43"/>
    </row>
    <row r="246" spans="1:14" s="70" customFormat="1" x14ac:dyDescent="0.25">
      <c r="A246" s="64">
        <v>35</v>
      </c>
      <c r="B246" s="64" t="s">
        <v>180</v>
      </c>
      <c r="C246" s="64" t="s">
        <v>179</v>
      </c>
      <c r="D246" s="64">
        <f>(4.73)*10.764</f>
        <v>50.913720000000005</v>
      </c>
      <c r="E246" s="64">
        <v>0</v>
      </c>
      <c r="F246" s="64">
        <f t="shared" ref="F246" si="46">(D246+E246)*(($F$147)+1)</f>
        <v>81.461952000000011</v>
      </c>
      <c r="G246" s="96" t="str">
        <f t="shared" si="44"/>
        <v>3rd Floor</v>
      </c>
      <c r="H246" s="97"/>
      <c r="I246" s="43"/>
      <c r="L246" s="138"/>
      <c r="M246" s="138"/>
      <c r="N246" s="43"/>
    </row>
    <row r="247" spans="1:14" s="59" customFormat="1" ht="31.5" x14ac:dyDescent="0.25">
      <c r="A247" s="58">
        <v>5</v>
      </c>
      <c r="B247" s="58" t="s">
        <v>178</v>
      </c>
      <c r="C247" s="58" t="s">
        <v>189</v>
      </c>
      <c r="D247" s="58">
        <f>(49.16)*10.764</f>
        <v>529.15823999999998</v>
      </c>
      <c r="E247" s="58">
        <v>0</v>
      </c>
      <c r="F247" s="58">
        <f t="shared" si="45"/>
        <v>846.65318400000001</v>
      </c>
      <c r="G247" s="96" t="str">
        <f>G245</f>
        <v>3rd Floor</v>
      </c>
      <c r="H247" s="97"/>
      <c r="I247" s="43"/>
      <c r="L247" s="138"/>
      <c r="M247" s="138"/>
      <c r="N247" s="43"/>
    </row>
    <row r="248" spans="1:14" s="59" customFormat="1" ht="31.5" x14ac:dyDescent="0.25">
      <c r="A248" s="58">
        <v>6</v>
      </c>
      <c r="B248" s="58" t="s">
        <v>178</v>
      </c>
      <c r="C248" s="58" t="s">
        <v>189</v>
      </c>
      <c r="D248" s="58">
        <f>(48.19)*10.764</f>
        <v>518.71715999999992</v>
      </c>
      <c r="E248" s="58">
        <v>0</v>
      </c>
      <c r="F248" s="58">
        <f>(D248+E248)*(($F$147)+1)</f>
        <v>829.94745599999987</v>
      </c>
      <c r="G248" s="96" t="str">
        <f>G245</f>
        <v>3rd Floor</v>
      </c>
      <c r="H248" s="97"/>
      <c r="I248" s="43"/>
      <c r="L248" s="138"/>
      <c r="M248" s="138"/>
      <c r="N248" s="43"/>
    </row>
    <row r="249" spans="1:14" s="59" customFormat="1" ht="31.5" x14ac:dyDescent="0.25">
      <c r="A249" s="58">
        <v>7</v>
      </c>
      <c r="B249" s="58" t="s">
        <v>178</v>
      </c>
      <c r="C249" s="64" t="s">
        <v>189</v>
      </c>
      <c r="D249" s="58">
        <f>(45.33)*10.764</f>
        <v>487.93211999999994</v>
      </c>
      <c r="E249" s="58">
        <v>0</v>
      </c>
      <c r="F249" s="58">
        <f>(D249+E249)*(($F$147)+1)</f>
        <v>780.69139199999995</v>
      </c>
      <c r="G249" s="96" t="str">
        <f>G270</f>
        <v>3rd Floor</v>
      </c>
      <c r="H249" s="97"/>
      <c r="I249" s="43"/>
      <c r="L249" s="138"/>
      <c r="M249" s="138"/>
      <c r="N249" s="43"/>
    </row>
    <row r="250" spans="1:14" s="61" customFormat="1" x14ac:dyDescent="0.25">
      <c r="A250" s="120" t="s">
        <v>204</v>
      </c>
      <c r="B250" s="121"/>
      <c r="C250" s="121"/>
      <c r="D250" s="121"/>
      <c r="E250" s="121"/>
      <c r="F250" s="121"/>
      <c r="G250" s="121"/>
      <c r="H250" s="122"/>
      <c r="J250" s="43"/>
    </row>
    <row r="251" spans="1:14" s="59" customFormat="1" ht="15.75" customHeight="1" x14ac:dyDescent="0.25">
      <c r="A251" s="120" t="s">
        <v>206</v>
      </c>
      <c r="B251" s="121"/>
      <c r="C251" s="121"/>
      <c r="D251" s="121"/>
      <c r="E251" s="121"/>
      <c r="F251" s="121"/>
      <c r="G251" s="121"/>
      <c r="H251" s="122"/>
      <c r="J251" s="43"/>
    </row>
    <row r="252" spans="1:14" s="59" customFormat="1" ht="18.75" x14ac:dyDescent="0.25">
      <c r="A252" s="139" t="s">
        <v>176</v>
      </c>
      <c r="B252" s="140"/>
      <c r="C252" s="140"/>
      <c r="D252" s="140"/>
      <c r="E252" s="140"/>
      <c r="F252" s="140"/>
      <c r="G252" s="140"/>
      <c r="H252" s="141"/>
      <c r="J252" s="43"/>
    </row>
    <row r="253" spans="1:14" s="57" customFormat="1" x14ac:dyDescent="0.25">
      <c r="A253" s="120" t="s">
        <v>251</v>
      </c>
      <c r="B253" s="121"/>
      <c r="C253" s="121"/>
      <c r="D253" s="121"/>
      <c r="E253" s="121"/>
      <c r="F253" s="121"/>
      <c r="G253" s="121"/>
      <c r="H253" s="122"/>
      <c r="J253" s="43"/>
    </row>
    <row r="254" spans="1:14" s="57" customFormat="1" ht="47.25" x14ac:dyDescent="0.25">
      <c r="A254" s="56">
        <v>11</v>
      </c>
      <c r="B254" s="56" t="s">
        <v>180</v>
      </c>
      <c r="C254" s="56" t="s">
        <v>181</v>
      </c>
      <c r="D254" s="56">
        <f>42.04*10.764</f>
        <v>452.51855999999998</v>
      </c>
      <c r="E254" s="56">
        <v>0</v>
      </c>
      <c r="F254" s="56">
        <f>(D254+E254)*(($F$147)+1)</f>
        <v>724.02969600000006</v>
      </c>
      <c r="G254" s="96" t="str">
        <f>A253</f>
        <v>Ground Floor for Commercial &amp; Parking</v>
      </c>
      <c r="H254" s="97"/>
      <c r="J254" s="43"/>
    </row>
    <row r="255" spans="1:14" s="57" customFormat="1" x14ac:dyDescent="0.25">
      <c r="A255" s="56">
        <f t="shared" ref="A255:A259" si="47">A254+1</f>
        <v>12</v>
      </c>
      <c r="B255" s="56" t="s">
        <v>180</v>
      </c>
      <c r="C255" s="56" t="s">
        <v>182</v>
      </c>
      <c r="D255" s="56">
        <f>39.27*10.764</f>
        <v>422.70228000000003</v>
      </c>
      <c r="E255" s="56">
        <v>0</v>
      </c>
      <c r="F255" s="56">
        <f t="shared" ref="F255:F257" si="48">(D255+E255)*(($F$147)+1)</f>
        <v>676.32364800000005</v>
      </c>
      <c r="G255" s="96" t="str">
        <f t="shared" ref="G255:G259" si="49">G254</f>
        <v>Ground Floor for Commercial &amp; Parking</v>
      </c>
      <c r="H255" s="97"/>
      <c r="I255" s="43"/>
      <c r="L255" s="138"/>
      <c r="M255" s="138"/>
      <c r="N255" s="43"/>
    </row>
    <row r="256" spans="1:14" s="57" customFormat="1" ht="47.25" x14ac:dyDescent="0.25">
      <c r="A256" s="56">
        <f t="shared" si="47"/>
        <v>13</v>
      </c>
      <c r="B256" s="56" t="s">
        <v>180</v>
      </c>
      <c r="C256" s="56" t="s">
        <v>181</v>
      </c>
      <c r="D256" s="56">
        <f>47.1*10.764</f>
        <v>506.98439999999999</v>
      </c>
      <c r="E256" s="56">
        <v>0</v>
      </c>
      <c r="F256" s="56">
        <f t="shared" si="48"/>
        <v>811.17504000000008</v>
      </c>
      <c r="G256" s="96" t="str">
        <f t="shared" si="49"/>
        <v>Ground Floor for Commercial &amp; Parking</v>
      </c>
      <c r="H256" s="97"/>
      <c r="I256" s="43"/>
      <c r="L256" s="138"/>
      <c r="M256" s="138"/>
      <c r="N256" s="43"/>
    </row>
    <row r="257" spans="1:14" s="57" customFormat="1" ht="47.25" x14ac:dyDescent="0.25">
      <c r="A257" s="56">
        <f t="shared" si="47"/>
        <v>14</v>
      </c>
      <c r="B257" s="56" t="s">
        <v>180</v>
      </c>
      <c r="C257" s="56" t="s">
        <v>181</v>
      </c>
      <c r="D257" s="56">
        <f>46.42*10.764</f>
        <v>499.66487999999998</v>
      </c>
      <c r="E257" s="56">
        <v>0</v>
      </c>
      <c r="F257" s="56">
        <f t="shared" si="48"/>
        <v>799.46380799999997</v>
      </c>
      <c r="G257" s="96" t="str">
        <f t="shared" si="49"/>
        <v>Ground Floor for Commercial &amp; Parking</v>
      </c>
      <c r="H257" s="97"/>
      <c r="I257" s="43"/>
      <c r="L257" s="138"/>
      <c r="M257" s="138"/>
      <c r="N257" s="43"/>
    </row>
    <row r="258" spans="1:14" s="57" customFormat="1" ht="47.25" x14ac:dyDescent="0.25">
      <c r="A258" s="56">
        <f t="shared" si="47"/>
        <v>15</v>
      </c>
      <c r="B258" s="56" t="s">
        <v>180</v>
      </c>
      <c r="C258" s="56" t="s">
        <v>181</v>
      </c>
      <c r="D258" s="56">
        <f>(47.47)*10.764</f>
        <v>510.96707999999995</v>
      </c>
      <c r="E258" s="56">
        <v>0</v>
      </c>
      <c r="F258" s="56">
        <f t="shared" ref="F258:F259" si="50">(D258+E258)*(($F$147)+1)</f>
        <v>817.54732799999999</v>
      </c>
      <c r="G258" s="96" t="str">
        <f t="shared" si="49"/>
        <v>Ground Floor for Commercial &amp; Parking</v>
      </c>
      <c r="H258" s="97"/>
      <c r="I258" s="43"/>
      <c r="L258" s="138"/>
      <c r="M258" s="138"/>
      <c r="N258" s="43"/>
    </row>
    <row r="259" spans="1:14" s="57" customFormat="1" x14ac:dyDescent="0.25">
      <c r="A259" s="56">
        <f t="shared" si="47"/>
        <v>16</v>
      </c>
      <c r="B259" s="56" t="s">
        <v>180</v>
      </c>
      <c r="C259" s="56" t="s">
        <v>182</v>
      </c>
      <c r="D259" s="56">
        <f>6.14*10.764</f>
        <v>66.090959999999995</v>
      </c>
      <c r="E259" s="56">
        <v>0</v>
      </c>
      <c r="F259" s="56">
        <f t="shared" si="50"/>
        <v>105.745536</v>
      </c>
      <c r="G259" s="96" t="str">
        <f t="shared" si="49"/>
        <v>Ground Floor for Commercial &amp; Parking</v>
      </c>
      <c r="H259" s="97"/>
      <c r="I259" s="43"/>
      <c r="L259" s="138"/>
      <c r="M259" s="138"/>
      <c r="N259" s="43"/>
    </row>
    <row r="260" spans="1:14" s="57" customFormat="1" x14ac:dyDescent="0.25">
      <c r="A260" s="120" t="s">
        <v>253</v>
      </c>
      <c r="B260" s="121"/>
      <c r="C260" s="121"/>
      <c r="D260" s="121"/>
      <c r="E260" s="121"/>
      <c r="F260" s="121"/>
      <c r="G260" s="121"/>
      <c r="H260" s="122"/>
      <c r="I260" s="43"/>
      <c r="L260" s="138"/>
      <c r="M260" s="138"/>
      <c r="N260" s="43"/>
    </row>
    <row r="261" spans="1:14" s="57" customFormat="1" x14ac:dyDescent="0.25">
      <c r="A261" s="56">
        <v>31</v>
      </c>
      <c r="B261" s="56" t="s">
        <v>180</v>
      </c>
      <c r="C261" s="56" t="s">
        <v>179</v>
      </c>
      <c r="D261" s="56">
        <f>40.71*10.764</f>
        <v>438.20243999999997</v>
      </c>
      <c r="E261" s="56">
        <v>0</v>
      </c>
      <c r="F261" s="56">
        <f>(D261+E261)*(($F$147)+1)</f>
        <v>701.12390400000004</v>
      </c>
      <c r="G261" s="96" t="str">
        <f>A260</f>
        <v>1st Floor for Commercial</v>
      </c>
      <c r="H261" s="97"/>
      <c r="J261" s="43"/>
    </row>
    <row r="262" spans="1:14" s="57" customFormat="1" x14ac:dyDescent="0.25">
      <c r="A262" s="74">
        <f t="shared" ref="A262" si="51">A261+1</f>
        <v>32</v>
      </c>
      <c r="B262" s="74" t="s">
        <v>180</v>
      </c>
      <c r="C262" s="74" t="s">
        <v>182</v>
      </c>
      <c r="D262" s="74">
        <f>29.59*10.764</f>
        <v>318.50675999999999</v>
      </c>
      <c r="E262" s="74">
        <v>0</v>
      </c>
      <c r="F262" s="74">
        <f t="shared" ref="F262" si="52">(D262+E262)*(($F$147)+1)</f>
        <v>509.610816</v>
      </c>
      <c r="G262" s="214" t="str">
        <f t="shared" ref="G262" si="53">G261</f>
        <v>1st Floor for Commercial</v>
      </c>
      <c r="H262" s="215"/>
      <c r="I262" s="43"/>
      <c r="L262" s="138"/>
      <c r="M262" s="138"/>
      <c r="N262" s="43"/>
    </row>
    <row r="263" spans="1:14" s="57" customFormat="1" x14ac:dyDescent="0.25">
      <c r="A263" s="135" t="s">
        <v>117</v>
      </c>
      <c r="B263" s="136"/>
      <c r="C263" s="136"/>
      <c r="D263" s="136"/>
      <c r="E263" s="136"/>
      <c r="F263" s="136"/>
      <c r="G263" s="136"/>
      <c r="H263" s="137"/>
      <c r="I263" s="43"/>
      <c r="L263" s="138"/>
      <c r="M263" s="138"/>
      <c r="N263" s="43"/>
    </row>
    <row r="264" spans="1:14" s="59" customFormat="1" x14ac:dyDescent="0.25">
      <c r="A264" s="74">
        <v>33</v>
      </c>
      <c r="B264" s="74" t="s">
        <v>180</v>
      </c>
      <c r="C264" s="74" t="s">
        <v>179</v>
      </c>
      <c r="D264" s="74">
        <f>(5.1*1.5+2.24*5.4+5.05*4.5+3.4*7.45+1.5*3+3.48*4.8+3.55*4.88+2.38*4.88+4*5.9+4.62*4.85+1.8*4.85)*10.764</f>
        <v>1858.7318255999999</v>
      </c>
      <c r="E264" s="74">
        <v>0</v>
      </c>
      <c r="F264" s="74">
        <f>(D264+E264)*(($F$147)+1)</f>
        <v>2973.9709209600001</v>
      </c>
      <c r="G264" s="214" t="str">
        <f>A263</f>
        <v>2nd Floor</v>
      </c>
      <c r="H264" s="215"/>
      <c r="I264" s="75" t="s">
        <v>258</v>
      </c>
      <c r="J264" s="43"/>
    </row>
    <row r="265" spans="1:14" s="59" customFormat="1" x14ac:dyDescent="0.25">
      <c r="A265" s="135" t="s">
        <v>188</v>
      </c>
      <c r="B265" s="136"/>
      <c r="C265" s="136"/>
      <c r="D265" s="136"/>
      <c r="E265" s="136"/>
      <c r="F265" s="136"/>
      <c r="G265" s="136"/>
      <c r="H265" s="137"/>
      <c r="I265" s="43"/>
      <c r="L265" s="138"/>
      <c r="M265" s="138"/>
      <c r="N265" s="43"/>
    </row>
    <row r="266" spans="1:14" s="59" customFormat="1" ht="31.5" x14ac:dyDescent="0.25">
      <c r="A266" s="74">
        <v>1</v>
      </c>
      <c r="B266" s="74" t="s">
        <v>178</v>
      </c>
      <c r="C266" s="74" t="s">
        <v>189</v>
      </c>
      <c r="D266" s="74">
        <f>(29.5)*10.764</f>
        <v>317.53799999999995</v>
      </c>
      <c r="E266" s="74">
        <v>0</v>
      </c>
      <c r="F266" s="74">
        <f>(D266+E266)*(($F$147)+1)</f>
        <v>508.06079999999997</v>
      </c>
      <c r="G266" s="214" t="str">
        <f>A265</f>
        <v>3rd Floor</v>
      </c>
      <c r="H266" s="215"/>
      <c r="I266" s="216" t="s">
        <v>259</v>
      </c>
      <c r="J266" s="217"/>
    </row>
    <row r="267" spans="1:14" s="59" customFormat="1" ht="31.5" x14ac:dyDescent="0.25">
      <c r="A267" s="74">
        <f t="shared" ref="A267:A269" si="54">A266+1</f>
        <v>2</v>
      </c>
      <c r="B267" s="74" t="s">
        <v>178</v>
      </c>
      <c r="C267" s="74" t="s">
        <v>189</v>
      </c>
      <c r="D267" s="74">
        <f>(29.62)*10.764</f>
        <v>318.82968</v>
      </c>
      <c r="E267" s="74">
        <v>0</v>
      </c>
      <c r="F267" s="74">
        <f t="shared" ref="F267:F270" si="55">(D267+E267)*(($F$147)+1)</f>
        <v>510.12748800000003</v>
      </c>
      <c r="G267" s="214" t="str">
        <f t="shared" ref="G267:G270" si="56">G266</f>
        <v>3rd Floor</v>
      </c>
      <c r="H267" s="215"/>
      <c r="I267" s="43"/>
      <c r="L267" s="138"/>
      <c r="M267" s="138"/>
      <c r="N267" s="43"/>
    </row>
    <row r="268" spans="1:14" s="59" customFormat="1" ht="31.5" x14ac:dyDescent="0.25">
      <c r="A268" s="58">
        <f t="shared" si="54"/>
        <v>3</v>
      </c>
      <c r="B268" s="58" t="s">
        <v>178</v>
      </c>
      <c r="C268" s="58" t="s">
        <v>189</v>
      </c>
      <c r="D268" s="58">
        <f>(33.51)*10.764</f>
        <v>360.70163999999994</v>
      </c>
      <c r="E268" s="58">
        <v>0</v>
      </c>
      <c r="F268" s="58">
        <f t="shared" si="55"/>
        <v>577.12262399999997</v>
      </c>
      <c r="G268" s="96" t="str">
        <f t="shared" si="56"/>
        <v>3rd Floor</v>
      </c>
      <c r="H268" s="97"/>
      <c r="I268" s="43"/>
      <c r="L268" s="138"/>
      <c r="M268" s="138"/>
      <c r="N268" s="43"/>
    </row>
    <row r="269" spans="1:14" s="59" customFormat="1" ht="31.5" x14ac:dyDescent="0.25">
      <c r="A269" s="58">
        <f t="shared" si="54"/>
        <v>4</v>
      </c>
      <c r="B269" s="58" t="s">
        <v>178</v>
      </c>
      <c r="C269" s="58" t="s">
        <v>189</v>
      </c>
      <c r="D269" s="58">
        <f>(33.22)*10.764</f>
        <v>357.58007999999995</v>
      </c>
      <c r="E269" s="58">
        <v>0</v>
      </c>
      <c r="F269" s="58">
        <f t="shared" si="55"/>
        <v>572.12812799999995</v>
      </c>
      <c r="G269" s="96" t="str">
        <f t="shared" si="56"/>
        <v>3rd Floor</v>
      </c>
      <c r="H269" s="97"/>
      <c r="I269" s="43"/>
      <c r="L269" s="138"/>
      <c r="M269" s="138"/>
      <c r="N269" s="43"/>
    </row>
    <row r="270" spans="1:14" s="59" customFormat="1" ht="31.5" x14ac:dyDescent="0.25">
      <c r="A270" s="58">
        <v>5</v>
      </c>
      <c r="B270" s="58" t="s">
        <v>178</v>
      </c>
      <c r="C270" s="58" t="s">
        <v>189</v>
      </c>
      <c r="D270" s="58">
        <f>(24.31)*10.764</f>
        <v>261.67283999999995</v>
      </c>
      <c r="E270" s="58">
        <v>0</v>
      </c>
      <c r="F270" s="58">
        <f t="shared" si="55"/>
        <v>418.67654399999992</v>
      </c>
      <c r="G270" s="96" t="str">
        <f t="shared" si="56"/>
        <v>3rd Floor</v>
      </c>
      <c r="H270" s="97"/>
      <c r="I270" s="43"/>
      <c r="L270" s="138"/>
      <c r="M270" s="138"/>
      <c r="N270" s="43"/>
    </row>
    <row r="271" spans="1:14" s="59" customFormat="1" ht="31.5" x14ac:dyDescent="0.25">
      <c r="A271" s="58">
        <v>6</v>
      </c>
      <c r="B271" s="58" t="s">
        <v>178</v>
      </c>
      <c r="C271" s="58" t="s">
        <v>189</v>
      </c>
      <c r="D271" s="58">
        <f>(29.52)*10.764</f>
        <v>317.75327999999996</v>
      </c>
      <c r="E271" s="58">
        <v>0</v>
      </c>
      <c r="F271" s="58">
        <f>(D271+E271)*(($F$147)+1)</f>
        <v>508.40524799999997</v>
      </c>
      <c r="G271" s="96" t="str">
        <f>G269</f>
        <v>3rd Floor</v>
      </c>
      <c r="H271" s="97"/>
      <c r="I271" s="43"/>
      <c r="L271" s="138"/>
      <c r="M271" s="138"/>
      <c r="N271" s="43"/>
    </row>
    <row r="272" spans="1:14" s="59" customFormat="1" x14ac:dyDescent="0.25">
      <c r="A272" s="96"/>
      <c r="B272" s="129"/>
      <c r="C272" s="129"/>
      <c r="D272" s="129"/>
      <c r="E272" s="129"/>
      <c r="F272" s="129"/>
      <c r="G272" s="129"/>
      <c r="H272" s="97"/>
      <c r="I272" s="43"/>
      <c r="L272" s="138"/>
      <c r="M272" s="138"/>
      <c r="N272" s="43"/>
    </row>
    <row r="273" spans="1:16" s="55" customFormat="1" ht="47.25" x14ac:dyDescent="0.25">
      <c r="A273" s="142" t="s">
        <v>119</v>
      </c>
      <c r="B273" s="142" t="s">
        <v>120</v>
      </c>
      <c r="C273" s="131" t="s">
        <v>59</v>
      </c>
      <c r="D273" s="131" t="s">
        <v>60</v>
      </c>
      <c r="E273" s="147" t="s">
        <v>61</v>
      </c>
      <c r="F273" s="50" t="s">
        <v>150</v>
      </c>
      <c r="G273" s="142" t="s">
        <v>62</v>
      </c>
      <c r="H273" s="149"/>
      <c r="I273" s="43"/>
      <c r="N273" s="43"/>
    </row>
    <row r="274" spans="1:16" ht="15.75" customHeight="1" x14ac:dyDescent="0.25">
      <c r="A274" s="143"/>
      <c r="B274" s="143"/>
      <c r="C274" s="132"/>
      <c r="D274" s="132"/>
      <c r="E274" s="148"/>
      <c r="F274" s="15">
        <v>0.55000000000000004</v>
      </c>
      <c r="G274" s="143"/>
      <c r="H274" s="150"/>
      <c r="I274" s="43"/>
    </row>
    <row r="275" spans="1:16" s="61" customFormat="1" ht="15.75" customHeight="1" x14ac:dyDescent="0.25">
      <c r="A275" s="139" t="s">
        <v>199</v>
      </c>
      <c r="B275" s="140"/>
      <c r="C275" s="140"/>
      <c r="D275" s="140"/>
      <c r="E275" s="140"/>
      <c r="F275" s="140"/>
      <c r="G275" s="140"/>
      <c r="H275" s="141"/>
      <c r="I275" s="43"/>
    </row>
    <row r="276" spans="1:16" s="61" customFormat="1" x14ac:dyDescent="0.25">
      <c r="A276" s="120" t="s">
        <v>205</v>
      </c>
      <c r="B276" s="121"/>
      <c r="C276" s="121"/>
      <c r="D276" s="121"/>
      <c r="E276" s="121"/>
      <c r="F276" s="121"/>
      <c r="G276" s="121"/>
      <c r="H276" s="122"/>
      <c r="J276" s="43"/>
    </row>
    <row r="277" spans="1:16" s="61" customFormat="1" x14ac:dyDescent="0.25">
      <c r="A277" s="120" t="s">
        <v>210</v>
      </c>
      <c r="B277" s="121"/>
      <c r="C277" s="121"/>
      <c r="D277" s="121"/>
      <c r="E277" s="121"/>
      <c r="F277" s="121"/>
      <c r="G277" s="121"/>
      <c r="H277" s="122"/>
      <c r="J277" s="43"/>
    </row>
    <row r="278" spans="1:16" s="61" customFormat="1" x14ac:dyDescent="0.25">
      <c r="A278" s="120" t="s">
        <v>256</v>
      </c>
      <c r="B278" s="121"/>
      <c r="C278" s="121"/>
      <c r="D278" s="121"/>
      <c r="E278" s="121"/>
      <c r="F278" s="121"/>
      <c r="G278" s="121"/>
      <c r="H278" s="122"/>
      <c r="J278" s="43"/>
    </row>
    <row r="279" spans="1:16" s="61" customFormat="1" x14ac:dyDescent="0.25">
      <c r="A279" s="62">
        <v>1</v>
      </c>
      <c r="B279" s="62" t="s">
        <v>180</v>
      </c>
      <c r="C279" s="62" t="s">
        <v>191</v>
      </c>
      <c r="D279" s="62">
        <f>35.99*10.764</f>
        <v>387.39636000000002</v>
      </c>
      <c r="E279" s="62">
        <v>0</v>
      </c>
      <c r="F279" s="62">
        <f t="shared" ref="F279:F282" si="57">D279*(($F$274)+1)+(IF(E279&lt;101,E279,IF(E279&lt;201,E279/2,IF(E279&lt;=301,E279/3,E279/4))))</f>
        <v>600.46435800000006</v>
      </c>
      <c r="G279" s="96" t="str">
        <f>A278</f>
        <v>13th, 15th &amp; 16th Floor for Residential</v>
      </c>
      <c r="H279" s="97"/>
      <c r="I279" s="43"/>
      <c r="P279" s="44"/>
    </row>
    <row r="280" spans="1:16" s="61" customFormat="1" x14ac:dyDescent="0.25">
      <c r="A280" s="62">
        <v>2</v>
      </c>
      <c r="B280" s="64" t="s">
        <v>180</v>
      </c>
      <c r="C280" s="62" t="s">
        <v>191</v>
      </c>
      <c r="D280" s="64">
        <f t="shared" ref="D280:D282" si="58">35.99*10.764</f>
        <v>387.39636000000002</v>
      </c>
      <c r="E280" s="62">
        <v>0</v>
      </c>
      <c r="F280" s="62">
        <f t="shared" si="57"/>
        <v>600.46435800000006</v>
      </c>
      <c r="G280" s="96" t="str">
        <f>G279</f>
        <v>13th, 15th &amp; 16th Floor for Residential</v>
      </c>
      <c r="H280" s="97"/>
      <c r="I280" s="43"/>
    </row>
    <row r="281" spans="1:16" s="61" customFormat="1" x14ac:dyDescent="0.25">
      <c r="A281" s="62">
        <v>3</v>
      </c>
      <c r="B281" s="64" t="s">
        <v>180</v>
      </c>
      <c r="C281" s="62" t="s">
        <v>191</v>
      </c>
      <c r="D281" s="64">
        <f t="shared" si="58"/>
        <v>387.39636000000002</v>
      </c>
      <c r="E281" s="62">
        <v>0</v>
      </c>
      <c r="F281" s="62">
        <f t="shared" si="57"/>
        <v>600.46435800000006</v>
      </c>
      <c r="G281" s="96" t="str">
        <f>G280</f>
        <v>13th, 15th &amp; 16th Floor for Residential</v>
      </c>
      <c r="H281" s="97"/>
      <c r="I281" s="43"/>
    </row>
    <row r="282" spans="1:16" s="61" customFormat="1" x14ac:dyDescent="0.25">
      <c r="A282" s="62">
        <v>4</v>
      </c>
      <c r="B282" s="64" t="s">
        <v>180</v>
      </c>
      <c r="C282" s="62" t="s">
        <v>191</v>
      </c>
      <c r="D282" s="64">
        <f t="shared" si="58"/>
        <v>387.39636000000002</v>
      </c>
      <c r="E282" s="62">
        <v>0</v>
      </c>
      <c r="F282" s="62">
        <f t="shared" si="57"/>
        <v>600.46435800000006</v>
      </c>
      <c r="G282" s="96" t="str">
        <f>G281</f>
        <v>13th, 15th &amp; 16th Floor for Residential</v>
      </c>
      <c r="H282" s="97"/>
      <c r="I282" s="43"/>
    </row>
    <row r="283" spans="1:16" s="63" customFormat="1" x14ac:dyDescent="0.25">
      <c r="A283" s="120" t="s">
        <v>216</v>
      </c>
      <c r="B283" s="121"/>
      <c r="C283" s="121"/>
      <c r="D283" s="121"/>
      <c r="E283" s="121"/>
      <c r="F283" s="121"/>
      <c r="G283" s="121"/>
      <c r="H283" s="122"/>
      <c r="J283" s="43"/>
    </row>
    <row r="284" spans="1:16" s="63" customFormat="1" x14ac:dyDescent="0.25">
      <c r="A284" s="64">
        <v>1</v>
      </c>
      <c r="B284" s="64" t="s">
        <v>180</v>
      </c>
      <c r="C284" s="64" t="s">
        <v>191</v>
      </c>
      <c r="D284" s="64">
        <f>35.99*10.764</f>
        <v>387.39636000000002</v>
      </c>
      <c r="E284" s="64">
        <v>0</v>
      </c>
      <c r="F284" s="64">
        <f t="shared" ref="F284:F287" si="59">D284*(($F$274)+1)+(IF(E284&lt;101,E284,IF(E284&lt;201,E284/2,IF(E284&lt;=301,E284/3,E284/4))))</f>
        <v>600.46435800000006</v>
      </c>
      <c r="G284" s="96" t="str">
        <f>A283</f>
        <v>14th Floor (Part Refuge Area)</v>
      </c>
      <c r="H284" s="97"/>
      <c r="I284" s="43"/>
      <c r="P284" s="44"/>
    </row>
    <row r="285" spans="1:16" s="63" customFormat="1" x14ac:dyDescent="0.25">
      <c r="A285" s="64">
        <v>2</v>
      </c>
      <c r="B285" s="64" t="s">
        <v>180</v>
      </c>
      <c r="C285" s="64" t="s">
        <v>191</v>
      </c>
      <c r="D285" s="64">
        <f t="shared" ref="D285:D287" si="60">35.99*10.764</f>
        <v>387.39636000000002</v>
      </c>
      <c r="E285" s="64">
        <v>0</v>
      </c>
      <c r="F285" s="64">
        <f t="shared" si="59"/>
        <v>600.46435800000006</v>
      </c>
      <c r="G285" s="96" t="str">
        <f>G284</f>
        <v>14th Floor (Part Refuge Area)</v>
      </c>
      <c r="H285" s="97"/>
      <c r="I285" s="43"/>
    </row>
    <row r="286" spans="1:16" s="63" customFormat="1" x14ac:dyDescent="0.25">
      <c r="A286" s="64">
        <v>3</v>
      </c>
      <c r="B286" s="64" t="s">
        <v>195</v>
      </c>
      <c r="C286" s="96" t="s">
        <v>196</v>
      </c>
      <c r="D286" s="129"/>
      <c r="E286" s="129"/>
      <c r="F286" s="97"/>
      <c r="G286" s="96" t="str">
        <f>G285</f>
        <v>14th Floor (Part Refuge Area)</v>
      </c>
      <c r="H286" s="97"/>
      <c r="I286" s="43"/>
    </row>
    <row r="287" spans="1:16" s="63" customFormat="1" x14ac:dyDescent="0.25">
      <c r="A287" s="64">
        <v>4</v>
      </c>
      <c r="B287" s="64" t="s">
        <v>180</v>
      </c>
      <c r="C287" s="64" t="s">
        <v>191</v>
      </c>
      <c r="D287" s="64">
        <f t="shared" si="60"/>
        <v>387.39636000000002</v>
      </c>
      <c r="E287" s="64">
        <v>0</v>
      </c>
      <c r="F287" s="64">
        <f t="shared" si="59"/>
        <v>600.46435800000006</v>
      </c>
      <c r="G287" s="96" t="str">
        <f>G286</f>
        <v>14th Floor (Part Refuge Area)</v>
      </c>
      <c r="H287" s="97"/>
      <c r="I287" s="43"/>
    </row>
    <row r="288" spans="1:16" s="63" customFormat="1" x14ac:dyDescent="0.25">
      <c r="A288" s="120" t="s">
        <v>214</v>
      </c>
      <c r="B288" s="121"/>
      <c r="C288" s="121"/>
      <c r="D288" s="121"/>
      <c r="E288" s="121"/>
      <c r="F288" s="121"/>
      <c r="G288" s="121"/>
      <c r="H288" s="122"/>
      <c r="J288" s="43"/>
    </row>
    <row r="289" spans="1:16" s="63" customFormat="1" x14ac:dyDescent="0.25">
      <c r="A289" s="64">
        <v>1</v>
      </c>
      <c r="B289" s="64" t="s">
        <v>180</v>
      </c>
      <c r="C289" s="64" t="s">
        <v>191</v>
      </c>
      <c r="D289" s="64">
        <f>35.99*10.764</f>
        <v>387.39636000000002</v>
      </c>
      <c r="E289" s="64">
        <v>0</v>
      </c>
      <c r="F289" s="64">
        <f t="shared" ref="F289:F292" si="61">D289*(($F$274)+1)+(IF(E289&lt;101,E289,IF(E289&lt;201,E289/2,IF(E289&lt;=301,E289/3,E289/4))))</f>
        <v>600.46435800000006</v>
      </c>
      <c r="G289" s="96" t="str">
        <f>A288</f>
        <v>17th Floor</v>
      </c>
      <c r="H289" s="97"/>
      <c r="I289" s="43"/>
      <c r="P289" s="44"/>
    </row>
    <row r="290" spans="1:16" s="63" customFormat="1" x14ac:dyDescent="0.25">
      <c r="A290" s="64">
        <v>2</v>
      </c>
      <c r="B290" s="64" t="s">
        <v>180</v>
      </c>
      <c r="C290" s="64" t="s">
        <v>191</v>
      </c>
      <c r="D290" s="64">
        <f t="shared" ref="D290:D292" si="62">35.99*10.764</f>
        <v>387.39636000000002</v>
      </c>
      <c r="E290" s="64">
        <v>0</v>
      </c>
      <c r="F290" s="64">
        <f t="shared" si="61"/>
        <v>600.46435800000006</v>
      </c>
      <c r="G290" s="96" t="str">
        <f>G289</f>
        <v>17th Floor</v>
      </c>
      <c r="H290" s="97"/>
      <c r="I290" s="43"/>
    </row>
    <row r="291" spans="1:16" s="63" customFormat="1" x14ac:dyDescent="0.25">
      <c r="A291" s="64">
        <v>3</v>
      </c>
      <c r="B291" s="64" t="s">
        <v>180</v>
      </c>
      <c r="C291" s="64" t="s">
        <v>191</v>
      </c>
      <c r="D291" s="64">
        <f t="shared" si="62"/>
        <v>387.39636000000002</v>
      </c>
      <c r="E291" s="64">
        <v>0</v>
      </c>
      <c r="F291" s="64">
        <f t="shared" si="61"/>
        <v>600.46435800000006</v>
      </c>
      <c r="G291" s="96" t="str">
        <f>G290</f>
        <v>17th Floor</v>
      </c>
      <c r="H291" s="97"/>
      <c r="I291" s="43"/>
    </row>
    <row r="292" spans="1:16" s="63" customFormat="1" x14ac:dyDescent="0.25">
      <c r="A292" s="64">
        <v>4</v>
      </c>
      <c r="B292" s="64" t="s">
        <v>180</v>
      </c>
      <c r="C292" s="64" t="s">
        <v>191</v>
      </c>
      <c r="D292" s="64">
        <f t="shared" si="62"/>
        <v>387.39636000000002</v>
      </c>
      <c r="E292" s="64">
        <v>0</v>
      </c>
      <c r="F292" s="64">
        <f t="shared" si="61"/>
        <v>600.46435800000006</v>
      </c>
      <c r="G292" s="96" t="str">
        <f>G291</f>
        <v>17th Floor</v>
      </c>
      <c r="H292" s="97"/>
      <c r="I292" s="43"/>
    </row>
    <row r="293" spans="1:16" s="63" customFormat="1" x14ac:dyDescent="0.25">
      <c r="A293" s="120" t="s">
        <v>218</v>
      </c>
      <c r="B293" s="121"/>
      <c r="C293" s="121"/>
      <c r="D293" s="121"/>
      <c r="E293" s="121"/>
      <c r="F293" s="121"/>
      <c r="G293" s="121"/>
      <c r="H293" s="122"/>
      <c r="J293" s="43"/>
    </row>
    <row r="294" spans="1:16" s="63" customFormat="1" x14ac:dyDescent="0.25">
      <c r="A294" s="64">
        <v>1</v>
      </c>
      <c r="B294" s="64" t="s">
        <v>180</v>
      </c>
      <c r="C294" s="64" t="s">
        <v>191</v>
      </c>
      <c r="D294" s="64">
        <f>35.99*10.764</f>
        <v>387.39636000000002</v>
      </c>
      <c r="E294" s="64">
        <v>0</v>
      </c>
      <c r="F294" s="64">
        <f t="shared" ref="F294:F297" si="63">D294*(($F$274)+1)+(IF(E294&lt;101,E294,IF(E294&lt;201,E294/2,IF(E294&lt;=301,E294/3,E294/4))))</f>
        <v>600.46435800000006</v>
      </c>
      <c r="G294" s="96" t="str">
        <f>A293</f>
        <v>18th Floor</v>
      </c>
      <c r="H294" s="97"/>
      <c r="I294" s="43"/>
      <c r="P294" s="44"/>
    </row>
    <row r="295" spans="1:16" s="63" customFormat="1" x14ac:dyDescent="0.25">
      <c r="A295" s="64">
        <v>2</v>
      </c>
      <c r="B295" s="64" t="s">
        <v>180</v>
      </c>
      <c r="C295" s="64" t="s">
        <v>191</v>
      </c>
      <c r="D295" s="64">
        <f t="shared" ref="D295:D297" si="64">35.99*10.764</f>
        <v>387.39636000000002</v>
      </c>
      <c r="E295" s="64">
        <v>0</v>
      </c>
      <c r="F295" s="64">
        <f t="shared" si="63"/>
        <v>600.46435800000006</v>
      </c>
      <c r="G295" s="96" t="str">
        <f>G294</f>
        <v>18th Floor</v>
      </c>
      <c r="H295" s="97"/>
      <c r="I295" s="43"/>
    </row>
    <row r="296" spans="1:16" s="63" customFormat="1" x14ac:dyDescent="0.25">
      <c r="A296" s="64">
        <v>3</v>
      </c>
      <c r="B296" s="64" t="s">
        <v>180</v>
      </c>
      <c r="C296" s="64" t="s">
        <v>191</v>
      </c>
      <c r="D296" s="64">
        <f t="shared" si="64"/>
        <v>387.39636000000002</v>
      </c>
      <c r="E296" s="64">
        <v>0</v>
      </c>
      <c r="F296" s="64">
        <f t="shared" si="63"/>
        <v>600.46435800000006</v>
      </c>
      <c r="G296" s="96" t="str">
        <f>G295</f>
        <v>18th Floor</v>
      </c>
      <c r="H296" s="97"/>
      <c r="I296" s="43"/>
    </row>
    <row r="297" spans="1:16" s="63" customFormat="1" x14ac:dyDescent="0.25">
      <c r="A297" s="64">
        <v>4</v>
      </c>
      <c r="B297" s="64" t="s">
        <v>180</v>
      </c>
      <c r="C297" s="64" t="s">
        <v>191</v>
      </c>
      <c r="D297" s="64">
        <f t="shared" si="64"/>
        <v>387.39636000000002</v>
      </c>
      <c r="E297" s="64">
        <v>0</v>
      </c>
      <c r="F297" s="64">
        <f t="shared" si="63"/>
        <v>600.46435800000006</v>
      </c>
      <c r="G297" s="96" t="str">
        <f>G296</f>
        <v>18th Floor</v>
      </c>
      <c r="H297" s="97"/>
      <c r="I297" s="43"/>
    </row>
    <row r="298" spans="1:16" s="63" customFormat="1" x14ac:dyDescent="0.25">
      <c r="A298" s="120" t="s">
        <v>219</v>
      </c>
      <c r="B298" s="121"/>
      <c r="C298" s="121"/>
      <c r="D298" s="121"/>
      <c r="E298" s="121"/>
      <c r="F298" s="121"/>
      <c r="G298" s="121"/>
      <c r="H298" s="122"/>
      <c r="J298" s="43"/>
    </row>
    <row r="299" spans="1:16" s="63" customFormat="1" x14ac:dyDescent="0.25">
      <c r="A299" s="64">
        <v>1</v>
      </c>
      <c r="B299" s="64" t="s">
        <v>180</v>
      </c>
      <c r="C299" s="64" t="s">
        <v>191</v>
      </c>
      <c r="D299" s="64">
        <f>35.99*10.764</f>
        <v>387.39636000000002</v>
      </c>
      <c r="E299" s="64">
        <v>0</v>
      </c>
      <c r="F299" s="64">
        <f t="shared" ref="F299:F302" si="65">D299*(($F$274)+1)+(IF(E299&lt;101,E299,IF(E299&lt;201,E299/2,IF(E299&lt;=301,E299/3,E299/4))))</f>
        <v>600.46435800000006</v>
      </c>
      <c r="G299" s="96" t="str">
        <f>A298</f>
        <v>19th Floor</v>
      </c>
      <c r="H299" s="97"/>
      <c r="I299" s="43"/>
      <c r="P299" s="44"/>
    </row>
    <row r="300" spans="1:16" s="63" customFormat="1" x14ac:dyDescent="0.25">
      <c r="A300" s="64">
        <v>2</v>
      </c>
      <c r="B300" s="64" t="s">
        <v>180</v>
      </c>
      <c r="C300" s="64" t="s">
        <v>191</v>
      </c>
      <c r="D300" s="64">
        <f t="shared" ref="D300:D302" si="66">35.99*10.764</f>
        <v>387.39636000000002</v>
      </c>
      <c r="E300" s="64">
        <v>0</v>
      </c>
      <c r="F300" s="64">
        <f t="shared" si="65"/>
        <v>600.46435800000006</v>
      </c>
      <c r="G300" s="96" t="str">
        <f>G299</f>
        <v>19th Floor</v>
      </c>
      <c r="H300" s="97"/>
      <c r="I300" s="43"/>
    </row>
    <row r="301" spans="1:16" s="63" customFormat="1" x14ac:dyDescent="0.25">
      <c r="A301" s="64">
        <v>3</v>
      </c>
      <c r="B301" s="64" t="s">
        <v>180</v>
      </c>
      <c r="C301" s="64" t="s">
        <v>191</v>
      </c>
      <c r="D301" s="64">
        <f>35.99*10.764</f>
        <v>387.39636000000002</v>
      </c>
      <c r="E301" s="64">
        <v>0</v>
      </c>
      <c r="F301" s="64">
        <f t="shared" si="65"/>
        <v>600.46435800000006</v>
      </c>
      <c r="G301" s="96" t="str">
        <f>G300</f>
        <v>19th Floor</v>
      </c>
      <c r="H301" s="97"/>
      <c r="I301" s="43"/>
    </row>
    <row r="302" spans="1:16" s="63" customFormat="1" x14ac:dyDescent="0.25">
      <c r="A302" s="64">
        <v>4</v>
      </c>
      <c r="B302" s="64" t="s">
        <v>180</v>
      </c>
      <c r="C302" s="64" t="s">
        <v>191</v>
      </c>
      <c r="D302" s="64">
        <f t="shared" si="66"/>
        <v>387.39636000000002</v>
      </c>
      <c r="E302" s="64">
        <v>0</v>
      </c>
      <c r="F302" s="64">
        <f t="shared" si="65"/>
        <v>600.46435800000006</v>
      </c>
      <c r="G302" s="96" t="str">
        <f>G301</f>
        <v>19th Floor</v>
      </c>
      <c r="H302" s="97"/>
      <c r="I302" s="43"/>
    </row>
    <row r="303" spans="1:16" s="63" customFormat="1" x14ac:dyDescent="0.25">
      <c r="A303" s="120" t="s">
        <v>222</v>
      </c>
      <c r="B303" s="121"/>
      <c r="C303" s="121"/>
      <c r="D303" s="121"/>
      <c r="E303" s="121"/>
      <c r="F303" s="121"/>
      <c r="G303" s="121"/>
      <c r="H303" s="122"/>
      <c r="J303" s="43"/>
    </row>
    <row r="304" spans="1:16" s="63" customFormat="1" x14ac:dyDescent="0.25">
      <c r="A304" s="64">
        <v>1</v>
      </c>
      <c r="B304" s="64" t="s">
        <v>180</v>
      </c>
      <c r="C304" s="64" t="s">
        <v>191</v>
      </c>
      <c r="D304" s="64">
        <f>35.99*10.764</f>
        <v>387.39636000000002</v>
      </c>
      <c r="E304" s="64">
        <v>0</v>
      </c>
      <c r="F304" s="64">
        <f t="shared" ref="F304:F307" si="67">D304*(($F$274)+1)+(IF(E304&lt;101,E304,IF(E304&lt;201,E304/2,IF(E304&lt;=301,E304/3,E304/4))))</f>
        <v>600.46435800000006</v>
      </c>
      <c r="G304" s="96" t="str">
        <f>A303</f>
        <v>20th Floor</v>
      </c>
      <c r="H304" s="97"/>
      <c r="I304" s="43"/>
      <c r="P304" s="44"/>
    </row>
    <row r="305" spans="1:16" s="63" customFormat="1" x14ac:dyDescent="0.25">
      <c r="A305" s="64">
        <v>2</v>
      </c>
      <c r="B305" s="64" t="s">
        <v>178</v>
      </c>
      <c r="C305" s="64" t="s">
        <v>191</v>
      </c>
      <c r="D305" s="64">
        <f t="shared" ref="D305:D307" si="68">35.99*10.764</f>
        <v>387.39636000000002</v>
      </c>
      <c r="E305" s="64">
        <v>0</v>
      </c>
      <c r="F305" s="64">
        <f t="shared" si="67"/>
        <v>600.46435800000006</v>
      </c>
      <c r="G305" s="96" t="str">
        <f>G304</f>
        <v>20th Floor</v>
      </c>
      <c r="H305" s="97"/>
      <c r="I305" s="43"/>
    </row>
    <row r="306" spans="1:16" s="63" customFormat="1" x14ac:dyDescent="0.25">
      <c r="A306" s="64">
        <v>3</v>
      </c>
      <c r="B306" s="64" t="s">
        <v>178</v>
      </c>
      <c r="C306" s="64" t="s">
        <v>191</v>
      </c>
      <c r="D306" s="64">
        <f t="shared" si="68"/>
        <v>387.39636000000002</v>
      </c>
      <c r="E306" s="64">
        <v>0</v>
      </c>
      <c r="F306" s="64">
        <f t="shared" si="67"/>
        <v>600.46435800000006</v>
      </c>
      <c r="G306" s="96" t="str">
        <f>G305</f>
        <v>20th Floor</v>
      </c>
      <c r="H306" s="97"/>
      <c r="I306" s="43"/>
    </row>
    <row r="307" spans="1:16" s="63" customFormat="1" x14ac:dyDescent="0.25">
      <c r="A307" s="64">
        <v>4</v>
      </c>
      <c r="B307" s="64" t="s">
        <v>178</v>
      </c>
      <c r="C307" s="64" t="s">
        <v>191</v>
      </c>
      <c r="D307" s="64">
        <f t="shared" si="68"/>
        <v>387.39636000000002</v>
      </c>
      <c r="E307" s="64">
        <v>0</v>
      </c>
      <c r="F307" s="64">
        <f t="shared" si="67"/>
        <v>600.46435800000006</v>
      </c>
      <c r="G307" s="96" t="str">
        <f>G306</f>
        <v>20th Floor</v>
      </c>
      <c r="H307" s="97"/>
      <c r="I307" s="43"/>
    </row>
    <row r="308" spans="1:16" s="61" customFormat="1" ht="15.75" customHeight="1" x14ac:dyDescent="0.25">
      <c r="A308" s="139" t="s">
        <v>175</v>
      </c>
      <c r="B308" s="140"/>
      <c r="C308" s="140"/>
      <c r="D308" s="140"/>
      <c r="E308" s="140"/>
      <c r="F308" s="140"/>
      <c r="G308" s="140"/>
      <c r="H308" s="141"/>
      <c r="I308" s="43"/>
    </row>
    <row r="309" spans="1:16" s="61" customFormat="1" x14ac:dyDescent="0.25">
      <c r="A309" s="120" t="s">
        <v>207</v>
      </c>
      <c r="B309" s="121"/>
      <c r="C309" s="121"/>
      <c r="D309" s="121"/>
      <c r="E309" s="121"/>
      <c r="F309" s="121"/>
      <c r="G309" s="121"/>
      <c r="H309" s="122"/>
      <c r="J309" s="43"/>
    </row>
    <row r="310" spans="1:16" s="61" customFormat="1" x14ac:dyDescent="0.25">
      <c r="A310" s="62">
        <v>1</v>
      </c>
      <c r="B310" s="62" t="s">
        <v>180</v>
      </c>
      <c r="C310" s="62" t="s">
        <v>208</v>
      </c>
      <c r="D310" s="62">
        <f>(35.22+2.15*3.05+1.95*1.1)*10.764</f>
        <v>472.78178999999994</v>
      </c>
      <c r="E310" s="62">
        <f>(1.7*2.3+3*1.69+1.84*2.5)*10.764</f>
        <v>146.17512000000002</v>
      </c>
      <c r="F310" s="62">
        <f t="shared" ref="F310:F314" si="69">D310*(($F$274)+1)+(IF(E310&lt;101,E310,IF(E310&lt;201,E310/2,IF(E310&lt;=301,E310/3,E310/4))))</f>
        <v>805.89933450000001</v>
      </c>
      <c r="G310" s="96" t="str">
        <f>A309</f>
        <v>9th Floor (Part Refuge Area)</v>
      </c>
      <c r="H310" s="97"/>
      <c r="I310" s="43"/>
      <c r="P310" s="44"/>
    </row>
    <row r="311" spans="1:16" s="61" customFormat="1" x14ac:dyDescent="0.25">
      <c r="A311" s="62">
        <v>2</v>
      </c>
      <c r="B311" s="62" t="s">
        <v>180</v>
      </c>
      <c r="C311" s="62" t="s">
        <v>191</v>
      </c>
      <c r="D311" s="62">
        <f>34.8*10.764</f>
        <v>374.58719999999994</v>
      </c>
      <c r="E311" s="62">
        <f>(1.7*2.3+3*1.75)*10.764</f>
        <v>98.59823999999999</v>
      </c>
      <c r="F311" s="62">
        <f t="shared" si="69"/>
        <v>679.20839999999998</v>
      </c>
      <c r="G311" s="96" t="str">
        <f t="shared" ref="G311:G317" si="70">G310</f>
        <v>9th Floor (Part Refuge Area)</v>
      </c>
      <c r="H311" s="97"/>
      <c r="I311" s="43"/>
    </row>
    <row r="312" spans="1:16" s="61" customFormat="1" x14ac:dyDescent="0.25">
      <c r="A312" s="62">
        <v>3</v>
      </c>
      <c r="B312" s="62" t="s">
        <v>180</v>
      </c>
      <c r="C312" s="62" t="s">
        <v>191</v>
      </c>
      <c r="D312" s="62">
        <f>34.69*10.764</f>
        <v>373.40315999999996</v>
      </c>
      <c r="E312" s="62">
        <f>(1.75*3.3)*10.764</f>
        <v>62.162099999999988</v>
      </c>
      <c r="F312" s="62">
        <f t="shared" si="69"/>
        <v>640.9369979999999</v>
      </c>
      <c r="G312" s="96" t="str">
        <f t="shared" si="70"/>
        <v>9th Floor (Part Refuge Area)</v>
      </c>
      <c r="H312" s="97"/>
      <c r="I312" s="43"/>
    </row>
    <row r="313" spans="1:16" s="61" customFormat="1" x14ac:dyDescent="0.25">
      <c r="A313" s="62">
        <v>4</v>
      </c>
      <c r="B313" s="62" t="s">
        <v>180</v>
      </c>
      <c r="C313" s="62" t="s">
        <v>191</v>
      </c>
      <c r="D313" s="62">
        <f>35.16*10.764</f>
        <v>378.46223999999995</v>
      </c>
      <c r="E313" s="62">
        <f>(1.75*4+1.75*4.5)*10.764</f>
        <v>160.11449999999999</v>
      </c>
      <c r="F313" s="62">
        <f t="shared" si="69"/>
        <v>666.67372199999988</v>
      </c>
      <c r="G313" s="96" t="str">
        <f t="shared" si="70"/>
        <v>9th Floor (Part Refuge Area)</v>
      </c>
      <c r="H313" s="97"/>
      <c r="I313" s="43"/>
    </row>
    <row r="314" spans="1:16" s="61" customFormat="1" x14ac:dyDescent="0.25">
      <c r="A314" s="62">
        <v>5</v>
      </c>
      <c r="B314" s="62" t="s">
        <v>180</v>
      </c>
      <c r="C314" s="62" t="s">
        <v>191</v>
      </c>
      <c r="D314" s="62">
        <f>34.84*10.764</f>
        <v>375.01776000000001</v>
      </c>
      <c r="E314" s="62">
        <f>(1.75*4+1.75*4.5)*10.764</f>
        <v>160.11449999999999</v>
      </c>
      <c r="F314" s="62">
        <f t="shared" si="69"/>
        <v>661.33477800000003</v>
      </c>
      <c r="G314" s="96" t="str">
        <f t="shared" si="70"/>
        <v>9th Floor (Part Refuge Area)</v>
      </c>
      <c r="H314" s="97"/>
      <c r="I314" s="43"/>
    </row>
    <row r="315" spans="1:16" s="61" customFormat="1" x14ac:dyDescent="0.25">
      <c r="A315" s="62">
        <v>6</v>
      </c>
      <c r="B315" s="62" t="s">
        <v>180</v>
      </c>
      <c r="C315" s="62" t="s">
        <v>191</v>
      </c>
      <c r="D315" s="62">
        <f>34.93*10.764</f>
        <v>375.98651999999998</v>
      </c>
      <c r="E315" s="62">
        <f>(1.75*4+1.75*4.5+3.1*1.36+1.36*5)*10.764</f>
        <v>278.69072399999999</v>
      </c>
      <c r="F315" s="62">
        <f>D315*(($F$274)+1)+(IF(E315&lt;101,E315,IF(E315&lt;201,E315/2,IF(E315&lt;=301,E315/3,E315/4))))</f>
        <v>675.6760139999999</v>
      </c>
      <c r="G315" s="96" t="str">
        <f t="shared" si="70"/>
        <v>9th Floor (Part Refuge Area)</v>
      </c>
      <c r="H315" s="97"/>
      <c r="I315" s="43"/>
    </row>
    <row r="316" spans="1:16" s="70" customFormat="1" x14ac:dyDescent="0.25">
      <c r="A316" s="64">
        <v>7</v>
      </c>
      <c r="B316" s="64" t="s">
        <v>195</v>
      </c>
      <c r="C316" s="123" t="s">
        <v>196</v>
      </c>
      <c r="D316" s="124"/>
      <c r="E316" s="124"/>
      <c r="F316" s="125"/>
      <c r="G316" s="96" t="str">
        <f t="shared" si="70"/>
        <v>9th Floor (Part Refuge Area)</v>
      </c>
      <c r="H316" s="97"/>
      <c r="I316" s="43"/>
    </row>
    <row r="317" spans="1:16" s="70" customFormat="1" x14ac:dyDescent="0.25">
      <c r="A317" s="64">
        <v>8</v>
      </c>
      <c r="B317" s="64" t="s">
        <v>195</v>
      </c>
      <c r="C317" s="126"/>
      <c r="D317" s="127"/>
      <c r="E317" s="127"/>
      <c r="F317" s="128"/>
      <c r="G317" s="96" t="str">
        <f t="shared" si="70"/>
        <v>9th Floor (Part Refuge Area)</v>
      </c>
      <c r="H317" s="97"/>
      <c r="I317" s="43"/>
    </row>
    <row r="318" spans="1:16" s="61" customFormat="1" x14ac:dyDescent="0.25">
      <c r="A318" s="120" t="s">
        <v>228</v>
      </c>
      <c r="B318" s="121"/>
      <c r="C318" s="121"/>
      <c r="D318" s="121"/>
      <c r="E318" s="121"/>
      <c r="F318" s="121"/>
      <c r="G318" s="121"/>
      <c r="H318" s="122"/>
      <c r="J318" s="43"/>
    </row>
    <row r="319" spans="1:16" s="61" customFormat="1" x14ac:dyDescent="0.25">
      <c r="A319" s="62">
        <v>1</v>
      </c>
      <c r="B319" s="62" t="s">
        <v>180</v>
      </c>
      <c r="C319" s="62" t="s">
        <v>191</v>
      </c>
      <c r="D319" s="62">
        <f>35.22*10.764</f>
        <v>379.10807999999997</v>
      </c>
      <c r="E319" s="62">
        <v>0</v>
      </c>
      <c r="F319" s="62">
        <f t="shared" ref="F319:F324" si="71">D319*(($F$274)+1)+(IF(E319&lt;101,E319,IF(E319&lt;201,E319/2,IF(E319&lt;=301,E319/3,E319/4))))</f>
        <v>587.617524</v>
      </c>
      <c r="G319" s="96" t="str">
        <f>A318</f>
        <v>10th &amp; 11th Floor (Part Refuge Area)</v>
      </c>
      <c r="H319" s="97"/>
      <c r="I319" s="43"/>
      <c r="P319" s="44"/>
    </row>
    <row r="320" spans="1:16" s="61" customFormat="1" x14ac:dyDescent="0.25">
      <c r="A320" s="62">
        <v>2</v>
      </c>
      <c r="B320" s="62" t="s">
        <v>180</v>
      </c>
      <c r="C320" s="62" t="s">
        <v>191</v>
      </c>
      <c r="D320" s="62">
        <f>34.8*10.764</f>
        <v>374.58719999999994</v>
      </c>
      <c r="E320" s="62">
        <v>0</v>
      </c>
      <c r="F320" s="62">
        <f t="shared" si="71"/>
        <v>580.61015999999995</v>
      </c>
      <c r="G320" s="96" t="str">
        <f t="shared" ref="G320:G326" si="72">G319</f>
        <v>10th &amp; 11th Floor (Part Refuge Area)</v>
      </c>
      <c r="H320" s="97"/>
      <c r="I320" s="43"/>
    </row>
    <row r="321" spans="1:16" s="61" customFormat="1" x14ac:dyDescent="0.25">
      <c r="A321" s="62">
        <v>3</v>
      </c>
      <c r="B321" s="62" t="s">
        <v>180</v>
      </c>
      <c r="C321" s="62" t="s">
        <v>191</v>
      </c>
      <c r="D321" s="62">
        <f>34.69*10.764</f>
        <v>373.40315999999996</v>
      </c>
      <c r="E321" s="62">
        <v>0</v>
      </c>
      <c r="F321" s="62">
        <f t="shared" si="71"/>
        <v>578.77489799999989</v>
      </c>
      <c r="G321" s="96" t="str">
        <f t="shared" si="72"/>
        <v>10th &amp; 11th Floor (Part Refuge Area)</v>
      </c>
      <c r="H321" s="97"/>
      <c r="I321" s="43"/>
    </row>
    <row r="322" spans="1:16" s="61" customFormat="1" x14ac:dyDescent="0.25">
      <c r="A322" s="62">
        <v>4</v>
      </c>
      <c r="B322" s="62" t="s">
        <v>180</v>
      </c>
      <c r="C322" s="62" t="s">
        <v>191</v>
      </c>
      <c r="D322" s="62">
        <f>35.16*10.764</f>
        <v>378.46223999999995</v>
      </c>
      <c r="E322" s="62">
        <v>0</v>
      </c>
      <c r="F322" s="62">
        <f t="shared" si="71"/>
        <v>586.61647199999993</v>
      </c>
      <c r="G322" s="96" t="str">
        <f t="shared" si="72"/>
        <v>10th &amp; 11th Floor (Part Refuge Area)</v>
      </c>
      <c r="H322" s="97"/>
      <c r="I322" s="43"/>
    </row>
    <row r="323" spans="1:16" s="61" customFormat="1" x14ac:dyDescent="0.25">
      <c r="A323" s="62">
        <v>5</v>
      </c>
      <c r="B323" s="62" t="s">
        <v>180</v>
      </c>
      <c r="C323" s="62" t="s">
        <v>191</v>
      </c>
      <c r="D323" s="62">
        <f>34.84*10.764</f>
        <v>375.01776000000001</v>
      </c>
      <c r="E323" s="62">
        <v>0</v>
      </c>
      <c r="F323" s="62">
        <f t="shared" si="71"/>
        <v>581.27752800000007</v>
      </c>
      <c r="G323" s="96" t="str">
        <f t="shared" si="72"/>
        <v>10th &amp; 11th Floor (Part Refuge Area)</v>
      </c>
      <c r="H323" s="97"/>
      <c r="I323" s="43"/>
    </row>
    <row r="324" spans="1:16" s="61" customFormat="1" x14ac:dyDescent="0.25">
      <c r="A324" s="62">
        <v>6</v>
      </c>
      <c r="B324" s="62" t="s">
        <v>180</v>
      </c>
      <c r="C324" s="62" t="s">
        <v>191</v>
      </c>
      <c r="D324" s="62">
        <f>34.93*10.764</f>
        <v>375.98651999999998</v>
      </c>
      <c r="E324" s="62">
        <v>0</v>
      </c>
      <c r="F324" s="62">
        <f t="shared" si="71"/>
        <v>582.77910599999996</v>
      </c>
      <c r="G324" s="96" t="str">
        <f t="shared" si="72"/>
        <v>10th &amp; 11th Floor (Part Refuge Area)</v>
      </c>
      <c r="H324" s="97"/>
      <c r="I324" s="43"/>
    </row>
    <row r="325" spans="1:16" s="61" customFormat="1" x14ac:dyDescent="0.25">
      <c r="A325" s="62">
        <v>7</v>
      </c>
      <c r="B325" s="62" t="s">
        <v>180</v>
      </c>
      <c r="C325" s="62" t="s">
        <v>191</v>
      </c>
      <c r="D325" s="62">
        <f>34.93*10.764</f>
        <v>375.98651999999998</v>
      </c>
      <c r="E325" s="62">
        <v>0</v>
      </c>
      <c r="F325" s="62">
        <f t="shared" ref="F325:F326" si="73">D325*(($F$274)+1)+(IF(E325&lt;101,E325,IF(E325&lt;201,E325/2,IF(E325&lt;=301,E325/3,E325/4))))</f>
        <v>582.77910599999996</v>
      </c>
      <c r="G325" s="96" t="str">
        <f t="shared" si="72"/>
        <v>10th &amp; 11th Floor (Part Refuge Area)</v>
      </c>
      <c r="H325" s="97"/>
      <c r="I325" s="43"/>
    </row>
    <row r="326" spans="1:16" s="61" customFormat="1" x14ac:dyDescent="0.25">
      <c r="A326" s="62">
        <v>8</v>
      </c>
      <c r="B326" s="62" t="s">
        <v>180</v>
      </c>
      <c r="C326" s="62" t="s">
        <v>191</v>
      </c>
      <c r="D326" s="62">
        <f>34.83*10.764</f>
        <v>374.91011999999995</v>
      </c>
      <c r="E326" s="62">
        <v>0</v>
      </c>
      <c r="F326" s="62">
        <f t="shared" si="73"/>
        <v>581.11068599999999</v>
      </c>
      <c r="G326" s="96" t="str">
        <f t="shared" si="72"/>
        <v>10th &amp; 11th Floor (Part Refuge Area)</v>
      </c>
      <c r="H326" s="97"/>
      <c r="I326" s="43"/>
    </row>
    <row r="327" spans="1:16" s="63" customFormat="1" x14ac:dyDescent="0.25">
      <c r="A327" s="120" t="s">
        <v>217</v>
      </c>
      <c r="B327" s="121"/>
      <c r="C327" s="121"/>
      <c r="D327" s="121"/>
      <c r="E327" s="121"/>
      <c r="F327" s="121"/>
      <c r="G327" s="121"/>
      <c r="H327" s="122"/>
      <c r="J327" s="43"/>
    </row>
    <row r="328" spans="1:16" s="63" customFormat="1" x14ac:dyDescent="0.25">
      <c r="A328" s="64">
        <v>1</v>
      </c>
      <c r="B328" s="64" t="s">
        <v>180</v>
      </c>
      <c r="C328" s="64" t="s">
        <v>191</v>
      </c>
      <c r="D328" s="64">
        <f>35.22*10.764</f>
        <v>379.10807999999997</v>
      </c>
      <c r="E328" s="64">
        <v>0</v>
      </c>
      <c r="F328" s="64">
        <f t="shared" ref="F328:F335" si="74">D328*(($F$274)+1)+(IF(E328&lt;101,E328,IF(E328&lt;201,E328/2,IF(E328&lt;=301,E328/3,E328/4))))</f>
        <v>587.617524</v>
      </c>
      <c r="G328" s="96" t="str">
        <f>A327</f>
        <v>13th Floor</v>
      </c>
      <c r="H328" s="97"/>
      <c r="I328" s="43"/>
      <c r="P328" s="44"/>
    </row>
    <row r="329" spans="1:16" s="63" customFormat="1" x14ac:dyDescent="0.25">
      <c r="A329" s="64">
        <v>2</v>
      </c>
      <c r="B329" s="64" t="s">
        <v>180</v>
      </c>
      <c r="C329" s="64" t="s">
        <v>191</v>
      </c>
      <c r="D329" s="64">
        <f>34.8*10.764</f>
        <v>374.58719999999994</v>
      </c>
      <c r="E329" s="64">
        <v>0</v>
      </c>
      <c r="F329" s="64">
        <f t="shared" si="74"/>
        <v>580.61015999999995</v>
      </c>
      <c r="G329" s="96" t="str">
        <f t="shared" ref="G329:G335" si="75">G328</f>
        <v>13th Floor</v>
      </c>
      <c r="H329" s="97"/>
      <c r="I329" s="43"/>
    </row>
    <row r="330" spans="1:16" s="63" customFormat="1" x14ac:dyDescent="0.25">
      <c r="A330" s="64">
        <v>3</v>
      </c>
      <c r="B330" s="64" t="s">
        <v>180</v>
      </c>
      <c r="C330" s="64" t="s">
        <v>191</v>
      </c>
      <c r="D330" s="64">
        <f>34.69*10.764</f>
        <v>373.40315999999996</v>
      </c>
      <c r="E330" s="64">
        <v>0</v>
      </c>
      <c r="F330" s="64">
        <f t="shared" si="74"/>
        <v>578.77489799999989</v>
      </c>
      <c r="G330" s="96" t="str">
        <f t="shared" si="75"/>
        <v>13th Floor</v>
      </c>
      <c r="H330" s="97"/>
      <c r="I330" s="43"/>
    </row>
    <row r="331" spans="1:16" s="63" customFormat="1" x14ac:dyDescent="0.25">
      <c r="A331" s="64">
        <v>4</v>
      </c>
      <c r="B331" s="64" t="s">
        <v>180</v>
      </c>
      <c r="C331" s="64" t="s">
        <v>191</v>
      </c>
      <c r="D331" s="64">
        <f>35.16*10.764</f>
        <v>378.46223999999995</v>
      </c>
      <c r="E331" s="64">
        <v>0</v>
      </c>
      <c r="F331" s="64">
        <f t="shared" si="74"/>
        <v>586.61647199999993</v>
      </c>
      <c r="G331" s="96" t="str">
        <f t="shared" si="75"/>
        <v>13th Floor</v>
      </c>
      <c r="H331" s="97"/>
      <c r="I331" s="43"/>
    </row>
    <row r="332" spans="1:16" s="63" customFormat="1" x14ac:dyDescent="0.25">
      <c r="A332" s="64">
        <v>5</v>
      </c>
      <c r="B332" s="64" t="s">
        <v>180</v>
      </c>
      <c r="C332" s="64" t="s">
        <v>191</v>
      </c>
      <c r="D332" s="64">
        <f>34.84*10.764</f>
        <v>375.01776000000001</v>
      </c>
      <c r="E332" s="64">
        <v>0</v>
      </c>
      <c r="F332" s="64">
        <f t="shared" si="74"/>
        <v>581.27752800000007</v>
      </c>
      <c r="G332" s="96" t="str">
        <f t="shared" si="75"/>
        <v>13th Floor</v>
      </c>
      <c r="H332" s="97"/>
      <c r="I332" s="43"/>
    </row>
    <row r="333" spans="1:16" s="63" customFormat="1" x14ac:dyDescent="0.25">
      <c r="A333" s="64">
        <v>6</v>
      </c>
      <c r="B333" s="64" t="s">
        <v>180</v>
      </c>
      <c r="C333" s="64" t="s">
        <v>191</v>
      </c>
      <c r="D333" s="64">
        <f>34.93*10.764</f>
        <v>375.98651999999998</v>
      </c>
      <c r="E333" s="64">
        <v>0</v>
      </c>
      <c r="F333" s="64">
        <f t="shared" si="74"/>
        <v>582.77910599999996</v>
      </c>
      <c r="G333" s="96" t="str">
        <f t="shared" si="75"/>
        <v>13th Floor</v>
      </c>
      <c r="H333" s="97"/>
      <c r="I333" s="43"/>
    </row>
    <row r="334" spans="1:16" s="63" customFormat="1" x14ac:dyDescent="0.25">
      <c r="A334" s="64">
        <v>7</v>
      </c>
      <c r="B334" s="64" t="s">
        <v>180</v>
      </c>
      <c r="C334" s="64" t="s">
        <v>191</v>
      </c>
      <c r="D334" s="64">
        <f>34.93*10.764</f>
        <v>375.98651999999998</v>
      </c>
      <c r="E334" s="64">
        <v>0</v>
      </c>
      <c r="F334" s="64">
        <f t="shared" si="74"/>
        <v>582.77910599999996</v>
      </c>
      <c r="G334" s="96" t="str">
        <f t="shared" si="75"/>
        <v>13th Floor</v>
      </c>
      <c r="H334" s="97"/>
      <c r="I334" s="43"/>
    </row>
    <row r="335" spans="1:16" s="63" customFormat="1" x14ac:dyDescent="0.25">
      <c r="A335" s="64">
        <v>8</v>
      </c>
      <c r="B335" s="64" t="s">
        <v>180</v>
      </c>
      <c r="C335" s="64" t="s">
        <v>191</v>
      </c>
      <c r="D335" s="64">
        <f>34.83*10.764</f>
        <v>374.91011999999995</v>
      </c>
      <c r="E335" s="64">
        <v>0</v>
      </c>
      <c r="F335" s="64">
        <f t="shared" si="74"/>
        <v>581.11068599999999</v>
      </c>
      <c r="G335" s="96" t="str">
        <f t="shared" si="75"/>
        <v>13th Floor</v>
      </c>
      <c r="H335" s="97"/>
      <c r="I335" s="43"/>
    </row>
    <row r="336" spans="1:16" s="63" customFormat="1" x14ac:dyDescent="0.25">
      <c r="A336" s="120" t="s">
        <v>213</v>
      </c>
      <c r="B336" s="121"/>
      <c r="C336" s="121"/>
      <c r="D336" s="121"/>
      <c r="E336" s="121"/>
      <c r="F336" s="121"/>
      <c r="G336" s="121"/>
      <c r="H336" s="122"/>
      <c r="J336" s="43"/>
    </row>
    <row r="337" spans="1:16" s="63" customFormat="1" x14ac:dyDescent="0.25">
      <c r="A337" s="64">
        <v>1</v>
      </c>
      <c r="B337" s="64" t="s">
        <v>180</v>
      </c>
      <c r="C337" s="64" t="s">
        <v>191</v>
      </c>
      <c r="D337" s="64">
        <f>35.22*10.764</f>
        <v>379.10807999999997</v>
      </c>
      <c r="E337" s="64">
        <v>0</v>
      </c>
      <c r="F337" s="64">
        <f t="shared" ref="F337:F344" si="76">D337*(($F$274)+1)+(IF(E337&lt;101,E337,IF(E337&lt;201,E337/2,IF(E337&lt;=301,E337/3,E337/4))))</f>
        <v>587.617524</v>
      </c>
      <c r="G337" s="96" t="str">
        <f>A336</f>
        <v>12th, 14th &amp; 15thFloor</v>
      </c>
      <c r="H337" s="97"/>
      <c r="I337" s="43"/>
      <c r="P337" s="44"/>
    </row>
    <row r="338" spans="1:16" s="63" customFormat="1" x14ac:dyDescent="0.25">
      <c r="A338" s="64">
        <v>2</v>
      </c>
      <c r="B338" s="64" t="s">
        <v>180</v>
      </c>
      <c r="C338" s="64" t="s">
        <v>191</v>
      </c>
      <c r="D338" s="64">
        <f>34.8*10.764</f>
        <v>374.58719999999994</v>
      </c>
      <c r="E338" s="64">
        <v>0</v>
      </c>
      <c r="F338" s="64">
        <f t="shared" si="76"/>
        <v>580.61015999999995</v>
      </c>
      <c r="G338" s="96" t="str">
        <f t="shared" ref="G338:G344" si="77">G337</f>
        <v>12th, 14th &amp; 15thFloor</v>
      </c>
      <c r="H338" s="97"/>
      <c r="I338" s="43"/>
    </row>
    <row r="339" spans="1:16" s="63" customFormat="1" x14ac:dyDescent="0.25">
      <c r="A339" s="64">
        <v>3</v>
      </c>
      <c r="B339" s="64" t="s">
        <v>180</v>
      </c>
      <c r="C339" s="64" t="s">
        <v>191</v>
      </c>
      <c r="D339" s="64">
        <f>34.69*10.764</f>
        <v>373.40315999999996</v>
      </c>
      <c r="E339" s="64">
        <v>0</v>
      </c>
      <c r="F339" s="64">
        <f t="shared" si="76"/>
        <v>578.77489799999989</v>
      </c>
      <c r="G339" s="96" t="str">
        <f t="shared" si="77"/>
        <v>12th, 14th &amp; 15thFloor</v>
      </c>
      <c r="H339" s="97"/>
      <c r="I339" s="43"/>
    </row>
    <row r="340" spans="1:16" s="63" customFormat="1" x14ac:dyDescent="0.25">
      <c r="A340" s="64">
        <v>4</v>
      </c>
      <c r="B340" s="64" t="s">
        <v>180</v>
      </c>
      <c r="C340" s="64" t="s">
        <v>191</v>
      </c>
      <c r="D340" s="64">
        <f>35.16*10.764</f>
        <v>378.46223999999995</v>
      </c>
      <c r="E340" s="64">
        <v>0</v>
      </c>
      <c r="F340" s="64">
        <f t="shared" si="76"/>
        <v>586.61647199999993</v>
      </c>
      <c r="G340" s="96" t="str">
        <f t="shared" si="77"/>
        <v>12th, 14th &amp; 15thFloor</v>
      </c>
      <c r="H340" s="97"/>
      <c r="I340" s="43"/>
    </row>
    <row r="341" spans="1:16" s="63" customFormat="1" x14ac:dyDescent="0.25">
      <c r="A341" s="64">
        <v>5</v>
      </c>
      <c r="B341" s="64" t="s">
        <v>180</v>
      </c>
      <c r="C341" s="64" t="s">
        <v>191</v>
      </c>
      <c r="D341" s="64">
        <f>34.84*10.764</f>
        <v>375.01776000000001</v>
      </c>
      <c r="E341" s="64">
        <v>0</v>
      </c>
      <c r="F341" s="64">
        <f t="shared" si="76"/>
        <v>581.27752800000007</v>
      </c>
      <c r="G341" s="96" t="str">
        <f t="shared" si="77"/>
        <v>12th, 14th &amp; 15thFloor</v>
      </c>
      <c r="H341" s="97"/>
      <c r="I341" s="43"/>
    </row>
    <row r="342" spans="1:16" s="63" customFormat="1" x14ac:dyDescent="0.25">
      <c r="A342" s="64">
        <v>6</v>
      </c>
      <c r="B342" s="64" t="s">
        <v>180</v>
      </c>
      <c r="C342" s="64" t="s">
        <v>191</v>
      </c>
      <c r="D342" s="64">
        <f>34.93*10.764</f>
        <v>375.98651999999998</v>
      </c>
      <c r="E342" s="64">
        <v>0</v>
      </c>
      <c r="F342" s="64">
        <f t="shared" si="76"/>
        <v>582.77910599999996</v>
      </c>
      <c r="G342" s="96" t="str">
        <f t="shared" si="77"/>
        <v>12th, 14th &amp; 15thFloor</v>
      </c>
      <c r="H342" s="97"/>
      <c r="I342" s="43"/>
    </row>
    <row r="343" spans="1:16" s="63" customFormat="1" x14ac:dyDescent="0.25">
      <c r="A343" s="64">
        <v>7</v>
      </c>
      <c r="B343" s="64" t="s">
        <v>180</v>
      </c>
      <c r="C343" s="64" t="s">
        <v>191</v>
      </c>
      <c r="D343" s="64">
        <f>34.93*10.764</f>
        <v>375.98651999999998</v>
      </c>
      <c r="E343" s="64">
        <v>0</v>
      </c>
      <c r="F343" s="64">
        <f t="shared" si="76"/>
        <v>582.77910599999996</v>
      </c>
      <c r="G343" s="96" t="str">
        <f t="shared" si="77"/>
        <v>12th, 14th &amp; 15thFloor</v>
      </c>
      <c r="H343" s="97"/>
      <c r="I343" s="43"/>
    </row>
    <row r="344" spans="1:16" s="63" customFormat="1" x14ac:dyDescent="0.25">
      <c r="A344" s="64">
        <v>8</v>
      </c>
      <c r="B344" s="64" t="s">
        <v>180</v>
      </c>
      <c r="C344" s="64" t="s">
        <v>191</v>
      </c>
      <c r="D344" s="64">
        <f>34.83*10.764</f>
        <v>374.91011999999995</v>
      </c>
      <c r="E344" s="64">
        <v>0</v>
      </c>
      <c r="F344" s="64">
        <f t="shared" si="76"/>
        <v>581.11068599999999</v>
      </c>
      <c r="G344" s="96" t="str">
        <f t="shared" si="77"/>
        <v>12th, 14th &amp; 15thFloor</v>
      </c>
      <c r="H344" s="97"/>
      <c r="I344" s="43"/>
    </row>
    <row r="345" spans="1:16" s="63" customFormat="1" x14ac:dyDescent="0.25">
      <c r="A345" s="120" t="s">
        <v>215</v>
      </c>
      <c r="B345" s="121"/>
      <c r="C345" s="121"/>
      <c r="D345" s="121"/>
      <c r="E345" s="121"/>
      <c r="F345" s="121"/>
      <c r="G345" s="121"/>
      <c r="H345" s="122"/>
      <c r="J345" s="43"/>
    </row>
    <row r="346" spans="1:16" s="63" customFormat="1" x14ac:dyDescent="0.25">
      <c r="A346" s="64">
        <v>1</v>
      </c>
      <c r="B346" s="64" t="s">
        <v>180</v>
      </c>
      <c r="C346" s="64" t="s">
        <v>208</v>
      </c>
      <c r="D346" s="64">
        <f>(35.22+2.15*3.05+1.95*1.1)*10.764</f>
        <v>472.78178999999994</v>
      </c>
      <c r="E346" s="64">
        <v>0</v>
      </c>
      <c r="F346" s="64">
        <f t="shared" ref="F346:F351" si="78">D346*(($F$274)+1)+(IF(E346&lt;101,E346,IF(E346&lt;201,E346/2,IF(E346&lt;=301,E346/3,E346/4))))</f>
        <v>732.81177449999996</v>
      </c>
      <c r="G346" s="96" t="str">
        <f>A345</f>
        <v>16th Floor (Part Refuge Area)</v>
      </c>
      <c r="H346" s="97"/>
      <c r="I346" s="43"/>
      <c r="P346" s="44"/>
    </row>
    <row r="347" spans="1:16" s="63" customFormat="1" x14ac:dyDescent="0.25">
      <c r="A347" s="64">
        <v>2</v>
      </c>
      <c r="B347" s="64" t="s">
        <v>180</v>
      </c>
      <c r="C347" s="64" t="s">
        <v>191</v>
      </c>
      <c r="D347" s="64">
        <f>34.8*10.764</f>
        <v>374.58719999999994</v>
      </c>
      <c r="E347" s="64">
        <v>0</v>
      </c>
      <c r="F347" s="64">
        <f t="shared" si="78"/>
        <v>580.61015999999995</v>
      </c>
      <c r="G347" s="96" t="str">
        <f t="shared" ref="G347:G353" si="79">G346</f>
        <v>16th Floor (Part Refuge Area)</v>
      </c>
      <c r="H347" s="97"/>
      <c r="I347" s="43"/>
    </row>
    <row r="348" spans="1:16" s="63" customFormat="1" x14ac:dyDescent="0.25">
      <c r="A348" s="64">
        <v>3</v>
      </c>
      <c r="B348" s="64" t="s">
        <v>180</v>
      </c>
      <c r="C348" s="64" t="s">
        <v>191</v>
      </c>
      <c r="D348" s="64">
        <f>34.69*10.764</f>
        <v>373.40315999999996</v>
      </c>
      <c r="E348" s="64">
        <v>0</v>
      </c>
      <c r="F348" s="64">
        <f t="shared" si="78"/>
        <v>578.77489799999989</v>
      </c>
      <c r="G348" s="96" t="str">
        <f t="shared" si="79"/>
        <v>16th Floor (Part Refuge Area)</v>
      </c>
      <c r="H348" s="97"/>
      <c r="I348" s="43"/>
    </row>
    <row r="349" spans="1:16" s="63" customFormat="1" x14ac:dyDescent="0.25">
      <c r="A349" s="64">
        <v>4</v>
      </c>
      <c r="B349" s="64" t="s">
        <v>180</v>
      </c>
      <c r="C349" s="64" t="s">
        <v>191</v>
      </c>
      <c r="D349" s="64">
        <f>35.16*10.764</f>
        <v>378.46223999999995</v>
      </c>
      <c r="E349" s="64">
        <v>0</v>
      </c>
      <c r="F349" s="64">
        <f t="shared" si="78"/>
        <v>586.61647199999993</v>
      </c>
      <c r="G349" s="96" t="str">
        <f t="shared" si="79"/>
        <v>16th Floor (Part Refuge Area)</v>
      </c>
      <c r="H349" s="97"/>
      <c r="I349" s="43"/>
    </row>
    <row r="350" spans="1:16" s="63" customFormat="1" x14ac:dyDescent="0.25">
      <c r="A350" s="64">
        <v>5</v>
      </c>
      <c r="B350" s="64" t="s">
        <v>180</v>
      </c>
      <c r="C350" s="64" t="s">
        <v>191</v>
      </c>
      <c r="D350" s="64">
        <f>34.84*10.764</f>
        <v>375.01776000000001</v>
      </c>
      <c r="E350" s="64">
        <v>0</v>
      </c>
      <c r="F350" s="64">
        <f t="shared" si="78"/>
        <v>581.27752800000007</v>
      </c>
      <c r="G350" s="96" t="str">
        <f t="shared" si="79"/>
        <v>16th Floor (Part Refuge Area)</v>
      </c>
      <c r="H350" s="97"/>
      <c r="I350" s="43"/>
    </row>
    <row r="351" spans="1:16" s="63" customFormat="1" x14ac:dyDescent="0.25">
      <c r="A351" s="64">
        <v>6</v>
      </c>
      <c r="B351" s="64" t="s">
        <v>180</v>
      </c>
      <c r="C351" s="64" t="s">
        <v>191</v>
      </c>
      <c r="D351" s="64">
        <f>34.93*10.764</f>
        <v>375.98651999999998</v>
      </c>
      <c r="E351" s="64">
        <v>0</v>
      </c>
      <c r="F351" s="64">
        <f t="shared" si="78"/>
        <v>582.77910599999996</v>
      </c>
      <c r="G351" s="96" t="str">
        <f t="shared" si="79"/>
        <v>16th Floor (Part Refuge Area)</v>
      </c>
      <c r="H351" s="97"/>
      <c r="I351" s="43"/>
    </row>
    <row r="352" spans="1:16" s="70" customFormat="1" x14ac:dyDescent="0.25">
      <c r="A352" s="64">
        <v>7</v>
      </c>
      <c r="B352" s="64" t="s">
        <v>195</v>
      </c>
      <c r="C352" s="123" t="s">
        <v>196</v>
      </c>
      <c r="D352" s="124"/>
      <c r="E352" s="124"/>
      <c r="F352" s="125"/>
      <c r="G352" s="96" t="str">
        <f t="shared" si="79"/>
        <v>16th Floor (Part Refuge Area)</v>
      </c>
      <c r="H352" s="97"/>
      <c r="I352" s="43"/>
    </row>
    <row r="353" spans="1:16" s="70" customFormat="1" x14ac:dyDescent="0.25">
      <c r="A353" s="64">
        <v>8</v>
      </c>
      <c r="B353" s="64" t="s">
        <v>195</v>
      </c>
      <c r="C353" s="126"/>
      <c r="D353" s="127"/>
      <c r="E353" s="127"/>
      <c r="F353" s="128"/>
      <c r="G353" s="96" t="str">
        <f t="shared" si="79"/>
        <v>16th Floor (Part Refuge Area)</v>
      </c>
      <c r="H353" s="97"/>
      <c r="I353" s="43"/>
    </row>
    <row r="354" spans="1:16" s="63" customFormat="1" x14ac:dyDescent="0.25">
      <c r="A354" s="120" t="s">
        <v>214</v>
      </c>
      <c r="B354" s="121"/>
      <c r="C354" s="121"/>
      <c r="D354" s="121"/>
      <c r="E354" s="121"/>
      <c r="F354" s="121"/>
      <c r="G354" s="121"/>
      <c r="H354" s="122"/>
      <c r="J354" s="43"/>
    </row>
    <row r="355" spans="1:16" s="63" customFormat="1" x14ac:dyDescent="0.25">
      <c r="A355" s="64">
        <v>1</v>
      </c>
      <c r="B355" s="64" t="s">
        <v>180</v>
      </c>
      <c r="C355" s="64" t="s">
        <v>191</v>
      </c>
      <c r="D355" s="64">
        <f>35.22*10.764</f>
        <v>379.10807999999997</v>
      </c>
      <c r="E355" s="64">
        <v>0</v>
      </c>
      <c r="F355" s="64">
        <f t="shared" ref="F355:F362" si="80">D355*(($F$274)+1)+(IF(E355&lt;101,E355,IF(E355&lt;201,E355/2,IF(E355&lt;=301,E355/3,E355/4))))</f>
        <v>587.617524</v>
      </c>
      <c r="G355" s="96" t="str">
        <f>A354</f>
        <v>17th Floor</v>
      </c>
      <c r="H355" s="97"/>
      <c r="I355" s="43"/>
      <c r="P355" s="44"/>
    </row>
    <row r="356" spans="1:16" s="63" customFormat="1" x14ac:dyDescent="0.25">
      <c r="A356" s="64">
        <v>2</v>
      </c>
      <c r="B356" s="64" t="s">
        <v>180</v>
      </c>
      <c r="C356" s="64" t="s">
        <v>191</v>
      </c>
      <c r="D356" s="64">
        <f>34.8*10.764</f>
        <v>374.58719999999994</v>
      </c>
      <c r="E356" s="64">
        <v>0</v>
      </c>
      <c r="F356" s="64">
        <f t="shared" si="80"/>
        <v>580.61015999999995</v>
      </c>
      <c r="G356" s="96" t="str">
        <f t="shared" ref="G356:G362" si="81">G355</f>
        <v>17th Floor</v>
      </c>
      <c r="H356" s="97"/>
      <c r="I356" s="43"/>
    </row>
    <row r="357" spans="1:16" s="63" customFormat="1" x14ac:dyDescent="0.25">
      <c r="A357" s="64">
        <v>3</v>
      </c>
      <c r="B357" s="64" t="s">
        <v>180</v>
      </c>
      <c r="C357" s="64" t="s">
        <v>191</v>
      </c>
      <c r="D357" s="64">
        <f>34.69*10.764</f>
        <v>373.40315999999996</v>
      </c>
      <c r="E357" s="64">
        <v>0</v>
      </c>
      <c r="F357" s="64">
        <f t="shared" si="80"/>
        <v>578.77489799999989</v>
      </c>
      <c r="G357" s="96" t="str">
        <f t="shared" si="81"/>
        <v>17th Floor</v>
      </c>
      <c r="H357" s="97"/>
      <c r="I357" s="43"/>
    </row>
    <row r="358" spans="1:16" s="63" customFormat="1" x14ac:dyDescent="0.25">
      <c r="A358" s="64">
        <v>4</v>
      </c>
      <c r="B358" s="64" t="s">
        <v>180</v>
      </c>
      <c r="C358" s="64" t="s">
        <v>191</v>
      </c>
      <c r="D358" s="64">
        <f>35.16*10.764</f>
        <v>378.46223999999995</v>
      </c>
      <c r="E358" s="64">
        <v>0</v>
      </c>
      <c r="F358" s="64">
        <f t="shared" si="80"/>
        <v>586.61647199999993</v>
      </c>
      <c r="G358" s="96" t="str">
        <f t="shared" si="81"/>
        <v>17th Floor</v>
      </c>
      <c r="H358" s="97"/>
      <c r="I358" s="43"/>
    </row>
    <row r="359" spans="1:16" s="63" customFormat="1" x14ac:dyDescent="0.25">
      <c r="A359" s="64">
        <v>5</v>
      </c>
      <c r="B359" s="64" t="s">
        <v>180</v>
      </c>
      <c r="C359" s="64" t="s">
        <v>191</v>
      </c>
      <c r="D359" s="64">
        <f>34.84*10.764</f>
        <v>375.01776000000001</v>
      </c>
      <c r="E359" s="64">
        <v>0</v>
      </c>
      <c r="F359" s="64">
        <f t="shared" si="80"/>
        <v>581.27752800000007</v>
      </c>
      <c r="G359" s="96" t="str">
        <f t="shared" si="81"/>
        <v>17th Floor</v>
      </c>
      <c r="H359" s="97"/>
      <c r="I359" s="43"/>
    </row>
    <row r="360" spans="1:16" s="63" customFormat="1" x14ac:dyDescent="0.25">
      <c r="A360" s="64">
        <v>6</v>
      </c>
      <c r="B360" s="64" t="s">
        <v>178</v>
      </c>
      <c r="C360" s="64" t="s">
        <v>191</v>
      </c>
      <c r="D360" s="64">
        <f>34.93*10.764</f>
        <v>375.98651999999998</v>
      </c>
      <c r="E360" s="64">
        <v>0</v>
      </c>
      <c r="F360" s="64">
        <f t="shared" si="80"/>
        <v>582.77910599999996</v>
      </c>
      <c r="G360" s="96" t="str">
        <f t="shared" si="81"/>
        <v>17th Floor</v>
      </c>
      <c r="H360" s="97"/>
      <c r="I360" s="43"/>
    </row>
    <row r="361" spans="1:16" s="63" customFormat="1" x14ac:dyDescent="0.25">
      <c r="A361" s="64">
        <v>7</v>
      </c>
      <c r="B361" s="64" t="s">
        <v>178</v>
      </c>
      <c r="C361" s="64" t="s">
        <v>191</v>
      </c>
      <c r="D361" s="64">
        <f>34.93*10.764</f>
        <v>375.98651999999998</v>
      </c>
      <c r="E361" s="64">
        <v>0</v>
      </c>
      <c r="F361" s="64">
        <f t="shared" si="80"/>
        <v>582.77910599999996</v>
      </c>
      <c r="G361" s="96" t="str">
        <f t="shared" si="81"/>
        <v>17th Floor</v>
      </c>
      <c r="H361" s="97"/>
      <c r="I361" s="43"/>
    </row>
    <row r="362" spans="1:16" s="63" customFormat="1" x14ac:dyDescent="0.25">
      <c r="A362" s="64">
        <v>8</v>
      </c>
      <c r="B362" s="64" t="s">
        <v>180</v>
      </c>
      <c r="C362" s="64" t="s">
        <v>191</v>
      </c>
      <c r="D362" s="64">
        <f>34.83*10.764</f>
        <v>374.91011999999995</v>
      </c>
      <c r="E362" s="64">
        <v>0</v>
      </c>
      <c r="F362" s="64">
        <f t="shared" si="80"/>
        <v>581.11068599999999</v>
      </c>
      <c r="G362" s="96" t="str">
        <f t="shared" si="81"/>
        <v>17th Floor</v>
      </c>
      <c r="H362" s="97"/>
      <c r="I362" s="43"/>
    </row>
    <row r="363" spans="1:16" s="63" customFormat="1" x14ac:dyDescent="0.25">
      <c r="A363" s="120" t="s">
        <v>220</v>
      </c>
      <c r="B363" s="121"/>
      <c r="C363" s="121"/>
      <c r="D363" s="121"/>
      <c r="E363" s="121"/>
      <c r="F363" s="121"/>
      <c r="G363" s="121"/>
      <c r="H363" s="122"/>
      <c r="J363" s="43"/>
    </row>
    <row r="364" spans="1:16" s="63" customFormat="1" x14ac:dyDescent="0.25">
      <c r="A364" s="64">
        <v>1</v>
      </c>
      <c r="B364" s="64" t="s">
        <v>180</v>
      </c>
      <c r="C364" s="64" t="s">
        <v>191</v>
      </c>
      <c r="D364" s="64">
        <f>35.22*10.764</f>
        <v>379.10807999999997</v>
      </c>
      <c r="E364" s="64">
        <v>0</v>
      </c>
      <c r="F364" s="64">
        <f t="shared" ref="F364:F371" si="82">D364*(($F$274)+1)+(IF(E364&lt;101,E364,IF(E364&lt;201,E364/2,IF(E364&lt;=301,E364/3,E364/4))))</f>
        <v>587.617524</v>
      </c>
      <c r="G364" s="96" t="str">
        <f>A363</f>
        <v>18th Floor (Part Terrace Area)</v>
      </c>
      <c r="H364" s="97"/>
      <c r="I364" s="43"/>
      <c r="P364" s="44"/>
    </row>
    <row r="365" spans="1:16" s="63" customFormat="1" x14ac:dyDescent="0.25">
      <c r="A365" s="64">
        <v>2</v>
      </c>
      <c r="B365" s="64" t="s">
        <v>180</v>
      </c>
      <c r="C365" s="64" t="s">
        <v>191</v>
      </c>
      <c r="D365" s="64">
        <f>34.8*10.764</f>
        <v>374.58719999999994</v>
      </c>
      <c r="E365" s="64">
        <v>0</v>
      </c>
      <c r="F365" s="64">
        <f t="shared" si="82"/>
        <v>580.61015999999995</v>
      </c>
      <c r="G365" s="96" t="str">
        <f t="shared" ref="G365:G371" si="83">G364</f>
        <v>18th Floor (Part Terrace Area)</v>
      </c>
      <c r="H365" s="97"/>
      <c r="I365" s="43"/>
    </row>
    <row r="366" spans="1:16" s="63" customFormat="1" x14ac:dyDescent="0.25">
      <c r="A366" s="64">
        <v>3</v>
      </c>
      <c r="B366" s="64" t="s">
        <v>180</v>
      </c>
      <c r="C366" s="64" t="s">
        <v>191</v>
      </c>
      <c r="D366" s="64">
        <f>34.69*10.764</f>
        <v>373.40315999999996</v>
      </c>
      <c r="E366" s="64">
        <v>0</v>
      </c>
      <c r="F366" s="64">
        <f t="shared" si="82"/>
        <v>578.77489799999989</v>
      </c>
      <c r="G366" s="96" t="str">
        <f t="shared" si="83"/>
        <v>18th Floor (Part Terrace Area)</v>
      </c>
      <c r="H366" s="97"/>
      <c r="I366" s="43"/>
    </row>
    <row r="367" spans="1:16" s="63" customFormat="1" x14ac:dyDescent="0.25">
      <c r="A367" s="64">
        <v>4</v>
      </c>
      <c r="B367" s="64" t="s">
        <v>180</v>
      </c>
      <c r="C367" s="64" t="s">
        <v>191</v>
      </c>
      <c r="D367" s="64">
        <f>35.16*10.764</f>
        <v>378.46223999999995</v>
      </c>
      <c r="E367" s="64">
        <v>0</v>
      </c>
      <c r="F367" s="64">
        <f t="shared" si="82"/>
        <v>586.61647199999993</v>
      </c>
      <c r="G367" s="96" t="str">
        <f t="shared" si="83"/>
        <v>18th Floor (Part Terrace Area)</v>
      </c>
      <c r="H367" s="97"/>
      <c r="I367" s="43"/>
    </row>
    <row r="368" spans="1:16" s="63" customFormat="1" x14ac:dyDescent="0.25">
      <c r="A368" s="64">
        <v>5</v>
      </c>
      <c r="B368" s="64" t="s">
        <v>195</v>
      </c>
      <c r="C368" s="96" t="s">
        <v>221</v>
      </c>
      <c r="D368" s="129"/>
      <c r="E368" s="129"/>
      <c r="F368" s="97"/>
      <c r="G368" s="96" t="str">
        <f t="shared" si="83"/>
        <v>18th Floor (Part Terrace Area)</v>
      </c>
      <c r="H368" s="97"/>
      <c r="I368" s="43"/>
    </row>
    <row r="369" spans="1:16" s="63" customFormat="1" x14ac:dyDescent="0.25">
      <c r="A369" s="64">
        <v>6</v>
      </c>
      <c r="B369" s="64" t="s">
        <v>195</v>
      </c>
      <c r="C369" s="96" t="s">
        <v>221</v>
      </c>
      <c r="D369" s="129"/>
      <c r="E369" s="129"/>
      <c r="F369" s="97"/>
      <c r="G369" s="96" t="str">
        <f t="shared" si="83"/>
        <v>18th Floor (Part Terrace Area)</v>
      </c>
      <c r="H369" s="97"/>
      <c r="I369" s="43"/>
    </row>
    <row r="370" spans="1:16" s="63" customFormat="1" x14ac:dyDescent="0.25">
      <c r="A370" s="64">
        <v>7</v>
      </c>
      <c r="B370" s="64" t="s">
        <v>178</v>
      </c>
      <c r="C370" s="64" t="s">
        <v>191</v>
      </c>
      <c r="D370" s="64">
        <f>34.93*10.764</f>
        <v>375.98651999999998</v>
      </c>
      <c r="E370" s="64">
        <v>0</v>
      </c>
      <c r="F370" s="64">
        <f t="shared" si="82"/>
        <v>582.77910599999996</v>
      </c>
      <c r="G370" s="96" t="str">
        <f t="shared" si="83"/>
        <v>18th Floor (Part Terrace Area)</v>
      </c>
      <c r="H370" s="97"/>
      <c r="I370" s="43"/>
    </row>
    <row r="371" spans="1:16" s="63" customFormat="1" x14ac:dyDescent="0.25">
      <c r="A371" s="64">
        <v>8</v>
      </c>
      <c r="B371" s="64" t="s">
        <v>178</v>
      </c>
      <c r="C371" s="64" t="s">
        <v>191</v>
      </c>
      <c r="D371" s="64">
        <f>34.83*10.764</f>
        <v>374.91011999999995</v>
      </c>
      <c r="E371" s="64">
        <v>0</v>
      </c>
      <c r="F371" s="64">
        <f t="shared" si="82"/>
        <v>581.11068599999999</v>
      </c>
      <c r="G371" s="96" t="str">
        <f t="shared" si="83"/>
        <v>18th Floor (Part Terrace Area)</v>
      </c>
      <c r="H371" s="97"/>
      <c r="I371" s="43"/>
    </row>
    <row r="372" spans="1:16" s="63" customFormat="1" x14ac:dyDescent="0.25">
      <c r="A372" s="120" t="s">
        <v>219</v>
      </c>
      <c r="B372" s="121"/>
      <c r="C372" s="121"/>
      <c r="D372" s="121"/>
      <c r="E372" s="121"/>
      <c r="F372" s="121"/>
      <c r="G372" s="121"/>
      <c r="H372" s="122"/>
      <c r="J372" s="43"/>
    </row>
    <row r="373" spans="1:16" s="63" customFormat="1" x14ac:dyDescent="0.25">
      <c r="A373" s="64">
        <v>1</v>
      </c>
      <c r="B373" s="64" t="s">
        <v>180</v>
      </c>
      <c r="C373" s="64" t="s">
        <v>191</v>
      </c>
      <c r="D373" s="64">
        <f>35.22*10.764</f>
        <v>379.10807999999997</v>
      </c>
      <c r="E373" s="64">
        <v>0</v>
      </c>
      <c r="F373" s="64">
        <f t="shared" ref="F373:F376" si="84">D373*(($F$274)+1)+(IF(E373&lt;101,E373,IF(E373&lt;201,E373/2,IF(E373&lt;=301,E373/3,E373/4))))</f>
        <v>587.617524</v>
      </c>
      <c r="G373" s="96" t="str">
        <f>A372</f>
        <v>19th Floor</v>
      </c>
      <c r="H373" s="97"/>
      <c r="I373" s="43"/>
      <c r="P373" s="44"/>
    </row>
    <row r="374" spans="1:16" s="63" customFormat="1" x14ac:dyDescent="0.25">
      <c r="A374" s="64">
        <v>2</v>
      </c>
      <c r="B374" s="64" t="s">
        <v>180</v>
      </c>
      <c r="C374" s="64" t="s">
        <v>191</v>
      </c>
      <c r="D374" s="64">
        <f>34.8*10.764</f>
        <v>374.58719999999994</v>
      </c>
      <c r="E374" s="64">
        <v>0</v>
      </c>
      <c r="F374" s="64">
        <f t="shared" si="84"/>
        <v>580.61015999999995</v>
      </c>
      <c r="G374" s="96" t="str">
        <f t="shared" ref="G374:G380" si="85">G373</f>
        <v>19th Floor</v>
      </c>
      <c r="H374" s="97"/>
      <c r="I374" s="43"/>
    </row>
    <row r="375" spans="1:16" s="63" customFormat="1" x14ac:dyDescent="0.25">
      <c r="A375" s="64">
        <v>3</v>
      </c>
      <c r="B375" s="64" t="s">
        <v>180</v>
      </c>
      <c r="C375" s="64" t="s">
        <v>191</v>
      </c>
      <c r="D375" s="64">
        <f>34.69*10.764</f>
        <v>373.40315999999996</v>
      </c>
      <c r="E375" s="64">
        <v>0</v>
      </c>
      <c r="F375" s="64">
        <f t="shared" si="84"/>
        <v>578.77489799999989</v>
      </c>
      <c r="G375" s="96" t="str">
        <f t="shared" si="85"/>
        <v>19th Floor</v>
      </c>
      <c r="H375" s="97"/>
      <c r="I375" s="43"/>
    </row>
    <row r="376" spans="1:16" s="63" customFormat="1" x14ac:dyDescent="0.25">
      <c r="A376" s="64">
        <v>4</v>
      </c>
      <c r="B376" s="64" t="s">
        <v>180</v>
      </c>
      <c r="C376" s="64" t="s">
        <v>191</v>
      </c>
      <c r="D376" s="64">
        <f>35.16*10.764</f>
        <v>378.46223999999995</v>
      </c>
      <c r="E376" s="64">
        <v>0</v>
      </c>
      <c r="F376" s="64">
        <f t="shared" si="84"/>
        <v>586.61647199999993</v>
      </c>
      <c r="G376" s="96" t="str">
        <f t="shared" si="85"/>
        <v>19th Floor</v>
      </c>
      <c r="H376" s="97"/>
      <c r="I376" s="43"/>
    </row>
    <row r="377" spans="1:16" s="63" customFormat="1" hidden="1" x14ac:dyDescent="0.25">
      <c r="A377" s="64">
        <v>5</v>
      </c>
      <c r="B377" s="64" t="s">
        <v>195</v>
      </c>
      <c r="C377" s="96" t="s">
        <v>223</v>
      </c>
      <c r="D377" s="129"/>
      <c r="E377" s="129"/>
      <c r="F377" s="97"/>
      <c r="G377" s="96" t="str">
        <f t="shared" si="85"/>
        <v>19th Floor</v>
      </c>
      <c r="H377" s="97"/>
      <c r="I377" s="43"/>
    </row>
    <row r="378" spans="1:16" s="63" customFormat="1" ht="15.75" hidden="1" customHeight="1" x14ac:dyDescent="0.25">
      <c r="A378" s="64">
        <v>6</v>
      </c>
      <c r="B378" s="64" t="s">
        <v>195</v>
      </c>
      <c r="C378" s="96" t="s">
        <v>223</v>
      </c>
      <c r="D378" s="129"/>
      <c r="E378" s="129"/>
      <c r="F378" s="97"/>
      <c r="G378" s="96" t="str">
        <f t="shared" si="85"/>
        <v>19th Floor</v>
      </c>
      <c r="H378" s="97"/>
      <c r="I378" s="43"/>
    </row>
    <row r="379" spans="1:16" s="63" customFormat="1" x14ac:dyDescent="0.25">
      <c r="A379" s="64">
        <v>7</v>
      </c>
      <c r="B379" s="64" t="s">
        <v>178</v>
      </c>
      <c r="C379" s="64" t="s">
        <v>191</v>
      </c>
      <c r="D379" s="64">
        <f>34.93*10.764</f>
        <v>375.98651999999998</v>
      </c>
      <c r="E379" s="64">
        <v>0</v>
      </c>
      <c r="F379" s="64">
        <f t="shared" ref="F379:F380" si="86">D379*(($F$274)+1)+(IF(E379&lt;101,E379,IF(E379&lt;201,E379/2,IF(E379&lt;=301,E379/3,E379/4))))</f>
        <v>582.77910599999996</v>
      </c>
      <c r="G379" s="96" t="str">
        <f t="shared" si="85"/>
        <v>19th Floor</v>
      </c>
      <c r="H379" s="97"/>
      <c r="I379" s="43"/>
    </row>
    <row r="380" spans="1:16" s="63" customFormat="1" x14ac:dyDescent="0.25">
      <c r="A380" s="64">
        <v>8</v>
      </c>
      <c r="B380" s="64" t="s">
        <v>178</v>
      </c>
      <c r="C380" s="64" t="s">
        <v>191</v>
      </c>
      <c r="D380" s="64">
        <f>34.83*10.764</f>
        <v>374.91011999999995</v>
      </c>
      <c r="E380" s="64">
        <v>0</v>
      </c>
      <c r="F380" s="64">
        <f t="shared" si="86"/>
        <v>581.11068599999999</v>
      </c>
      <c r="G380" s="96" t="str">
        <f t="shared" si="85"/>
        <v>19th Floor</v>
      </c>
      <c r="H380" s="97"/>
      <c r="I380" s="43"/>
    </row>
    <row r="381" spans="1:16" s="63" customFormat="1" x14ac:dyDescent="0.25">
      <c r="A381" s="120" t="s">
        <v>222</v>
      </c>
      <c r="B381" s="121"/>
      <c r="C381" s="121"/>
      <c r="D381" s="121"/>
      <c r="E381" s="121"/>
      <c r="F381" s="121"/>
      <c r="G381" s="121"/>
      <c r="H381" s="122"/>
      <c r="J381" s="43"/>
    </row>
    <row r="382" spans="1:16" s="63" customFormat="1" x14ac:dyDescent="0.25">
      <c r="A382" s="64">
        <v>1</v>
      </c>
      <c r="B382" s="64" t="s">
        <v>180</v>
      </c>
      <c r="C382" s="64" t="s">
        <v>191</v>
      </c>
      <c r="D382" s="64">
        <f>35.22*10.764</f>
        <v>379.10807999999997</v>
      </c>
      <c r="E382" s="64">
        <v>0</v>
      </c>
      <c r="F382" s="64">
        <f t="shared" ref="F382:F385" si="87">D382*(($F$274)+1)+(IF(E382&lt;101,E382,IF(E382&lt;201,E382/2,IF(E382&lt;=301,E382/3,E382/4))))</f>
        <v>587.617524</v>
      </c>
      <c r="G382" s="96" t="str">
        <f>A381</f>
        <v>20th Floor</v>
      </c>
      <c r="H382" s="97"/>
      <c r="I382" s="43"/>
      <c r="P382" s="44"/>
    </row>
    <row r="383" spans="1:16" s="63" customFormat="1" x14ac:dyDescent="0.25">
      <c r="A383" s="64">
        <v>2</v>
      </c>
      <c r="B383" s="64" t="s">
        <v>180</v>
      </c>
      <c r="C383" s="64" t="s">
        <v>191</v>
      </c>
      <c r="D383" s="64">
        <f>34.8*10.764</f>
        <v>374.58719999999994</v>
      </c>
      <c r="E383" s="64">
        <v>0</v>
      </c>
      <c r="F383" s="64">
        <f t="shared" si="87"/>
        <v>580.61015999999995</v>
      </c>
      <c r="G383" s="96" t="str">
        <f t="shared" ref="G383:G385" si="88">G382</f>
        <v>20th Floor</v>
      </c>
      <c r="H383" s="97"/>
      <c r="I383" s="43"/>
    </row>
    <row r="384" spans="1:16" s="63" customFormat="1" x14ac:dyDescent="0.25">
      <c r="A384" s="64">
        <v>3</v>
      </c>
      <c r="B384" s="64" t="s">
        <v>180</v>
      </c>
      <c r="C384" s="64" t="s">
        <v>191</v>
      </c>
      <c r="D384" s="64">
        <f>34.69*10.764</f>
        <v>373.40315999999996</v>
      </c>
      <c r="E384" s="64">
        <v>0</v>
      </c>
      <c r="F384" s="64">
        <f t="shared" si="87"/>
        <v>578.77489799999989</v>
      </c>
      <c r="G384" s="96" t="str">
        <f t="shared" si="88"/>
        <v>20th Floor</v>
      </c>
      <c r="H384" s="97"/>
      <c r="I384" s="43"/>
    </row>
    <row r="385" spans="1:16" s="63" customFormat="1" x14ac:dyDescent="0.25">
      <c r="A385" s="64">
        <v>4</v>
      </c>
      <c r="B385" s="64" t="s">
        <v>180</v>
      </c>
      <c r="C385" s="64" t="s">
        <v>191</v>
      </c>
      <c r="D385" s="64">
        <f>35.16*10.764</f>
        <v>378.46223999999995</v>
      </c>
      <c r="E385" s="64">
        <v>0</v>
      </c>
      <c r="F385" s="64">
        <f t="shared" si="87"/>
        <v>586.61647199999993</v>
      </c>
      <c r="G385" s="96" t="str">
        <f t="shared" si="88"/>
        <v>20th Floor</v>
      </c>
      <c r="H385" s="97"/>
      <c r="I385" s="43"/>
    </row>
    <row r="386" spans="1:16" s="63" customFormat="1" x14ac:dyDescent="0.25">
      <c r="A386" s="64">
        <v>7</v>
      </c>
      <c r="B386" s="64" t="s">
        <v>178</v>
      </c>
      <c r="C386" s="64" t="s">
        <v>191</v>
      </c>
      <c r="D386" s="64">
        <f>34.93*10.764</f>
        <v>375.98651999999998</v>
      </c>
      <c r="E386" s="64">
        <v>0</v>
      </c>
      <c r="F386" s="64">
        <f t="shared" ref="F386:F387" si="89">D386*(($F$274)+1)+(IF(E386&lt;101,E386,IF(E386&lt;201,E386/2,IF(E386&lt;=301,E386/3,E386/4))))</f>
        <v>582.77910599999996</v>
      </c>
      <c r="G386" s="96" t="str">
        <f t="shared" ref="G386:G387" si="90">G385</f>
        <v>20th Floor</v>
      </c>
      <c r="H386" s="97"/>
      <c r="I386" s="43"/>
    </row>
    <row r="387" spans="1:16" s="63" customFormat="1" x14ac:dyDescent="0.25">
      <c r="A387" s="64">
        <v>8</v>
      </c>
      <c r="B387" s="64" t="s">
        <v>178</v>
      </c>
      <c r="C387" s="64" t="s">
        <v>191</v>
      </c>
      <c r="D387" s="64">
        <f>34.83*10.764</f>
        <v>374.91011999999995</v>
      </c>
      <c r="E387" s="64">
        <v>0</v>
      </c>
      <c r="F387" s="64">
        <f t="shared" si="89"/>
        <v>581.11068599999999</v>
      </c>
      <c r="G387" s="96" t="str">
        <f t="shared" si="90"/>
        <v>20th Floor</v>
      </c>
      <c r="H387" s="97"/>
      <c r="I387" s="43"/>
    </row>
    <row r="388" spans="1:16" s="63" customFormat="1" x14ac:dyDescent="0.25">
      <c r="A388" s="120" t="s">
        <v>226</v>
      </c>
      <c r="B388" s="121"/>
      <c r="C388" s="121"/>
      <c r="D388" s="121"/>
      <c r="E388" s="121"/>
      <c r="F388" s="121"/>
      <c r="G388" s="121"/>
      <c r="H388" s="122"/>
      <c r="J388" s="43"/>
    </row>
    <row r="389" spans="1:16" s="63" customFormat="1" x14ac:dyDescent="0.25">
      <c r="A389" s="64">
        <v>1</v>
      </c>
      <c r="B389" s="64" t="s">
        <v>180</v>
      </c>
      <c r="C389" s="64" t="s">
        <v>191</v>
      </c>
      <c r="D389" s="64">
        <f>35.22*10.764</f>
        <v>379.10807999999997</v>
      </c>
      <c r="E389" s="64">
        <v>0</v>
      </c>
      <c r="F389" s="64">
        <f t="shared" ref="F389:F394" si="91">D389*(($F$274)+1)+(IF(E389&lt;101,E389,IF(E389&lt;201,E389/2,IF(E389&lt;=301,E389/3,E389/4))))</f>
        <v>587.617524</v>
      </c>
      <c r="G389" s="96" t="str">
        <f>A388</f>
        <v>21st Floor</v>
      </c>
      <c r="H389" s="97"/>
      <c r="I389" s="43"/>
      <c r="P389" s="44"/>
    </row>
    <row r="390" spans="1:16" s="63" customFormat="1" x14ac:dyDescent="0.25">
      <c r="A390" s="64">
        <v>2</v>
      </c>
      <c r="B390" s="64" t="s">
        <v>180</v>
      </c>
      <c r="C390" s="64" t="s">
        <v>191</v>
      </c>
      <c r="D390" s="64">
        <f>34.8*10.764</f>
        <v>374.58719999999994</v>
      </c>
      <c r="E390" s="64">
        <v>0</v>
      </c>
      <c r="F390" s="64">
        <f t="shared" si="91"/>
        <v>580.61015999999995</v>
      </c>
      <c r="G390" s="96" t="str">
        <f t="shared" ref="G390:G394" si="92">G389</f>
        <v>21st Floor</v>
      </c>
      <c r="H390" s="97"/>
      <c r="I390" s="43"/>
    </row>
    <row r="391" spans="1:16" s="63" customFormat="1" x14ac:dyDescent="0.25">
      <c r="A391" s="64">
        <v>3</v>
      </c>
      <c r="B391" s="64" t="s">
        <v>180</v>
      </c>
      <c r="C391" s="64" t="s">
        <v>191</v>
      </c>
      <c r="D391" s="64">
        <f>34.69*10.764</f>
        <v>373.40315999999996</v>
      </c>
      <c r="E391" s="64">
        <v>0</v>
      </c>
      <c r="F391" s="64">
        <f t="shared" si="91"/>
        <v>578.77489799999989</v>
      </c>
      <c r="G391" s="96" t="str">
        <f t="shared" si="92"/>
        <v>21st Floor</v>
      </c>
      <c r="H391" s="97"/>
      <c r="I391" s="43"/>
    </row>
    <row r="392" spans="1:16" s="63" customFormat="1" x14ac:dyDescent="0.25">
      <c r="A392" s="64">
        <v>4</v>
      </c>
      <c r="B392" s="64" t="s">
        <v>178</v>
      </c>
      <c r="C392" s="64" t="s">
        <v>191</v>
      </c>
      <c r="D392" s="64">
        <f>35.16*10.764</f>
        <v>378.46223999999995</v>
      </c>
      <c r="E392" s="64">
        <v>0</v>
      </c>
      <c r="F392" s="64">
        <f t="shared" si="91"/>
        <v>586.61647199999993</v>
      </c>
      <c r="G392" s="96" t="str">
        <f t="shared" si="92"/>
        <v>21st Floor</v>
      </c>
      <c r="H392" s="97"/>
      <c r="I392" s="43"/>
    </row>
    <row r="393" spans="1:16" s="63" customFormat="1" x14ac:dyDescent="0.25">
      <c r="A393" s="64">
        <v>7</v>
      </c>
      <c r="B393" s="64" t="s">
        <v>178</v>
      </c>
      <c r="C393" s="64" t="s">
        <v>191</v>
      </c>
      <c r="D393" s="64">
        <f>34.93*10.764</f>
        <v>375.98651999999998</v>
      </c>
      <c r="E393" s="64">
        <v>0</v>
      </c>
      <c r="F393" s="64">
        <f t="shared" si="91"/>
        <v>582.77910599999996</v>
      </c>
      <c r="G393" s="96" t="str">
        <f t="shared" si="92"/>
        <v>21st Floor</v>
      </c>
      <c r="H393" s="97"/>
      <c r="I393" s="43"/>
    </row>
    <row r="394" spans="1:16" s="63" customFormat="1" x14ac:dyDescent="0.25">
      <c r="A394" s="64">
        <v>8</v>
      </c>
      <c r="B394" s="64" t="s">
        <v>178</v>
      </c>
      <c r="C394" s="64" t="s">
        <v>191</v>
      </c>
      <c r="D394" s="64">
        <f>34.83*10.764</f>
        <v>374.91011999999995</v>
      </c>
      <c r="E394" s="64">
        <v>0</v>
      </c>
      <c r="F394" s="64">
        <f t="shared" si="91"/>
        <v>581.11068599999999</v>
      </c>
      <c r="G394" s="96" t="str">
        <f t="shared" si="92"/>
        <v>21st Floor</v>
      </c>
      <c r="H394" s="97"/>
      <c r="I394" s="43"/>
    </row>
    <row r="395" spans="1:16" s="63" customFormat="1" x14ac:dyDescent="0.25">
      <c r="A395" s="120" t="s">
        <v>234</v>
      </c>
      <c r="B395" s="121"/>
      <c r="C395" s="121"/>
      <c r="D395" s="121"/>
      <c r="E395" s="121"/>
      <c r="F395" s="121"/>
      <c r="G395" s="121"/>
      <c r="H395" s="122"/>
      <c r="J395" s="43"/>
    </row>
    <row r="396" spans="1:16" s="63" customFormat="1" x14ac:dyDescent="0.25">
      <c r="A396" s="64">
        <v>1</v>
      </c>
      <c r="B396" s="64" t="s">
        <v>180</v>
      </c>
      <c r="C396" s="64" t="s">
        <v>208</v>
      </c>
      <c r="D396" s="64">
        <f>(35.22+2.15*3.05+1.95*1.1)*10.764</f>
        <v>472.78178999999994</v>
      </c>
      <c r="E396" s="64">
        <v>0</v>
      </c>
      <c r="F396" s="64">
        <f t="shared" ref="F396:F401" si="93">D396*(($F$274)+1)+(IF(E396&lt;101,E396,IF(E396&lt;201,E396/2,IF(E396&lt;=301,E396/3,E396/4))))</f>
        <v>732.81177449999996</v>
      </c>
      <c r="G396" s="96" t="str">
        <f>A395</f>
        <v>23rd Floor (Part Refuge Area)</v>
      </c>
      <c r="H396" s="97"/>
      <c r="I396" s="43"/>
      <c r="P396" s="44"/>
    </row>
    <row r="397" spans="1:16" s="63" customFormat="1" x14ac:dyDescent="0.25">
      <c r="A397" s="64">
        <v>2</v>
      </c>
      <c r="B397" s="64" t="s">
        <v>180</v>
      </c>
      <c r="C397" s="64" t="s">
        <v>191</v>
      </c>
      <c r="D397" s="64">
        <f>34.8*10.764</f>
        <v>374.58719999999994</v>
      </c>
      <c r="E397" s="64">
        <v>0</v>
      </c>
      <c r="F397" s="64">
        <f t="shared" si="93"/>
        <v>580.61015999999995</v>
      </c>
      <c r="G397" s="96" t="str">
        <f t="shared" ref="G397:G403" si="94">G396</f>
        <v>23rd Floor (Part Refuge Area)</v>
      </c>
      <c r="H397" s="97"/>
      <c r="I397" s="43"/>
    </row>
    <row r="398" spans="1:16" s="63" customFormat="1" x14ac:dyDescent="0.25">
      <c r="A398" s="64">
        <v>3</v>
      </c>
      <c r="B398" s="64" t="s">
        <v>180</v>
      </c>
      <c r="C398" s="64" t="s">
        <v>191</v>
      </c>
      <c r="D398" s="64">
        <f>34.69*10.764</f>
        <v>373.40315999999996</v>
      </c>
      <c r="E398" s="64">
        <v>0</v>
      </c>
      <c r="F398" s="64">
        <f t="shared" si="93"/>
        <v>578.77489799999989</v>
      </c>
      <c r="G398" s="96" t="str">
        <f t="shared" si="94"/>
        <v>23rd Floor (Part Refuge Area)</v>
      </c>
      <c r="H398" s="97"/>
      <c r="I398" s="43"/>
    </row>
    <row r="399" spans="1:16" s="63" customFormat="1" x14ac:dyDescent="0.25">
      <c r="A399" s="64">
        <v>4</v>
      </c>
      <c r="B399" s="64" t="s">
        <v>180</v>
      </c>
      <c r="C399" s="64" t="s">
        <v>191</v>
      </c>
      <c r="D399" s="64">
        <f>35.16*10.764</f>
        <v>378.46223999999995</v>
      </c>
      <c r="E399" s="64">
        <v>0</v>
      </c>
      <c r="F399" s="64">
        <f t="shared" si="93"/>
        <v>586.61647199999993</v>
      </c>
      <c r="G399" s="96" t="str">
        <f t="shared" si="94"/>
        <v>23rd Floor (Part Refuge Area)</v>
      </c>
      <c r="H399" s="97"/>
      <c r="I399" s="43"/>
    </row>
    <row r="400" spans="1:16" s="63" customFormat="1" x14ac:dyDescent="0.25">
      <c r="A400" s="64">
        <v>5</v>
      </c>
      <c r="B400" s="64" t="s">
        <v>180</v>
      </c>
      <c r="C400" s="64" t="s">
        <v>191</v>
      </c>
      <c r="D400" s="64">
        <f>34.84*10.764</f>
        <v>375.01776000000001</v>
      </c>
      <c r="E400" s="64">
        <v>0</v>
      </c>
      <c r="F400" s="64">
        <f t="shared" si="93"/>
        <v>581.27752800000007</v>
      </c>
      <c r="G400" s="96" t="str">
        <f t="shared" si="94"/>
        <v>23rd Floor (Part Refuge Area)</v>
      </c>
      <c r="H400" s="97"/>
      <c r="I400" s="43"/>
    </row>
    <row r="401" spans="1:16" s="63" customFormat="1" x14ac:dyDescent="0.25">
      <c r="A401" s="64">
        <v>6</v>
      </c>
      <c r="B401" s="64" t="s">
        <v>180</v>
      </c>
      <c r="C401" s="64" t="s">
        <v>191</v>
      </c>
      <c r="D401" s="64">
        <f>34.93*10.764</f>
        <v>375.98651999999998</v>
      </c>
      <c r="E401" s="64">
        <v>0</v>
      </c>
      <c r="F401" s="64">
        <f t="shared" si="93"/>
        <v>582.77910599999996</v>
      </c>
      <c r="G401" s="96" t="str">
        <f t="shared" si="94"/>
        <v>23rd Floor (Part Refuge Area)</v>
      </c>
      <c r="H401" s="97"/>
      <c r="I401" s="43"/>
    </row>
    <row r="402" spans="1:16" s="70" customFormat="1" x14ac:dyDescent="0.25">
      <c r="A402" s="64">
        <v>7</v>
      </c>
      <c r="B402" s="64" t="s">
        <v>195</v>
      </c>
      <c r="C402" s="123" t="s">
        <v>196</v>
      </c>
      <c r="D402" s="124"/>
      <c r="E402" s="124"/>
      <c r="F402" s="125"/>
      <c r="G402" s="96" t="str">
        <f t="shared" si="94"/>
        <v>23rd Floor (Part Refuge Area)</v>
      </c>
      <c r="H402" s="97"/>
      <c r="I402" s="43"/>
    </row>
    <row r="403" spans="1:16" s="70" customFormat="1" x14ac:dyDescent="0.25">
      <c r="A403" s="64">
        <v>8</v>
      </c>
      <c r="B403" s="64" t="s">
        <v>195</v>
      </c>
      <c r="C403" s="126"/>
      <c r="D403" s="127"/>
      <c r="E403" s="127"/>
      <c r="F403" s="128"/>
      <c r="G403" s="96" t="str">
        <f t="shared" si="94"/>
        <v>23rd Floor (Part Refuge Area)</v>
      </c>
      <c r="H403" s="97"/>
      <c r="I403" s="43"/>
    </row>
    <row r="404" spans="1:16" s="63" customFormat="1" x14ac:dyDescent="0.25">
      <c r="A404" s="135" t="s">
        <v>230</v>
      </c>
      <c r="B404" s="136"/>
      <c r="C404" s="136"/>
      <c r="D404" s="136"/>
      <c r="E404" s="136"/>
      <c r="F404" s="136"/>
      <c r="G404" s="136"/>
      <c r="H404" s="137"/>
      <c r="J404" s="43"/>
    </row>
    <row r="405" spans="1:16" s="63" customFormat="1" x14ac:dyDescent="0.25">
      <c r="A405" s="64">
        <v>1</v>
      </c>
      <c r="B405" s="64" t="s">
        <v>180</v>
      </c>
      <c r="C405" s="64" t="s">
        <v>191</v>
      </c>
      <c r="D405" s="64">
        <f>35.22*10.764</f>
        <v>379.10807999999997</v>
      </c>
      <c r="E405" s="64">
        <v>0</v>
      </c>
      <c r="F405" s="64">
        <f t="shared" ref="F405:F410" si="95">D405*(($F$274)+1)+(IF(E405&lt;101,E405,IF(E405&lt;201,E405/2,IF(E405&lt;=301,E405/3,E405/4))))</f>
        <v>587.617524</v>
      </c>
      <c r="G405" s="96" t="str">
        <f>A404</f>
        <v>22nd, 24th to 29th Floor</v>
      </c>
      <c r="H405" s="97"/>
      <c r="I405" s="43"/>
      <c r="P405" s="44"/>
    </row>
    <row r="406" spans="1:16" s="63" customFormat="1" x14ac:dyDescent="0.25">
      <c r="A406" s="64">
        <v>2</v>
      </c>
      <c r="B406" s="64" t="s">
        <v>180</v>
      </c>
      <c r="C406" s="64" t="s">
        <v>191</v>
      </c>
      <c r="D406" s="64">
        <f>34.8*10.764</f>
        <v>374.58719999999994</v>
      </c>
      <c r="E406" s="64">
        <v>0</v>
      </c>
      <c r="F406" s="64">
        <f t="shared" si="95"/>
        <v>580.61015999999995</v>
      </c>
      <c r="G406" s="96" t="str">
        <f t="shared" ref="G406:G410" si="96">G405</f>
        <v>22nd, 24th to 29th Floor</v>
      </c>
      <c r="H406" s="97"/>
      <c r="I406" s="43"/>
    </row>
    <row r="407" spans="1:16" s="63" customFormat="1" x14ac:dyDescent="0.25">
      <c r="A407" s="64">
        <v>3</v>
      </c>
      <c r="B407" s="64" t="s">
        <v>180</v>
      </c>
      <c r="C407" s="64" t="s">
        <v>191</v>
      </c>
      <c r="D407" s="64">
        <f>34.69*10.764</f>
        <v>373.40315999999996</v>
      </c>
      <c r="E407" s="64">
        <v>0</v>
      </c>
      <c r="F407" s="64">
        <f t="shared" si="95"/>
        <v>578.77489799999989</v>
      </c>
      <c r="G407" s="96" t="str">
        <f t="shared" si="96"/>
        <v>22nd, 24th to 29th Floor</v>
      </c>
      <c r="H407" s="97"/>
      <c r="I407" s="43"/>
    </row>
    <row r="408" spans="1:16" s="63" customFormat="1" x14ac:dyDescent="0.25">
      <c r="A408" s="64">
        <v>4</v>
      </c>
      <c r="B408" s="64" t="s">
        <v>178</v>
      </c>
      <c r="C408" s="64" t="s">
        <v>191</v>
      </c>
      <c r="D408" s="64">
        <f>35.16*10.764</f>
        <v>378.46223999999995</v>
      </c>
      <c r="E408" s="64">
        <v>0</v>
      </c>
      <c r="F408" s="64">
        <f t="shared" si="95"/>
        <v>586.61647199999993</v>
      </c>
      <c r="G408" s="96" t="str">
        <f t="shared" si="96"/>
        <v>22nd, 24th to 29th Floor</v>
      </c>
      <c r="H408" s="97"/>
      <c r="I408" s="43"/>
    </row>
    <row r="409" spans="1:16" s="63" customFormat="1" x14ac:dyDescent="0.25">
      <c r="A409" s="64">
        <v>7</v>
      </c>
      <c r="B409" s="64" t="s">
        <v>178</v>
      </c>
      <c r="C409" s="64" t="s">
        <v>191</v>
      </c>
      <c r="D409" s="64">
        <f>34.93*10.764</f>
        <v>375.98651999999998</v>
      </c>
      <c r="E409" s="64">
        <v>0</v>
      </c>
      <c r="F409" s="64">
        <f t="shared" si="95"/>
        <v>582.77910599999996</v>
      </c>
      <c r="G409" s="96" t="str">
        <f t="shared" si="96"/>
        <v>22nd, 24th to 29th Floor</v>
      </c>
      <c r="H409" s="97"/>
      <c r="I409" s="43"/>
    </row>
    <row r="410" spans="1:16" s="63" customFormat="1" x14ac:dyDescent="0.25">
      <c r="A410" s="64">
        <v>8</v>
      </c>
      <c r="B410" s="64" t="s">
        <v>178</v>
      </c>
      <c r="C410" s="64" t="s">
        <v>191</v>
      </c>
      <c r="D410" s="64">
        <f>34.83*10.764</f>
        <v>374.91011999999995</v>
      </c>
      <c r="E410" s="64">
        <v>0</v>
      </c>
      <c r="F410" s="64">
        <f t="shared" si="95"/>
        <v>581.11068599999999</v>
      </c>
      <c r="G410" s="96" t="str">
        <f t="shared" si="96"/>
        <v>22nd, 24th to 29th Floor</v>
      </c>
      <c r="H410" s="97"/>
      <c r="I410" s="43"/>
    </row>
    <row r="411" spans="1:16" s="63" customFormat="1" x14ac:dyDescent="0.25">
      <c r="A411" s="120" t="s">
        <v>231</v>
      </c>
      <c r="B411" s="121"/>
      <c r="C411" s="121"/>
      <c r="D411" s="121"/>
      <c r="E411" s="121"/>
      <c r="F411" s="121"/>
      <c r="G411" s="121"/>
      <c r="H411" s="122"/>
      <c r="J411" s="43"/>
    </row>
    <row r="412" spans="1:16" s="63" customFormat="1" x14ac:dyDescent="0.25">
      <c r="A412" s="64">
        <v>1</v>
      </c>
      <c r="B412" s="64" t="s">
        <v>195</v>
      </c>
      <c r="C412" s="96" t="s">
        <v>196</v>
      </c>
      <c r="D412" s="129"/>
      <c r="E412" s="129"/>
      <c r="F412" s="97"/>
      <c r="G412" s="96" t="str">
        <f>A411</f>
        <v>30th Floor (Part Refuge Area)</v>
      </c>
      <c r="H412" s="97"/>
      <c r="I412" s="43"/>
      <c r="P412" s="44"/>
    </row>
    <row r="413" spans="1:16" s="63" customFormat="1" x14ac:dyDescent="0.25">
      <c r="A413" s="64">
        <v>2</v>
      </c>
      <c r="B413" s="64" t="s">
        <v>180</v>
      </c>
      <c r="C413" s="64" t="s">
        <v>191</v>
      </c>
      <c r="D413" s="64">
        <f>34.8*10.764</f>
        <v>374.58719999999994</v>
      </c>
      <c r="E413" s="64">
        <v>0</v>
      </c>
      <c r="F413" s="64">
        <f>D413*(($F$274)+1)+(IF(E413&lt;101,E413,IF(E413&lt;201,E413/2,IF(E413&lt;=301,E413/3,E413/4))))</f>
        <v>580.61015999999995</v>
      </c>
      <c r="G413" s="96" t="str">
        <f t="shared" ref="G413:G415" si="97">G412</f>
        <v>30th Floor (Part Refuge Area)</v>
      </c>
      <c r="H413" s="97"/>
      <c r="I413" s="43"/>
    </row>
    <row r="414" spans="1:16" s="63" customFormat="1" x14ac:dyDescent="0.25">
      <c r="A414" s="64">
        <v>3</v>
      </c>
      <c r="B414" s="64" t="s">
        <v>180</v>
      </c>
      <c r="C414" s="64" t="s">
        <v>191</v>
      </c>
      <c r="D414" s="64">
        <f>34.69*10.764</f>
        <v>373.40315999999996</v>
      </c>
      <c r="E414" s="64">
        <v>0</v>
      </c>
      <c r="F414" s="64">
        <f>D414*(($F$274)+1)+(IF(E414&lt;101,E414,IF(E414&lt;201,E414/2,IF(E414&lt;=301,E414/3,E414/4))))</f>
        <v>578.77489799999989</v>
      </c>
      <c r="G414" s="96" t="str">
        <f t="shared" si="97"/>
        <v>30th Floor (Part Refuge Area)</v>
      </c>
      <c r="H414" s="97"/>
      <c r="I414" s="43"/>
    </row>
    <row r="415" spans="1:16" s="63" customFormat="1" x14ac:dyDescent="0.25">
      <c r="A415" s="64">
        <v>4</v>
      </c>
      <c r="B415" s="64" t="s">
        <v>180</v>
      </c>
      <c r="C415" s="64" t="s">
        <v>191</v>
      </c>
      <c r="D415" s="64">
        <f>35.16*10.764</f>
        <v>378.46223999999995</v>
      </c>
      <c r="E415" s="64">
        <v>0</v>
      </c>
      <c r="F415" s="64">
        <f>D415*(($F$274)+1)+(IF(E415&lt;101,E415,IF(E415&lt;201,E415/2,IF(E415&lt;=301,E415/3,E415/4))))</f>
        <v>586.61647199999993</v>
      </c>
      <c r="G415" s="96" t="str">
        <f t="shared" si="97"/>
        <v>30th Floor (Part Refuge Area)</v>
      </c>
      <c r="H415" s="97"/>
      <c r="I415" s="43"/>
    </row>
    <row r="416" spans="1:16" s="63" customFormat="1" x14ac:dyDescent="0.25">
      <c r="A416" s="120" t="s">
        <v>242</v>
      </c>
      <c r="B416" s="121"/>
      <c r="C416" s="121"/>
      <c r="D416" s="121"/>
      <c r="E416" s="121"/>
      <c r="F416" s="121"/>
      <c r="G416" s="121"/>
      <c r="H416" s="122"/>
      <c r="J416" s="43"/>
    </row>
    <row r="417" spans="1:16" s="63" customFormat="1" x14ac:dyDescent="0.25">
      <c r="A417" s="64">
        <v>1</v>
      </c>
      <c r="B417" s="64" t="s">
        <v>180</v>
      </c>
      <c r="C417" s="64" t="s">
        <v>191</v>
      </c>
      <c r="D417" s="64">
        <f>35.22*10.764</f>
        <v>379.10807999999997</v>
      </c>
      <c r="E417" s="64">
        <v>0</v>
      </c>
      <c r="F417" s="64">
        <f t="shared" ref="F417:F420" si="98">D417*(($F$274)+1)+(IF(E417&lt;101,E417,IF(E417&lt;201,E417/2,IF(E417&lt;=301,E417/3,E417/4))))</f>
        <v>587.617524</v>
      </c>
      <c r="G417" s="96" t="str">
        <f>A416</f>
        <v>31st to 33rd Floor</v>
      </c>
      <c r="H417" s="97"/>
      <c r="I417" s="43"/>
      <c r="P417" s="44"/>
    </row>
    <row r="418" spans="1:16" s="63" customFormat="1" x14ac:dyDescent="0.25">
      <c r="A418" s="64">
        <v>2</v>
      </c>
      <c r="B418" s="64" t="s">
        <v>180</v>
      </c>
      <c r="C418" s="64" t="s">
        <v>191</v>
      </c>
      <c r="D418" s="64">
        <f>34.8*10.764</f>
        <v>374.58719999999994</v>
      </c>
      <c r="E418" s="64">
        <v>0</v>
      </c>
      <c r="F418" s="64">
        <f t="shared" si="98"/>
        <v>580.61015999999995</v>
      </c>
      <c r="G418" s="96" t="str">
        <f t="shared" ref="G418:G420" si="99">G417</f>
        <v>31st to 33rd Floor</v>
      </c>
      <c r="H418" s="97"/>
      <c r="I418" s="43"/>
    </row>
    <row r="419" spans="1:16" s="63" customFormat="1" x14ac:dyDescent="0.25">
      <c r="A419" s="64">
        <v>3</v>
      </c>
      <c r="B419" s="64" t="s">
        <v>180</v>
      </c>
      <c r="C419" s="64" t="s">
        <v>191</v>
      </c>
      <c r="D419" s="64">
        <f>34.69*10.764</f>
        <v>373.40315999999996</v>
      </c>
      <c r="E419" s="64">
        <v>0</v>
      </c>
      <c r="F419" s="64">
        <f t="shared" si="98"/>
        <v>578.77489799999989</v>
      </c>
      <c r="G419" s="96" t="str">
        <f t="shared" si="99"/>
        <v>31st to 33rd Floor</v>
      </c>
      <c r="H419" s="97"/>
      <c r="I419" s="43"/>
    </row>
    <row r="420" spans="1:16" s="63" customFormat="1" x14ac:dyDescent="0.25">
      <c r="A420" s="64">
        <v>4</v>
      </c>
      <c r="B420" s="64" t="s">
        <v>180</v>
      </c>
      <c r="C420" s="64" t="s">
        <v>191</v>
      </c>
      <c r="D420" s="64">
        <f>35.16*10.764</f>
        <v>378.46223999999995</v>
      </c>
      <c r="E420" s="64">
        <v>0</v>
      </c>
      <c r="F420" s="64">
        <f t="shared" si="98"/>
        <v>586.61647199999993</v>
      </c>
      <c r="G420" s="96" t="str">
        <f t="shared" si="99"/>
        <v>31st to 33rd Floor</v>
      </c>
      <c r="H420" s="97"/>
      <c r="I420" s="43"/>
    </row>
    <row r="421" spans="1:16" s="63" customFormat="1" x14ac:dyDescent="0.25">
      <c r="A421" s="120" t="s">
        <v>237</v>
      </c>
      <c r="B421" s="121"/>
      <c r="C421" s="121"/>
      <c r="D421" s="121"/>
      <c r="E421" s="121"/>
      <c r="F421" s="121"/>
      <c r="G421" s="121"/>
      <c r="H421" s="122"/>
      <c r="J421" s="43"/>
    </row>
    <row r="422" spans="1:16" s="63" customFormat="1" x14ac:dyDescent="0.25">
      <c r="A422" s="64">
        <v>1</v>
      </c>
      <c r="B422" s="64" t="s">
        <v>180</v>
      </c>
      <c r="C422" s="64" t="s">
        <v>191</v>
      </c>
      <c r="D422" s="64">
        <f>35.22*10.764</f>
        <v>379.10807999999997</v>
      </c>
      <c r="E422" s="64">
        <v>0</v>
      </c>
      <c r="F422" s="64">
        <f t="shared" ref="F422:F425" si="100">D422*(($F$274)+1)+(IF(E422&lt;101,E422,IF(E422&lt;201,E422/2,IF(E422&lt;=301,E422/3,E422/4))))</f>
        <v>587.617524</v>
      </c>
      <c r="G422" s="96" t="str">
        <f>A421</f>
        <v>34th Floor</v>
      </c>
      <c r="H422" s="97"/>
      <c r="I422" s="43"/>
      <c r="P422" s="44"/>
    </row>
    <row r="423" spans="1:16" s="63" customFormat="1" x14ac:dyDescent="0.25">
      <c r="A423" s="64">
        <v>2</v>
      </c>
      <c r="B423" s="64" t="s">
        <v>180</v>
      </c>
      <c r="C423" s="64" t="s">
        <v>191</v>
      </c>
      <c r="D423" s="64">
        <f>34.8*10.764</f>
        <v>374.58719999999994</v>
      </c>
      <c r="E423" s="64">
        <v>0</v>
      </c>
      <c r="F423" s="64">
        <f t="shared" si="100"/>
        <v>580.61015999999995</v>
      </c>
      <c r="G423" s="96" t="str">
        <f t="shared" ref="G423:G425" si="101">G422</f>
        <v>34th Floor</v>
      </c>
      <c r="H423" s="97"/>
      <c r="I423" s="43"/>
    </row>
    <row r="424" spans="1:16" s="63" customFormat="1" x14ac:dyDescent="0.25">
      <c r="A424" s="64">
        <v>3</v>
      </c>
      <c r="B424" s="64" t="s">
        <v>180</v>
      </c>
      <c r="C424" s="64" t="s">
        <v>191</v>
      </c>
      <c r="D424" s="64">
        <f>34.69*10.764</f>
        <v>373.40315999999996</v>
      </c>
      <c r="E424" s="64">
        <v>0</v>
      </c>
      <c r="F424" s="64">
        <f t="shared" si="100"/>
        <v>578.77489799999989</v>
      </c>
      <c r="G424" s="96" t="str">
        <f t="shared" si="101"/>
        <v>34th Floor</v>
      </c>
      <c r="H424" s="97"/>
      <c r="I424" s="43"/>
    </row>
    <row r="425" spans="1:16" s="63" customFormat="1" x14ac:dyDescent="0.25">
      <c r="A425" s="64">
        <v>4</v>
      </c>
      <c r="B425" s="64" t="s">
        <v>180</v>
      </c>
      <c r="C425" s="64" t="s">
        <v>191</v>
      </c>
      <c r="D425" s="64">
        <f>35.16*10.764</f>
        <v>378.46223999999995</v>
      </c>
      <c r="E425" s="64">
        <v>0</v>
      </c>
      <c r="F425" s="64">
        <f t="shared" si="100"/>
        <v>586.61647199999993</v>
      </c>
      <c r="G425" s="96" t="str">
        <f t="shared" si="101"/>
        <v>34th Floor</v>
      </c>
      <c r="H425" s="97"/>
      <c r="I425" s="43"/>
    </row>
    <row r="426" spans="1:16" s="63" customFormat="1" x14ac:dyDescent="0.25">
      <c r="A426" s="120" t="s">
        <v>247</v>
      </c>
      <c r="B426" s="121"/>
      <c r="C426" s="121"/>
      <c r="D426" s="121"/>
      <c r="E426" s="121"/>
      <c r="F426" s="121"/>
      <c r="G426" s="121"/>
      <c r="H426" s="122"/>
      <c r="J426" s="43"/>
    </row>
    <row r="427" spans="1:16" s="63" customFormat="1" x14ac:dyDescent="0.25">
      <c r="A427" s="64">
        <v>1</v>
      </c>
      <c r="B427" s="64" t="s">
        <v>180</v>
      </c>
      <c r="C427" s="64" t="s">
        <v>191</v>
      </c>
      <c r="D427" s="64">
        <f>35.22*10.764</f>
        <v>379.10807999999997</v>
      </c>
      <c r="E427" s="64">
        <v>0</v>
      </c>
      <c r="F427" s="64">
        <f t="shared" ref="F427:F430" si="102">D427*(($F$274)+1)+(IF(E427&lt;101,E427,IF(E427&lt;201,E427/2,IF(E427&lt;=301,E427/3,E427/4))))</f>
        <v>587.617524</v>
      </c>
      <c r="G427" s="96" t="str">
        <f>A426</f>
        <v>35th &amp; 36th Floor</v>
      </c>
      <c r="H427" s="97"/>
      <c r="I427" s="43"/>
      <c r="P427" s="44"/>
    </row>
    <row r="428" spans="1:16" s="63" customFormat="1" x14ac:dyDescent="0.25">
      <c r="A428" s="64">
        <v>2</v>
      </c>
      <c r="B428" s="64" t="s">
        <v>180</v>
      </c>
      <c r="C428" s="64" t="s">
        <v>191</v>
      </c>
      <c r="D428" s="64">
        <f>34.8*10.764</f>
        <v>374.58719999999994</v>
      </c>
      <c r="E428" s="64">
        <v>0</v>
      </c>
      <c r="F428" s="64">
        <f t="shared" si="102"/>
        <v>580.61015999999995</v>
      </c>
      <c r="G428" s="96" t="str">
        <f t="shared" ref="G428:G430" si="103">G427</f>
        <v>35th &amp; 36th Floor</v>
      </c>
      <c r="H428" s="97"/>
      <c r="I428" s="43"/>
    </row>
    <row r="429" spans="1:16" s="63" customFormat="1" x14ac:dyDescent="0.25">
      <c r="A429" s="64">
        <v>3</v>
      </c>
      <c r="B429" s="64" t="s">
        <v>180</v>
      </c>
      <c r="C429" s="64" t="s">
        <v>191</v>
      </c>
      <c r="D429" s="64">
        <f>34.69*10.764</f>
        <v>373.40315999999996</v>
      </c>
      <c r="E429" s="64">
        <v>0</v>
      </c>
      <c r="F429" s="64">
        <f t="shared" si="102"/>
        <v>578.77489799999989</v>
      </c>
      <c r="G429" s="96" t="str">
        <f t="shared" si="103"/>
        <v>35th &amp; 36th Floor</v>
      </c>
      <c r="H429" s="97"/>
      <c r="I429" s="43"/>
    </row>
    <row r="430" spans="1:16" s="63" customFormat="1" x14ac:dyDescent="0.25">
      <c r="A430" s="64">
        <v>4</v>
      </c>
      <c r="B430" s="64" t="s">
        <v>180</v>
      </c>
      <c r="C430" s="64" t="s">
        <v>191</v>
      </c>
      <c r="D430" s="64">
        <f>35.16*10.764</f>
        <v>378.46223999999995</v>
      </c>
      <c r="E430" s="64">
        <v>0</v>
      </c>
      <c r="F430" s="64">
        <f t="shared" si="102"/>
        <v>586.61647199999993</v>
      </c>
      <c r="G430" s="96" t="str">
        <f t="shared" si="103"/>
        <v>35th &amp; 36th Floor</v>
      </c>
      <c r="H430" s="97"/>
      <c r="I430" s="43"/>
    </row>
    <row r="431" spans="1:16" s="55" customFormat="1" ht="15.75" customHeight="1" x14ac:dyDescent="0.25">
      <c r="A431" s="139" t="s">
        <v>176</v>
      </c>
      <c r="B431" s="140"/>
      <c r="C431" s="140"/>
      <c r="D431" s="140"/>
      <c r="E431" s="140"/>
      <c r="F431" s="140"/>
      <c r="G431" s="140"/>
      <c r="H431" s="141"/>
      <c r="I431" s="43"/>
    </row>
    <row r="432" spans="1:16" s="59" customFormat="1" x14ac:dyDescent="0.25">
      <c r="A432" s="120" t="s">
        <v>190</v>
      </c>
      <c r="B432" s="121"/>
      <c r="C432" s="121"/>
      <c r="D432" s="121"/>
      <c r="E432" s="121"/>
      <c r="F432" s="121"/>
      <c r="G432" s="121"/>
      <c r="H432" s="122"/>
      <c r="J432" s="43"/>
    </row>
    <row r="433" spans="1:16" s="59" customFormat="1" x14ac:dyDescent="0.25">
      <c r="A433" s="120" t="s">
        <v>260</v>
      </c>
      <c r="B433" s="121"/>
      <c r="C433" s="121"/>
      <c r="D433" s="121"/>
      <c r="E433" s="121"/>
      <c r="F433" s="121"/>
      <c r="G433" s="121"/>
      <c r="H433" s="122"/>
      <c r="J433" s="43"/>
    </row>
    <row r="434" spans="1:16" s="55" customFormat="1" x14ac:dyDescent="0.25">
      <c r="A434" s="58">
        <v>1</v>
      </c>
      <c r="B434" s="58" t="s">
        <v>178</v>
      </c>
      <c r="C434" s="49" t="s">
        <v>191</v>
      </c>
      <c r="D434" s="49">
        <f>28.58*10.764</f>
        <v>307.63511999999997</v>
      </c>
      <c r="E434" s="49">
        <v>0</v>
      </c>
      <c r="F434" s="49">
        <f t="shared" ref="F434:F439" si="104">D434*(($F$274)+1)+(IF(E434&lt;101,E434,IF(E434&lt;201,E434/2,IF(E434&lt;=301,E434/3,E434/4))))</f>
        <v>476.83443599999998</v>
      </c>
      <c r="G434" s="96" t="str">
        <f>A433</f>
        <v>5th Floor for Residential</v>
      </c>
      <c r="H434" s="97"/>
      <c r="I434" s="43"/>
      <c r="P434" s="44"/>
    </row>
    <row r="435" spans="1:16" s="55" customFormat="1" x14ac:dyDescent="0.25">
      <c r="A435" s="58">
        <v>2</v>
      </c>
      <c r="B435" s="58" t="s">
        <v>178</v>
      </c>
      <c r="C435" s="49" t="s">
        <v>191</v>
      </c>
      <c r="D435" s="58">
        <f>28.43*10.764</f>
        <v>306.02051999999998</v>
      </c>
      <c r="E435" s="49">
        <v>0</v>
      </c>
      <c r="F435" s="49">
        <f t="shared" si="104"/>
        <v>474.33180599999997</v>
      </c>
      <c r="G435" s="96" t="str">
        <f>G434</f>
        <v>5th Floor for Residential</v>
      </c>
      <c r="H435" s="97"/>
      <c r="I435" s="43"/>
    </row>
    <row r="436" spans="1:16" s="55" customFormat="1" x14ac:dyDescent="0.25">
      <c r="A436" s="58">
        <v>3</v>
      </c>
      <c r="B436" s="58" t="s">
        <v>178</v>
      </c>
      <c r="C436" s="49" t="s">
        <v>191</v>
      </c>
      <c r="D436" s="58">
        <f>27.51*10.764</f>
        <v>296.11763999999999</v>
      </c>
      <c r="E436" s="49">
        <v>0</v>
      </c>
      <c r="F436" s="49">
        <f t="shared" si="104"/>
        <v>458.98234200000002</v>
      </c>
      <c r="G436" s="96" t="str">
        <f>G435</f>
        <v>5th Floor for Residential</v>
      </c>
      <c r="H436" s="97"/>
      <c r="I436" s="43"/>
    </row>
    <row r="437" spans="1:16" s="55" customFormat="1" x14ac:dyDescent="0.25">
      <c r="A437" s="58">
        <v>5</v>
      </c>
      <c r="B437" s="58" t="s">
        <v>178</v>
      </c>
      <c r="C437" s="49" t="s">
        <v>191</v>
      </c>
      <c r="D437" s="49">
        <f>28.39*10.764</f>
        <v>305.58995999999996</v>
      </c>
      <c r="E437" s="49">
        <v>0</v>
      </c>
      <c r="F437" s="49">
        <f t="shared" si="104"/>
        <v>473.66443799999996</v>
      </c>
      <c r="G437" s="96" t="str">
        <f>G436</f>
        <v>5th Floor for Residential</v>
      </c>
      <c r="H437" s="97"/>
      <c r="I437" s="43"/>
    </row>
    <row r="438" spans="1:16" s="55" customFormat="1" x14ac:dyDescent="0.25">
      <c r="A438" s="58">
        <v>6</v>
      </c>
      <c r="B438" s="58" t="s">
        <v>178</v>
      </c>
      <c r="C438" s="49" t="s">
        <v>192</v>
      </c>
      <c r="D438" s="49">
        <f>18.15*10.764</f>
        <v>195.36659999999998</v>
      </c>
      <c r="E438" s="49">
        <v>0</v>
      </c>
      <c r="F438" s="49">
        <f t="shared" si="104"/>
        <v>302.81822999999997</v>
      </c>
      <c r="G438" s="96" t="str">
        <f>G437</f>
        <v>5th Floor for Residential</v>
      </c>
      <c r="H438" s="97"/>
      <c r="I438" s="43"/>
    </row>
    <row r="439" spans="1:16" s="55" customFormat="1" x14ac:dyDescent="0.25">
      <c r="A439" s="58">
        <v>7</v>
      </c>
      <c r="B439" s="58" t="s">
        <v>178</v>
      </c>
      <c r="C439" s="58" t="s">
        <v>191</v>
      </c>
      <c r="D439" s="58">
        <f>28.55*10.764</f>
        <v>307.31219999999996</v>
      </c>
      <c r="E439" s="58">
        <v>0</v>
      </c>
      <c r="F439" s="58">
        <f t="shared" si="104"/>
        <v>476.33390999999995</v>
      </c>
      <c r="G439" s="96" t="str">
        <f>G438</f>
        <v>5th Floor for Residential</v>
      </c>
      <c r="H439" s="97"/>
      <c r="I439" s="43"/>
    </row>
    <row r="440" spans="1:16" s="59" customFormat="1" x14ac:dyDescent="0.25">
      <c r="A440" s="120" t="s">
        <v>193</v>
      </c>
      <c r="B440" s="121"/>
      <c r="C440" s="121"/>
      <c r="D440" s="121"/>
      <c r="E440" s="121"/>
      <c r="F440" s="121"/>
      <c r="G440" s="121"/>
      <c r="H440" s="122"/>
      <c r="I440" s="43"/>
    </row>
    <row r="441" spans="1:16" s="59" customFormat="1" x14ac:dyDescent="0.25">
      <c r="A441" s="58">
        <v>1</v>
      </c>
      <c r="B441" s="58" t="s">
        <v>178</v>
      </c>
      <c r="C441" s="58" t="s">
        <v>191</v>
      </c>
      <c r="D441" s="58">
        <f>28.58*10.764</f>
        <v>307.63511999999997</v>
      </c>
      <c r="E441" s="58">
        <v>0</v>
      </c>
      <c r="F441" s="58">
        <f t="shared" ref="F441:F446" si="105">D441*(($F$274)+1)+(IF(E441&lt;101,E441,IF(E441&lt;201,E441/2,IF(E441&lt;=301,E441/3,E441/4))))</f>
        <v>476.83443599999998</v>
      </c>
      <c r="G441" s="96" t="str">
        <f>A440</f>
        <v>6th Floor</v>
      </c>
      <c r="H441" s="97"/>
      <c r="I441" s="43"/>
      <c r="P441" s="44"/>
    </row>
    <row r="442" spans="1:16" s="59" customFormat="1" x14ac:dyDescent="0.25">
      <c r="A442" s="58">
        <v>2</v>
      </c>
      <c r="B442" s="58" t="s">
        <v>178</v>
      </c>
      <c r="C442" s="58" t="s">
        <v>191</v>
      </c>
      <c r="D442" s="58">
        <f>28.43*10.764</f>
        <v>306.02051999999998</v>
      </c>
      <c r="E442" s="58">
        <v>0</v>
      </c>
      <c r="F442" s="58">
        <f t="shared" si="105"/>
        <v>474.33180599999997</v>
      </c>
      <c r="G442" s="96" t="str">
        <f>G441</f>
        <v>6th Floor</v>
      </c>
      <c r="H442" s="97"/>
      <c r="I442" s="43"/>
    </row>
    <row r="443" spans="1:16" s="59" customFormat="1" x14ac:dyDescent="0.25">
      <c r="A443" s="58">
        <v>3</v>
      </c>
      <c r="B443" s="58" t="s">
        <v>178</v>
      </c>
      <c r="C443" s="58" t="s">
        <v>191</v>
      </c>
      <c r="D443" s="58">
        <f>27.51*10.764</f>
        <v>296.11763999999999</v>
      </c>
      <c r="E443" s="58">
        <v>0</v>
      </c>
      <c r="F443" s="58">
        <f t="shared" si="105"/>
        <v>458.98234200000002</v>
      </c>
      <c r="G443" s="96" t="str">
        <f>G442</f>
        <v>6th Floor</v>
      </c>
      <c r="H443" s="97"/>
      <c r="I443" s="43"/>
    </row>
    <row r="444" spans="1:16" s="59" customFormat="1" x14ac:dyDescent="0.25">
      <c r="A444" s="58">
        <v>5</v>
      </c>
      <c r="B444" s="58" t="s">
        <v>178</v>
      </c>
      <c r="C444" s="58" t="s">
        <v>191</v>
      </c>
      <c r="D444" s="58">
        <f>28.39*10.764</f>
        <v>305.58995999999996</v>
      </c>
      <c r="E444" s="58">
        <v>0</v>
      </c>
      <c r="F444" s="58">
        <f t="shared" si="105"/>
        <v>473.66443799999996</v>
      </c>
      <c r="G444" s="96" t="str">
        <f>G443</f>
        <v>6th Floor</v>
      </c>
      <c r="H444" s="97"/>
      <c r="I444" s="43"/>
    </row>
    <row r="445" spans="1:16" s="59" customFormat="1" x14ac:dyDescent="0.25">
      <c r="A445" s="58">
        <v>6</v>
      </c>
      <c r="B445" s="58" t="s">
        <v>178</v>
      </c>
      <c r="C445" s="58" t="s">
        <v>192</v>
      </c>
      <c r="D445" s="58">
        <f>18.15*10.764</f>
        <v>195.36659999999998</v>
      </c>
      <c r="E445" s="58">
        <v>0</v>
      </c>
      <c r="F445" s="58">
        <f t="shared" si="105"/>
        <v>302.81822999999997</v>
      </c>
      <c r="G445" s="96" t="str">
        <f>G444</f>
        <v>6th Floor</v>
      </c>
      <c r="H445" s="97"/>
      <c r="I445" s="43"/>
    </row>
    <row r="446" spans="1:16" s="59" customFormat="1" x14ac:dyDescent="0.25">
      <c r="A446" s="58">
        <v>7</v>
      </c>
      <c r="B446" s="58" t="s">
        <v>178</v>
      </c>
      <c r="C446" s="58" t="s">
        <v>191</v>
      </c>
      <c r="D446" s="58">
        <f>28.55*10.764</f>
        <v>307.31219999999996</v>
      </c>
      <c r="E446" s="58">
        <v>0</v>
      </c>
      <c r="F446" s="58">
        <f t="shared" si="105"/>
        <v>476.33390999999995</v>
      </c>
      <c r="G446" s="96" t="str">
        <f>G445</f>
        <v>6th Floor</v>
      </c>
      <c r="H446" s="97"/>
      <c r="I446" s="43"/>
    </row>
    <row r="447" spans="1:16" s="59" customFormat="1" x14ac:dyDescent="0.25">
      <c r="A447" s="120" t="s">
        <v>197</v>
      </c>
      <c r="B447" s="121"/>
      <c r="C447" s="121"/>
      <c r="D447" s="121"/>
      <c r="E447" s="121"/>
      <c r="F447" s="121"/>
      <c r="G447" s="121"/>
      <c r="H447" s="122"/>
      <c r="I447" s="43"/>
    </row>
    <row r="448" spans="1:16" s="59" customFormat="1" x14ac:dyDescent="0.25">
      <c r="A448" s="58">
        <v>1</v>
      </c>
      <c r="B448" s="58" t="s">
        <v>178</v>
      </c>
      <c r="C448" s="58" t="s">
        <v>191</v>
      </c>
      <c r="D448" s="58">
        <f>28.58*10.764</f>
        <v>307.63511999999997</v>
      </c>
      <c r="E448" s="58">
        <v>0</v>
      </c>
      <c r="F448" s="58">
        <f>D448*(($F$274)+1)+(IF(E448&lt;101,E448,IF(E448&lt;201,E448/2,IF(E448&lt;=301,E448/3,E448/4))))</f>
        <v>476.83443599999998</v>
      </c>
      <c r="G448" s="96" t="str">
        <f>A447</f>
        <v>7th Floor (Part Refuge Area)</v>
      </c>
      <c r="H448" s="97"/>
      <c r="I448" s="43"/>
      <c r="P448" s="44"/>
    </row>
    <row r="449" spans="1:16" s="59" customFormat="1" x14ac:dyDescent="0.25">
      <c r="A449" s="58">
        <v>2</v>
      </c>
      <c r="B449" s="58" t="s">
        <v>195</v>
      </c>
      <c r="C449" s="123" t="s">
        <v>196</v>
      </c>
      <c r="D449" s="124"/>
      <c r="E449" s="124"/>
      <c r="F449" s="125"/>
      <c r="G449" s="96" t="str">
        <f>G448</f>
        <v>7th Floor (Part Refuge Area)</v>
      </c>
      <c r="H449" s="97"/>
      <c r="I449" s="43"/>
    </row>
    <row r="450" spans="1:16" s="59" customFormat="1" x14ac:dyDescent="0.25">
      <c r="A450" s="58">
        <v>3</v>
      </c>
      <c r="B450" s="58" t="s">
        <v>195</v>
      </c>
      <c r="C450" s="126"/>
      <c r="D450" s="127"/>
      <c r="E450" s="127"/>
      <c r="F450" s="128"/>
      <c r="G450" s="96" t="str">
        <f>G449</f>
        <v>7th Floor (Part Refuge Area)</v>
      </c>
      <c r="H450" s="97"/>
      <c r="I450" s="43"/>
    </row>
    <row r="451" spans="1:16" s="59" customFormat="1" x14ac:dyDescent="0.25">
      <c r="A451" s="58">
        <v>5</v>
      </c>
      <c r="B451" s="58" t="s">
        <v>178</v>
      </c>
      <c r="C451" s="58" t="s">
        <v>191</v>
      </c>
      <c r="D451" s="58">
        <f>28.39*10.764</f>
        <v>305.58995999999996</v>
      </c>
      <c r="E451" s="58">
        <v>0</v>
      </c>
      <c r="F451" s="58">
        <f>D451*(($F$274)+1)+(IF(E451&lt;101,E451,IF(E451&lt;201,E451/2,IF(E451&lt;=301,E451/3,E451/4))))</f>
        <v>473.66443799999996</v>
      </c>
      <c r="G451" s="96" t="str">
        <f>G450</f>
        <v>7th Floor (Part Refuge Area)</v>
      </c>
      <c r="H451" s="97"/>
      <c r="I451" s="43"/>
    </row>
    <row r="452" spans="1:16" s="59" customFormat="1" x14ac:dyDescent="0.25">
      <c r="A452" s="58">
        <v>6</v>
      </c>
      <c r="B452" s="58" t="s">
        <v>178</v>
      </c>
      <c r="C452" s="58" t="s">
        <v>192</v>
      </c>
      <c r="D452" s="58">
        <f>18.15*10.764</f>
        <v>195.36659999999998</v>
      </c>
      <c r="E452" s="58">
        <v>0</v>
      </c>
      <c r="F452" s="58">
        <f>D452*(($F$274)+1)+(IF(E452&lt;101,E452,IF(E452&lt;201,E452/2,IF(E452&lt;=301,E452/3,E452/4))))</f>
        <v>302.81822999999997</v>
      </c>
      <c r="G452" s="96" t="str">
        <f>G451</f>
        <v>7th Floor (Part Refuge Area)</v>
      </c>
      <c r="H452" s="97"/>
      <c r="I452" s="43"/>
    </row>
    <row r="453" spans="1:16" s="59" customFormat="1" x14ac:dyDescent="0.25">
      <c r="A453" s="58">
        <v>7</v>
      </c>
      <c r="B453" s="58" t="s">
        <v>178</v>
      </c>
      <c r="C453" s="58" t="s">
        <v>191</v>
      </c>
      <c r="D453" s="58">
        <f>28.55*10.764</f>
        <v>307.31219999999996</v>
      </c>
      <c r="E453" s="58">
        <v>0</v>
      </c>
      <c r="F453" s="58">
        <f>D453*(($F$274)+1)+(IF(E453&lt;101,E453,IF(E453&lt;201,E453/2,IF(E453&lt;=301,E453/3,E453/4))))</f>
        <v>476.33390999999995</v>
      </c>
      <c r="G453" s="96" t="str">
        <f>G452</f>
        <v>7th Floor (Part Refuge Area)</v>
      </c>
      <c r="H453" s="97"/>
      <c r="I453" s="43"/>
    </row>
    <row r="454" spans="1:16" s="59" customFormat="1" x14ac:dyDescent="0.25">
      <c r="A454" s="120" t="s">
        <v>194</v>
      </c>
      <c r="B454" s="121"/>
      <c r="C454" s="121"/>
      <c r="D454" s="121"/>
      <c r="E454" s="121"/>
      <c r="F454" s="121"/>
      <c r="G454" s="121"/>
      <c r="H454" s="122"/>
      <c r="I454" s="43"/>
    </row>
    <row r="455" spans="1:16" s="59" customFormat="1" x14ac:dyDescent="0.25">
      <c r="A455" s="58">
        <v>1</v>
      </c>
      <c r="B455" s="58" t="s">
        <v>178</v>
      </c>
      <c r="C455" s="58" t="s">
        <v>191</v>
      </c>
      <c r="D455" s="58">
        <f>28.58*10.764</f>
        <v>307.63511999999997</v>
      </c>
      <c r="E455" s="58">
        <v>0</v>
      </c>
      <c r="F455" s="58">
        <f t="shared" ref="F455:F460" si="106">D455*(($F$274)+1)+(IF(E455&lt;101,E455,IF(E455&lt;201,E455/2,IF(E455&lt;=301,E455/3,E455/4))))</f>
        <v>476.83443599999998</v>
      </c>
      <c r="G455" s="96" t="str">
        <f>A454</f>
        <v>8th Floor</v>
      </c>
      <c r="H455" s="97"/>
      <c r="I455" s="43"/>
      <c r="P455" s="44"/>
    </row>
    <row r="456" spans="1:16" s="59" customFormat="1" x14ac:dyDescent="0.25">
      <c r="A456" s="58">
        <v>2</v>
      </c>
      <c r="B456" s="58" t="s">
        <v>178</v>
      </c>
      <c r="C456" s="58" t="s">
        <v>191</v>
      </c>
      <c r="D456" s="58">
        <f>28.43*10.764</f>
        <v>306.02051999999998</v>
      </c>
      <c r="E456" s="58">
        <v>0</v>
      </c>
      <c r="F456" s="58">
        <f t="shared" si="106"/>
        <v>474.33180599999997</v>
      </c>
      <c r="G456" s="96" t="str">
        <f>G455</f>
        <v>8th Floor</v>
      </c>
      <c r="H456" s="97"/>
      <c r="I456" s="43"/>
    </row>
    <row r="457" spans="1:16" s="59" customFormat="1" x14ac:dyDescent="0.25">
      <c r="A457" s="58">
        <v>3</v>
      </c>
      <c r="B457" s="58" t="s">
        <v>178</v>
      </c>
      <c r="C457" s="58" t="s">
        <v>191</v>
      </c>
      <c r="D457" s="58">
        <f>27.51*10.764</f>
        <v>296.11763999999999</v>
      </c>
      <c r="E457" s="58">
        <v>0</v>
      </c>
      <c r="F457" s="58">
        <f t="shared" si="106"/>
        <v>458.98234200000002</v>
      </c>
      <c r="G457" s="96" t="str">
        <f>G456</f>
        <v>8th Floor</v>
      </c>
      <c r="H457" s="97"/>
      <c r="I457" s="43"/>
    </row>
    <row r="458" spans="1:16" s="59" customFormat="1" x14ac:dyDescent="0.25">
      <c r="A458" s="58">
        <v>5</v>
      </c>
      <c r="B458" s="58" t="s">
        <v>178</v>
      </c>
      <c r="C458" s="58" t="s">
        <v>191</v>
      </c>
      <c r="D458" s="58">
        <f>28.39*10.764</f>
        <v>305.58995999999996</v>
      </c>
      <c r="E458" s="58">
        <v>0</v>
      </c>
      <c r="F458" s="58">
        <f t="shared" si="106"/>
        <v>473.66443799999996</v>
      </c>
      <c r="G458" s="96" t="str">
        <f>G457</f>
        <v>8th Floor</v>
      </c>
      <c r="H458" s="97"/>
      <c r="I458" s="43"/>
    </row>
    <row r="459" spans="1:16" s="59" customFormat="1" x14ac:dyDescent="0.25">
      <c r="A459" s="58">
        <v>6</v>
      </c>
      <c r="B459" s="58" t="s">
        <v>178</v>
      </c>
      <c r="C459" s="58" t="s">
        <v>192</v>
      </c>
      <c r="D459" s="58">
        <f>18.15*10.764</f>
        <v>195.36659999999998</v>
      </c>
      <c r="E459" s="58">
        <v>0</v>
      </c>
      <c r="F459" s="58">
        <f t="shared" si="106"/>
        <v>302.81822999999997</v>
      </c>
      <c r="G459" s="96" t="str">
        <f>G458</f>
        <v>8th Floor</v>
      </c>
      <c r="H459" s="97"/>
      <c r="I459" s="43"/>
    </row>
    <row r="460" spans="1:16" s="59" customFormat="1" x14ac:dyDescent="0.25">
      <c r="A460" s="58">
        <v>7</v>
      </c>
      <c r="B460" s="58" t="s">
        <v>178</v>
      </c>
      <c r="C460" s="58" t="s">
        <v>191</v>
      </c>
      <c r="D460" s="58">
        <f>28.55*10.764</f>
        <v>307.31219999999996</v>
      </c>
      <c r="E460" s="58">
        <v>0</v>
      </c>
      <c r="F460" s="58">
        <f t="shared" si="106"/>
        <v>476.33390999999995</v>
      </c>
      <c r="G460" s="96" t="str">
        <f>G459</f>
        <v>8th Floor</v>
      </c>
      <c r="H460" s="97"/>
      <c r="I460" s="43"/>
    </row>
    <row r="461" spans="1:16" s="59" customFormat="1" x14ac:dyDescent="0.25">
      <c r="A461" s="120" t="s">
        <v>198</v>
      </c>
      <c r="B461" s="121"/>
      <c r="C461" s="121"/>
      <c r="D461" s="121"/>
      <c r="E461" s="121"/>
      <c r="F461" s="121"/>
      <c r="G461" s="121"/>
      <c r="H461" s="122"/>
      <c r="I461" s="43"/>
    </row>
    <row r="462" spans="1:16" s="59" customFormat="1" x14ac:dyDescent="0.25">
      <c r="A462" s="58">
        <v>1</v>
      </c>
      <c r="B462" s="58" t="s">
        <v>178</v>
      </c>
      <c r="C462" s="58" t="s">
        <v>191</v>
      </c>
      <c r="D462" s="58">
        <f>28.58*10.764</f>
        <v>307.63511999999997</v>
      </c>
      <c r="E462" s="58">
        <v>0</v>
      </c>
      <c r="F462" s="58">
        <f t="shared" ref="F462:F467" si="107">D462*(($F$274)+1)+(IF(E462&lt;101,E462,IF(E462&lt;201,E462/2,IF(E462&lt;=301,E462/3,E462/4))))</f>
        <v>476.83443599999998</v>
      </c>
      <c r="G462" s="96" t="str">
        <f>A461</f>
        <v>9th Floor</v>
      </c>
      <c r="H462" s="97"/>
      <c r="I462" s="43"/>
      <c r="P462" s="44"/>
    </row>
    <row r="463" spans="1:16" s="59" customFormat="1" x14ac:dyDescent="0.25">
      <c r="A463" s="58">
        <v>2</v>
      </c>
      <c r="B463" s="58" t="s">
        <v>178</v>
      </c>
      <c r="C463" s="58" t="s">
        <v>191</v>
      </c>
      <c r="D463" s="58">
        <f>28.43*10.764</f>
        <v>306.02051999999998</v>
      </c>
      <c r="E463" s="58">
        <v>0</v>
      </c>
      <c r="F463" s="58">
        <f t="shared" si="107"/>
        <v>474.33180599999997</v>
      </c>
      <c r="G463" s="96" t="str">
        <f>G462</f>
        <v>9th Floor</v>
      </c>
      <c r="H463" s="97"/>
      <c r="I463" s="43"/>
    </row>
    <row r="464" spans="1:16" s="59" customFormat="1" x14ac:dyDescent="0.25">
      <c r="A464" s="58">
        <v>3</v>
      </c>
      <c r="B464" s="58" t="s">
        <v>178</v>
      </c>
      <c r="C464" s="58" t="s">
        <v>191</v>
      </c>
      <c r="D464" s="58">
        <f>27.51*10.764</f>
        <v>296.11763999999999</v>
      </c>
      <c r="E464" s="58">
        <v>0</v>
      </c>
      <c r="F464" s="58">
        <f t="shared" si="107"/>
        <v>458.98234200000002</v>
      </c>
      <c r="G464" s="96" t="str">
        <f>G463</f>
        <v>9th Floor</v>
      </c>
      <c r="H464" s="97"/>
      <c r="I464" s="43"/>
    </row>
    <row r="465" spans="1:16" s="59" customFormat="1" x14ac:dyDescent="0.25">
      <c r="A465" s="58">
        <v>5</v>
      </c>
      <c r="B465" s="58" t="s">
        <v>178</v>
      </c>
      <c r="C465" s="58" t="s">
        <v>191</v>
      </c>
      <c r="D465" s="58">
        <f>28.39*10.764</f>
        <v>305.58995999999996</v>
      </c>
      <c r="E465" s="58">
        <v>0</v>
      </c>
      <c r="F465" s="58">
        <f t="shared" si="107"/>
        <v>473.66443799999996</v>
      </c>
      <c r="G465" s="96" t="str">
        <f>G464</f>
        <v>9th Floor</v>
      </c>
      <c r="H465" s="97"/>
      <c r="I465" s="43"/>
    </row>
    <row r="466" spans="1:16" s="59" customFormat="1" x14ac:dyDescent="0.25">
      <c r="A466" s="58">
        <v>6</v>
      </c>
      <c r="B466" s="58" t="s">
        <v>178</v>
      </c>
      <c r="C466" s="58" t="s">
        <v>192</v>
      </c>
      <c r="D466" s="58">
        <f>18.15*10.764</f>
        <v>195.36659999999998</v>
      </c>
      <c r="E466" s="58">
        <v>0</v>
      </c>
      <c r="F466" s="58">
        <f t="shared" si="107"/>
        <v>302.81822999999997</v>
      </c>
      <c r="G466" s="96" t="str">
        <f>G465</f>
        <v>9th Floor</v>
      </c>
      <c r="H466" s="97"/>
      <c r="I466" s="43"/>
    </row>
    <row r="467" spans="1:16" s="59" customFormat="1" x14ac:dyDescent="0.25">
      <c r="A467" s="58">
        <v>7</v>
      </c>
      <c r="B467" s="58" t="s">
        <v>178</v>
      </c>
      <c r="C467" s="58" t="s">
        <v>191</v>
      </c>
      <c r="D467" s="58">
        <f>28.55*10.764</f>
        <v>307.31219999999996</v>
      </c>
      <c r="E467" s="58">
        <v>0</v>
      </c>
      <c r="F467" s="58">
        <f t="shared" si="107"/>
        <v>476.33390999999995</v>
      </c>
      <c r="G467" s="96" t="str">
        <f>G466</f>
        <v>9th Floor</v>
      </c>
      <c r="H467" s="97"/>
      <c r="I467" s="43"/>
    </row>
    <row r="468" spans="1:16" s="63" customFormat="1" x14ac:dyDescent="0.25">
      <c r="A468" s="120" t="s">
        <v>209</v>
      </c>
      <c r="B468" s="121"/>
      <c r="C468" s="121"/>
      <c r="D468" s="121"/>
      <c r="E468" s="121"/>
      <c r="F468" s="121"/>
      <c r="G468" s="121"/>
      <c r="H468" s="122"/>
      <c r="I468" s="43"/>
    </row>
    <row r="469" spans="1:16" s="63" customFormat="1" x14ac:dyDescent="0.25">
      <c r="A469" s="64">
        <v>1</v>
      </c>
      <c r="B469" s="64" t="s">
        <v>178</v>
      </c>
      <c r="C469" s="64" t="s">
        <v>191</v>
      </c>
      <c r="D469" s="64">
        <f>28.58*10.764</f>
        <v>307.63511999999997</v>
      </c>
      <c r="E469" s="64">
        <v>0</v>
      </c>
      <c r="F469" s="64">
        <f t="shared" ref="F469:F475" si="108">D469*(($F$274)+1)+(IF(E469&lt;101,E469,IF(E469&lt;201,E469/2,IF(E469&lt;=301,E469/3,E469/4))))</f>
        <v>476.83443599999998</v>
      </c>
      <c r="G469" s="96" t="str">
        <f>A468</f>
        <v>10th Floor</v>
      </c>
      <c r="H469" s="97"/>
      <c r="I469" s="43"/>
      <c r="P469" s="44"/>
    </row>
    <row r="470" spans="1:16" s="63" customFormat="1" x14ac:dyDescent="0.25">
      <c r="A470" s="64">
        <v>2</v>
      </c>
      <c r="B470" s="64" t="s">
        <v>178</v>
      </c>
      <c r="C470" s="64" t="s">
        <v>191</v>
      </c>
      <c r="D470" s="64">
        <f>28.43*10.764</f>
        <v>306.02051999999998</v>
      </c>
      <c r="E470" s="64">
        <v>0</v>
      </c>
      <c r="F470" s="64">
        <f t="shared" si="108"/>
        <v>474.33180599999997</v>
      </c>
      <c r="G470" s="96" t="str">
        <f t="shared" ref="G470:G475" si="109">G469</f>
        <v>10th Floor</v>
      </c>
      <c r="H470" s="97"/>
      <c r="I470" s="43"/>
    </row>
    <row r="471" spans="1:16" s="63" customFormat="1" x14ac:dyDescent="0.25">
      <c r="A471" s="64">
        <v>3</v>
      </c>
      <c r="B471" s="64" t="s">
        <v>178</v>
      </c>
      <c r="C471" s="64" t="s">
        <v>191</v>
      </c>
      <c r="D471" s="64">
        <f>27.51*10.764</f>
        <v>296.11763999999999</v>
      </c>
      <c r="E471" s="64">
        <v>0</v>
      </c>
      <c r="F471" s="64">
        <f t="shared" si="108"/>
        <v>458.98234200000002</v>
      </c>
      <c r="G471" s="96" t="str">
        <f t="shared" si="109"/>
        <v>10th Floor</v>
      </c>
      <c r="H471" s="97"/>
      <c r="I471" s="43"/>
    </row>
    <row r="472" spans="1:16" s="63" customFormat="1" x14ac:dyDescent="0.25">
      <c r="A472" s="64">
        <v>4</v>
      </c>
      <c r="B472" s="64" t="s">
        <v>178</v>
      </c>
      <c r="C472" s="64" t="s">
        <v>192</v>
      </c>
      <c r="D472" s="64">
        <f>14.91*10.764</f>
        <v>160.49124</v>
      </c>
      <c r="E472" s="64">
        <v>0</v>
      </c>
      <c r="F472" s="64">
        <f t="shared" si="108"/>
        <v>248.76142200000001</v>
      </c>
      <c r="G472" s="96" t="str">
        <f t="shared" si="109"/>
        <v>10th Floor</v>
      </c>
      <c r="H472" s="97"/>
      <c r="I472" s="43"/>
    </row>
    <row r="473" spans="1:16" s="63" customFormat="1" x14ac:dyDescent="0.25">
      <c r="A473" s="64">
        <v>5</v>
      </c>
      <c r="B473" s="64" t="s">
        <v>178</v>
      </c>
      <c r="C473" s="64" t="s">
        <v>192</v>
      </c>
      <c r="D473" s="64">
        <f>19.46*10.764</f>
        <v>209.46744000000001</v>
      </c>
      <c r="E473" s="64">
        <v>0</v>
      </c>
      <c r="F473" s="64">
        <f t="shared" si="108"/>
        <v>324.674532</v>
      </c>
      <c r="G473" s="96" t="str">
        <f t="shared" si="109"/>
        <v>10th Floor</v>
      </c>
      <c r="H473" s="97"/>
      <c r="I473" s="43"/>
    </row>
    <row r="474" spans="1:16" s="63" customFormat="1" x14ac:dyDescent="0.25">
      <c r="A474" s="64">
        <v>6</v>
      </c>
      <c r="B474" s="64" t="s">
        <v>178</v>
      </c>
      <c r="C474" s="64" t="s">
        <v>192</v>
      </c>
      <c r="D474" s="64">
        <f>18.15*10.764</f>
        <v>195.36659999999998</v>
      </c>
      <c r="E474" s="64">
        <v>0</v>
      </c>
      <c r="F474" s="64">
        <f t="shared" si="108"/>
        <v>302.81822999999997</v>
      </c>
      <c r="G474" s="96" t="str">
        <f t="shared" si="109"/>
        <v>10th Floor</v>
      </c>
      <c r="H474" s="97"/>
      <c r="I474" s="43"/>
    </row>
    <row r="475" spans="1:16" s="63" customFormat="1" x14ac:dyDescent="0.25">
      <c r="A475" s="64">
        <v>7</v>
      </c>
      <c r="B475" s="64" t="s">
        <v>178</v>
      </c>
      <c r="C475" s="64" t="s">
        <v>191</v>
      </c>
      <c r="D475" s="64">
        <f>28.55*10.764</f>
        <v>307.31219999999996</v>
      </c>
      <c r="E475" s="64">
        <v>0</v>
      </c>
      <c r="F475" s="64">
        <f t="shared" si="108"/>
        <v>476.33390999999995</v>
      </c>
      <c r="G475" s="96" t="str">
        <f t="shared" si="109"/>
        <v>10th Floor</v>
      </c>
      <c r="H475" s="97"/>
      <c r="I475" s="43"/>
    </row>
    <row r="476" spans="1:16" s="61" customFormat="1" x14ac:dyDescent="0.25">
      <c r="A476" s="120" t="s">
        <v>211</v>
      </c>
      <c r="B476" s="121"/>
      <c r="C476" s="121"/>
      <c r="D476" s="121"/>
      <c r="E476" s="121"/>
      <c r="F476" s="121"/>
      <c r="G476" s="121"/>
      <c r="H476" s="122"/>
      <c r="I476" s="43"/>
    </row>
    <row r="477" spans="1:16" s="61" customFormat="1" x14ac:dyDescent="0.25">
      <c r="A477" s="62">
        <v>1</v>
      </c>
      <c r="B477" s="62" t="s">
        <v>178</v>
      </c>
      <c r="C477" s="62" t="s">
        <v>191</v>
      </c>
      <c r="D477" s="62">
        <f>28.58*10.764</f>
        <v>307.63511999999997</v>
      </c>
      <c r="E477" s="62">
        <v>0</v>
      </c>
      <c r="F477" s="62">
        <f t="shared" ref="F477:F482" si="110">D477*(($F$274)+1)+(IF(E477&lt;101,E477,IF(E477&lt;201,E477/2,IF(E477&lt;=301,E477/3,E477/4))))</f>
        <v>476.83443599999998</v>
      </c>
      <c r="G477" s="96" t="str">
        <f>A476</f>
        <v>11th &amp; 12th Floor</v>
      </c>
      <c r="H477" s="97"/>
      <c r="I477" s="43"/>
      <c r="P477" s="44"/>
    </row>
    <row r="478" spans="1:16" s="61" customFormat="1" x14ac:dyDescent="0.25">
      <c r="A478" s="62">
        <v>2</v>
      </c>
      <c r="B478" s="62" t="s">
        <v>178</v>
      </c>
      <c r="C478" s="62" t="s">
        <v>191</v>
      </c>
      <c r="D478" s="62">
        <f>28.43*10.764</f>
        <v>306.02051999999998</v>
      </c>
      <c r="E478" s="62">
        <v>0</v>
      </c>
      <c r="F478" s="62">
        <f t="shared" si="110"/>
        <v>474.33180599999997</v>
      </c>
      <c r="G478" s="96" t="str">
        <f t="shared" ref="G478:G483" si="111">G477</f>
        <v>11th &amp; 12th Floor</v>
      </c>
      <c r="H478" s="97"/>
      <c r="I478" s="43"/>
    </row>
    <row r="479" spans="1:16" s="61" customFormat="1" x14ac:dyDescent="0.25">
      <c r="A479" s="62">
        <v>3</v>
      </c>
      <c r="B479" s="62" t="s">
        <v>178</v>
      </c>
      <c r="C479" s="62" t="s">
        <v>191</v>
      </c>
      <c r="D479" s="62">
        <f>27.51*10.764</f>
        <v>296.11763999999999</v>
      </c>
      <c r="E479" s="62">
        <v>0</v>
      </c>
      <c r="F479" s="62">
        <f t="shared" si="110"/>
        <v>458.98234200000002</v>
      </c>
      <c r="G479" s="96" t="str">
        <f t="shared" si="111"/>
        <v>11th &amp; 12th Floor</v>
      </c>
      <c r="H479" s="97"/>
      <c r="I479" s="43"/>
    </row>
    <row r="480" spans="1:16" s="61" customFormat="1" x14ac:dyDescent="0.25">
      <c r="A480" s="62">
        <v>4</v>
      </c>
      <c r="B480" s="62" t="s">
        <v>178</v>
      </c>
      <c r="C480" s="62" t="s">
        <v>192</v>
      </c>
      <c r="D480" s="62">
        <f>14.91*10.764</f>
        <v>160.49124</v>
      </c>
      <c r="E480" s="62">
        <v>0</v>
      </c>
      <c r="F480" s="62">
        <f t="shared" si="110"/>
        <v>248.76142200000001</v>
      </c>
      <c r="G480" s="96" t="str">
        <f t="shared" si="111"/>
        <v>11th &amp; 12th Floor</v>
      </c>
      <c r="H480" s="97"/>
      <c r="I480" s="43"/>
    </row>
    <row r="481" spans="1:16" s="61" customFormat="1" x14ac:dyDescent="0.25">
      <c r="A481" s="62">
        <v>5</v>
      </c>
      <c r="B481" s="62" t="s">
        <v>178</v>
      </c>
      <c r="C481" s="62" t="s">
        <v>192</v>
      </c>
      <c r="D481" s="62">
        <f>19.46*10.764</f>
        <v>209.46744000000001</v>
      </c>
      <c r="E481" s="62">
        <v>0</v>
      </c>
      <c r="F481" s="62">
        <f t="shared" si="110"/>
        <v>324.674532</v>
      </c>
      <c r="G481" s="96" t="str">
        <f t="shared" si="111"/>
        <v>11th &amp; 12th Floor</v>
      </c>
      <c r="H481" s="97"/>
      <c r="I481" s="43"/>
    </row>
    <row r="482" spans="1:16" s="61" customFormat="1" x14ac:dyDescent="0.25">
      <c r="A482" s="62">
        <v>6</v>
      </c>
      <c r="B482" s="62" t="s">
        <v>178</v>
      </c>
      <c r="C482" s="62" t="s">
        <v>192</v>
      </c>
      <c r="D482" s="62">
        <f>18.15*10.764</f>
        <v>195.36659999999998</v>
      </c>
      <c r="E482" s="62">
        <v>0</v>
      </c>
      <c r="F482" s="62">
        <f t="shared" si="110"/>
        <v>302.81822999999997</v>
      </c>
      <c r="G482" s="96" t="str">
        <f t="shared" si="111"/>
        <v>11th &amp; 12th Floor</v>
      </c>
      <c r="H482" s="97"/>
      <c r="I482" s="43"/>
    </row>
    <row r="483" spans="1:16" s="61" customFormat="1" x14ac:dyDescent="0.25">
      <c r="A483" s="62">
        <v>7</v>
      </c>
      <c r="B483" s="62" t="s">
        <v>178</v>
      </c>
      <c r="C483" s="62" t="s">
        <v>191</v>
      </c>
      <c r="D483" s="62">
        <f>28.55*10.764</f>
        <v>307.31219999999996</v>
      </c>
      <c r="E483" s="62">
        <v>0</v>
      </c>
      <c r="F483" s="62">
        <f t="shared" ref="F483" si="112">D483*(($F$274)+1)+(IF(E483&lt;101,E483,IF(E483&lt;201,E483/2,IF(E483&lt;=301,E483/3,E483/4))))</f>
        <v>476.33390999999995</v>
      </c>
      <c r="G483" s="96" t="str">
        <f t="shared" si="111"/>
        <v>11th &amp; 12th Floor</v>
      </c>
      <c r="H483" s="97"/>
      <c r="I483" s="43"/>
    </row>
    <row r="484" spans="1:16" s="61" customFormat="1" x14ac:dyDescent="0.25">
      <c r="A484" s="120" t="s">
        <v>212</v>
      </c>
      <c r="B484" s="121"/>
      <c r="C484" s="121"/>
      <c r="D484" s="121"/>
      <c r="E484" s="121"/>
      <c r="F484" s="121"/>
      <c r="G484" s="121"/>
      <c r="H484" s="122"/>
      <c r="I484" s="43"/>
    </row>
    <row r="485" spans="1:16" s="61" customFormat="1" x14ac:dyDescent="0.25">
      <c r="A485" s="62">
        <v>1</v>
      </c>
      <c r="B485" s="62" t="s">
        <v>178</v>
      </c>
      <c r="C485" s="62" t="s">
        <v>191</v>
      </c>
      <c r="D485" s="62">
        <f>28.58*10.764</f>
        <v>307.63511999999997</v>
      </c>
      <c r="E485" s="62">
        <v>0</v>
      </c>
      <c r="F485" s="62">
        <f t="shared" ref="F485:F491" si="113">D485*(($F$274)+1)+(IF(E485&lt;101,E485,IF(E485&lt;201,E485/2,IF(E485&lt;=301,E485/3,E485/4))))</f>
        <v>476.83443599999998</v>
      </c>
      <c r="G485" s="96" t="str">
        <f>A484</f>
        <v>13th, 15th &amp; 16th Floor</v>
      </c>
      <c r="H485" s="97"/>
      <c r="I485" s="43"/>
      <c r="P485" s="44"/>
    </row>
    <row r="486" spans="1:16" s="61" customFormat="1" x14ac:dyDescent="0.25">
      <c r="A486" s="62">
        <v>2</v>
      </c>
      <c r="B486" s="62" t="s">
        <v>178</v>
      </c>
      <c r="C486" s="62" t="s">
        <v>191</v>
      </c>
      <c r="D486" s="62">
        <f>28.43*10.764</f>
        <v>306.02051999999998</v>
      </c>
      <c r="E486" s="62">
        <v>0</v>
      </c>
      <c r="F486" s="62">
        <f t="shared" si="113"/>
        <v>474.33180599999997</v>
      </c>
      <c r="G486" s="96" t="str">
        <f t="shared" ref="G486:G491" si="114">G485</f>
        <v>13th, 15th &amp; 16th Floor</v>
      </c>
      <c r="H486" s="97"/>
      <c r="I486" s="43"/>
    </row>
    <row r="487" spans="1:16" s="61" customFormat="1" x14ac:dyDescent="0.25">
      <c r="A487" s="62">
        <v>3</v>
      </c>
      <c r="B487" s="62" t="s">
        <v>178</v>
      </c>
      <c r="C487" s="62" t="s">
        <v>191</v>
      </c>
      <c r="D487" s="62">
        <f>27.51*10.764</f>
        <v>296.11763999999999</v>
      </c>
      <c r="E487" s="62">
        <v>0</v>
      </c>
      <c r="F487" s="62">
        <f t="shared" si="113"/>
        <v>458.98234200000002</v>
      </c>
      <c r="G487" s="96" t="str">
        <f t="shared" si="114"/>
        <v>13th, 15th &amp; 16th Floor</v>
      </c>
      <c r="H487" s="97"/>
      <c r="I487" s="43"/>
    </row>
    <row r="488" spans="1:16" s="61" customFormat="1" x14ac:dyDescent="0.25">
      <c r="A488" s="62">
        <v>4</v>
      </c>
      <c r="B488" s="62" t="s">
        <v>178</v>
      </c>
      <c r="C488" s="62" t="s">
        <v>192</v>
      </c>
      <c r="D488" s="62">
        <f>14.91*10.764</f>
        <v>160.49124</v>
      </c>
      <c r="E488" s="62">
        <v>0</v>
      </c>
      <c r="F488" s="62">
        <f t="shared" si="113"/>
        <v>248.76142200000001</v>
      </c>
      <c r="G488" s="96" t="str">
        <f t="shared" si="114"/>
        <v>13th, 15th &amp; 16th Floor</v>
      </c>
      <c r="H488" s="97"/>
      <c r="I488" s="43"/>
    </row>
    <row r="489" spans="1:16" s="61" customFormat="1" x14ac:dyDescent="0.25">
      <c r="A489" s="62">
        <v>5</v>
      </c>
      <c r="B489" s="62" t="s">
        <v>178</v>
      </c>
      <c r="C489" s="62" t="s">
        <v>192</v>
      </c>
      <c r="D489" s="62">
        <f>19.46*10.764</f>
        <v>209.46744000000001</v>
      </c>
      <c r="E489" s="62">
        <v>0</v>
      </c>
      <c r="F489" s="62">
        <f t="shared" si="113"/>
        <v>324.674532</v>
      </c>
      <c r="G489" s="96" t="str">
        <f t="shared" si="114"/>
        <v>13th, 15th &amp; 16th Floor</v>
      </c>
      <c r="H489" s="97"/>
      <c r="I489" s="43"/>
    </row>
    <row r="490" spans="1:16" s="61" customFormat="1" x14ac:dyDescent="0.25">
      <c r="A490" s="62">
        <v>6</v>
      </c>
      <c r="B490" s="62" t="s">
        <v>178</v>
      </c>
      <c r="C490" s="62" t="s">
        <v>192</v>
      </c>
      <c r="D490" s="62">
        <f>18.15*10.764</f>
        <v>195.36659999999998</v>
      </c>
      <c r="E490" s="62">
        <v>0</v>
      </c>
      <c r="F490" s="62">
        <f t="shared" si="113"/>
        <v>302.81822999999997</v>
      </c>
      <c r="G490" s="96" t="str">
        <f t="shared" si="114"/>
        <v>13th, 15th &amp; 16th Floor</v>
      </c>
      <c r="H490" s="97"/>
      <c r="I490" s="43"/>
    </row>
    <row r="491" spans="1:16" s="61" customFormat="1" x14ac:dyDescent="0.25">
      <c r="A491" s="62">
        <v>7</v>
      </c>
      <c r="B491" s="62" t="s">
        <v>178</v>
      </c>
      <c r="C491" s="62" t="s">
        <v>191</v>
      </c>
      <c r="D491" s="62">
        <f>28.55*10.764</f>
        <v>307.31219999999996</v>
      </c>
      <c r="E491" s="62">
        <v>0</v>
      </c>
      <c r="F491" s="62">
        <f t="shared" si="113"/>
        <v>476.33390999999995</v>
      </c>
      <c r="G491" s="96" t="str">
        <f t="shared" si="114"/>
        <v>13th, 15th &amp; 16th Floor</v>
      </c>
      <c r="H491" s="97"/>
      <c r="I491" s="43"/>
    </row>
    <row r="492" spans="1:16" s="63" customFormat="1" x14ac:dyDescent="0.25">
      <c r="A492" s="120" t="s">
        <v>216</v>
      </c>
      <c r="B492" s="121"/>
      <c r="C492" s="121"/>
      <c r="D492" s="121"/>
      <c r="E492" s="121"/>
      <c r="F492" s="121"/>
      <c r="G492" s="121"/>
      <c r="H492" s="122"/>
      <c r="I492" s="43"/>
    </row>
    <row r="493" spans="1:16" s="63" customFormat="1" x14ac:dyDescent="0.25">
      <c r="A493" s="64">
        <v>1</v>
      </c>
      <c r="B493" s="64" t="s">
        <v>178</v>
      </c>
      <c r="C493" s="64" t="s">
        <v>191</v>
      </c>
      <c r="D493" s="64">
        <f>28.58*10.764</f>
        <v>307.63511999999997</v>
      </c>
      <c r="E493" s="64">
        <v>0</v>
      </c>
      <c r="F493" s="64">
        <f t="shared" ref="F493:F499" si="115">D493*(($F$274)+1)+(IF(E493&lt;101,E493,IF(E493&lt;201,E493/2,IF(E493&lt;=301,E493/3,E493/4))))</f>
        <v>476.83443599999998</v>
      </c>
      <c r="G493" s="96" t="str">
        <f>A492</f>
        <v>14th Floor (Part Refuge Area)</v>
      </c>
      <c r="H493" s="97"/>
      <c r="I493" s="43"/>
      <c r="P493" s="44"/>
    </row>
    <row r="494" spans="1:16" s="63" customFormat="1" x14ac:dyDescent="0.25">
      <c r="A494" s="64">
        <v>2</v>
      </c>
      <c r="B494" s="64" t="s">
        <v>195</v>
      </c>
      <c r="C494" s="123" t="s">
        <v>196</v>
      </c>
      <c r="D494" s="124"/>
      <c r="E494" s="124"/>
      <c r="F494" s="125"/>
      <c r="G494" s="96" t="str">
        <f t="shared" ref="G494:G499" si="116">G493</f>
        <v>14th Floor (Part Refuge Area)</v>
      </c>
      <c r="H494" s="97"/>
      <c r="I494" s="43"/>
    </row>
    <row r="495" spans="1:16" s="63" customFormat="1" x14ac:dyDescent="0.25">
      <c r="A495" s="64">
        <v>3</v>
      </c>
      <c r="B495" s="64" t="s">
        <v>195</v>
      </c>
      <c r="C495" s="126"/>
      <c r="D495" s="127"/>
      <c r="E495" s="127"/>
      <c r="F495" s="128"/>
      <c r="G495" s="96" t="str">
        <f t="shared" si="116"/>
        <v>14th Floor (Part Refuge Area)</v>
      </c>
      <c r="H495" s="97"/>
      <c r="I495" s="43"/>
    </row>
    <row r="496" spans="1:16" s="63" customFormat="1" x14ac:dyDescent="0.25">
      <c r="A496" s="64">
        <v>4</v>
      </c>
      <c r="B496" s="64" t="s">
        <v>178</v>
      </c>
      <c r="C496" s="64" t="s">
        <v>192</v>
      </c>
      <c r="D496" s="64">
        <f>14.91*10.764</f>
        <v>160.49124</v>
      </c>
      <c r="E496" s="64">
        <v>0</v>
      </c>
      <c r="F496" s="64">
        <f t="shared" si="115"/>
        <v>248.76142200000001</v>
      </c>
      <c r="G496" s="96" t="str">
        <f t="shared" si="116"/>
        <v>14th Floor (Part Refuge Area)</v>
      </c>
      <c r="H496" s="97"/>
      <c r="I496" s="43"/>
    </row>
    <row r="497" spans="1:16" s="63" customFormat="1" x14ac:dyDescent="0.25">
      <c r="A497" s="64">
        <v>5</v>
      </c>
      <c r="B497" s="64" t="s">
        <v>178</v>
      </c>
      <c r="C497" s="64" t="s">
        <v>192</v>
      </c>
      <c r="D497" s="64">
        <f>19.46*10.764</f>
        <v>209.46744000000001</v>
      </c>
      <c r="E497" s="64">
        <v>0</v>
      </c>
      <c r="F497" s="64">
        <f t="shared" si="115"/>
        <v>324.674532</v>
      </c>
      <c r="G497" s="96" t="str">
        <f t="shared" si="116"/>
        <v>14th Floor (Part Refuge Area)</v>
      </c>
      <c r="H497" s="97"/>
      <c r="I497" s="43"/>
    </row>
    <row r="498" spans="1:16" s="63" customFormat="1" x14ac:dyDescent="0.25">
      <c r="A498" s="64">
        <v>6</v>
      </c>
      <c r="B498" s="64" t="s">
        <v>178</v>
      </c>
      <c r="C498" s="64" t="s">
        <v>192</v>
      </c>
      <c r="D498" s="64">
        <f>18.15*10.764</f>
        <v>195.36659999999998</v>
      </c>
      <c r="E498" s="64">
        <v>0</v>
      </c>
      <c r="F498" s="64">
        <f t="shared" si="115"/>
        <v>302.81822999999997</v>
      </c>
      <c r="G498" s="96" t="str">
        <f t="shared" si="116"/>
        <v>14th Floor (Part Refuge Area)</v>
      </c>
      <c r="H498" s="97"/>
      <c r="I498" s="43"/>
    </row>
    <row r="499" spans="1:16" s="63" customFormat="1" x14ac:dyDescent="0.25">
      <c r="A499" s="64">
        <v>7</v>
      </c>
      <c r="B499" s="64" t="s">
        <v>178</v>
      </c>
      <c r="C499" s="64" t="s">
        <v>191</v>
      </c>
      <c r="D499" s="64">
        <f>28.55*10.764</f>
        <v>307.31219999999996</v>
      </c>
      <c r="E499" s="64">
        <v>0</v>
      </c>
      <c r="F499" s="64">
        <f t="shared" si="115"/>
        <v>476.33390999999995</v>
      </c>
      <c r="G499" s="96" t="str">
        <f t="shared" si="116"/>
        <v>14th Floor (Part Refuge Area)</v>
      </c>
      <c r="H499" s="97"/>
      <c r="I499" s="43"/>
    </row>
    <row r="500" spans="1:16" s="63" customFormat="1" x14ac:dyDescent="0.25">
      <c r="A500" s="120" t="s">
        <v>214</v>
      </c>
      <c r="B500" s="121"/>
      <c r="C500" s="121"/>
      <c r="D500" s="121"/>
      <c r="E500" s="121"/>
      <c r="F500" s="121"/>
      <c r="G500" s="121"/>
      <c r="H500" s="122"/>
      <c r="I500" s="43"/>
    </row>
    <row r="501" spans="1:16" s="63" customFormat="1" x14ac:dyDescent="0.25">
      <c r="A501" s="64">
        <v>1</v>
      </c>
      <c r="B501" s="64" t="s">
        <v>178</v>
      </c>
      <c r="C501" s="64" t="s">
        <v>191</v>
      </c>
      <c r="D501" s="64">
        <f>28.58*10.764</f>
        <v>307.63511999999997</v>
      </c>
      <c r="E501" s="64">
        <v>0</v>
      </c>
      <c r="F501" s="64">
        <f t="shared" ref="F501:F507" si="117">D501*(($F$274)+1)+(IF(E501&lt;101,E501,IF(E501&lt;201,E501/2,IF(E501&lt;=301,E501/3,E501/4))))</f>
        <v>476.83443599999998</v>
      </c>
      <c r="G501" s="96" t="str">
        <f>A500</f>
        <v>17th Floor</v>
      </c>
      <c r="H501" s="97"/>
      <c r="I501" s="43"/>
      <c r="P501" s="44"/>
    </row>
    <row r="502" spans="1:16" s="63" customFormat="1" x14ac:dyDescent="0.25">
      <c r="A502" s="64">
        <v>2</v>
      </c>
      <c r="B502" s="64" t="s">
        <v>178</v>
      </c>
      <c r="C502" s="64" t="s">
        <v>191</v>
      </c>
      <c r="D502" s="64">
        <f>28.43*10.764</f>
        <v>306.02051999999998</v>
      </c>
      <c r="E502" s="64">
        <v>0</v>
      </c>
      <c r="F502" s="64">
        <f t="shared" si="117"/>
        <v>474.33180599999997</v>
      </c>
      <c r="G502" s="96" t="str">
        <f t="shared" ref="G502:G507" si="118">G501</f>
        <v>17th Floor</v>
      </c>
      <c r="H502" s="97"/>
      <c r="I502" s="43"/>
    </row>
    <row r="503" spans="1:16" s="63" customFormat="1" x14ac:dyDescent="0.25">
      <c r="A503" s="64">
        <v>3</v>
      </c>
      <c r="B503" s="64" t="s">
        <v>178</v>
      </c>
      <c r="C503" s="64" t="s">
        <v>191</v>
      </c>
      <c r="D503" s="64">
        <f>27.51*10.764</f>
        <v>296.11763999999999</v>
      </c>
      <c r="E503" s="64">
        <v>0</v>
      </c>
      <c r="F503" s="64">
        <f t="shared" si="117"/>
        <v>458.98234200000002</v>
      </c>
      <c r="G503" s="96" t="str">
        <f t="shared" si="118"/>
        <v>17th Floor</v>
      </c>
      <c r="H503" s="97"/>
      <c r="I503" s="43"/>
    </row>
    <row r="504" spans="1:16" s="63" customFormat="1" x14ac:dyDescent="0.25">
      <c r="A504" s="64">
        <v>4</v>
      </c>
      <c r="B504" s="64" t="s">
        <v>178</v>
      </c>
      <c r="C504" s="64" t="s">
        <v>192</v>
      </c>
      <c r="D504" s="64">
        <f>14.91*10.764</f>
        <v>160.49124</v>
      </c>
      <c r="E504" s="64">
        <v>0</v>
      </c>
      <c r="F504" s="64">
        <f t="shared" si="117"/>
        <v>248.76142200000001</v>
      </c>
      <c r="G504" s="96" t="str">
        <f t="shared" si="118"/>
        <v>17th Floor</v>
      </c>
      <c r="H504" s="97"/>
      <c r="I504" s="43"/>
    </row>
    <row r="505" spans="1:16" s="63" customFormat="1" x14ac:dyDescent="0.25">
      <c r="A505" s="64">
        <v>5</v>
      </c>
      <c r="B505" s="64" t="s">
        <v>178</v>
      </c>
      <c r="C505" s="64" t="s">
        <v>192</v>
      </c>
      <c r="D505" s="64">
        <f>19.46*10.764</f>
        <v>209.46744000000001</v>
      </c>
      <c r="E505" s="64">
        <v>0</v>
      </c>
      <c r="F505" s="64">
        <f t="shared" si="117"/>
        <v>324.674532</v>
      </c>
      <c r="G505" s="96" t="str">
        <f t="shared" si="118"/>
        <v>17th Floor</v>
      </c>
      <c r="H505" s="97"/>
      <c r="I505" s="43"/>
    </row>
    <row r="506" spans="1:16" s="63" customFormat="1" x14ac:dyDescent="0.25">
      <c r="A506" s="64">
        <v>6</v>
      </c>
      <c r="B506" s="64" t="s">
        <v>178</v>
      </c>
      <c r="C506" s="64" t="s">
        <v>192</v>
      </c>
      <c r="D506" s="64">
        <f>18.15*10.764</f>
        <v>195.36659999999998</v>
      </c>
      <c r="E506" s="64">
        <v>0</v>
      </c>
      <c r="F506" s="64">
        <f t="shared" si="117"/>
        <v>302.81822999999997</v>
      </c>
      <c r="G506" s="96" t="str">
        <f t="shared" si="118"/>
        <v>17th Floor</v>
      </c>
      <c r="H506" s="97"/>
      <c r="I506" s="43"/>
    </row>
    <row r="507" spans="1:16" s="63" customFormat="1" x14ac:dyDescent="0.25">
      <c r="A507" s="64">
        <v>7</v>
      </c>
      <c r="B507" s="64" t="s">
        <v>178</v>
      </c>
      <c r="C507" s="64" t="s">
        <v>191</v>
      </c>
      <c r="D507" s="64">
        <f>28.55*10.764</f>
        <v>307.31219999999996</v>
      </c>
      <c r="E507" s="64">
        <v>0</v>
      </c>
      <c r="F507" s="64">
        <f t="shared" si="117"/>
        <v>476.33390999999995</v>
      </c>
      <c r="G507" s="96" t="str">
        <f t="shared" si="118"/>
        <v>17th Floor</v>
      </c>
      <c r="H507" s="97"/>
      <c r="I507" s="43"/>
    </row>
    <row r="508" spans="1:16" s="63" customFormat="1" x14ac:dyDescent="0.25">
      <c r="A508" s="120" t="s">
        <v>218</v>
      </c>
      <c r="B508" s="121"/>
      <c r="C508" s="121"/>
      <c r="D508" s="121"/>
      <c r="E508" s="121"/>
      <c r="F508" s="121"/>
      <c r="G508" s="121"/>
      <c r="H508" s="122"/>
      <c r="I508" s="43"/>
    </row>
    <row r="509" spans="1:16" s="63" customFormat="1" x14ac:dyDescent="0.25">
      <c r="A509" s="64">
        <v>1</v>
      </c>
      <c r="B509" s="64" t="s">
        <v>178</v>
      </c>
      <c r="C509" s="64" t="s">
        <v>191</v>
      </c>
      <c r="D509" s="64">
        <f>28.58*10.764</f>
        <v>307.63511999999997</v>
      </c>
      <c r="E509" s="64">
        <v>0</v>
      </c>
      <c r="F509" s="64">
        <f t="shared" ref="F509:F515" si="119">D509*(($F$274)+1)+(IF(E509&lt;101,E509,IF(E509&lt;201,E509/2,IF(E509&lt;=301,E509/3,E509/4))))</f>
        <v>476.83443599999998</v>
      </c>
      <c r="G509" s="96" t="str">
        <f>A508</f>
        <v>18th Floor</v>
      </c>
      <c r="H509" s="97"/>
      <c r="I509" s="43"/>
      <c r="P509" s="44"/>
    </row>
    <row r="510" spans="1:16" s="63" customFormat="1" x14ac:dyDescent="0.25">
      <c r="A510" s="64">
        <v>2</v>
      </c>
      <c r="B510" s="64" t="s">
        <v>178</v>
      </c>
      <c r="C510" s="64" t="s">
        <v>191</v>
      </c>
      <c r="D510" s="64">
        <f>28.43*10.764</f>
        <v>306.02051999999998</v>
      </c>
      <c r="E510" s="64">
        <v>0</v>
      </c>
      <c r="F510" s="64">
        <f t="shared" si="119"/>
        <v>474.33180599999997</v>
      </c>
      <c r="G510" s="96" t="str">
        <f t="shared" ref="G510:G515" si="120">G509</f>
        <v>18th Floor</v>
      </c>
      <c r="H510" s="97"/>
      <c r="I510" s="43"/>
    </row>
    <row r="511" spans="1:16" s="63" customFormat="1" x14ac:dyDescent="0.25">
      <c r="A511" s="64">
        <v>3</v>
      </c>
      <c r="B511" s="64" t="s">
        <v>178</v>
      </c>
      <c r="C511" s="64" t="s">
        <v>191</v>
      </c>
      <c r="D511" s="64">
        <f>27.51*10.764</f>
        <v>296.11763999999999</v>
      </c>
      <c r="E511" s="64">
        <v>0</v>
      </c>
      <c r="F511" s="64">
        <f t="shared" si="119"/>
        <v>458.98234200000002</v>
      </c>
      <c r="G511" s="96" t="str">
        <f t="shared" si="120"/>
        <v>18th Floor</v>
      </c>
      <c r="H511" s="97"/>
      <c r="I511" s="43"/>
    </row>
    <row r="512" spans="1:16" s="63" customFormat="1" x14ac:dyDescent="0.25">
      <c r="A512" s="64">
        <v>4</v>
      </c>
      <c r="B512" s="64" t="s">
        <v>178</v>
      </c>
      <c r="C512" s="64" t="s">
        <v>192</v>
      </c>
      <c r="D512" s="64">
        <f>14.91*10.764</f>
        <v>160.49124</v>
      </c>
      <c r="E512" s="64">
        <v>0</v>
      </c>
      <c r="F512" s="64">
        <f t="shared" si="119"/>
        <v>248.76142200000001</v>
      </c>
      <c r="G512" s="96" t="str">
        <f t="shared" si="120"/>
        <v>18th Floor</v>
      </c>
      <c r="H512" s="97"/>
      <c r="I512" s="43"/>
    </row>
    <row r="513" spans="1:16" s="63" customFormat="1" x14ac:dyDescent="0.25">
      <c r="A513" s="64">
        <v>5</v>
      </c>
      <c r="B513" s="64" t="s">
        <v>178</v>
      </c>
      <c r="C513" s="64" t="s">
        <v>192</v>
      </c>
      <c r="D513" s="64">
        <f>19.46*10.764</f>
        <v>209.46744000000001</v>
      </c>
      <c r="E513" s="64">
        <v>0</v>
      </c>
      <c r="F513" s="64">
        <f t="shared" si="119"/>
        <v>324.674532</v>
      </c>
      <c r="G513" s="96" t="str">
        <f t="shared" si="120"/>
        <v>18th Floor</v>
      </c>
      <c r="H513" s="97"/>
      <c r="I513" s="43"/>
    </row>
    <row r="514" spans="1:16" s="63" customFormat="1" x14ac:dyDescent="0.25">
      <c r="A514" s="64">
        <v>6</v>
      </c>
      <c r="B514" s="64" t="s">
        <v>178</v>
      </c>
      <c r="C514" s="64" t="s">
        <v>192</v>
      </c>
      <c r="D514" s="64">
        <f>18.15*10.764</f>
        <v>195.36659999999998</v>
      </c>
      <c r="E514" s="64">
        <v>0</v>
      </c>
      <c r="F514" s="64">
        <f t="shared" si="119"/>
        <v>302.81822999999997</v>
      </c>
      <c r="G514" s="96" t="str">
        <f t="shared" si="120"/>
        <v>18th Floor</v>
      </c>
      <c r="H514" s="97"/>
      <c r="I514" s="43"/>
    </row>
    <row r="515" spans="1:16" s="63" customFormat="1" x14ac:dyDescent="0.25">
      <c r="A515" s="64">
        <v>7</v>
      </c>
      <c r="B515" s="64" t="s">
        <v>178</v>
      </c>
      <c r="C515" s="64" t="s">
        <v>191</v>
      </c>
      <c r="D515" s="64">
        <f>28.55*10.764</f>
        <v>307.31219999999996</v>
      </c>
      <c r="E515" s="64">
        <v>0</v>
      </c>
      <c r="F515" s="64">
        <f t="shared" si="119"/>
        <v>476.33390999999995</v>
      </c>
      <c r="G515" s="96" t="str">
        <f t="shared" si="120"/>
        <v>18th Floor</v>
      </c>
      <c r="H515" s="97"/>
      <c r="I515" s="43"/>
    </row>
    <row r="516" spans="1:16" s="63" customFormat="1" x14ac:dyDescent="0.25">
      <c r="A516" s="120" t="s">
        <v>219</v>
      </c>
      <c r="B516" s="121"/>
      <c r="C516" s="121"/>
      <c r="D516" s="121"/>
      <c r="E516" s="121"/>
      <c r="F516" s="121"/>
      <c r="G516" s="121"/>
      <c r="H516" s="122"/>
      <c r="I516" s="43"/>
    </row>
    <row r="517" spans="1:16" s="63" customFormat="1" x14ac:dyDescent="0.25">
      <c r="A517" s="64">
        <v>1</v>
      </c>
      <c r="B517" s="64" t="s">
        <v>178</v>
      </c>
      <c r="C517" s="64" t="s">
        <v>191</v>
      </c>
      <c r="D517" s="64">
        <f>28.58*10.764</f>
        <v>307.63511999999997</v>
      </c>
      <c r="E517" s="64">
        <v>0</v>
      </c>
      <c r="F517" s="64">
        <f t="shared" ref="F517:F523" si="121">D517*(($F$274)+1)+(IF(E517&lt;101,E517,IF(E517&lt;201,E517/2,IF(E517&lt;=301,E517/3,E517/4))))</f>
        <v>476.83443599999998</v>
      </c>
      <c r="G517" s="96" t="str">
        <f>A516</f>
        <v>19th Floor</v>
      </c>
      <c r="H517" s="97"/>
      <c r="I517" s="43"/>
      <c r="P517" s="44"/>
    </row>
    <row r="518" spans="1:16" s="63" customFormat="1" x14ac:dyDescent="0.25">
      <c r="A518" s="64">
        <v>2</v>
      </c>
      <c r="B518" s="64" t="s">
        <v>178</v>
      </c>
      <c r="C518" s="64" t="s">
        <v>191</v>
      </c>
      <c r="D518" s="64">
        <f>28.43*10.764</f>
        <v>306.02051999999998</v>
      </c>
      <c r="E518" s="64">
        <v>0</v>
      </c>
      <c r="F518" s="64">
        <f t="shared" si="121"/>
        <v>474.33180599999997</v>
      </c>
      <c r="G518" s="96" t="str">
        <f t="shared" ref="G518:G523" si="122">G517</f>
        <v>19th Floor</v>
      </c>
      <c r="H518" s="97"/>
      <c r="I518" s="43"/>
    </row>
    <row r="519" spans="1:16" s="63" customFormat="1" x14ac:dyDescent="0.25">
      <c r="A519" s="64">
        <v>3</v>
      </c>
      <c r="B519" s="64" t="s">
        <v>178</v>
      </c>
      <c r="C519" s="64" t="s">
        <v>191</v>
      </c>
      <c r="D519" s="64">
        <f>27.51*10.764</f>
        <v>296.11763999999999</v>
      </c>
      <c r="E519" s="64">
        <v>0</v>
      </c>
      <c r="F519" s="64">
        <f t="shared" si="121"/>
        <v>458.98234200000002</v>
      </c>
      <c r="G519" s="96" t="str">
        <f t="shared" si="122"/>
        <v>19th Floor</v>
      </c>
      <c r="H519" s="97"/>
      <c r="I519" s="43"/>
    </row>
    <row r="520" spans="1:16" s="63" customFormat="1" x14ac:dyDescent="0.25">
      <c r="A520" s="64">
        <v>4</v>
      </c>
      <c r="B520" s="64" t="s">
        <v>178</v>
      </c>
      <c r="C520" s="64" t="s">
        <v>192</v>
      </c>
      <c r="D520" s="64">
        <f>14.91*10.764</f>
        <v>160.49124</v>
      </c>
      <c r="E520" s="64">
        <v>0</v>
      </c>
      <c r="F520" s="64">
        <f t="shared" si="121"/>
        <v>248.76142200000001</v>
      </c>
      <c r="G520" s="96" t="str">
        <f t="shared" si="122"/>
        <v>19th Floor</v>
      </c>
      <c r="H520" s="97"/>
      <c r="I520" s="43"/>
    </row>
    <row r="521" spans="1:16" s="63" customFormat="1" x14ac:dyDescent="0.25">
      <c r="A521" s="64">
        <v>5</v>
      </c>
      <c r="B521" s="64" t="s">
        <v>178</v>
      </c>
      <c r="C521" s="64" t="s">
        <v>192</v>
      </c>
      <c r="D521" s="64">
        <f>19.46*10.764</f>
        <v>209.46744000000001</v>
      </c>
      <c r="E521" s="64">
        <v>0</v>
      </c>
      <c r="F521" s="64">
        <f t="shared" si="121"/>
        <v>324.674532</v>
      </c>
      <c r="G521" s="96" t="str">
        <f t="shared" si="122"/>
        <v>19th Floor</v>
      </c>
      <c r="H521" s="97"/>
      <c r="I521" s="43"/>
    </row>
    <row r="522" spans="1:16" s="63" customFormat="1" x14ac:dyDescent="0.25">
      <c r="A522" s="64">
        <v>6</v>
      </c>
      <c r="B522" s="64" t="s">
        <v>178</v>
      </c>
      <c r="C522" s="64" t="s">
        <v>192</v>
      </c>
      <c r="D522" s="64">
        <f>18.15*10.764</f>
        <v>195.36659999999998</v>
      </c>
      <c r="E522" s="64">
        <v>0</v>
      </c>
      <c r="F522" s="64">
        <f t="shared" si="121"/>
        <v>302.81822999999997</v>
      </c>
      <c r="G522" s="96" t="str">
        <f t="shared" si="122"/>
        <v>19th Floor</v>
      </c>
      <c r="H522" s="97"/>
      <c r="I522" s="43"/>
    </row>
    <row r="523" spans="1:16" s="63" customFormat="1" x14ac:dyDescent="0.25">
      <c r="A523" s="64">
        <v>7</v>
      </c>
      <c r="B523" s="64" t="s">
        <v>178</v>
      </c>
      <c r="C523" s="64" t="s">
        <v>191</v>
      </c>
      <c r="D523" s="64">
        <f>28.55*10.764</f>
        <v>307.31219999999996</v>
      </c>
      <c r="E523" s="64">
        <v>0</v>
      </c>
      <c r="F523" s="64">
        <f t="shared" si="121"/>
        <v>476.33390999999995</v>
      </c>
      <c r="G523" s="96" t="str">
        <f t="shared" si="122"/>
        <v>19th Floor</v>
      </c>
      <c r="H523" s="97"/>
      <c r="I523" s="43"/>
    </row>
    <row r="524" spans="1:16" s="63" customFormat="1" x14ac:dyDescent="0.25">
      <c r="A524" s="120" t="s">
        <v>222</v>
      </c>
      <c r="B524" s="121"/>
      <c r="C524" s="121"/>
      <c r="D524" s="121"/>
      <c r="E524" s="121"/>
      <c r="F524" s="121"/>
      <c r="G524" s="121"/>
      <c r="H524" s="122"/>
      <c r="I524" s="43"/>
    </row>
    <row r="525" spans="1:16" s="63" customFormat="1" x14ac:dyDescent="0.25">
      <c r="A525" s="64">
        <v>1</v>
      </c>
      <c r="B525" s="64" t="s">
        <v>178</v>
      </c>
      <c r="C525" s="64" t="s">
        <v>191</v>
      </c>
      <c r="D525" s="64">
        <f>28.58*10.764</f>
        <v>307.63511999999997</v>
      </c>
      <c r="E525" s="64">
        <v>0</v>
      </c>
      <c r="F525" s="64">
        <f t="shared" ref="F525:F531" si="123">D525*(($F$274)+1)+(IF(E525&lt;101,E525,IF(E525&lt;201,E525/2,IF(E525&lt;=301,E525/3,E525/4))))</f>
        <v>476.83443599999998</v>
      </c>
      <c r="G525" s="96" t="str">
        <f>A524</f>
        <v>20th Floor</v>
      </c>
      <c r="H525" s="97"/>
      <c r="I525" s="43"/>
      <c r="P525" s="44"/>
    </row>
    <row r="526" spans="1:16" s="63" customFormat="1" x14ac:dyDescent="0.25">
      <c r="A526" s="64">
        <v>2</v>
      </c>
      <c r="B526" s="64" t="s">
        <v>178</v>
      </c>
      <c r="C526" s="64" t="s">
        <v>191</v>
      </c>
      <c r="D526" s="64">
        <f>28.43*10.764</f>
        <v>306.02051999999998</v>
      </c>
      <c r="E526" s="64">
        <v>0</v>
      </c>
      <c r="F526" s="64">
        <f t="shared" si="123"/>
        <v>474.33180599999997</v>
      </c>
      <c r="G526" s="96" t="str">
        <f t="shared" ref="G526:G531" si="124">G525</f>
        <v>20th Floor</v>
      </c>
      <c r="H526" s="97"/>
      <c r="I526" s="43"/>
    </row>
    <row r="527" spans="1:16" s="63" customFormat="1" x14ac:dyDescent="0.25">
      <c r="A527" s="64">
        <v>3</v>
      </c>
      <c r="B527" s="64" t="s">
        <v>178</v>
      </c>
      <c r="C527" s="64" t="s">
        <v>191</v>
      </c>
      <c r="D527" s="64">
        <f>27.51*10.764</f>
        <v>296.11763999999999</v>
      </c>
      <c r="E527" s="64">
        <v>0</v>
      </c>
      <c r="F527" s="64">
        <f t="shared" si="123"/>
        <v>458.98234200000002</v>
      </c>
      <c r="G527" s="96" t="str">
        <f t="shared" si="124"/>
        <v>20th Floor</v>
      </c>
      <c r="H527" s="97"/>
      <c r="I527" s="43"/>
    </row>
    <row r="528" spans="1:16" s="63" customFormat="1" x14ac:dyDescent="0.25">
      <c r="A528" s="64">
        <v>4</v>
      </c>
      <c r="B528" s="64" t="s">
        <v>178</v>
      </c>
      <c r="C528" s="64" t="s">
        <v>192</v>
      </c>
      <c r="D528" s="64">
        <f>14.91*10.764</f>
        <v>160.49124</v>
      </c>
      <c r="E528" s="64">
        <v>0</v>
      </c>
      <c r="F528" s="64">
        <f t="shared" si="123"/>
        <v>248.76142200000001</v>
      </c>
      <c r="G528" s="96" t="str">
        <f t="shared" si="124"/>
        <v>20th Floor</v>
      </c>
      <c r="H528" s="97"/>
      <c r="I528" s="43"/>
    </row>
    <row r="529" spans="1:16" s="63" customFormat="1" x14ac:dyDescent="0.25">
      <c r="A529" s="64">
        <v>5</v>
      </c>
      <c r="B529" s="64" t="s">
        <v>178</v>
      </c>
      <c r="C529" s="64" t="s">
        <v>192</v>
      </c>
      <c r="D529" s="64">
        <f>19.46*10.764</f>
        <v>209.46744000000001</v>
      </c>
      <c r="E529" s="64">
        <v>0</v>
      </c>
      <c r="F529" s="64">
        <f t="shared" si="123"/>
        <v>324.674532</v>
      </c>
      <c r="G529" s="96" t="str">
        <f t="shared" si="124"/>
        <v>20th Floor</v>
      </c>
      <c r="H529" s="97"/>
      <c r="I529" s="43"/>
    </row>
    <row r="530" spans="1:16" s="63" customFormat="1" x14ac:dyDescent="0.25">
      <c r="A530" s="64">
        <v>6</v>
      </c>
      <c r="B530" s="64" t="s">
        <v>178</v>
      </c>
      <c r="C530" s="64" t="s">
        <v>192</v>
      </c>
      <c r="D530" s="64">
        <f>18.15*10.764</f>
        <v>195.36659999999998</v>
      </c>
      <c r="E530" s="64">
        <v>0</v>
      </c>
      <c r="F530" s="64">
        <f t="shared" si="123"/>
        <v>302.81822999999997</v>
      </c>
      <c r="G530" s="96" t="str">
        <f t="shared" si="124"/>
        <v>20th Floor</v>
      </c>
      <c r="H530" s="97"/>
      <c r="I530" s="43"/>
    </row>
    <row r="531" spans="1:16" s="63" customFormat="1" x14ac:dyDescent="0.25">
      <c r="A531" s="64">
        <v>7</v>
      </c>
      <c r="B531" s="64" t="s">
        <v>178</v>
      </c>
      <c r="C531" s="64" t="s">
        <v>191</v>
      </c>
      <c r="D531" s="64">
        <f>28.55*10.764</f>
        <v>307.31219999999996</v>
      </c>
      <c r="E531" s="64">
        <v>0</v>
      </c>
      <c r="F531" s="64">
        <f t="shared" si="123"/>
        <v>476.33390999999995</v>
      </c>
      <c r="G531" s="96" t="str">
        <f t="shared" si="124"/>
        <v>20th Floor</v>
      </c>
      <c r="H531" s="97"/>
      <c r="I531" s="43"/>
    </row>
    <row r="532" spans="1:16" s="63" customFormat="1" x14ac:dyDescent="0.25">
      <c r="A532" s="120" t="s">
        <v>224</v>
      </c>
      <c r="B532" s="121"/>
      <c r="C532" s="121"/>
      <c r="D532" s="121"/>
      <c r="E532" s="121"/>
      <c r="F532" s="121"/>
      <c r="G532" s="121"/>
      <c r="H532" s="122"/>
      <c r="I532" s="43"/>
    </row>
    <row r="533" spans="1:16" s="63" customFormat="1" x14ac:dyDescent="0.25">
      <c r="A533" s="64">
        <v>1</v>
      </c>
      <c r="B533" s="64" t="s">
        <v>178</v>
      </c>
      <c r="C533" s="64" t="s">
        <v>191</v>
      </c>
      <c r="D533" s="64">
        <f>28.58*10.764</f>
        <v>307.63511999999997</v>
      </c>
      <c r="E533" s="64">
        <v>0</v>
      </c>
      <c r="F533" s="64">
        <f t="shared" ref="F533" si="125">D533*(($F$274)+1)+(IF(E533&lt;101,E533,IF(E533&lt;201,E533/2,IF(E533&lt;=301,E533/3,E533/4))))</f>
        <v>476.83443599999998</v>
      </c>
      <c r="G533" s="96" t="str">
        <f>A532</f>
        <v>21st Floor (Part Refuge Area)</v>
      </c>
      <c r="H533" s="97"/>
      <c r="I533" s="43"/>
      <c r="P533" s="44"/>
    </row>
    <row r="534" spans="1:16" s="63" customFormat="1" x14ac:dyDescent="0.25">
      <c r="A534" s="64">
        <v>2</v>
      </c>
      <c r="B534" s="64" t="s">
        <v>195</v>
      </c>
      <c r="C534" s="123" t="s">
        <v>196</v>
      </c>
      <c r="D534" s="124"/>
      <c r="E534" s="124"/>
      <c r="F534" s="125"/>
      <c r="G534" s="96" t="str">
        <f t="shared" ref="G534:G539" si="126">G533</f>
        <v>21st Floor (Part Refuge Area)</v>
      </c>
      <c r="H534" s="97"/>
      <c r="I534" s="43"/>
    </row>
    <row r="535" spans="1:16" s="63" customFormat="1" x14ac:dyDescent="0.25">
      <c r="A535" s="64">
        <v>3</v>
      </c>
      <c r="B535" s="64" t="s">
        <v>195</v>
      </c>
      <c r="C535" s="126"/>
      <c r="D535" s="127"/>
      <c r="E535" s="127"/>
      <c r="F535" s="128"/>
      <c r="G535" s="96" t="str">
        <f t="shared" si="126"/>
        <v>21st Floor (Part Refuge Area)</v>
      </c>
      <c r="H535" s="97"/>
      <c r="I535" s="43"/>
    </row>
    <row r="536" spans="1:16" s="63" customFormat="1" x14ac:dyDescent="0.25">
      <c r="A536" s="64">
        <v>4</v>
      </c>
      <c r="B536" s="64" t="s">
        <v>178</v>
      </c>
      <c r="C536" s="64" t="s">
        <v>192</v>
      </c>
      <c r="D536" s="64">
        <f>14.91*10.764</f>
        <v>160.49124</v>
      </c>
      <c r="E536" s="64">
        <v>0</v>
      </c>
      <c r="F536" s="64">
        <f t="shared" ref="F536:F539" si="127">D536*(($F$274)+1)+(IF(E536&lt;101,E536,IF(E536&lt;201,E536/2,IF(E536&lt;=301,E536/3,E536/4))))</f>
        <v>248.76142200000001</v>
      </c>
      <c r="G536" s="96" t="str">
        <f t="shared" si="126"/>
        <v>21st Floor (Part Refuge Area)</v>
      </c>
      <c r="H536" s="97"/>
      <c r="I536" s="43"/>
    </row>
    <row r="537" spans="1:16" s="63" customFormat="1" x14ac:dyDescent="0.25">
      <c r="A537" s="64">
        <v>5</v>
      </c>
      <c r="B537" s="64" t="s">
        <v>178</v>
      </c>
      <c r="C537" s="64" t="s">
        <v>192</v>
      </c>
      <c r="D537" s="64">
        <f>19.46*10.764</f>
        <v>209.46744000000001</v>
      </c>
      <c r="E537" s="64">
        <v>0</v>
      </c>
      <c r="F537" s="64">
        <f t="shared" si="127"/>
        <v>324.674532</v>
      </c>
      <c r="G537" s="96" t="str">
        <f t="shared" si="126"/>
        <v>21st Floor (Part Refuge Area)</v>
      </c>
      <c r="H537" s="97"/>
      <c r="I537" s="43"/>
    </row>
    <row r="538" spans="1:16" s="63" customFormat="1" x14ac:dyDescent="0.25">
      <c r="A538" s="64">
        <v>6</v>
      </c>
      <c r="B538" s="64" t="s">
        <v>178</v>
      </c>
      <c r="C538" s="64" t="s">
        <v>192</v>
      </c>
      <c r="D538" s="64">
        <f>18.15*10.764</f>
        <v>195.36659999999998</v>
      </c>
      <c r="E538" s="64">
        <v>0</v>
      </c>
      <c r="F538" s="64">
        <f t="shared" si="127"/>
        <v>302.81822999999997</v>
      </c>
      <c r="G538" s="96" t="str">
        <f t="shared" si="126"/>
        <v>21st Floor (Part Refuge Area)</v>
      </c>
      <c r="H538" s="97"/>
      <c r="I538" s="43"/>
    </row>
    <row r="539" spans="1:16" s="63" customFormat="1" x14ac:dyDescent="0.25">
      <c r="A539" s="64">
        <v>7</v>
      </c>
      <c r="B539" s="64" t="s">
        <v>178</v>
      </c>
      <c r="C539" s="64" t="s">
        <v>191</v>
      </c>
      <c r="D539" s="64">
        <f>28.55*10.764</f>
        <v>307.31219999999996</v>
      </c>
      <c r="E539" s="64">
        <v>0</v>
      </c>
      <c r="F539" s="64">
        <f t="shared" si="127"/>
        <v>476.33390999999995</v>
      </c>
      <c r="G539" s="96" t="str">
        <f t="shared" si="126"/>
        <v>21st Floor (Part Refuge Area)</v>
      </c>
      <c r="H539" s="97"/>
      <c r="I539" s="43"/>
    </row>
    <row r="540" spans="1:16" s="63" customFormat="1" x14ac:dyDescent="0.25">
      <c r="A540" s="120" t="s">
        <v>227</v>
      </c>
      <c r="B540" s="121"/>
      <c r="C540" s="121"/>
      <c r="D540" s="121"/>
      <c r="E540" s="121"/>
      <c r="F540" s="121"/>
      <c r="G540" s="121"/>
      <c r="H540" s="122"/>
      <c r="I540" s="43"/>
    </row>
    <row r="541" spans="1:16" s="63" customFormat="1" x14ac:dyDescent="0.25">
      <c r="A541" s="64">
        <v>1</v>
      </c>
      <c r="B541" s="64" t="s">
        <v>178</v>
      </c>
      <c r="C541" s="64" t="s">
        <v>191</v>
      </c>
      <c r="D541" s="64">
        <f>28.58*10.764</f>
        <v>307.63511999999997</v>
      </c>
      <c r="E541" s="64">
        <v>0</v>
      </c>
      <c r="F541" s="64">
        <f t="shared" ref="F541:F547" si="128">D541*(($F$274)+1)+(IF(E541&lt;101,E541,IF(E541&lt;201,E541/2,IF(E541&lt;=301,E541/3,E541/4))))</f>
        <v>476.83443599999998</v>
      </c>
      <c r="G541" s="96" t="str">
        <f>A540</f>
        <v>22nd Floor</v>
      </c>
      <c r="H541" s="97"/>
      <c r="I541" s="43"/>
      <c r="P541" s="44"/>
    </row>
    <row r="542" spans="1:16" s="63" customFormat="1" x14ac:dyDescent="0.25">
      <c r="A542" s="64">
        <v>2</v>
      </c>
      <c r="B542" s="64" t="s">
        <v>178</v>
      </c>
      <c r="C542" s="64" t="s">
        <v>191</v>
      </c>
      <c r="D542" s="64">
        <f>28.43*10.764</f>
        <v>306.02051999999998</v>
      </c>
      <c r="E542" s="64">
        <v>0</v>
      </c>
      <c r="F542" s="64">
        <f t="shared" si="128"/>
        <v>474.33180599999997</v>
      </c>
      <c r="G542" s="96" t="str">
        <f t="shared" ref="G542:G547" si="129">G541</f>
        <v>22nd Floor</v>
      </c>
      <c r="H542" s="97"/>
      <c r="I542" s="43"/>
    </row>
    <row r="543" spans="1:16" s="63" customFormat="1" x14ac:dyDescent="0.25">
      <c r="A543" s="64">
        <v>3</v>
      </c>
      <c r="B543" s="64" t="s">
        <v>178</v>
      </c>
      <c r="C543" s="64" t="s">
        <v>191</v>
      </c>
      <c r="D543" s="64">
        <f>27.51*10.764</f>
        <v>296.11763999999999</v>
      </c>
      <c r="E543" s="64">
        <v>0</v>
      </c>
      <c r="F543" s="64">
        <f t="shared" si="128"/>
        <v>458.98234200000002</v>
      </c>
      <c r="G543" s="96" t="str">
        <f t="shared" si="129"/>
        <v>22nd Floor</v>
      </c>
      <c r="H543" s="97"/>
      <c r="I543" s="43"/>
    </row>
    <row r="544" spans="1:16" s="63" customFormat="1" x14ac:dyDescent="0.25">
      <c r="A544" s="64">
        <v>4</v>
      </c>
      <c r="B544" s="64" t="s">
        <v>178</v>
      </c>
      <c r="C544" s="64" t="s">
        <v>192</v>
      </c>
      <c r="D544" s="64">
        <f>14.91*10.764</f>
        <v>160.49124</v>
      </c>
      <c r="E544" s="64">
        <v>0</v>
      </c>
      <c r="F544" s="64">
        <f t="shared" si="128"/>
        <v>248.76142200000001</v>
      </c>
      <c r="G544" s="96" t="str">
        <f t="shared" si="129"/>
        <v>22nd Floor</v>
      </c>
      <c r="H544" s="97"/>
      <c r="I544" s="43"/>
    </row>
    <row r="545" spans="1:16" s="63" customFormat="1" x14ac:dyDescent="0.25">
      <c r="A545" s="64">
        <v>5</v>
      </c>
      <c r="B545" s="64" t="s">
        <v>178</v>
      </c>
      <c r="C545" s="64" t="s">
        <v>192</v>
      </c>
      <c r="D545" s="64">
        <f>19.46*10.764</f>
        <v>209.46744000000001</v>
      </c>
      <c r="E545" s="64">
        <v>0</v>
      </c>
      <c r="F545" s="64">
        <f t="shared" si="128"/>
        <v>324.674532</v>
      </c>
      <c r="G545" s="96" t="str">
        <f t="shared" si="129"/>
        <v>22nd Floor</v>
      </c>
      <c r="H545" s="97"/>
      <c r="I545" s="43"/>
    </row>
    <row r="546" spans="1:16" s="63" customFormat="1" x14ac:dyDescent="0.25">
      <c r="A546" s="64">
        <v>6</v>
      </c>
      <c r="B546" s="64" t="s">
        <v>178</v>
      </c>
      <c r="C546" s="64" t="s">
        <v>192</v>
      </c>
      <c r="D546" s="64">
        <f>18.15*10.764</f>
        <v>195.36659999999998</v>
      </c>
      <c r="E546" s="64">
        <v>0</v>
      </c>
      <c r="F546" s="64">
        <f t="shared" si="128"/>
        <v>302.81822999999997</v>
      </c>
      <c r="G546" s="96" t="str">
        <f t="shared" si="129"/>
        <v>22nd Floor</v>
      </c>
      <c r="H546" s="97"/>
      <c r="I546" s="43"/>
    </row>
    <row r="547" spans="1:16" s="63" customFormat="1" x14ac:dyDescent="0.25">
      <c r="A547" s="64">
        <v>7</v>
      </c>
      <c r="B547" s="64" t="s">
        <v>178</v>
      </c>
      <c r="C547" s="64" t="s">
        <v>191</v>
      </c>
      <c r="D547" s="64">
        <f>28.55*10.764</f>
        <v>307.31219999999996</v>
      </c>
      <c r="E547" s="64">
        <v>0</v>
      </c>
      <c r="F547" s="64">
        <f t="shared" si="128"/>
        <v>476.33390999999995</v>
      </c>
      <c r="G547" s="96" t="str">
        <f t="shared" si="129"/>
        <v>22nd Floor</v>
      </c>
      <c r="H547" s="97"/>
      <c r="I547" s="43"/>
    </row>
    <row r="548" spans="1:16" s="63" customFormat="1" x14ac:dyDescent="0.25">
      <c r="A548" s="120" t="s">
        <v>233</v>
      </c>
      <c r="B548" s="121"/>
      <c r="C548" s="121"/>
      <c r="D548" s="121"/>
      <c r="E548" s="121"/>
      <c r="F548" s="121"/>
      <c r="G548" s="121"/>
      <c r="H548" s="122"/>
      <c r="I548" s="43"/>
    </row>
    <row r="549" spans="1:16" s="63" customFormat="1" x14ac:dyDescent="0.25">
      <c r="A549" s="64">
        <v>1</v>
      </c>
      <c r="B549" s="64" t="s">
        <v>178</v>
      </c>
      <c r="C549" s="64" t="s">
        <v>191</v>
      </c>
      <c r="D549" s="64">
        <f>28.58*10.764</f>
        <v>307.63511999999997</v>
      </c>
      <c r="E549" s="64">
        <v>0</v>
      </c>
      <c r="F549" s="64">
        <f t="shared" ref="F549:F555" si="130">D549*(($F$274)+1)+(IF(E549&lt;101,E549,IF(E549&lt;201,E549/2,IF(E549&lt;=301,E549/3,E549/4))))</f>
        <v>476.83443599999998</v>
      </c>
      <c r="G549" s="96" t="str">
        <f>A548</f>
        <v>24th Floor</v>
      </c>
      <c r="H549" s="97"/>
      <c r="I549" s="43"/>
      <c r="P549" s="44"/>
    </row>
    <row r="550" spans="1:16" s="63" customFormat="1" x14ac:dyDescent="0.25">
      <c r="A550" s="64">
        <v>2</v>
      </c>
      <c r="B550" s="64" t="s">
        <v>178</v>
      </c>
      <c r="C550" s="64" t="s">
        <v>191</v>
      </c>
      <c r="D550" s="64">
        <f>28.43*10.764</f>
        <v>306.02051999999998</v>
      </c>
      <c r="E550" s="64">
        <v>0</v>
      </c>
      <c r="F550" s="64">
        <f t="shared" si="130"/>
        <v>474.33180599999997</v>
      </c>
      <c r="G550" s="96" t="str">
        <f t="shared" ref="G550:G555" si="131">G549</f>
        <v>24th Floor</v>
      </c>
      <c r="H550" s="97"/>
      <c r="I550" s="43"/>
    </row>
    <row r="551" spans="1:16" s="63" customFormat="1" x14ac:dyDescent="0.25">
      <c r="A551" s="64">
        <v>3</v>
      </c>
      <c r="B551" s="64" t="s">
        <v>178</v>
      </c>
      <c r="C551" s="64" t="s">
        <v>191</v>
      </c>
      <c r="D551" s="64">
        <f>27.51*10.764</f>
        <v>296.11763999999999</v>
      </c>
      <c r="E551" s="64">
        <v>0</v>
      </c>
      <c r="F551" s="64">
        <f t="shared" si="130"/>
        <v>458.98234200000002</v>
      </c>
      <c r="G551" s="96" t="str">
        <f t="shared" si="131"/>
        <v>24th Floor</v>
      </c>
      <c r="H551" s="97"/>
      <c r="I551" s="43"/>
    </row>
    <row r="552" spans="1:16" s="63" customFormat="1" x14ac:dyDescent="0.25">
      <c r="A552" s="64">
        <v>4</v>
      </c>
      <c r="B552" s="64" t="s">
        <v>178</v>
      </c>
      <c r="C552" s="64" t="s">
        <v>192</v>
      </c>
      <c r="D552" s="64">
        <f>14.91*10.764</f>
        <v>160.49124</v>
      </c>
      <c r="E552" s="64">
        <v>0</v>
      </c>
      <c r="F552" s="64">
        <f t="shared" si="130"/>
        <v>248.76142200000001</v>
      </c>
      <c r="G552" s="96" t="str">
        <f t="shared" si="131"/>
        <v>24th Floor</v>
      </c>
      <c r="H552" s="97"/>
      <c r="I552" s="43"/>
    </row>
    <row r="553" spans="1:16" s="63" customFormat="1" x14ac:dyDescent="0.25">
      <c r="A553" s="64">
        <v>5</v>
      </c>
      <c r="B553" s="64" t="s">
        <v>178</v>
      </c>
      <c r="C553" s="64" t="s">
        <v>192</v>
      </c>
      <c r="D553" s="64">
        <f>19.46*10.764</f>
        <v>209.46744000000001</v>
      </c>
      <c r="E553" s="64">
        <v>0</v>
      </c>
      <c r="F553" s="64">
        <f t="shared" si="130"/>
        <v>324.674532</v>
      </c>
      <c r="G553" s="96" t="str">
        <f t="shared" si="131"/>
        <v>24th Floor</v>
      </c>
      <c r="H553" s="97"/>
      <c r="I553" s="43"/>
    </row>
    <row r="554" spans="1:16" s="63" customFormat="1" x14ac:dyDescent="0.25">
      <c r="A554" s="64">
        <v>6</v>
      </c>
      <c r="B554" s="64" t="s">
        <v>178</v>
      </c>
      <c r="C554" s="64" t="s">
        <v>192</v>
      </c>
      <c r="D554" s="64">
        <f>18.15*10.764</f>
        <v>195.36659999999998</v>
      </c>
      <c r="E554" s="64">
        <v>0</v>
      </c>
      <c r="F554" s="64">
        <f t="shared" si="130"/>
        <v>302.81822999999997</v>
      </c>
      <c r="G554" s="96" t="str">
        <f t="shared" si="131"/>
        <v>24th Floor</v>
      </c>
      <c r="H554" s="97"/>
      <c r="I554" s="43"/>
    </row>
    <row r="555" spans="1:16" s="63" customFormat="1" x14ac:dyDescent="0.25">
      <c r="A555" s="64">
        <v>7</v>
      </c>
      <c r="B555" s="64" t="s">
        <v>178</v>
      </c>
      <c r="C555" s="64" t="s">
        <v>191</v>
      </c>
      <c r="D555" s="64">
        <f>28.55*10.764</f>
        <v>307.31219999999996</v>
      </c>
      <c r="E555" s="64">
        <v>0</v>
      </c>
      <c r="F555" s="64">
        <f t="shared" si="130"/>
        <v>476.33390999999995</v>
      </c>
      <c r="G555" s="96" t="str">
        <f t="shared" si="131"/>
        <v>24th Floor</v>
      </c>
      <c r="H555" s="97"/>
      <c r="I555" s="43"/>
    </row>
    <row r="556" spans="1:16" s="63" customFormat="1" x14ac:dyDescent="0.25">
      <c r="A556" s="120" t="s">
        <v>229</v>
      </c>
      <c r="B556" s="121"/>
      <c r="C556" s="121"/>
      <c r="D556" s="121"/>
      <c r="E556" s="121"/>
      <c r="F556" s="121"/>
      <c r="G556" s="121"/>
      <c r="H556" s="122"/>
      <c r="I556" s="43"/>
    </row>
    <row r="557" spans="1:16" s="63" customFormat="1" x14ac:dyDescent="0.25">
      <c r="A557" s="64">
        <v>1</v>
      </c>
      <c r="B557" s="64" t="s">
        <v>178</v>
      </c>
      <c r="C557" s="64" t="s">
        <v>191</v>
      </c>
      <c r="D557" s="64">
        <f>28.58*10.764</f>
        <v>307.63511999999997</v>
      </c>
      <c r="E557" s="64">
        <v>0</v>
      </c>
      <c r="F557" s="64">
        <f t="shared" ref="F557:F563" si="132">D557*(($F$274)+1)+(IF(E557&lt;101,E557,IF(E557&lt;201,E557/2,IF(E557&lt;=301,E557/3,E557/4))))</f>
        <v>476.83443599999998</v>
      </c>
      <c r="G557" s="96" t="str">
        <f>A556</f>
        <v>23rd, 25th to 30th Floor</v>
      </c>
      <c r="H557" s="97"/>
      <c r="I557" s="43"/>
      <c r="P557" s="44"/>
    </row>
    <row r="558" spans="1:16" s="63" customFormat="1" x14ac:dyDescent="0.25">
      <c r="A558" s="64">
        <v>2</v>
      </c>
      <c r="B558" s="64" t="s">
        <v>178</v>
      </c>
      <c r="C558" s="64" t="s">
        <v>191</v>
      </c>
      <c r="D558" s="64">
        <f>28.43*10.764</f>
        <v>306.02051999999998</v>
      </c>
      <c r="E558" s="64">
        <v>0</v>
      </c>
      <c r="F558" s="64">
        <f t="shared" si="132"/>
        <v>474.33180599999997</v>
      </c>
      <c r="G558" s="96" t="str">
        <f t="shared" ref="G558:G563" si="133">G557</f>
        <v>23rd, 25th to 30th Floor</v>
      </c>
      <c r="H558" s="97"/>
      <c r="I558" s="43"/>
    </row>
    <row r="559" spans="1:16" s="63" customFormat="1" x14ac:dyDescent="0.25">
      <c r="A559" s="64">
        <v>3</v>
      </c>
      <c r="B559" s="64" t="s">
        <v>178</v>
      </c>
      <c r="C559" s="64" t="s">
        <v>191</v>
      </c>
      <c r="D559" s="64">
        <f>27.51*10.764</f>
        <v>296.11763999999999</v>
      </c>
      <c r="E559" s="64">
        <v>0</v>
      </c>
      <c r="F559" s="64">
        <f t="shared" si="132"/>
        <v>458.98234200000002</v>
      </c>
      <c r="G559" s="96" t="str">
        <f t="shared" si="133"/>
        <v>23rd, 25th to 30th Floor</v>
      </c>
      <c r="H559" s="97"/>
      <c r="I559" s="43"/>
    </row>
    <row r="560" spans="1:16" s="63" customFormat="1" x14ac:dyDescent="0.25">
      <c r="A560" s="64">
        <v>4</v>
      </c>
      <c r="B560" s="64" t="s">
        <v>178</v>
      </c>
      <c r="C560" s="64" t="s">
        <v>192</v>
      </c>
      <c r="D560" s="64">
        <f>14.91*10.764</f>
        <v>160.49124</v>
      </c>
      <c r="E560" s="64">
        <v>0</v>
      </c>
      <c r="F560" s="64">
        <f t="shared" si="132"/>
        <v>248.76142200000001</v>
      </c>
      <c r="G560" s="96" t="str">
        <f t="shared" si="133"/>
        <v>23rd, 25th to 30th Floor</v>
      </c>
      <c r="H560" s="97"/>
      <c r="I560" s="43"/>
    </row>
    <row r="561" spans="1:16" s="63" customFormat="1" x14ac:dyDescent="0.25">
      <c r="A561" s="64">
        <v>5</v>
      </c>
      <c r="B561" s="64" t="s">
        <v>178</v>
      </c>
      <c r="C561" s="64" t="s">
        <v>192</v>
      </c>
      <c r="D561" s="64">
        <f>19.46*10.764</f>
        <v>209.46744000000001</v>
      </c>
      <c r="E561" s="64">
        <v>0</v>
      </c>
      <c r="F561" s="64">
        <f t="shared" si="132"/>
        <v>324.674532</v>
      </c>
      <c r="G561" s="96" t="str">
        <f t="shared" si="133"/>
        <v>23rd, 25th to 30th Floor</v>
      </c>
      <c r="H561" s="97"/>
      <c r="I561" s="43"/>
    </row>
    <row r="562" spans="1:16" s="63" customFormat="1" x14ac:dyDescent="0.25">
      <c r="A562" s="64">
        <v>6</v>
      </c>
      <c r="B562" s="64" t="s">
        <v>178</v>
      </c>
      <c r="C562" s="64" t="s">
        <v>192</v>
      </c>
      <c r="D562" s="64">
        <f>18.15*10.764</f>
        <v>195.36659999999998</v>
      </c>
      <c r="E562" s="64">
        <v>0</v>
      </c>
      <c r="F562" s="64">
        <f t="shared" si="132"/>
        <v>302.81822999999997</v>
      </c>
      <c r="G562" s="96" t="str">
        <f t="shared" si="133"/>
        <v>23rd, 25th to 30th Floor</v>
      </c>
      <c r="H562" s="97"/>
      <c r="I562" s="43"/>
    </row>
    <row r="563" spans="1:16" s="63" customFormat="1" x14ac:dyDescent="0.25">
      <c r="A563" s="64">
        <v>7</v>
      </c>
      <c r="B563" s="64" t="s">
        <v>178</v>
      </c>
      <c r="C563" s="64" t="s">
        <v>191</v>
      </c>
      <c r="D563" s="64">
        <f>28.55*10.764</f>
        <v>307.31219999999996</v>
      </c>
      <c r="E563" s="64">
        <v>0</v>
      </c>
      <c r="F563" s="64">
        <f t="shared" si="132"/>
        <v>476.33390999999995</v>
      </c>
      <c r="G563" s="96" t="str">
        <f t="shared" si="133"/>
        <v>23rd, 25th to 30th Floor</v>
      </c>
      <c r="H563" s="97"/>
      <c r="I563" s="43"/>
    </row>
    <row r="564" spans="1:16" s="63" customFormat="1" x14ac:dyDescent="0.25">
      <c r="A564" s="120" t="s">
        <v>232</v>
      </c>
      <c r="B564" s="121"/>
      <c r="C564" s="121"/>
      <c r="D564" s="121"/>
      <c r="E564" s="121"/>
      <c r="F564" s="121"/>
      <c r="G564" s="121"/>
      <c r="H564" s="122"/>
      <c r="I564" s="43"/>
    </row>
    <row r="565" spans="1:16" s="63" customFormat="1" x14ac:dyDescent="0.25">
      <c r="A565" s="64">
        <v>1</v>
      </c>
      <c r="B565" s="64" t="s">
        <v>178</v>
      </c>
      <c r="C565" s="64" t="s">
        <v>191</v>
      </c>
      <c r="D565" s="64">
        <f>28.58*10.764</f>
        <v>307.63511999999997</v>
      </c>
      <c r="E565" s="64">
        <v>0</v>
      </c>
      <c r="F565" s="64">
        <f t="shared" ref="F565:F571" si="134">D565*(($F$274)+1)+(IF(E565&lt;101,E565,IF(E565&lt;201,E565/2,IF(E565&lt;=301,E565/3,E565/4))))</f>
        <v>476.83443599999998</v>
      </c>
      <c r="G565" s="96" t="str">
        <f>A564</f>
        <v>31st Floor</v>
      </c>
      <c r="H565" s="97"/>
      <c r="I565" s="43"/>
      <c r="P565" s="44"/>
    </row>
    <row r="566" spans="1:16" s="63" customFormat="1" x14ac:dyDescent="0.25">
      <c r="A566" s="64">
        <v>2</v>
      </c>
      <c r="B566" s="64" t="s">
        <v>178</v>
      </c>
      <c r="C566" s="64" t="s">
        <v>191</v>
      </c>
      <c r="D566" s="64">
        <f>28.43*10.764</f>
        <v>306.02051999999998</v>
      </c>
      <c r="E566" s="64">
        <v>0</v>
      </c>
      <c r="F566" s="64">
        <f t="shared" si="134"/>
        <v>474.33180599999997</v>
      </c>
      <c r="G566" s="96" t="str">
        <f t="shared" ref="G566:G571" si="135">G565</f>
        <v>31st Floor</v>
      </c>
      <c r="H566" s="97"/>
      <c r="I566" s="43"/>
    </row>
    <row r="567" spans="1:16" s="63" customFormat="1" x14ac:dyDescent="0.25">
      <c r="A567" s="64">
        <v>3</v>
      </c>
      <c r="B567" s="64" t="s">
        <v>178</v>
      </c>
      <c r="C567" s="64" t="s">
        <v>191</v>
      </c>
      <c r="D567" s="64">
        <f>27.51*10.764</f>
        <v>296.11763999999999</v>
      </c>
      <c r="E567" s="64">
        <v>0</v>
      </c>
      <c r="F567" s="64">
        <f t="shared" si="134"/>
        <v>458.98234200000002</v>
      </c>
      <c r="G567" s="96" t="str">
        <f t="shared" si="135"/>
        <v>31st Floor</v>
      </c>
      <c r="H567" s="97"/>
      <c r="I567" s="43"/>
    </row>
    <row r="568" spans="1:16" s="63" customFormat="1" x14ac:dyDescent="0.25">
      <c r="A568" s="64">
        <v>4</v>
      </c>
      <c r="B568" s="64" t="s">
        <v>178</v>
      </c>
      <c r="C568" s="64" t="s">
        <v>192</v>
      </c>
      <c r="D568" s="64">
        <f>14.91*10.764</f>
        <v>160.49124</v>
      </c>
      <c r="E568" s="64">
        <v>0</v>
      </c>
      <c r="F568" s="64">
        <f t="shared" si="134"/>
        <v>248.76142200000001</v>
      </c>
      <c r="G568" s="96" t="str">
        <f t="shared" si="135"/>
        <v>31st Floor</v>
      </c>
      <c r="H568" s="97"/>
      <c r="I568" s="43"/>
    </row>
    <row r="569" spans="1:16" s="63" customFormat="1" x14ac:dyDescent="0.25">
      <c r="A569" s="64">
        <v>5</v>
      </c>
      <c r="B569" s="64" t="s">
        <v>178</v>
      </c>
      <c r="C569" s="64" t="s">
        <v>192</v>
      </c>
      <c r="D569" s="64">
        <f>19.46*10.764</f>
        <v>209.46744000000001</v>
      </c>
      <c r="E569" s="64">
        <v>0</v>
      </c>
      <c r="F569" s="64">
        <f t="shared" si="134"/>
        <v>324.674532</v>
      </c>
      <c r="G569" s="96" t="str">
        <f t="shared" si="135"/>
        <v>31st Floor</v>
      </c>
      <c r="H569" s="97"/>
      <c r="I569" s="43"/>
    </row>
    <row r="570" spans="1:16" s="63" customFormat="1" x14ac:dyDescent="0.25">
      <c r="A570" s="64">
        <v>6</v>
      </c>
      <c r="B570" s="64" t="s">
        <v>178</v>
      </c>
      <c r="C570" s="64" t="s">
        <v>192</v>
      </c>
      <c r="D570" s="64">
        <f>18.15*10.764</f>
        <v>195.36659999999998</v>
      </c>
      <c r="E570" s="64">
        <v>0</v>
      </c>
      <c r="F570" s="64">
        <f t="shared" si="134"/>
        <v>302.81822999999997</v>
      </c>
      <c r="G570" s="96" t="str">
        <f t="shared" si="135"/>
        <v>31st Floor</v>
      </c>
      <c r="H570" s="97"/>
      <c r="I570" s="43"/>
    </row>
    <row r="571" spans="1:16" s="63" customFormat="1" x14ac:dyDescent="0.25">
      <c r="A571" s="64">
        <v>7</v>
      </c>
      <c r="B571" s="64" t="s">
        <v>178</v>
      </c>
      <c r="C571" s="64" t="s">
        <v>191</v>
      </c>
      <c r="D571" s="64">
        <f>28.55*10.764</f>
        <v>307.31219999999996</v>
      </c>
      <c r="E571" s="64">
        <v>0</v>
      </c>
      <c r="F571" s="64">
        <f t="shared" si="134"/>
        <v>476.33390999999995</v>
      </c>
      <c r="G571" s="96" t="str">
        <f t="shared" si="135"/>
        <v>31st Floor</v>
      </c>
      <c r="H571" s="97"/>
      <c r="I571" s="43"/>
    </row>
    <row r="572" spans="1:16" s="63" customFormat="1" x14ac:dyDescent="0.25">
      <c r="A572" s="120" t="s">
        <v>235</v>
      </c>
      <c r="B572" s="121"/>
      <c r="C572" s="121"/>
      <c r="D572" s="121"/>
      <c r="E572" s="121"/>
      <c r="F572" s="121"/>
      <c r="G572" s="121"/>
      <c r="H572" s="122"/>
      <c r="I572" s="43"/>
    </row>
    <row r="573" spans="1:16" s="63" customFormat="1" x14ac:dyDescent="0.25">
      <c r="A573" s="64">
        <v>1</v>
      </c>
      <c r="B573" s="64" t="s">
        <v>178</v>
      </c>
      <c r="C573" s="64" t="s">
        <v>191</v>
      </c>
      <c r="D573" s="64">
        <f>28.58*10.764</f>
        <v>307.63511999999997</v>
      </c>
      <c r="E573" s="64">
        <v>0</v>
      </c>
      <c r="F573" s="64">
        <f t="shared" ref="F573:F579" si="136">D573*(($F$274)+1)+(IF(E573&lt;101,E573,IF(E573&lt;201,E573/2,IF(E573&lt;=301,E573/3,E573/4))))</f>
        <v>476.83443599999998</v>
      </c>
      <c r="G573" s="96" t="str">
        <f>A572</f>
        <v>32nd to 34th Floor</v>
      </c>
      <c r="H573" s="97"/>
      <c r="I573" s="43"/>
      <c r="P573" s="44"/>
    </row>
    <row r="574" spans="1:16" s="63" customFormat="1" x14ac:dyDescent="0.25">
      <c r="A574" s="64">
        <v>2</v>
      </c>
      <c r="B574" s="64" t="s">
        <v>178</v>
      </c>
      <c r="C574" s="64" t="s">
        <v>191</v>
      </c>
      <c r="D574" s="64">
        <f>28.43*10.764</f>
        <v>306.02051999999998</v>
      </c>
      <c r="E574" s="64">
        <v>0</v>
      </c>
      <c r="F574" s="64">
        <f t="shared" si="136"/>
        <v>474.33180599999997</v>
      </c>
      <c r="G574" s="96" t="str">
        <f t="shared" ref="G574:G579" si="137">G573</f>
        <v>32nd to 34th Floor</v>
      </c>
      <c r="H574" s="97"/>
      <c r="I574" s="43"/>
    </row>
    <row r="575" spans="1:16" s="63" customFormat="1" x14ac:dyDescent="0.25">
      <c r="A575" s="64">
        <v>3</v>
      </c>
      <c r="B575" s="64" t="s">
        <v>178</v>
      </c>
      <c r="C575" s="64" t="s">
        <v>191</v>
      </c>
      <c r="D575" s="64">
        <f>27.51*10.764</f>
        <v>296.11763999999999</v>
      </c>
      <c r="E575" s="64">
        <v>0</v>
      </c>
      <c r="F575" s="64">
        <f t="shared" si="136"/>
        <v>458.98234200000002</v>
      </c>
      <c r="G575" s="96" t="str">
        <f t="shared" si="137"/>
        <v>32nd to 34th Floor</v>
      </c>
      <c r="H575" s="97"/>
      <c r="I575" s="43"/>
    </row>
    <row r="576" spans="1:16" s="63" customFormat="1" x14ac:dyDescent="0.25">
      <c r="A576" s="64">
        <v>4</v>
      </c>
      <c r="B576" s="64" t="s">
        <v>178</v>
      </c>
      <c r="C576" s="64" t="s">
        <v>192</v>
      </c>
      <c r="D576" s="64">
        <f>14.91*10.764</f>
        <v>160.49124</v>
      </c>
      <c r="E576" s="64">
        <v>0</v>
      </c>
      <c r="F576" s="64">
        <f t="shared" si="136"/>
        <v>248.76142200000001</v>
      </c>
      <c r="G576" s="96" t="str">
        <f t="shared" si="137"/>
        <v>32nd to 34th Floor</v>
      </c>
      <c r="H576" s="97"/>
      <c r="I576" s="43"/>
    </row>
    <row r="577" spans="1:16" s="63" customFormat="1" x14ac:dyDescent="0.25">
      <c r="A577" s="64">
        <v>5</v>
      </c>
      <c r="B577" s="64" t="s">
        <v>178</v>
      </c>
      <c r="C577" s="64" t="s">
        <v>192</v>
      </c>
      <c r="D577" s="64">
        <f>19.46*10.764</f>
        <v>209.46744000000001</v>
      </c>
      <c r="E577" s="64">
        <v>0</v>
      </c>
      <c r="F577" s="64">
        <f t="shared" si="136"/>
        <v>324.674532</v>
      </c>
      <c r="G577" s="96" t="str">
        <f t="shared" si="137"/>
        <v>32nd to 34th Floor</v>
      </c>
      <c r="H577" s="97"/>
      <c r="I577" s="43"/>
    </row>
    <row r="578" spans="1:16" s="63" customFormat="1" x14ac:dyDescent="0.25">
      <c r="A578" s="64">
        <v>6</v>
      </c>
      <c r="B578" s="64" t="s">
        <v>178</v>
      </c>
      <c r="C578" s="64" t="s">
        <v>192</v>
      </c>
      <c r="D578" s="64">
        <f>18.15*10.764</f>
        <v>195.36659999999998</v>
      </c>
      <c r="E578" s="64">
        <v>0</v>
      </c>
      <c r="F578" s="64">
        <f t="shared" si="136"/>
        <v>302.81822999999997</v>
      </c>
      <c r="G578" s="96" t="str">
        <f t="shared" si="137"/>
        <v>32nd to 34th Floor</v>
      </c>
      <c r="H578" s="97"/>
      <c r="I578" s="43"/>
    </row>
    <row r="579" spans="1:16" s="63" customFormat="1" x14ac:dyDescent="0.25">
      <c r="A579" s="64">
        <v>7</v>
      </c>
      <c r="B579" s="64" t="s">
        <v>178</v>
      </c>
      <c r="C579" s="64" t="s">
        <v>191</v>
      </c>
      <c r="D579" s="64">
        <f>28.55*10.764</f>
        <v>307.31219999999996</v>
      </c>
      <c r="E579" s="64">
        <v>0</v>
      </c>
      <c r="F579" s="64">
        <f t="shared" si="136"/>
        <v>476.33390999999995</v>
      </c>
      <c r="G579" s="96" t="str">
        <f t="shared" si="137"/>
        <v>32nd to 34th Floor</v>
      </c>
      <c r="H579" s="97"/>
      <c r="I579" s="43"/>
    </row>
    <row r="580" spans="1:16" s="63" customFormat="1" x14ac:dyDescent="0.25">
      <c r="A580" s="120" t="s">
        <v>236</v>
      </c>
      <c r="B580" s="121"/>
      <c r="C580" s="121"/>
      <c r="D580" s="121"/>
      <c r="E580" s="121"/>
      <c r="F580" s="121"/>
      <c r="G580" s="121"/>
      <c r="H580" s="122"/>
      <c r="I580" s="43"/>
    </row>
    <row r="581" spans="1:16" s="63" customFormat="1" x14ac:dyDescent="0.25">
      <c r="A581" s="64">
        <v>1</v>
      </c>
      <c r="B581" s="64" t="s">
        <v>178</v>
      </c>
      <c r="C581" s="64" t="s">
        <v>191</v>
      </c>
      <c r="D581" s="64">
        <f>28.58*10.764</f>
        <v>307.63511999999997</v>
      </c>
      <c r="E581" s="64">
        <v>0</v>
      </c>
      <c r="F581" s="64">
        <f>D581*(($F$274)+1)+(IF(E581&lt;101,E581,IF(E581&lt;201,E581/2,IF(E581&lt;=301,E581/3,E581/4))))</f>
        <v>476.83443599999998</v>
      </c>
      <c r="G581" s="96" t="str">
        <f>A580</f>
        <v>35th Floor (Part Refuge Area)</v>
      </c>
      <c r="H581" s="97"/>
      <c r="I581" s="43"/>
      <c r="P581" s="44"/>
    </row>
    <row r="582" spans="1:16" s="63" customFormat="1" x14ac:dyDescent="0.25">
      <c r="A582" s="64">
        <v>2</v>
      </c>
      <c r="B582" s="64" t="s">
        <v>195</v>
      </c>
      <c r="C582" s="96" t="s">
        <v>196</v>
      </c>
      <c r="D582" s="129"/>
      <c r="E582" s="129"/>
      <c r="F582" s="97"/>
      <c r="G582" s="96" t="str">
        <f t="shared" ref="G582:G587" si="138">G581</f>
        <v>35th Floor (Part Refuge Area)</v>
      </c>
      <c r="H582" s="97"/>
      <c r="I582" s="43"/>
    </row>
    <row r="583" spans="1:16" s="63" customFormat="1" x14ac:dyDescent="0.25">
      <c r="A583" s="64">
        <v>3</v>
      </c>
      <c r="B583" s="64" t="s">
        <v>178</v>
      </c>
      <c r="C583" s="64" t="s">
        <v>191</v>
      </c>
      <c r="D583" s="64">
        <f>27.51*10.764</f>
        <v>296.11763999999999</v>
      </c>
      <c r="E583" s="64">
        <v>0</v>
      </c>
      <c r="F583" s="64">
        <f>D583*(($F$274)+1)+(IF(E583&lt;101,E583,IF(E583&lt;201,E583/2,IF(E583&lt;=301,E583/3,E583/4))))</f>
        <v>458.98234200000002</v>
      </c>
      <c r="G583" s="96" t="str">
        <f t="shared" si="138"/>
        <v>35th Floor (Part Refuge Area)</v>
      </c>
      <c r="H583" s="97"/>
      <c r="I583" s="43"/>
    </row>
    <row r="584" spans="1:16" s="63" customFormat="1" x14ac:dyDescent="0.25">
      <c r="A584" s="64">
        <v>4</v>
      </c>
      <c r="B584" s="64" t="s">
        <v>178</v>
      </c>
      <c r="C584" s="64" t="s">
        <v>192</v>
      </c>
      <c r="D584" s="64">
        <f>14.91*10.764</f>
        <v>160.49124</v>
      </c>
      <c r="E584" s="64">
        <v>0</v>
      </c>
      <c r="F584" s="64">
        <f>D584*(($F$274)+1)+(IF(E584&lt;101,E584,IF(E584&lt;201,E584/2,IF(E584&lt;=301,E584/3,E584/4))))</f>
        <v>248.76142200000001</v>
      </c>
      <c r="G584" s="96" t="str">
        <f t="shared" si="138"/>
        <v>35th Floor (Part Refuge Area)</v>
      </c>
      <c r="H584" s="97"/>
      <c r="I584" s="43"/>
    </row>
    <row r="585" spans="1:16" s="63" customFormat="1" x14ac:dyDescent="0.25">
      <c r="A585" s="64">
        <v>5</v>
      </c>
      <c r="B585" s="64" t="s">
        <v>178</v>
      </c>
      <c r="C585" s="64" t="s">
        <v>192</v>
      </c>
      <c r="D585" s="64">
        <f>19.46*10.764</f>
        <v>209.46744000000001</v>
      </c>
      <c r="E585" s="64">
        <v>0</v>
      </c>
      <c r="F585" s="64">
        <f>D585*(($F$274)+1)+(IF(E585&lt;101,E585,IF(E585&lt;201,E585/2,IF(E585&lt;=301,E585/3,E585/4))))</f>
        <v>324.674532</v>
      </c>
      <c r="G585" s="96" t="str">
        <f t="shared" si="138"/>
        <v>35th Floor (Part Refuge Area)</v>
      </c>
      <c r="H585" s="97"/>
      <c r="I585" s="43"/>
    </row>
    <row r="586" spans="1:16" s="63" customFormat="1" x14ac:dyDescent="0.25">
      <c r="A586" s="64">
        <v>6</v>
      </c>
      <c r="B586" s="64" t="s">
        <v>178</v>
      </c>
      <c r="C586" s="64" t="s">
        <v>192</v>
      </c>
      <c r="D586" s="64">
        <f>18.15*10.764</f>
        <v>195.36659999999998</v>
      </c>
      <c r="E586" s="64">
        <v>0</v>
      </c>
      <c r="F586" s="64">
        <f>D586*(($F$274)+1)+(IF(E586&lt;101,E586,IF(E586&lt;201,E586/2,IF(E586&lt;=301,E586/3,E586/4))))</f>
        <v>302.81822999999997</v>
      </c>
      <c r="G586" s="96" t="str">
        <f t="shared" si="138"/>
        <v>35th Floor (Part Refuge Area)</v>
      </c>
      <c r="H586" s="97"/>
      <c r="I586" s="43"/>
    </row>
    <row r="587" spans="1:16" s="63" customFormat="1" x14ac:dyDescent="0.25">
      <c r="A587" s="64">
        <v>7</v>
      </c>
      <c r="B587" s="64" t="s">
        <v>178</v>
      </c>
      <c r="C587" s="64" t="s">
        <v>191</v>
      </c>
      <c r="D587" s="64">
        <f>28.55*10.764</f>
        <v>307.31219999999996</v>
      </c>
      <c r="E587" s="64">
        <v>0</v>
      </c>
      <c r="F587" s="64">
        <f>D587*(($F$274)+1)+(IF(E587&lt;101,E587,IF(E587&lt;201,E587/2,IF(E587&lt;=301,E587/3,E587/4))))</f>
        <v>476.33390999999995</v>
      </c>
      <c r="G587" s="96" t="str">
        <f t="shared" si="138"/>
        <v>35th Floor (Part Refuge Area)</v>
      </c>
      <c r="H587" s="97"/>
      <c r="I587" s="43"/>
    </row>
    <row r="588" spans="1:16" s="63" customFormat="1" x14ac:dyDescent="0.25">
      <c r="A588" s="120" t="s">
        <v>238</v>
      </c>
      <c r="B588" s="121"/>
      <c r="C588" s="121"/>
      <c r="D588" s="121"/>
      <c r="E588" s="121"/>
      <c r="F588" s="121"/>
      <c r="G588" s="121"/>
      <c r="H588" s="122"/>
      <c r="I588" s="43"/>
    </row>
    <row r="589" spans="1:16" s="63" customFormat="1" x14ac:dyDescent="0.25">
      <c r="A589" s="64">
        <v>1</v>
      </c>
      <c r="B589" s="64" t="s">
        <v>178</v>
      </c>
      <c r="C589" s="64" t="s">
        <v>191</v>
      </c>
      <c r="D589" s="64">
        <f>28.58*10.764</f>
        <v>307.63511999999997</v>
      </c>
      <c r="E589" s="64">
        <v>0</v>
      </c>
      <c r="F589" s="64">
        <f t="shared" ref="F589:F595" si="139">D589*(($F$274)+1)+(IF(E589&lt;101,E589,IF(E589&lt;201,E589/2,IF(E589&lt;=301,E589/3,E589/4))))</f>
        <v>476.83443599999998</v>
      </c>
      <c r="G589" s="96" t="str">
        <f>A588</f>
        <v>36th &amp; 37th Floor</v>
      </c>
      <c r="H589" s="97"/>
      <c r="I589" s="43"/>
      <c r="P589" s="44"/>
    </row>
    <row r="590" spans="1:16" s="63" customFormat="1" x14ac:dyDescent="0.25">
      <c r="A590" s="64">
        <v>2</v>
      </c>
      <c r="B590" s="64" t="s">
        <v>178</v>
      </c>
      <c r="C590" s="64" t="s">
        <v>191</v>
      </c>
      <c r="D590" s="64">
        <f>28.43*10.764</f>
        <v>306.02051999999998</v>
      </c>
      <c r="E590" s="64">
        <v>0</v>
      </c>
      <c r="F590" s="64">
        <f t="shared" si="139"/>
        <v>474.33180599999997</v>
      </c>
      <c r="G590" s="96" t="str">
        <f t="shared" ref="G590:G595" si="140">G589</f>
        <v>36th &amp; 37th Floor</v>
      </c>
      <c r="H590" s="97"/>
      <c r="I590" s="43"/>
    </row>
    <row r="591" spans="1:16" s="63" customFormat="1" x14ac:dyDescent="0.25">
      <c r="A591" s="64">
        <v>3</v>
      </c>
      <c r="B591" s="64" t="s">
        <v>178</v>
      </c>
      <c r="C591" s="64" t="s">
        <v>191</v>
      </c>
      <c r="D591" s="64">
        <f>27.51*10.764</f>
        <v>296.11763999999999</v>
      </c>
      <c r="E591" s="64">
        <v>0</v>
      </c>
      <c r="F591" s="64">
        <f t="shared" si="139"/>
        <v>458.98234200000002</v>
      </c>
      <c r="G591" s="96" t="str">
        <f t="shared" si="140"/>
        <v>36th &amp; 37th Floor</v>
      </c>
      <c r="H591" s="97"/>
      <c r="I591" s="43"/>
    </row>
    <row r="592" spans="1:16" s="63" customFormat="1" x14ac:dyDescent="0.25">
      <c r="A592" s="64">
        <v>4</v>
      </c>
      <c r="B592" s="64" t="s">
        <v>178</v>
      </c>
      <c r="C592" s="64" t="s">
        <v>192</v>
      </c>
      <c r="D592" s="64">
        <f>14.91*10.764</f>
        <v>160.49124</v>
      </c>
      <c r="E592" s="64">
        <v>0</v>
      </c>
      <c r="F592" s="64">
        <f t="shared" si="139"/>
        <v>248.76142200000001</v>
      </c>
      <c r="G592" s="96" t="str">
        <f t="shared" si="140"/>
        <v>36th &amp; 37th Floor</v>
      </c>
      <c r="H592" s="97"/>
      <c r="I592" s="43"/>
    </row>
    <row r="593" spans="1:17" s="63" customFormat="1" x14ac:dyDescent="0.25">
      <c r="A593" s="64">
        <v>5</v>
      </c>
      <c r="B593" s="64" t="s">
        <v>178</v>
      </c>
      <c r="C593" s="64" t="s">
        <v>192</v>
      </c>
      <c r="D593" s="64">
        <f>19.46*10.764</f>
        <v>209.46744000000001</v>
      </c>
      <c r="E593" s="64">
        <v>0</v>
      </c>
      <c r="F593" s="64">
        <f t="shared" si="139"/>
        <v>324.674532</v>
      </c>
      <c r="G593" s="96" t="str">
        <f t="shared" si="140"/>
        <v>36th &amp; 37th Floor</v>
      </c>
      <c r="H593" s="97"/>
      <c r="I593" s="43"/>
    </row>
    <row r="594" spans="1:17" s="63" customFormat="1" x14ac:dyDescent="0.25">
      <c r="A594" s="64">
        <v>6</v>
      </c>
      <c r="B594" s="64" t="s">
        <v>178</v>
      </c>
      <c r="C594" s="64" t="s">
        <v>192</v>
      </c>
      <c r="D594" s="64">
        <f>18.15*10.764</f>
        <v>195.36659999999998</v>
      </c>
      <c r="E594" s="64">
        <v>0</v>
      </c>
      <c r="F594" s="64">
        <f t="shared" si="139"/>
        <v>302.81822999999997</v>
      </c>
      <c r="G594" s="96" t="str">
        <f t="shared" si="140"/>
        <v>36th &amp; 37th Floor</v>
      </c>
      <c r="H594" s="97"/>
      <c r="I594" s="43"/>
    </row>
    <row r="595" spans="1:17" s="63" customFormat="1" x14ac:dyDescent="0.25">
      <c r="A595" s="64">
        <v>7</v>
      </c>
      <c r="B595" s="64" t="s">
        <v>178</v>
      </c>
      <c r="C595" s="64" t="s">
        <v>191</v>
      </c>
      <c r="D595" s="64">
        <f>28.55*10.764</f>
        <v>307.31219999999996</v>
      </c>
      <c r="E595" s="64">
        <v>0</v>
      </c>
      <c r="F595" s="64">
        <f t="shared" si="139"/>
        <v>476.33390999999995</v>
      </c>
      <c r="G595" s="96" t="str">
        <f t="shared" si="140"/>
        <v>36th &amp; 37th Floor</v>
      </c>
      <c r="H595" s="97"/>
      <c r="I595" s="43"/>
    </row>
    <row r="596" spans="1:17" s="55" customFormat="1" x14ac:dyDescent="0.25">
      <c r="A596" s="169" t="s">
        <v>70</v>
      </c>
      <c r="B596" s="169"/>
      <c r="C596" s="169"/>
      <c r="D596" s="169"/>
      <c r="E596" s="169"/>
      <c r="F596" s="169"/>
      <c r="G596" s="169"/>
      <c r="H596" s="169"/>
      <c r="I596" s="43"/>
    </row>
    <row r="597" spans="1:17" s="42" customFormat="1" ht="33.6" customHeight="1" x14ac:dyDescent="0.25">
      <c r="A597" s="54" t="s">
        <v>154</v>
      </c>
      <c r="B597" s="206" t="s">
        <v>294</v>
      </c>
      <c r="C597" s="207"/>
      <c r="D597" s="207"/>
      <c r="E597" s="207"/>
      <c r="F597" s="207"/>
      <c r="G597" s="207"/>
      <c r="H597" s="208"/>
      <c r="I597" s="221" t="s">
        <v>293</v>
      </c>
      <c r="J597" s="222"/>
      <c r="K597" s="222"/>
      <c r="L597" s="222"/>
      <c r="M597" s="222"/>
      <c r="N597" s="222"/>
      <c r="O597" s="222"/>
      <c r="P597" s="222"/>
      <c r="Q597" s="222"/>
    </row>
    <row r="598" spans="1:17" s="42" customFormat="1" x14ac:dyDescent="0.25">
      <c r="A598" s="54" t="s">
        <v>154</v>
      </c>
      <c r="B598" s="206" t="str">
        <f>(IF(F273="Saleable area Loading :","We have considered Saleable area of Flats as per our Calculation.","We considered Saleable area of Flat as per Builder area Sheet."))</f>
        <v>We have considered Saleable area of Flats as per our Calculation.</v>
      </c>
      <c r="C598" s="207"/>
      <c r="D598" s="207"/>
      <c r="E598" s="207"/>
      <c r="F598" s="207"/>
      <c r="G598" s="207"/>
      <c r="H598" s="208"/>
      <c r="I598" s="219" t="s">
        <v>295</v>
      </c>
      <c r="J598" s="220"/>
      <c r="K598" s="220"/>
      <c r="L598" s="220"/>
      <c r="M598" s="220"/>
    </row>
    <row r="599" spans="1:17" s="42" customFormat="1" x14ac:dyDescent="0.25">
      <c r="A599" s="54" t="s">
        <v>154</v>
      </c>
      <c r="B599" s="206" t="str">
        <f>(IF(F146="Saleable area Loading :","We have considered Saleable area of Commercial as per our Calculation.","We considered Saleable area of Commercial as per Builder area Sheet."))</f>
        <v>We have considered Saleable area of Commercial as per our Calculation.</v>
      </c>
      <c r="C599" s="207"/>
      <c r="D599" s="207"/>
      <c r="E599" s="207"/>
      <c r="F599" s="207"/>
      <c r="G599" s="207"/>
      <c r="H599" s="208"/>
    </row>
    <row r="600" spans="1:17" s="42" customFormat="1" x14ac:dyDescent="0.25">
      <c r="A600" s="54" t="s">
        <v>154</v>
      </c>
      <c r="B600" s="170" t="s">
        <v>124</v>
      </c>
      <c r="C600" s="171"/>
      <c r="D600" s="171"/>
      <c r="E600" s="171"/>
      <c r="F600" s="171"/>
      <c r="G600" s="171"/>
      <c r="H600" s="172"/>
    </row>
    <row r="601" spans="1:17" s="42" customFormat="1" x14ac:dyDescent="0.25">
      <c r="A601" s="54" t="s">
        <v>154</v>
      </c>
      <c r="B601" s="170" t="s">
        <v>225</v>
      </c>
      <c r="C601" s="171"/>
      <c r="D601" s="171"/>
      <c r="E601" s="171"/>
      <c r="F601" s="171"/>
      <c r="G601" s="171"/>
      <c r="H601" s="172"/>
    </row>
    <row r="602" spans="1:17" s="42" customFormat="1" x14ac:dyDescent="0.25">
      <c r="A602" s="54" t="s">
        <v>154</v>
      </c>
      <c r="B602" s="170" t="s">
        <v>153</v>
      </c>
      <c r="C602" s="171"/>
      <c r="D602" s="171"/>
      <c r="E602" s="171"/>
      <c r="F602" s="171"/>
      <c r="G602" s="171"/>
      <c r="H602" s="172"/>
    </row>
    <row r="603" spans="1:17" s="42" customFormat="1" x14ac:dyDescent="0.25">
      <c r="A603" s="54" t="s">
        <v>154</v>
      </c>
      <c r="B603" s="170" t="s">
        <v>125</v>
      </c>
      <c r="C603" s="171"/>
      <c r="D603" s="171"/>
      <c r="E603" s="171"/>
      <c r="F603" s="171"/>
      <c r="G603" s="171"/>
      <c r="H603" s="172"/>
    </row>
    <row r="604" spans="1:17" s="42" customFormat="1" ht="33.75" customHeight="1" x14ac:dyDescent="0.25">
      <c r="A604" s="54" t="s">
        <v>154</v>
      </c>
      <c r="B604" s="170" t="s">
        <v>155</v>
      </c>
      <c r="C604" s="171"/>
      <c r="D604" s="171"/>
      <c r="E604" s="171"/>
      <c r="F604" s="171"/>
      <c r="G604" s="171"/>
      <c r="H604" s="172"/>
    </row>
    <row r="605" spans="1:17" s="42" customFormat="1" x14ac:dyDescent="0.25">
      <c r="A605" s="54" t="s">
        <v>154</v>
      </c>
      <c r="B605" s="170" t="s">
        <v>126</v>
      </c>
      <c r="C605" s="171"/>
      <c r="D605" s="171"/>
      <c r="E605" s="171"/>
      <c r="F605" s="171"/>
      <c r="G605" s="171"/>
      <c r="H605" s="172"/>
    </row>
    <row r="606" spans="1:17" s="42" customFormat="1" x14ac:dyDescent="0.25">
      <c r="A606" s="68" t="s">
        <v>154</v>
      </c>
      <c r="B606" s="206" t="s">
        <v>268</v>
      </c>
      <c r="C606" s="207"/>
      <c r="D606" s="207"/>
      <c r="E606" s="207"/>
      <c r="F606" s="207"/>
      <c r="G606" s="207"/>
      <c r="H606" s="208"/>
    </row>
    <row r="607" spans="1:17" s="42" customFormat="1" x14ac:dyDescent="0.25">
      <c r="A607" s="69" t="s">
        <v>154</v>
      </c>
      <c r="B607" s="206" t="s">
        <v>292</v>
      </c>
      <c r="C607" s="207"/>
      <c r="D607" s="207"/>
      <c r="E607" s="207"/>
      <c r="F607" s="207"/>
      <c r="G607" s="207"/>
      <c r="H607" s="208"/>
    </row>
    <row r="608" spans="1:17" s="42" customFormat="1" ht="33" customHeight="1" x14ac:dyDescent="0.25">
      <c r="A608" s="54" t="s">
        <v>154</v>
      </c>
      <c r="B608" s="152" t="s">
        <v>290</v>
      </c>
      <c r="C608" s="153"/>
      <c r="D608" s="153"/>
      <c r="E608" s="153"/>
      <c r="F608" s="153"/>
      <c r="G608" s="153"/>
      <c r="H608" s="154"/>
    </row>
    <row r="609" spans="1:8" s="42" customFormat="1" x14ac:dyDescent="0.25">
      <c r="A609" s="151" t="s">
        <v>63</v>
      </c>
      <c r="B609" s="151"/>
      <c r="C609" s="151"/>
      <c r="D609" s="151"/>
      <c r="E609" s="151"/>
      <c r="F609" s="151"/>
      <c r="G609" s="151"/>
      <c r="H609" s="151"/>
    </row>
    <row r="610" spans="1:8" x14ac:dyDescent="0.25">
      <c r="A610" s="84" t="s">
        <v>64</v>
      </c>
      <c r="B610" s="84"/>
      <c r="C610" s="84"/>
      <c r="D610" s="84"/>
      <c r="E610" s="84"/>
      <c r="F610" s="84"/>
      <c r="G610" s="84"/>
      <c r="H610" s="84"/>
    </row>
    <row r="611" spans="1:8" x14ac:dyDescent="0.25">
      <c r="A611" s="146" t="s">
        <v>65</v>
      </c>
      <c r="B611" s="146"/>
      <c r="C611" s="146"/>
      <c r="D611" s="146"/>
      <c r="E611" s="146"/>
      <c r="F611" s="146"/>
      <c r="G611" s="146"/>
      <c r="H611" s="146"/>
    </row>
    <row r="612" spans="1:8" ht="15.75" customHeight="1" x14ac:dyDescent="0.25">
      <c r="A612" s="84" t="s">
        <v>66</v>
      </c>
      <c r="B612" s="84"/>
      <c r="C612" s="84"/>
      <c r="D612" s="84"/>
      <c r="E612" s="84"/>
      <c r="F612" s="84"/>
      <c r="G612" s="84"/>
      <c r="H612" s="84"/>
    </row>
    <row r="613" spans="1:8" x14ac:dyDescent="0.25">
      <c r="A613" s="84" t="s">
        <v>67</v>
      </c>
      <c r="B613" s="84"/>
      <c r="C613" s="84"/>
      <c r="D613" s="84"/>
      <c r="E613" s="84"/>
      <c r="F613" s="84"/>
      <c r="G613" s="84"/>
      <c r="H613" s="84"/>
    </row>
    <row r="614" spans="1:8" x14ac:dyDescent="0.25">
      <c r="A614" s="84" t="s">
        <v>127</v>
      </c>
      <c r="B614" s="84"/>
      <c r="C614" s="84"/>
      <c r="D614" s="84"/>
      <c r="E614" s="84"/>
      <c r="F614" s="84"/>
      <c r="G614" s="84"/>
      <c r="H614" s="84"/>
    </row>
    <row r="615" spans="1:8" x14ac:dyDescent="0.25">
      <c r="A615" s="160" t="s">
        <v>128</v>
      </c>
      <c r="B615" s="160"/>
      <c r="C615" s="160"/>
      <c r="D615" s="160"/>
      <c r="E615" s="160"/>
      <c r="F615" s="160"/>
      <c r="G615" s="160"/>
      <c r="H615" s="160"/>
    </row>
    <row r="616" spans="1:8" x14ac:dyDescent="0.25">
      <c r="A616" s="168" t="s">
        <v>78</v>
      </c>
      <c r="B616" s="168"/>
      <c r="C616" s="168" t="s">
        <v>289</v>
      </c>
      <c r="D616" s="168"/>
      <c r="E616" s="168" t="s">
        <v>104</v>
      </c>
      <c r="F616" s="168"/>
      <c r="G616" s="168" t="s">
        <v>296</v>
      </c>
      <c r="H616" s="168"/>
    </row>
    <row r="617" spans="1:8" x14ac:dyDescent="0.25">
      <c r="A617" s="167" t="s">
        <v>80</v>
      </c>
      <c r="B617" s="167"/>
      <c r="C617" s="167"/>
      <c r="D617" s="167"/>
      <c r="E617" s="167"/>
      <c r="F617" s="167"/>
      <c r="G617" s="167"/>
      <c r="H617" s="167"/>
    </row>
    <row r="618" spans="1:8" x14ac:dyDescent="0.25">
      <c r="A618" s="167"/>
      <c r="B618" s="167"/>
      <c r="C618" s="167"/>
      <c r="D618" s="167"/>
      <c r="E618" s="167"/>
      <c r="F618" s="167"/>
      <c r="G618" s="167"/>
      <c r="H618" s="167"/>
    </row>
    <row r="619" spans="1:8" x14ac:dyDescent="0.25">
      <c r="A619" s="167"/>
      <c r="B619" s="167"/>
      <c r="C619" s="167"/>
      <c r="D619" s="167"/>
      <c r="E619" s="167"/>
      <c r="F619" s="167"/>
      <c r="G619" s="167"/>
      <c r="H619" s="167"/>
    </row>
    <row r="620" spans="1:8" x14ac:dyDescent="0.25">
      <c r="A620" s="167"/>
      <c r="B620" s="167"/>
      <c r="C620" s="167"/>
      <c r="D620" s="167"/>
      <c r="E620" s="167"/>
      <c r="F620" s="167"/>
      <c r="G620" s="167"/>
      <c r="H620" s="167"/>
    </row>
    <row r="621" spans="1:8" x14ac:dyDescent="0.25">
      <c r="A621" s="45" t="s">
        <v>68</v>
      </c>
      <c r="B621" s="46"/>
      <c r="C621" s="46"/>
      <c r="D621" s="45" t="str">
        <f>E8</f>
        <v>Golden Residency</v>
      </c>
      <c r="F621" s="46"/>
      <c r="G621" s="46"/>
      <c r="H621" s="46"/>
    </row>
    <row r="622" spans="1:8" x14ac:dyDescent="0.25">
      <c r="A622" s="46"/>
      <c r="B622" s="46"/>
      <c r="C622" s="46"/>
      <c r="D622" s="46"/>
      <c r="E622" s="46"/>
      <c r="F622" s="46"/>
      <c r="G622" s="46"/>
      <c r="H622" s="46"/>
    </row>
    <row r="623" spans="1:8" x14ac:dyDescent="0.25">
      <c r="A623" s="46"/>
      <c r="B623" s="46"/>
      <c r="C623" s="46"/>
      <c r="D623" s="46"/>
      <c r="E623" s="46"/>
      <c r="F623" s="46"/>
      <c r="G623" s="46"/>
      <c r="H623" s="46"/>
    </row>
    <row r="625" ht="15" customHeight="1" x14ac:dyDescent="0.25"/>
    <row r="665" spans="1:1" x14ac:dyDescent="0.25">
      <c r="A665" s="48" t="s">
        <v>69</v>
      </c>
    </row>
  </sheetData>
  <mergeCells count="905">
    <mergeCell ref="I598:M598"/>
    <mergeCell ref="I597:Q597"/>
    <mergeCell ref="A278:H278"/>
    <mergeCell ref="G279:H279"/>
    <mergeCell ref="G280:H280"/>
    <mergeCell ref="B606:H606"/>
    <mergeCell ref="L257:M257"/>
    <mergeCell ref="L247:M247"/>
    <mergeCell ref="L248:M248"/>
    <mergeCell ref="G256:H256"/>
    <mergeCell ref="A363:H363"/>
    <mergeCell ref="G364:H364"/>
    <mergeCell ref="G365:H365"/>
    <mergeCell ref="G366:H366"/>
    <mergeCell ref="G357:H357"/>
    <mergeCell ref="G358:H358"/>
    <mergeCell ref="G362:H362"/>
    <mergeCell ref="G267:H267"/>
    <mergeCell ref="G268:H268"/>
    <mergeCell ref="G249:H249"/>
    <mergeCell ref="L255:M255"/>
    <mergeCell ref="L256:M256"/>
    <mergeCell ref="G341:H341"/>
    <mergeCell ref="G342:H342"/>
    <mergeCell ref="A37:B37"/>
    <mergeCell ref="C37:H37"/>
    <mergeCell ref="A113:E113"/>
    <mergeCell ref="F113:H113"/>
    <mergeCell ref="L245:M245"/>
    <mergeCell ref="L231:M231"/>
    <mergeCell ref="L233:M233"/>
    <mergeCell ref="L236:M236"/>
    <mergeCell ref="L246:M246"/>
    <mergeCell ref="G219:H219"/>
    <mergeCell ref="G190:H190"/>
    <mergeCell ref="L190:M190"/>
    <mergeCell ref="A191:H191"/>
    <mergeCell ref="L195:M195"/>
    <mergeCell ref="G196:H196"/>
    <mergeCell ref="L196:M196"/>
    <mergeCell ref="A197:H197"/>
    <mergeCell ref="A203:H203"/>
    <mergeCell ref="G204:H204"/>
    <mergeCell ref="L204:M204"/>
    <mergeCell ref="G205:H205"/>
    <mergeCell ref="L205:M205"/>
    <mergeCell ref="L202:M202"/>
    <mergeCell ref="G202:H202"/>
    <mergeCell ref="B607:H607"/>
    <mergeCell ref="G441:H441"/>
    <mergeCell ref="B604:H604"/>
    <mergeCell ref="L199:M199"/>
    <mergeCell ref="L225:M225"/>
    <mergeCell ref="G206:H206"/>
    <mergeCell ref="G259:H259"/>
    <mergeCell ref="G257:H257"/>
    <mergeCell ref="A260:H260"/>
    <mergeCell ref="A277:H277"/>
    <mergeCell ref="L263:M263"/>
    <mergeCell ref="L262:M262"/>
    <mergeCell ref="G258:H258"/>
    <mergeCell ref="G262:H262"/>
    <mergeCell ref="A263:H263"/>
    <mergeCell ref="L267:M267"/>
    <mergeCell ref="L265:M265"/>
    <mergeCell ref="G266:H266"/>
    <mergeCell ref="G264:H264"/>
    <mergeCell ref="A265:H265"/>
    <mergeCell ref="L260:M260"/>
    <mergeCell ref="L259:M259"/>
    <mergeCell ref="L258:M258"/>
    <mergeCell ref="I266:J266"/>
    <mergeCell ref="G195:H195"/>
    <mergeCell ref="G239:H239"/>
    <mergeCell ref="L239:M239"/>
    <mergeCell ref="L237:M237"/>
    <mergeCell ref="G198:H198"/>
    <mergeCell ref="L198:M198"/>
    <mergeCell ref="G199:H199"/>
    <mergeCell ref="A185:H185"/>
    <mergeCell ref="G186:H186"/>
    <mergeCell ref="L186:M186"/>
    <mergeCell ref="G187:H187"/>
    <mergeCell ref="L187:M187"/>
    <mergeCell ref="G188:H188"/>
    <mergeCell ref="L188:M188"/>
    <mergeCell ref="G189:H189"/>
    <mergeCell ref="L189:M189"/>
    <mergeCell ref="L219:M219"/>
    <mergeCell ref="G220:H220"/>
    <mergeCell ref="L220:M220"/>
    <mergeCell ref="G221:H221"/>
    <mergeCell ref="L221:M221"/>
    <mergeCell ref="L200:M200"/>
    <mergeCell ref="G201:H201"/>
    <mergeCell ref="L201:M201"/>
    <mergeCell ref="L150:M150"/>
    <mergeCell ref="G151:H151"/>
    <mergeCell ref="L151:M151"/>
    <mergeCell ref="G152:H152"/>
    <mergeCell ref="L152:M152"/>
    <mergeCell ref="A155:H155"/>
    <mergeCell ref="G156:H156"/>
    <mergeCell ref="L156:M156"/>
    <mergeCell ref="L153:M153"/>
    <mergeCell ref="G154:H154"/>
    <mergeCell ref="L154:M154"/>
    <mergeCell ref="I152:J152"/>
    <mergeCell ref="L157:M157"/>
    <mergeCell ref="L158:M158"/>
    <mergeCell ref="G160:H160"/>
    <mergeCell ref="L160:M160"/>
    <mergeCell ref="A161:H161"/>
    <mergeCell ref="G162:H162"/>
    <mergeCell ref="L162:M162"/>
    <mergeCell ref="G163:H163"/>
    <mergeCell ref="L163:M163"/>
    <mergeCell ref="L159:M159"/>
    <mergeCell ref="G157:H157"/>
    <mergeCell ref="G158:H158"/>
    <mergeCell ref="G159:H159"/>
    <mergeCell ref="L172:M172"/>
    <mergeCell ref="G192:H192"/>
    <mergeCell ref="L192:M192"/>
    <mergeCell ref="A179:H179"/>
    <mergeCell ref="L164:M164"/>
    <mergeCell ref="G165:H165"/>
    <mergeCell ref="L165:M165"/>
    <mergeCell ref="G166:H166"/>
    <mergeCell ref="L166:M166"/>
    <mergeCell ref="A167:H167"/>
    <mergeCell ref="G168:H168"/>
    <mergeCell ref="L168:M168"/>
    <mergeCell ref="G169:H169"/>
    <mergeCell ref="L169:M169"/>
    <mergeCell ref="G170:H170"/>
    <mergeCell ref="L170:M170"/>
    <mergeCell ref="G171:H171"/>
    <mergeCell ref="L171:M171"/>
    <mergeCell ref="G164:H164"/>
    <mergeCell ref="L180:M180"/>
    <mergeCell ref="G181:H181"/>
    <mergeCell ref="L181:M181"/>
    <mergeCell ref="G182:H182"/>
    <mergeCell ref="L182:M182"/>
    <mergeCell ref="G193:H193"/>
    <mergeCell ref="L193:M193"/>
    <mergeCell ref="C194:F194"/>
    <mergeCell ref="G194:H194"/>
    <mergeCell ref="L194:M194"/>
    <mergeCell ref="L178:M178"/>
    <mergeCell ref="G180:H180"/>
    <mergeCell ref="L174:M174"/>
    <mergeCell ref="L175:M175"/>
    <mergeCell ref="L176:M176"/>
    <mergeCell ref="L177:M177"/>
    <mergeCell ref="G183:H183"/>
    <mergeCell ref="L183:M183"/>
    <mergeCell ref="G184:H184"/>
    <mergeCell ref="L184:M184"/>
    <mergeCell ref="L206:M206"/>
    <mergeCell ref="G207:H207"/>
    <mergeCell ref="L207:M207"/>
    <mergeCell ref="L208:M208"/>
    <mergeCell ref="L228:M228"/>
    <mergeCell ref="L230:M230"/>
    <mergeCell ref="L211:M211"/>
    <mergeCell ref="L218:M218"/>
    <mergeCell ref="C233:F233"/>
    <mergeCell ref="L229:M229"/>
    <mergeCell ref="G211:H211"/>
    <mergeCell ref="G218:H218"/>
    <mergeCell ref="L212:M212"/>
    <mergeCell ref="G213:H213"/>
    <mergeCell ref="L213:M213"/>
    <mergeCell ref="G214:H214"/>
    <mergeCell ref="L214:M214"/>
    <mergeCell ref="G215:H215"/>
    <mergeCell ref="L215:M215"/>
    <mergeCell ref="G216:H216"/>
    <mergeCell ref="L216:M216"/>
    <mergeCell ref="L217:M217"/>
    <mergeCell ref="A46:B46"/>
    <mergeCell ref="C46:H46"/>
    <mergeCell ref="B602:H602"/>
    <mergeCell ref="G98:H107"/>
    <mergeCell ref="A99:B99"/>
    <mergeCell ref="A100:B100"/>
    <mergeCell ref="A101:B101"/>
    <mergeCell ref="F110:H110"/>
    <mergeCell ref="A110:E110"/>
    <mergeCell ref="G415:H415"/>
    <mergeCell ref="G412:H412"/>
    <mergeCell ref="D146:D147"/>
    <mergeCell ref="A114:E114"/>
    <mergeCell ref="A115:E115"/>
    <mergeCell ref="F118:H118"/>
    <mergeCell ref="G254:H254"/>
    <mergeCell ref="G255:H255"/>
    <mergeCell ref="G229:H229"/>
    <mergeCell ref="G235:H235"/>
    <mergeCell ref="G232:H232"/>
    <mergeCell ref="G234:H234"/>
    <mergeCell ref="G143:H143"/>
    <mergeCell ref="A148:H148"/>
    <mergeCell ref="G153:H153"/>
    <mergeCell ref="B603:H603"/>
    <mergeCell ref="B599:H599"/>
    <mergeCell ref="B597:H597"/>
    <mergeCell ref="B598:H598"/>
    <mergeCell ref="B600:H600"/>
    <mergeCell ref="B601:H601"/>
    <mergeCell ref="A308:H308"/>
    <mergeCell ref="A309:H309"/>
    <mergeCell ref="G310:H310"/>
    <mergeCell ref="G311:H311"/>
    <mergeCell ref="G438:H438"/>
    <mergeCell ref="A484:H484"/>
    <mergeCell ref="G485:H485"/>
    <mergeCell ref="G486:H486"/>
    <mergeCell ref="G487:H487"/>
    <mergeCell ref="G312:H312"/>
    <mergeCell ref="A129:B129"/>
    <mergeCell ref="A123:A124"/>
    <mergeCell ref="A125:A127"/>
    <mergeCell ref="C128:D128"/>
    <mergeCell ref="E128:F128"/>
    <mergeCell ref="A108:E108"/>
    <mergeCell ref="F108:H108"/>
    <mergeCell ref="F115:H115"/>
    <mergeCell ref="F114:H114"/>
    <mergeCell ref="F112:H112"/>
    <mergeCell ref="C133:D133"/>
    <mergeCell ref="E133:F133"/>
    <mergeCell ref="G133:H133"/>
    <mergeCell ref="C134:D134"/>
    <mergeCell ref="E134:F134"/>
    <mergeCell ref="G134:H134"/>
    <mergeCell ref="C126:D126"/>
    <mergeCell ref="E126:F126"/>
    <mergeCell ref="G126:H126"/>
    <mergeCell ref="A38:H38"/>
    <mergeCell ref="C34:E34"/>
    <mergeCell ref="A77:B77"/>
    <mergeCell ref="C142:D142"/>
    <mergeCell ref="E142:F142"/>
    <mergeCell ref="G142:H142"/>
    <mergeCell ref="A109:E109"/>
    <mergeCell ref="A98:B98"/>
    <mergeCell ref="E98:F107"/>
    <mergeCell ref="A105:B105"/>
    <mergeCell ref="A106:B106"/>
    <mergeCell ref="A107:B107"/>
    <mergeCell ref="A59:C59"/>
    <mergeCell ref="A60:C60"/>
    <mergeCell ref="D59:H59"/>
    <mergeCell ref="G47:H47"/>
    <mergeCell ref="G49:H49"/>
    <mergeCell ref="E70:F79"/>
    <mergeCell ref="A96:B96"/>
    <mergeCell ref="C96:H96"/>
    <mergeCell ref="A97:B97"/>
    <mergeCell ref="E97:F97"/>
    <mergeCell ref="G97:H97"/>
    <mergeCell ref="F34:H34"/>
    <mergeCell ref="A36:B36"/>
    <mergeCell ref="F30:H30"/>
    <mergeCell ref="A31:B31"/>
    <mergeCell ref="A30:B30"/>
    <mergeCell ref="C31:E31"/>
    <mergeCell ref="A32:B32"/>
    <mergeCell ref="C32:E32"/>
    <mergeCell ref="A35:H35"/>
    <mergeCell ref="A34:B34"/>
    <mergeCell ref="C36:H36"/>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F31:H31"/>
    <mergeCell ref="F32:H32"/>
    <mergeCell ref="C30:E30"/>
    <mergeCell ref="F33:H33"/>
    <mergeCell ref="A39:D39"/>
    <mergeCell ref="E39:H39"/>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E24:H24"/>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A9:D9"/>
    <mergeCell ref="E9:H9"/>
    <mergeCell ref="A1:H1"/>
    <mergeCell ref="A2:H2"/>
    <mergeCell ref="A3:D3"/>
    <mergeCell ref="E3:H3"/>
    <mergeCell ref="A4:D4"/>
    <mergeCell ref="A8:D8"/>
    <mergeCell ref="E8:H8"/>
    <mergeCell ref="A10:D10"/>
    <mergeCell ref="E10:H10"/>
    <mergeCell ref="E4:H4"/>
    <mergeCell ref="D55:H55"/>
    <mergeCell ref="A55:C55"/>
    <mergeCell ref="G48:H48"/>
    <mergeCell ref="A49:B50"/>
    <mergeCell ref="C49:E49"/>
    <mergeCell ref="A56:C58"/>
    <mergeCell ref="C50:E50"/>
    <mergeCell ref="D56:H56"/>
    <mergeCell ref="D58:H58"/>
    <mergeCell ref="C48:E48"/>
    <mergeCell ref="A51:B51"/>
    <mergeCell ref="C51:E51"/>
    <mergeCell ref="A48:B48"/>
    <mergeCell ref="A52:H52"/>
    <mergeCell ref="D53:H53"/>
    <mergeCell ref="A53:C53"/>
    <mergeCell ref="A54:C54"/>
    <mergeCell ref="D54:H54"/>
    <mergeCell ref="G51:H51"/>
    <mergeCell ref="G50:H50"/>
    <mergeCell ref="A41:D41"/>
    <mergeCell ref="E41:H41"/>
    <mergeCell ref="E42:H42"/>
    <mergeCell ref="E43:H43"/>
    <mergeCell ref="E44:H44"/>
    <mergeCell ref="A42:D42"/>
    <mergeCell ref="A43:D43"/>
    <mergeCell ref="A44:D44"/>
    <mergeCell ref="A45:H45"/>
    <mergeCell ref="G69:H69"/>
    <mergeCell ref="G70:H79"/>
    <mergeCell ref="A78:B78"/>
    <mergeCell ref="A79:B79"/>
    <mergeCell ref="A76:B76"/>
    <mergeCell ref="A69:B69"/>
    <mergeCell ref="A72:B72"/>
    <mergeCell ref="A68:B68"/>
    <mergeCell ref="A66:B66"/>
    <mergeCell ref="C66:H66"/>
    <mergeCell ref="A74:B74"/>
    <mergeCell ref="A617:H620"/>
    <mergeCell ref="A616:B616"/>
    <mergeCell ref="E616:F616"/>
    <mergeCell ref="C616:D616"/>
    <mergeCell ref="G616:H616"/>
    <mergeCell ref="A411:H411"/>
    <mergeCell ref="A612:H612"/>
    <mergeCell ref="A615:H615"/>
    <mergeCell ref="A613:H613"/>
    <mergeCell ref="A596:H596"/>
    <mergeCell ref="G436:H436"/>
    <mergeCell ref="B605:H605"/>
    <mergeCell ref="G442:H442"/>
    <mergeCell ref="G445:H445"/>
    <mergeCell ref="G446:H446"/>
    <mergeCell ref="A447:H447"/>
    <mergeCell ref="G448:H448"/>
    <mergeCell ref="G449:H449"/>
    <mergeCell ref="A433:H433"/>
    <mergeCell ref="G512:H512"/>
    <mergeCell ref="G513:H513"/>
    <mergeCell ref="G505:H505"/>
    <mergeCell ref="G506:H506"/>
    <mergeCell ref="G507:H507"/>
    <mergeCell ref="E40:H40"/>
    <mergeCell ref="A40:D40"/>
    <mergeCell ref="A94:B94"/>
    <mergeCell ref="C94:H94"/>
    <mergeCell ref="A75:B75"/>
    <mergeCell ref="A47:B47"/>
    <mergeCell ref="C47:E47"/>
    <mergeCell ref="A61:C61"/>
    <mergeCell ref="D61:H61"/>
    <mergeCell ref="C68:H68"/>
    <mergeCell ref="A71:B71"/>
    <mergeCell ref="A73:B73"/>
    <mergeCell ref="E69:F69"/>
    <mergeCell ref="A62:C62"/>
    <mergeCell ref="D62:H62"/>
    <mergeCell ref="A65:C65"/>
    <mergeCell ref="D65:H65"/>
    <mergeCell ref="D57:H57"/>
    <mergeCell ref="D60:H60"/>
    <mergeCell ref="A63:C63"/>
    <mergeCell ref="D63:H63"/>
    <mergeCell ref="A64:C64"/>
    <mergeCell ref="D64:H64"/>
    <mergeCell ref="A70:B70"/>
    <mergeCell ref="A210:H210"/>
    <mergeCell ref="G200:H200"/>
    <mergeCell ref="A209:H209"/>
    <mergeCell ref="G223:H223"/>
    <mergeCell ref="G224:H224"/>
    <mergeCell ref="G227:H227"/>
    <mergeCell ref="G228:H228"/>
    <mergeCell ref="G225:H225"/>
    <mergeCell ref="G208:H208"/>
    <mergeCell ref="G222:H222"/>
    <mergeCell ref="G178:H178"/>
    <mergeCell ref="A173:H173"/>
    <mergeCell ref="G174:H174"/>
    <mergeCell ref="G175:H175"/>
    <mergeCell ref="G176:H176"/>
    <mergeCell ref="C146:C147"/>
    <mergeCell ref="A144:H144"/>
    <mergeCell ref="E146:E147"/>
    <mergeCell ref="G146:H147"/>
    <mergeCell ref="G177:H177"/>
    <mergeCell ref="G172:H172"/>
    <mergeCell ref="A614:H614"/>
    <mergeCell ref="A611:H611"/>
    <mergeCell ref="G437:H437"/>
    <mergeCell ref="A137:B137"/>
    <mergeCell ref="D273:D274"/>
    <mergeCell ref="E273:E274"/>
    <mergeCell ref="G273:H274"/>
    <mergeCell ref="A440:H440"/>
    <mergeCell ref="A609:H609"/>
    <mergeCell ref="A610:H610"/>
    <mergeCell ref="G356:H356"/>
    <mergeCell ref="C286:F286"/>
    <mergeCell ref="A272:H272"/>
    <mergeCell ref="B608:H608"/>
    <mergeCell ref="G392:H392"/>
    <mergeCell ref="G393:H393"/>
    <mergeCell ref="B273:B274"/>
    <mergeCell ref="G261:H261"/>
    <mergeCell ref="A252:H252"/>
    <mergeCell ref="A253:H253"/>
    <mergeCell ref="G217:H217"/>
    <mergeCell ref="G212:H212"/>
    <mergeCell ref="A251:H251"/>
    <mergeCell ref="G236:H236"/>
    <mergeCell ref="I239:J239"/>
    <mergeCell ref="L232:M232"/>
    <mergeCell ref="L234:M234"/>
    <mergeCell ref="G230:H230"/>
    <mergeCell ref="L244:M244"/>
    <mergeCell ref="G237:H237"/>
    <mergeCell ref="L222:M222"/>
    <mergeCell ref="L223:M223"/>
    <mergeCell ref="L224:M224"/>
    <mergeCell ref="L227:M227"/>
    <mergeCell ref="A226:H226"/>
    <mergeCell ref="C227:F227"/>
    <mergeCell ref="C228:F228"/>
    <mergeCell ref="C230:F230"/>
    <mergeCell ref="C231:F231"/>
    <mergeCell ref="A240:H240"/>
    <mergeCell ref="C236:F236"/>
    <mergeCell ref="G233:H233"/>
    <mergeCell ref="G231:H231"/>
    <mergeCell ref="C237:F237"/>
    <mergeCell ref="A238:H238"/>
    <mergeCell ref="L235:M235"/>
    <mergeCell ref="G271:H271"/>
    <mergeCell ref="L241:M241"/>
    <mergeCell ref="G242:H242"/>
    <mergeCell ref="L242:M242"/>
    <mergeCell ref="G243:H243"/>
    <mergeCell ref="L243:M243"/>
    <mergeCell ref="G244:H244"/>
    <mergeCell ref="L249:M249"/>
    <mergeCell ref="A250:H250"/>
    <mergeCell ref="L268:M268"/>
    <mergeCell ref="G269:H269"/>
    <mergeCell ref="G270:H270"/>
    <mergeCell ref="G246:H246"/>
    <mergeCell ref="G241:H241"/>
    <mergeCell ref="G245:H245"/>
    <mergeCell ref="G247:H247"/>
    <mergeCell ref="G248:H248"/>
    <mergeCell ref="A273:A274"/>
    <mergeCell ref="L272:M272"/>
    <mergeCell ref="A283:H283"/>
    <mergeCell ref="C273:C274"/>
    <mergeCell ref="G285:H285"/>
    <mergeCell ref="A303:H303"/>
    <mergeCell ref="G281:H281"/>
    <mergeCell ref="G282:H282"/>
    <mergeCell ref="A275:H275"/>
    <mergeCell ref="A276:H276"/>
    <mergeCell ref="G349:H349"/>
    <mergeCell ref="G350:H350"/>
    <mergeCell ref="G351:H351"/>
    <mergeCell ref="G297:H297"/>
    <mergeCell ref="A354:H354"/>
    <mergeCell ref="G355:H355"/>
    <mergeCell ref="G344:H344"/>
    <mergeCell ref="A345:H345"/>
    <mergeCell ref="G346:H346"/>
    <mergeCell ref="G316:H316"/>
    <mergeCell ref="G317:H317"/>
    <mergeCell ref="G348:H348"/>
    <mergeCell ref="G331:H331"/>
    <mergeCell ref="G332:H332"/>
    <mergeCell ref="G333:H333"/>
    <mergeCell ref="G334:H334"/>
    <mergeCell ref="G335:H335"/>
    <mergeCell ref="A336:H336"/>
    <mergeCell ref="G337:H337"/>
    <mergeCell ref="G343:H343"/>
    <mergeCell ref="A318:H318"/>
    <mergeCell ref="G300:H300"/>
    <mergeCell ref="G301:H301"/>
    <mergeCell ref="G302:H302"/>
    <mergeCell ref="G347:H347"/>
    <mergeCell ref="A298:H298"/>
    <mergeCell ref="G299:H299"/>
    <mergeCell ref="G304:H304"/>
    <mergeCell ref="G305:H305"/>
    <mergeCell ref="G306:H306"/>
    <mergeCell ref="G307:H307"/>
    <mergeCell ref="G340:H340"/>
    <mergeCell ref="G284:H284"/>
    <mergeCell ref="G286:H286"/>
    <mergeCell ref="G287:H287"/>
    <mergeCell ref="G313:H313"/>
    <mergeCell ref="G322:H322"/>
    <mergeCell ref="G323:H323"/>
    <mergeCell ref="G324:H324"/>
    <mergeCell ref="G325:H325"/>
    <mergeCell ref="G326:H326"/>
    <mergeCell ref="G338:H338"/>
    <mergeCell ref="G339:H339"/>
    <mergeCell ref="G314:H314"/>
    <mergeCell ref="G315:H315"/>
    <mergeCell ref="G319:H319"/>
    <mergeCell ref="G320:H320"/>
    <mergeCell ref="G321:H321"/>
    <mergeCell ref="G434:H434"/>
    <mergeCell ref="C402:F403"/>
    <mergeCell ref="C494:F495"/>
    <mergeCell ref="G452:H452"/>
    <mergeCell ref="G453:H453"/>
    <mergeCell ref="L269:M269"/>
    <mergeCell ref="L270:M270"/>
    <mergeCell ref="L271:M271"/>
    <mergeCell ref="A432:H432"/>
    <mergeCell ref="A288:H288"/>
    <mergeCell ref="G289:H289"/>
    <mergeCell ref="G290:H290"/>
    <mergeCell ref="G291:H291"/>
    <mergeCell ref="G292:H292"/>
    <mergeCell ref="A327:H327"/>
    <mergeCell ref="G328:H328"/>
    <mergeCell ref="G329:H329"/>
    <mergeCell ref="G330:H330"/>
    <mergeCell ref="A293:H293"/>
    <mergeCell ref="G294:H294"/>
    <mergeCell ref="G295:H295"/>
    <mergeCell ref="G296:H296"/>
    <mergeCell ref="A431:H431"/>
    <mergeCell ref="C316:F317"/>
    <mergeCell ref="A416:H416"/>
    <mergeCell ref="G417:H417"/>
    <mergeCell ref="G418:H418"/>
    <mergeCell ref="G419:H419"/>
    <mergeCell ref="G420:H420"/>
    <mergeCell ref="C369:F369"/>
    <mergeCell ref="G379:H379"/>
    <mergeCell ref="G380:H380"/>
    <mergeCell ref="G376:H376"/>
    <mergeCell ref="C377:F377"/>
    <mergeCell ref="G377:H377"/>
    <mergeCell ref="C378:F378"/>
    <mergeCell ref="G378:H378"/>
    <mergeCell ref="A372:H372"/>
    <mergeCell ref="G373:H373"/>
    <mergeCell ref="G374:H374"/>
    <mergeCell ref="G375:H375"/>
    <mergeCell ref="A395:H395"/>
    <mergeCell ref="G396:H396"/>
    <mergeCell ref="G397:H397"/>
    <mergeCell ref="G400:H400"/>
    <mergeCell ref="G413:H413"/>
    <mergeCell ref="G402:H402"/>
    <mergeCell ref="G403:H403"/>
    <mergeCell ref="G483:H483"/>
    <mergeCell ref="G474:H474"/>
    <mergeCell ref="G475:H475"/>
    <mergeCell ref="A461:H461"/>
    <mergeCell ref="G462:H462"/>
    <mergeCell ref="G463:H463"/>
    <mergeCell ref="G450:H450"/>
    <mergeCell ref="G443:H443"/>
    <mergeCell ref="G444:H444"/>
    <mergeCell ref="G464:H464"/>
    <mergeCell ref="G458:H458"/>
    <mergeCell ref="G459:H459"/>
    <mergeCell ref="G481:H481"/>
    <mergeCell ref="G466:H466"/>
    <mergeCell ref="G467:H467"/>
    <mergeCell ref="A454:H454"/>
    <mergeCell ref="G455:H455"/>
    <mergeCell ref="G456:H456"/>
    <mergeCell ref="G457:H457"/>
    <mergeCell ref="G501:H501"/>
    <mergeCell ref="G502:H502"/>
    <mergeCell ref="G503:H503"/>
    <mergeCell ref="G504:H504"/>
    <mergeCell ref="A492:H492"/>
    <mergeCell ref="G493:H493"/>
    <mergeCell ref="G460:H460"/>
    <mergeCell ref="A404:H404"/>
    <mergeCell ref="G405:H405"/>
    <mergeCell ref="G406:H406"/>
    <mergeCell ref="G465:H465"/>
    <mergeCell ref="C412:F412"/>
    <mergeCell ref="G491:H491"/>
    <mergeCell ref="G482:H482"/>
    <mergeCell ref="A476:H476"/>
    <mergeCell ref="G477:H477"/>
    <mergeCell ref="G478:H478"/>
    <mergeCell ref="G479:H479"/>
    <mergeCell ref="G480:H480"/>
    <mergeCell ref="G414:H414"/>
    <mergeCell ref="G435:H435"/>
    <mergeCell ref="C449:F450"/>
    <mergeCell ref="G407:H407"/>
    <mergeCell ref="G408:H408"/>
    <mergeCell ref="G522:H522"/>
    <mergeCell ref="G523:H523"/>
    <mergeCell ref="G528:H528"/>
    <mergeCell ref="G529:H529"/>
    <mergeCell ref="G530:H530"/>
    <mergeCell ref="G531:H531"/>
    <mergeCell ref="G488:H488"/>
    <mergeCell ref="A508:H508"/>
    <mergeCell ref="G390:H390"/>
    <mergeCell ref="G391:H391"/>
    <mergeCell ref="G394:H394"/>
    <mergeCell ref="G494:H494"/>
    <mergeCell ref="G495:H495"/>
    <mergeCell ref="G496:H496"/>
    <mergeCell ref="G497:H497"/>
    <mergeCell ref="G498:H498"/>
    <mergeCell ref="G499:H499"/>
    <mergeCell ref="G451:H451"/>
    <mergeCell ref="G439:H439"/>
    <mergeCell ref="G489:H489"/>
    <mergeCell ref="G490:H490"/>
    <mergeCell ref="G409:H409"/>
    <mergeCell ref="G410:H410"/>
    <mergeCell ref="A500:H500"/>
    <mergeCell ref="G549:H549"/>
    <mergeCell ref="G541:H541"/>
    <mergeCell ref="G542:H542"/>
    <mergeCell ref="G543:H543"/>
    <mergeCell ref="G544:H544"/>
    <mergeCell ref="G545:H545"/>
    <mergeCell ref="G546:H546"/>
    <mergeCell ref="G547:H547"/>
    <mergeCell ref="G509:H509"/>
    <mergeCell ref="G510:H510"/>
    <mergeCell ref="G511:H511"/>
    <mergeCell ref="G514:H514"/>
    <mergeCell ref="G515:H515"/>
    <mergeCell ref="G533:H533"/>
    <mergeCell ref="A524:H524"/>
    <mergeCell ref="G525:H525"/>
    <mergeCell ref="G526:H526"/>
    <mergeCell ref="G527:H527"/>
    <mergeCell ref="A516:H516"/>
    <mergeCell ref="G517:H517"/>
    <mergeCell ref="G518:H518"/>
    <mergeCell ref="G519:H519"/>
    <mergeCell ref="G520:H520"/>
    <mergeCell ref="G521:H521"/>
    <mergeCell ref="G559:H559"/>
    <mergeCell ref="G560:H560"/>
    <mergeCell ref="G561:H561"/>
    <mergeCell ref="G562:H562"/>
    <mergeCell ref="G563:H563"/>
    <mergeCell ref="A532:H532"/>
    <mergeCell ref="A540:H540"/>
    <mergeCell ref="G553:H553"/>
    <mergeCell ref="G554:H554"/>
    <mergeCell ref="G555:H555"/>
    <mergeCell ref="C534:F535"/>
    <mergeCell ref="G534:H534"/>
    <mergeCell ref="G535:H535"/>
    <mergeCell ref="G536:H536"/>
    <mergeCell ref="G537:H537"/>
    <mergeCell ref="G538:H538"/>
    <mergeCell ref="G539:H539"/>
    <mergeCell ref="G550:H550"/>
    <mergeCell ref="G551:H551"/>
    <mergeCell ref="G552:H552"/>
    <mergeCell ref="A548:H548"/>
    <mergeCell ref="A556:H556"/>
    <mergeCell ref="G557:H557"/>
    <mergeCell ref="G558:H558"/>
    <mergeCell ref="G566:H566"/>
    <mergeCell ref="G567:H567"/>
    <mergeCell ref="G568:H568"/>
    <mergeCell ref="G569:H569"/>
    <mergeCell ref="G570:H570"/>
    <mergeCell ref="G571:H571"/>
    <mergeCell ref="G576:H576"/>
    <mergeCell ref="A564:H564"/>
    <mergeCell ref="A572:H572"/>
    <mergeCell ref="G573:H573"/>
    <mergeCell ref="G574:H574"/>
    <mergeCell ref="G575:H575"/>
    <mergeCell ref="G565:H565"/>
    <mergeCell ref="G593:H593"/>
    <mergeCell ref="G594:H594"/>
    <mergeCell ref="G595:H595"/>
    <mergeCell ref="C124:D124"/>
    <mergeCell ref="E124:F124"/>
    <mergeCell ref="G124:H124"/>
    <mergeCell ref="C127:D127"/>
    <mergeCell ref="E127:F127"/>
    <mergeCell ref="G127:H127"/>
    <mergeCell ref="C125:D125"/>
    <mergeCell ref="E125:F125"/>
    <mergeCell ref="G125:H125"/>
    <mergeCell ref="C138:D138"/>
    <mergeCell ref="E138:F138"/>
    <mergeCell ref="G138:H138"/>
    <mergeCell ref="G581:H581"/>
    <mergeCell ref="G582:H582"/>
    <mergeCell ref="G583:H583"/>
    <mergeCell ref="G584:H584"/>
    <mergeCell ref="G585:H585"/>
    <mergeCell ref="G586:H586"/>
    <mergeCell ref="G587:H587"/>
    <mergeCell ref="C582:F582"/>
    <mergeCell ref="A421:H421"/>
    <mergeCell ref="A588:H588"/>
    <mergeCell ref="G589:H589"/>
    <mergeCell ref="G590:H590"/>
    <mergeCell ref="G591:H591"/>
    <mergeCell ref="G592:H592"/>
    <mergeCell ref="G422:H422"/>
    <mergeCell ref="G423:H423"/>
    <mergeCell ref="G424:H424"/>
    <mergeCell ref="G425:H425"/>
    <mergeCell ref="A426:H426"/>
    <mergeCell ref="G427:H427"/>
    <mergeCell ref="G428:H428"/>
    <mergeCell ref="G429:H429"/>
    <mergeCell ref="G430:H430"/>
    <mergeCell ref="A468:H468"/>
    <mergeCell ref="G469:H469"/>
    <mergeCell ref="G470:H470"/>
    <mergeCell ref="G471:H471"/>
    <mergeCell ref="G472:H472"/>
    <mergeCell ref="G473:H473"/>
    <mergeCell ref="G577:H577"/>
    <mergeCell ref="G578:H578"/>
    <mergeCell ref="G579:H579"/>
    <mergeCell ref="A580:H580"/>
    <mergeCell ref="A145:H145"/>
    <mergeCell ref="B146:B147"/>
    <mergeCell ref="A146:A147"/>
    <mergeCell ref="A138:A139"/>
    <mergeCell ref="A140:A141"/>
    <mergeCell ref="C140:D140"/>
    <mergeCell ref="E140:F140"/>
    <mergeCell ref="G140:H140"/>
    <mergeCell ref="C141:D141"/>
    <mergeCell ref="E141:F141"/>
    <mergeCell ref="G141:H141"/>
    <mergeCell ref="C143:D143"/>
    <mergeCell ref="C139:D139"/>
    <mergeCell ref="E139:F139"/>
    <mergeCell ref="G139:H139"/>
    <mergeCell ref="A143:B143"/>
    <mergeCell ref="E143:F143"/>
    <mergeCell ref="A149:H149"/>
    <mergeCell ref="G150:H150"/>
    <mergeCell ref="G401:H401"/>
    <mergeCell ref="A381:H381"/>
    <mergeCell ref="G382:H382"/>
    <mergeCell ref="G383:H383"/>
    <mergeCell ref="G352:H352"/>
    <mergeCell ref="G353:H353"/>
    <mergeCell ref="C352:F353"/>
    <mergeCell ref="G384:H384"/>
    <mergeCell ref="G385:H385"/>
    <mergeCell ref="G386:H386"/>
    <mergeCell ref="G387:H387"/>
    <mergeCell ref="G398:H398"/>
    <mergeCell ref="G399:H399"/>
    <mergeCell ref="A388:H388"/>
    <mergeCell ref="G389:H389"/>
    <mergeCell ref="G367:H367"/>
    <mergeCell ref="G368:H368"/>
    <mergeCell ref="G369:H369"/>
    <mergeCell ref="G370:H370"/>
    <mergeCell ref="G371:H371"/>
    <mergeCell ref="C368:F368"/>
    <mergeCell ref="G359:H359"/>
    <mergeCell ref="G360:H360"/>
    <mergeCell ref="G361:H361"/>
    <mergeCell ref="A111:E111"/>
    <mergeCell ref="F111:H111"/>
    <mergeCell ref="A80:B80"/>
    <mergeCell ref="C80:H80"/>
    <mergeCell ref="A82:B82"/>
    <mergeCell ref="C82:H82"/>
    <mergeCell ref="A83:B83"/>
    <mergeCell ref="E83:F83"/>
    <mergeCell ref="G83:H83"/>
    <mergeCell ref="A84:B84"/>
    <mergeCell ref="E84:F93"/>
    <mergeCell ref="G84:H93"/>
    <mergeCell ref="A85:B85"/>
    <mergeCell ref="A86:B86"/>
    <mergeCell ref="A87:B87"/>
    <mergeCell ref="A88:B88"/>
    <mergeCell ref="A89:B89"/>
    <mergeCell ref="A90:B90"/>
    <mergeCell ref="A91:B91"/>
    <mergeCell ref="A92:B92"/>
    <mergeCell ref="A93:B93"/>
    <mergeCell ref="A102:B102"/>
    <mergeCell ref="C137:D137"/>
    <mergeCell ref="G137:H137"/>
    <mergeCell ref="A135:B135"/>
    <mergeCell ref="C135:D135"/>
    <mergeCell ref="E135:F135"/>
    <mergeCell ref="G135:H135"/>
    <mergeCell ref="A136:H136"/>
    <mergeCell ref="E137:F137"/>
    <mergeCell ref="G122:H122"/>
    <mergeCell ref="G128:H128"/>
    <mergeCell ref="A130:H130"/>
    <mergeCell ref="A131:B131"/>
    <mergeCell ref="C131:D131"/>
    <mergeCell ref="E131:F131"/>
    <mergeCell ref="G131:H131"/>
    <mergeCell ref="C132:D132"/>
    <mergeCell ref="E132:F132"/>
    <mergeCell ref="G132:H132"/>
    <mergeCell ref="C129:D129"/>
    <mergeCell ref="E129:F129"/>
    <mergeCell ref="G129:H129"/>
    <mergeCell ref="G123:H123"/>
    <mergeCell ref="A122:B122"/>
    <mergeCell ref="C122:D122"/>
    <mergeCell ref="C123:D123"/>
    <mergeCell ref="E123:F123"/>
    <mergeCell ref="A121:H121"/>
    <mergeCell ref="A119:E119"/>
    <mergeCell ref="F119:H119"/>
    <mergeCell ref="A120:E120"/>
    <mergeCell ref="F120:H120"/>
    <mergeCell ref="E122:F122"/>
    <mergeCell ref="A103:B103"/>
    <mergeCell ref="A104:B104"/>
    <mergeCell ref="A118:E118"/>
    <mergeCell ref="F109:H109"/>
    <mergeCell ref="A117:E117"/>
    <mergeCell ref="A112:E112"/>
    <mergeCell ref="A116:E116"/>
    <mergeCell ref="F116:H116"/>
    <mergeCell ref="F117:H117"/>
  </mergeCells>
  <hyperlinks>
    <hyperlink ref="C37" r:id="rId1" xr:uid="{00000000-0004-0000-0000-000000000000}"/>
  </hyperlinks>
  <printOptions horizontalCentered="1"/>
  <pageMargins left="0.39370078740157499" right="0.39370078740157499" top="0.82677165354330695"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7" manualBreakCount="7">
    <brk id="35" max="7" man="1"/>
    <brk id="65" max="16383" man="1"/>
    <brk id="93" max="16383" man="1"/>
    <brk id="129" max="7" man="1"/>
    <brk id="608" max="16383" man="1"/>
    <brk id="620" max="16383" man="1"/>
    <brk id="6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H6" sqref="H6"/>
    </sheetView>
  </sheetViews>
  <sheetFormatPr defaultColWidth="8.7109375" defaultRowHeight="15" x14ac:dyDescent="0.25"/>
  <cols>
    <col min="1" max="1" width="8.7109375" style="2"/>
    <col min="2" max="2" width="22.140625" style="2" customWidth="1"/>
    <col min="3" max="3" width="37" style="2" customWidth="1"/>
    <col min="4" max="5" width="11.42578125" style="2" customWidth="1"/>
    <col min="6" max="6" width="14" style="2" customWidth="1"/>
    <col min="7" max="7" width="20" style="2" customWidth="1"/>
    <col min="8" max="8" width="16.42578125" style="2" customWidth="1"/>
    <col min="9" max="16384" width="8.7109375" style="2"/>
  </cols>
  <sheetData>
    <row r="1" spans="1:9" ht="15" customHeight="1" x14ac:dyDescent="0.25">
      <c r="A1" s="1"/>
      <c r="B1" s="1"/>
      <c r="C1" s="1"/>
      <c r="D1" s="1"/>
      <c r="E1" s="1"/>
      <c r="F1" s="1"/>
      <c r="G1" s="1"/>
      <c r="H1" s="1"/>
    </row>
    <row r="2" spans="1:9" ht="15" customHeight="1" x14ac:dyDescent="0.25">
      <c r="A2" s="3"/>
      <c r="B2" s="3"/>
      <c r="C2" s="3"/>
      <c r="D2" s="3"/>
      <c r="E2" s="3"/>
      <c r="F2" s="3"/>
      <c r="G2" s="3"/>
      <c r="H2" s="3"/>
    </row>
    <row r="3" spans="1:9" ht="15.75" customHeight="1" x14ac:dyDescent="0.25">
      <c r="A3" s="3"/>
      <c r="B3" s="223" t="s">
        <v>105</v>
      </c>
      <c r="C3" s="223"/>
      <c r="D3" s="223"/>
      <c r="E3" s="223"/>
      <c r="F3" s="223"/>
      <c r="G3" s="223"/>
      <c r="H3" s="223"/>
    </row>
    <row r="4" spans="1:9" x14ac:dyDescent="0.25">
      <c r="A4" s="3"/>
      <c r="B4" s="4" t="s">
        <v>106</v>
      </c>
      <c r="C4" s="4" t="s">
        <v>107</v>
      </c>
      <c r="D4" s="4" t="s">
        <v>71</v>
      </c>
      <c r="E4" s="4" t="s">
        <v>108</v>
      </c>
      <c r="F4" s="4" t="s">
        <v>114</v>
      </c>
      <c r="G4" s="4" t="s">
        <v>115</v>
      </c>
      <c r="H4" s="4" t="s">
        <v>109</v>
      </c>
    </row>
    <row r="5" spans="1:9" ht="15" customHeight="1" x14ac:dyDescent="0.25">
      <c r="A5" s="3"/>
      <c r="B5" s="6" t="s">
        <v>110</v>
      </c>
      <c r="C5" s="78" t="s">
        <v>278</v>
      </c>
      <c r="D5" s="6"/>
      <c r="E5" s="6">
        <v>405</v>
      </c>
      <c r="F5" s="8">
        <f>E5*1.6</f>
        <v>648</v>
      </c>
      <c r="G5" s="8">
        <f>H5/F5</f>
        <v>24228.395061728395</v>
      </c>
      <c r="H5" s="9">
        <v>15700000</v>
      </c>
    </row>
    <row r="6" spans="1:9" x14ac:dyDescent="0.25">
      <c r="A6" s="3"/>
      <c r="B6" s="6" t="s">
        <v>110</v>
      </c>
      <c r="C6" s="10"/>
      <c r="D6" s="6"/>
      <c r="E6" s="6"/>
      <c r="F6" s="8">
        <f t="shared" ref="F6:F11" si="0">E6*1.6</f>
        <v>0</v>
      </c>
      <c r="G6" s="8" t="e">
        <f t="shared" ref="G6:G11" si="1">H6/F6</f>
        <v>#DIV/0!</v>
      </c>
      <c r="H6" s="9"/>
    </row>
    <row r="7" spans="1:9" ht="15" customHeight="1" x14ac:dyDescent="0.25">
      <c r="A7" s="3"/>
      <c r="B7" s="6" t="s">
        <v>110</v>
      </c>
      <c r="C7" s="7"/>
      <c r="D7" s="6"/>
      <c r="E7" s="6"/>
      <c r="F7" s="8">
        <f t="shared" si="0"/>
        <v>0</v>
      </c>
      <c r="G7" s="8" t="e">
        <f t="shared" si="1"/>
        <v>#DIV/0!</v>
      </c>
      <c r="H7" s="9"/>
    </row>
    <row r="8" spans="1:9" x14ac:dyDescent="0.25">
      <c r="A8" s="3"/>
      <c r="B8" s="6" t="s">
        <v>110</v>
      </c>
      <c r="C8" s="10"/>
      <c r="D8" s="6"/>
      <c r="E8" s="6"/>
      <c r="F8" s="8">
        <f t="shared" si="0"/>
        <v>0</v>
      </c>
      <c r="G8" s="8" t="e">
        <f t="shared" si="1"/>
        <v>#DIV/0!</v>
      </c>
      <c r="H8" s="9"/>
    </row>
    <row r="9" spans="1:9" ht="15" customHeight="1" x14ac:dyDescent="0.25">
      <c r="A9" s="3"/>
      <c r="B9" s="6" t="s">
        <v>110</v>
      </c>
      <c r="C9" s="10"/>
      <c r="D9" s="6"/>
      <c r="E9" s="6"/>
      <c r="F9" s="8">
        <f t="shared" si="0"/>
        <v>0</v>
      </c>
      <c r="G9" s="8" t="e">
        <f t="shared" si="1"/>
        <v>#DIV/0!</v>
      </c>
      <c r="H9" s="9"/>
    </row>
    <row r="10" spans="1:9" ht="15" customHeight="1" x14ac:dyDescent="0.25">
      <c r="A10" s="3"/>
      <c r="B10" s="6" t="s">
        <v>111</v>
      </c>
      <c r="C10" s="7"/>
      <c r="D10" s="6"/>
      <c r="E10" s="6"/>
      <c r="F10" s="8">
        <f>E10*1.55</f>
        <v>0</v>
      </c>
      <c r="G10" s="8" t="e">
        <f t="shared" si="1"/>
        <v>#DIV/0!</v>
      </c>
      <c r="H10" s="9"/>
    </row>
    <row r="11" spans="1:9" ht="15" customHeight="1" x14ac:dyDescent="0.25">
      <c r="A11" s="3"/>
      <c r="B11" s="6" t="s">
        <v>111</v>
      </c>
      <c r="C11" s="7"/>
      <c r="D11" s="6"/>
      <c r="E11" s="6"/>
      <c r="F11" s="8">
        <f t="shared" si="0"/>
        <v>0</v>
      </c>
      <c r="G11" s="8" t="e">
        <f t="shared" si="1"/>
        <v>#DIV/0!</v>
      </c>
      <c r="H11" s="9"/>
    </row>
    <row r="12" spans="1:9" ht="15" customHeight="1" x14ac:dyDescent="0.25">
      <c r="A12" s="3"/>
      <c r="B12" s="11" t="s">
        <v>112</v>
      </c>
      <c r="C12" s="6"/>
      <c r="D12" s="6"/>
      <c r="E12" s="6"/>
      <c r="F12" s="6"/>
      <c r="G12" s="12" t="e">
        <f>AVERAGE(G5:G11)</f>
        <v>#DIV/0!</v>
      </c>
      <c r="H12" s="6"/>
    </row>
    <row r="13" spans="1:9" ht="15" customHeight="1" x14ac:dyDescent="0.25">
      <c r="A13" s="1"/>
      <c r="B13" s="11" t="s">
        <v>113</v>
      </c>
      <c r="C13" s="13"/>
      <c r="D13" s="13"/>
      <c r="E13" s="13"/>
      <c r="F13" s="14"/>
      <c r="G13" s="11"/>
      <c r="H13" s="11"/>
      <c r="I13" s="5"/>
    </row>
    <row r="14" spans="1:9" ht="15" customHeight="1" x14ac:dyDescent="0.25">
      <c r="B14" s="1"/>
      <c r="C14" s="1"/>
      <c r="D14" s="1"/>
      <c r="E14" s="1"/>
    </row>
    <row r="15" spans="1:9" ht="15" customHeight="1" x14ac:dyDescent="0.25">
      <c r="B15" s="1"/>
      <c r="C15" s="1"/>
      <c r="D15" s="1"/>
      <c r="E15" s="1"/>
    </row>
    <row r="16" spans="1:9" ht="15" customHeight="1" x14ac:dyDescent="0.25">
      <c r="B16" s="1"/>
      <c r="C16" s="1"/>
      <c r="D16" s="1"/>
      <c r="E16" s="1"/>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2025-08-12T11:08:31Z</cp:lastPrinted>
  <dcterms:created xsi:type="dcterms:W3CDTF">2019-07-16T09:29:46Z</dcterms:created>
  <dcterms:modified xsi:type="dcterms:W3CDTF">2025-08-12T11:11:03Z</dcterms:modified>
</cp:coreProperties>
</file>