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s>
  <definedNames>
    <definedName name="_xlnm.Print_Area" localSheetId="0">Report!$A$1:$H$351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2" i="1" l="1"/>
  <c r="D202" i="1"/>
  <c r="E213" i="1"/>
  <c r="D213" i="1"/>
  <c r="E212" i="1"/>
  <c r="D212" i="1"/>
  <c r="E211" i="1"/>
  <c r="D211" i="1"/>
  <c r="E210" i="1"/>
  <c r="D210" i="1"/>
  <c r="E209" i="1"/>
  <c r="D209" i="1"/>
  <c r="E208" i="1"/>
  <c r="D208" i="1"/>
  <c r="E207" i="1"/>
  <c r="D207" i="1"/>
  <c r="E206" i="1"/>
  <c r="D206" i="1"/>
  <c r="E205" i="1"/>
  <c r="D205" i="1"/>
  <c r="E204" i="1"/>
  <c r="D204" i="1"/>
  <c r="E200" i="1"/>
  <c r="D200" i="1"/>
  <c r="E199" i="1"/>
  <c r="D199" i="1"/>
  <c r="E198" i="1"/>
  <c r="D198" i="1"/>
  <c r="E197" i="1"/>
  <c r="D197" i="1"/>
  <c r="E196" i="1"/>
  <c r="D196" i="1"/>
  <c r="E195" i="1"/>
  <c r="D195" i="1"/>
  <c r="E194" i="1"/>
  <c r="D194" i="1"/>
  <c r="E193" i="1"/>
  <c r="D193" i="1"/>
  <c r="E192" i="1"/>
  <c r="D192" i="1"/>
  <c r="E191" i="1"/>
  <c r="D191" i="1"/>
  <c r="E190" i="1"/>
  <c r="D190" i="1"/>
  <c r="E189" i="1"/>
  <c r="D189" i="1"/>
  <c r="E187" i="1"/>
  <c r="E186" i="1"/>
  <c r="E185" i="1"/>
  <c r="E184" i="1"/>
  <c r="E183" i="1"/>
  <c r="E180" i="1"/>
  <c r="E179" i="1"/>
  <c r="E178" i="1"/>
  <c r="E177" i="1"/>
  <c r="E176" i="1"/>
  <c r="L175" i="1"/>
  <c r="D161" i="1"/>
  <c r="D160" i="1"/>
  <c r="C16" i="1" l="1"/>
  <c r="E182" i="1" l="1"/>
  <c r="E181" i="1"/>
  <c r="D180" i="1"/>
  <c r="D170" i="1"/>
  <c r="D169" i="1"/>
  <c r="D168" i="1"/>
  <c r="D167" i="1"/>
  <c r="D166" i="1"/>
  <c r="D165" i="1"/>
  <c r="D164" i="1"/>
  <c r="D163" i="1"/>
  <c r="J170" i="1"/>
  <c r="J187" i="1"/>
  <c r="J160" i="1" l="1"/>
  <c r="J204" i="1" l="1"/>
  <c r="J202" i="1"/>
  <c r="J176" i="1"/>
  <c r="J179" i="1"/>
  <c r="D162" i="1"/>
  <c r="D187" i="1"/>
  <c r="D186" i="1"/>
  <c r="D185" i="1"/>
  <c r="D184" i="1"/>
  <c r="D183" i="1"/>
  <c r="D182" i="1"/>
  <c r="D181" i="1"/>
  <c r="D179" i="1"/>
  <c r="D178" i="1"/>
  <c r="D177" i="1"/>
  <c r="C145" i="1"/>
  <c r="C87" i="1"/>
  <c r="D176" i="1"/>
  <c r="C150" i="1" l="1"/>
  <c r="C153" i="1" s="1"/>
  <c r="I168" i="1"/>
  <c r="I179" i="1"/>
  <c r="E43" i="1"/>
  <c r="I198" i="1"/>
  <c r="I195" i="1"/>
  <c r="F200" i="1"/>
  <c r="H200" i="1" s="1"/>
  <c r="F199" i="1"/>
  <c r="H199" i="1" s="1"/>
  <c r="F198" i="1"/>
  <c r="H198" i="1" s="1"/>
  <c r="F197" i="1"/>
  <c r="H197" i="1" s="1"/>
  <c r="F196" i="1"/>
  <c r="H196" i="1" s="1"/>
  <c r="F195" i="1"/>
  <c r="H195" i="1" s="1"/>
  <c r="F194" i="1"/>
  <c r="H194" i="1" s="1"/>
  <c r="I204" i="1"/>
  <c r="F213" i="1"/>
  <c r="H213" i="1" s="1"/>
  <c r="F212" i="1"/>
  <c r="H212" i="1" s="1"/>
  <c r="F211" i="1"/>
  <c r="H211" i="1" s="1"/>
  <c r="F210" i="1"/>
  <c r="H210" i="1" s="1"/>
  <c r="F209" i="1"/>
  <c r="H209" i="1" s="1"/>
  <c r="F208" i="1"/>
  <c r="H208" i="1" s="1"/>
  <c r="F207" i="1"/>
  <c r="H207" i="1" s="1"/>
  <c r="I202" i="1"/>
  <c r="I187" i="1"/>
  <c r="I170" i="1"/>
  <c r="F187" i="1"/>
  <c r="H187" i="1" s="1"/>
  <c r="F186" i="1"/>
  <c r="H186" i="1" s="1"/>
  <c r="F185" i="1"/>
  <c r="H185" i="1" s="1"/>
  <c r="F184" i="1"/>
  <c r="H184" i="1" s="1"/>
  <c r="F183" i="1"/>
  <c r="H183" i="1" s="1"/>
  <c r="F182" i="1"/>
  <c r="H182" i="1" s="1"/>
  <c r="F181" i="1"/>
  <c r="H181" i="1" s="1"/>
  <c r="F170" i="1"/>
  <c r="H170" i="1" s="1"/>
  <c r="F169" i="1"/>
  <c r="H169" i="1" s="1"/>
  <c r="F168" i="1"/>
  <c r="H168" i="1" s="1"/>
  <c r="F167" i="1"/>
  <c r="H167" i="1" s="1"/>
  <c r="F166" i="1"/>
  <c r="H166" i="1" s="1"/>
  <c r="F165" i="1"/>
  <c r="H165" i="1" s="1"/>
  <c r="F164" i="1"/>
  <c r="H164" i="1" s="1"/>
  <c r="I163" i="1" l="1"/>
  <c r="I160" i="1"/>
  <c r="I45" i="1" l="1"/>
  <c r="B216" i="1" l="1"/>
  <c r="F161" i="1" l="1"/>
  <c r="F162" i="1"/>
  <c r="H162" i="1" s="1"/>
  <c r="F163" i="1"/>
  <c r="H163" i="1" s="1"/>
  <c r="F160" i="1"/>
  <c r="H161" i="1" l="1"/>
  <c r="E145" i="1"/>
  <c r="H160" i="1"/>
  <c r="G58" i="1"/>
  <c r="C58" i="1"/>
  <c r="G56" i="1"/>
  <c r="C56" i="1"/>
  <c r="G145" i="1" l="1"/>
  <c r="S33" i="1"/>
  <c r="F11" i="5" l="1"/>
  <c r="G11" i="5" s="1"/>
  <c r="F10" i="5"/>
  <c r="G10" i="5" s="1"/>
  <c r="F9" i="5"/>
  <c r="G9" i="5" s="1"/>
  <c r="F8" i="5"/>
  <c r="G8" i="5" s="1"/>
  <c r="F7" i="5"/>
  <c r="G7" i="5" s="1"/>
  <c r="F6" i="5"/>
  <c r="G6" i="5" s="1"/>
  <c r="F5" i="5"/>
  <c r="G5" i="5" s="1"/>
  <c r="G12" i="5" s="1"/>
  <c r="D236" i="1"/>
  <c r="B217" i="1"/>
  <c r="F206" i="1"/>
  <c r="H206" i="1" s="1"/>
  <c r="F205" i="1"/>
  <c r="H205" i="1" s="1"/>
  <c r="F204" i="1"/>
  <c r="H204" i="1" s="1"/>
  <c r="F202" i="1"/>
  <c r="H202" i="1" s="1"/>
  <c r="F193" i="1"/>
  <c r="H193" i="1" s="1"/>
  <c r="F192" i="1"/>
  <c r="H192" i="1" s="1"/>
  <c r="F191" i="1"/>
  <c r="H191" i="1" s="1"/>
  <c r="F190" i="1"/>
  <c r="H190" i="1" s="1"/>
  <c r="F189" i="1"/>
  <c r="H189" i="1" s="1"/>
  <c r="F180" i="1"/>
  <c r="H180" i="1" s="1"/>
  <c r="F179" i="1"/>
  <c r="H179" i="1" s="1"/>
  <c r="F178" i="1"/>
  <c r="H178" i="1" s="1"/>
  <c r="F177" i="1"/>
  <c r="H177" i="1" s="1"/>
  <c r="F176" i="1"/>
  <c r="A161" i="1"/>
  <c r="A162" i="1" s="1"/>
  <c r="A163" i="1" s="1"/>
  <c r="A164" i="1" s="1"/>
  <c r="A165" i="1" s="1"/>
  <c r="A166" i="1" s="1"/>
  <c r="A167" i="1" s="1"/>
  <c r="A168" i="1" s="1"/>
  <c r="A169" i="1" s="1"/>
  <c r="A170" i="1" s="1"/>
  <c r="F142" i="1"/>
  <c r="C101" i="1"/>
  <c r="D67" i="1"/>
  <c r="D62" i="1"/>
  <c r="C51" i="1"/>
  <c r="C52" i="1" s="1"/>
  <c r="E44" i="1"/>
  <c r="E45" i="1" s="1"/>
  <c r="E31" i="1"/>
  <c r="E28" i="1"/>
  <c r="E26" i="1"/>
  <c r="I15" i="1"/>
  <c r="Z13" i="1"/>
  <c r="E8" i="1"/>
  <c r="E3" i="1"/>
  <c r="H102" i="1"/>
  <c r="A189" i="1"/>
  <c r="H88" i="1"/>
  <c r="H74" i="1"/>
  <c r="A176" i="1"/>
  <c r="H176" i="1" l="1"/>
  <c r="G150" i="1" s="1"/>
  <c r="G153" i="1" s="1"/>
  <c r="E150" i="1"/>
  <c r="E153" i="1" s="1"/>
  <c r="J73" i="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C107" i="1"/>
  <c r="J101" i="1" s="1"/>
  <c r="J103" i="1" s="1"/>
  <c r="D110" i="1"/>
  <c r="D112" i="1"/>
  <c r="J106" i="1"/>
  <c r="C105" i="1" s="1"/>
  <c r="D105" i="1" s="1"/>
  <c r="D111" i="1"/>
  <c r="J105" i="1"/>
  <c r="D109" i="1"/>
  <c r="J104" i="1"/>
  <c r="D108" i="1"/>
  <c r="D114" i="1"/>
  <c r="D113" i="1"/>
  <c r="B102" i="1"/>
  <c r="B88" i="1"/>
  <c r="B74" i="1"/>
  <c r="J79" i="1" s="1"/>
  <c r="A177" i="1"/>
  <c r="A190" i="1"/>
  <c r="C91" i="1" l="1"/>
  <c r="D91" i="1" s="1"/>
  <c r="I88" i="1" s="1"/>
  <c r="I89" i="1" s="1"/>
  <c r="D77" i="1"/>
  <c r="D107" i="1"/>
  <c r="J112" i="1"/>
  <c r="J109" i="1"/>
  <c r="J111" i="1"/>
  <c r="J110" i="1"/>
  <c r="J107" i="1"/>
  <c r="J108" i="1" s="1"/>
  <c r="J113" i="1" s="1"/>
  <c r="J114" i="1" s="1"/>
  <c r="C106" i="1" s="1"/>
  <c r="E105" i="1" s="1"/>
  <c r="J98" i="1"/>
  <c r="J95" i="1"/>
  <c r="J97" i="1"/>
  <c r="J96" i="1"/>
  <c r="J93" i="1"/>
  <c r="J94" i="1" s="1"/>
  <c r="J83" i="1"/>
  <c r="J81" i="1"/>
  <c r="J82" i="1"/>
  <c r="J80" i="1"/>
  <c r="J84" i="1"/>
  <c r="A178" i="1"/>
  <c r="A191" i="1"/>
  <c r="B116" i="1" l="1"/>
  <c r="J85" i="1"/>
  <c r="J86" i="1" s="1"/>
  <c r="E77" i="1"/>
  <c r="G91" i="1"/>
  <c r="J99" i="1"/>
  <c r="J100" i="1" s="1"/>
  <c r="J88" i="1" s="1"/>
  <c r="I87" i="1" s="1"/>
  <c r="C89" i="1" s="1"/>
  <c r="D106" i="1"/>
  <c r="I102" i="1" s="1"/>
  <c r="J102" i="1"/>
  <c r="G105" i="1"/>
  <c r="A192" i="1"/>
  <c r="H116" i="1"/>
  <c r="A179" i="1"/>
  <c r="J119" i="1" l="1"/>
  <c r="D127" i="1"/>
  <c r="D123" i="1"/>
  <c r="D126" i="1"/>
  <c r="D122" i="1"/>
  <c r="D128" i="1"/>
  <c r="D120" i="1"/>
  <c r="E119" i="1"/>
  <c r="C129" i="1" s="1"/>
  <c r="D125" i="1"/>
  <c r="D121" i="1"/>
  <c r="J118" i="1"/>
  <c r="J115" i="1"/>
  <c r="J117" i="1" s="1"/>
  <c r="J120" i="1"/>
  <c r="C119" i="1" s="1"/>
  <c r="D124" i="1"/>
  <c r="J123" i="1"/>
  <c r="J126" i="1"/>
  <c r="J125" i="1"/>
  <c r="J121" i="1"/>
  <c r="J122" i="1" s="1"/>
  <c r="J127" i="1" s="1"/>
  <c r="J128" i="1" s="1"/>
  <c r="J124" i="1"/>
  <c r="J74" i="1"/>
  <c r="G77" i="1"/>
  <c r="D78" i="1"/>
  <c r="I74" i="1" s="1"/>
  <c r="I75" i="1" s="1"/>
  <c r="I103" i="1"/>
  <c r="I101" i="1" s="1"/>
  <c r="C103" i="1" s="1"/>
  <c r="A180" i="1"/>
  <c r="A193" i="1"/>
  <c r="D71" i="1" l="1"/>
  <c r="D72" i="1" s="1"/>
  <c r="G119" i="1"/>
  <c r="G129" i="1" s="1"/>
  <c r="D119" i="1"/>
  <c r="I116" i="1" s="1"/>
  <c r="I117" i="1" s="1"/>
  <c r="I73" i="1"/>
  <c r="C75" i="1" s="1"/>
  <c r="A181" i="1"/>
  <c r="A194" i="1"/>
  <c r="F72" i="1" l="1"/>
  <c r="J116" i="1"/>
  <c r="I115" i="1" s="1"/>
  <c r="C117" i="1" s="1"/>
  <c r="A195" i="1"/>
  <c r="A182" i="1"/>
  <c r="A196" i="1"/>
  <c r="A183" i="1"/>
  <c r="A197" i="1"/>
  <c r="A184" i="1"/>
  <c r="A185" i="1"/>
  <c r="A198" i="1"/>
  <c r="A186" i="1"/>
  <c r="A199" i="1"/>
  <c r="A200" i="1"/>
  <c r="A187"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<sst xmlns="http://schemas.openxmlformats.org/spreadsheetml/2006/main" count="682" uniqueCount="349">
  <si>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</si>
  <si>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</si>
  <si>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</si>
  <si>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</si>
  <si>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</si>
  <si>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</si>
  <si>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</si>
  <si>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</si>
  <si>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</si>
  <si>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</si>
  <si>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</si>
  <si>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</si>
  <si>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</si>
  <si>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</si>
  <si>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</si>
  <si>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</si>
  <si>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</si>
  <si>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</si>
  <si>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</si>
  <si>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</si>
  <si>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</si>
  <si>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</si>
  <si>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</si>
  <si>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</si>
  <si>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</si>
  <si>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</si>
  <si>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</si>
  <si>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</si>
  <si>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</si>
  <si>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</si>
  <si>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</si>
  <si>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</si>
  <si>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</si>
  <si>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</si>
  <si>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</si>
  <si>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</si>
  <si>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</si>
  <si>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</si>
  <si>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</si>
  <si>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</si>
  <si>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</si>
  <si>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</si>
  <si>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</si>
  <si>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</si>
  <si>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</si>
  <si>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</si>
  <si>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</si>
  <si>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</si>
  <si>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</si>
  <si>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</si>
  <si>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</si>
  <si>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</si>
  <si>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</si>
  <si>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</si>
  <si>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</si>
  <si>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</si>
  <si>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</si>
  <si>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</si>
  <si>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</si>
  <si>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</si>
  <si>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</si>
  <si>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</si>
  <si>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</si>
  <si>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</si>
  <si>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</si>
  <si>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</si>
  <si>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</si>
  <si>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</si>
  <si>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</si>
  <si>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</si>
  <si>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</si>
  <si>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</si>
  <si>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</si>
  <si>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</si>
  <si>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</si>
  <si>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</si>
  <si>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</si>
  <si>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</si>
  <si>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</si>
  <si>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</si>
  <si>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</si>
  <si>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</si>
  <si>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</si>
  <si>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</si>
  <si>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</si>
  <si>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</si>
  <si>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</si>
  <si>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</si>
  <si>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</si>
  <si>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</si>
  <si>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</si>
  <si>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</si>
  <si>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</si>
  <si>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</si>
  <si>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</si>
  <si>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</si>
  <si>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</si>
  <si>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</si>
  <si>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</si>
  <si>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</si>
  <si>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</si>
  <si>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</si>
  <si>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</si>
  <si>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</si>
  <si>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</si>
  <si>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</si>
  <si>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</si>
  <si>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</si>
  <si>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</si>
  <si>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</si>
  <si>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</si>
  <si>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</si>
  <si>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</si>
  <si>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</si>
  <si>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</si>
  <si>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</si>
  <si>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</si>
  <si>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</si>
  <si>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</si>
  <si>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</si>
  <si>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</si>
  <si>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</si>
  <si>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</si>
  <si>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</si>
  <si>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</si>
  <si>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</si>
  <si>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</si>
  <si>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</si>
  <si>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</si>
  <si>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</si>
  <si>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</si>
  <si>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</si>
  <si>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</si>
  <si>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</si>
  <si>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</si>
  <si>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</si>
  <si>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</si>
  <si>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</si>
  <si>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</si>
  <si>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</si>
  <si>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</si>
  <si>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</si>
  <si>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</si>
  <si>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</si>
  <si>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</si>
  <si>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</si>
  <si>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</si>
  <si>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</si>
  <si>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</si>
  <si>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</si>
  <si>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</si>
  <si>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</si>
  <si>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</si>
  <si>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</si>
  <si>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</si>
  <si>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</si>
  <si>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</si>
  <si>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</si>
  <si>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</si>
  <si>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</si>
  <si>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</si>
  <si>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</si>
  <si>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</si>
  <si>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</si>
  <si>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</si>
  <si>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</si>
  <si>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</si>
  <si>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</si>
  <si>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</si>
  <si>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</si>
  <si>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</si>
  <si>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</si>
  <si>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</si>
  <si>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</si>
  <si>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</si>
  <si>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</si>
  <si>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</si>
  <si>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</si>
  <si>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</si>
  <si>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</si>
  <si>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</si>
  <si>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</si>
  <si>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</si>
  <si>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</si>
  <si>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</si>
  <si>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</si>
  <si>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</si>
  <si>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</si>
  <si>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</si>
  <si>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</si>
  <si>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</si>
  <si>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</si>
  <si>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</si>
  <si>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</si>
  <si>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</si>
  <si>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</si>
  <si>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</si>
  <si>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</si>
  <si>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</si>
  <si>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</si>
  <si>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</si>
  <si>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</si>
  <si>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</si>
  <si>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</si>
  <si>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</si>
  <si>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</si>
  <si>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</si>
  <si>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</si>
  <si>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</si>
  <si>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</si>
  <si>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</si>
  <si>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</si>
  <si>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</si>
  <si>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</si>
  <si>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</si>
  <si>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</si>
  <si>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</si>
  <si>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</si>
  <si>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</si>
  <si>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</si>
  <si>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</si>
  <si>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</si>
  <si>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</si>
  <si>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</si>
  <si>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</si>
  <si>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</si>
  <si>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</si>
  <si>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</si>
  <si>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</si>
  <si>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</si>
  <si>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</si>
  <si>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</si>
  <si>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</si>
  <si>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</si>
  <si>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</si>
  <si>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</si>
  <si>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</si>
  <si>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</si>
  <si>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</si>
  <si>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</si>
  <si>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</si>
  <si>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</si>
  <si>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</si>
  <si>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</si>
  <si>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</si>
  <si>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</si>
  <si>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</si>
  <si>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</si>
  <si>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</si>
  <si>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</si>
  <si>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</si>
  <si>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</si>
  <si>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</si>
  <si>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</si>
  <si>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</si>
  <si>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</si>
  <si>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</si>
  <si>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</si>
  <si>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</si>
  <si>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</si>
  <si>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</si>
  <si>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</si>
  <si>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</si>
  <si>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</si>
  <si>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</si>
  <si>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</si>
  <si>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</si>
  <si>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</si>
  <si>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</si>
  <si>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</si>
  <si>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</si>
  <si>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</si>
  <si>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</si>
  <si>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</si>
  <si>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</si>
  <si>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</si>
  <si>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</si>
  <si>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</si>
  <si>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</si>
  <si>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</si>
  <si>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</si>
  <si>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</si>
  <si>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</si>
  <si>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</si>
  <si>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</si>
  <si>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</si>
  <si>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</si>
  <si>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</si>
  <si>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</si>
  <si>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</si>
  <si>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</si>
  <si>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</si>
  <si>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</si>
  <si>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</si>
  <si>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</si>
  <si>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</si>
  <si>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</si>
  <si>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Dream Homes</t>
  </si>
  <si>
    <t>Jagjeet Residency</t>
  </si>
  <si>
    <t>P51700055977</t>
  </si>
  <si>
    <t>Survey No</t>
  </si>
  <si>
    <t>Diva East</t>
  </si>
  <si>
    <t>Other Plot</t>
  </si>
  <si>
    <t>19.166283,73.048005</t>
  </si>
  <si>
    <t>45.00 M W Road</t>
  </si>
  <si>
    <t>https://maps.app.goo.gl/76T6dsD6Rc2nbkc68</t>
  </si>
  <si>
    <t>Diva Shil Road</t>
  </si>
  <si>
    <t>Open Plot</t>
  </si>
  <si>
    <t>Mr. Abhishek Surana 9833886348</t>
  </si>
  <si>
    <t>2.7 KM from Diva Junction Railway Station</t>
  </si>
  <si>
    <t>As per RERA - 15/03/2028</t>
  </si>
  <si>
    <t>S11/0231/20/TMC/TDD/0103/[P/C]/2024/Auto DCR</t>
  </si>
  <si>
    <t>Vitrified tiles flooring, Granite Kitchen Platform, Decorative Entrance, Landscaping &amp; Garden, etc.</t>
  </si>
  <si>
    <t>Shop</t>
  </si>
  <si>
    <t>1BHK</t>
  </si>
  <si>
    <t>1RK</t>
  </si>
  <si>
    <t>Refuge Area</t>
  </si>
  <si>
    <t>RERA Carpet area</t>
  </si>
  <si>
    <t>Balcony Area + AP Area</t>
  </si>
  <si>
    <t>7th, 12th, 17th &amp; 22nd Floor (Part Refuge Area)</t>
  </si>
  <si>
    <t>Shops</t>
  </si>
  <si>
    <t>Flats</t>
  </si>
  <si>
    <t>We considered Gross carpet area = Net carpet + Balcony + AP Area.</t>
  </si>
  <si>
    <t>Ground Floor For Commercial  &amp; Parking</t>
  </si>
  <si>
    <t>Building No.1</t>
  </si>
  <si>
    <t>Domkhar</t>
  </si>
  <si>
    <t>Khardi Gaon</t>
  </si>
  <si>
    <t>Flats - 260 , Shops - 11</t>
  </si>
  <si>
    <t xml:space="preserve">Building No. 01 =  G/Stilt + 1st to 22nd Floor
</t>
  </si>
  <si>
    <t>Building No. 01 =  G/Stilt + 1st to 22nd Floor</t>
  </si>
  <si>
    <t>Building No. 01</t>
  </si>
  <si>
    <t>29/1/A &amp; 29/1/B</t>
  </si>
  <si>
    <t>Jagjeet Enclave</t>
  </si>
  <si>
    <r>
      <t xml:space="preserve">Proposed Amenities :                                                                                                                                                                                                                         </t>
    </r>
    <r>
      <rPr>
        <b/>
        <sz val="12"/>
        <rFont val="Times New Roman"/>
        <family val="1"/>
      </rPr>
      <t xml:space="preserve">                                               </t>
    </r>
  </si>
  <si>
    <r>
      <t xml:space="preserve">Shop No.
</t>
    </r>
    <r>
      <rPr>
        <b/>
        <sz val="11"/>
        <rFont val="Times New Roman"/>
        <family val="1"/>
      </rPr>
      <t>(Approved Plan)</t>
    </r>
  </si>
  <si>
    <t>1st to 6th Floor For Residential &amp; Amenity</t>
  </si>
  <si>
    <t>8th to 11th, 13th to 16th &amp; 18th to 21st Floor</t>
  </si>
  <si>
    <r>
      <t xml:space="preserve">Flat No.
</t>
    </r>
    <r>
      <rPr>
        <b/>
        <sz val="11"/>
        <rFont val="Times New Roman"/>
        <family val="1"/>
      </rPr>
      <t>(Approved Plan)</t>
    </r>
  </si>
  <si>
    <t>TMC/CFO/M/84/84</t>
  </si>
  <si>
    <t>Survey No.29/1/A &amp; 29/1/B
Building No. 01 =  G/Stilt + 1st to 22nd Floor</t>
  </si>
  <si>
    <t>Approved Plans, CC, Sale Plans, Cost Sheet,
Fire Noc.</t>
  </si>
  <si>
    <t>Part 2 Building No. 01 =  G/Stilt + 1st to 22nd Floor</t>
  </si>
  <si>
    <t>Average 
Disbursement %</t>
  </si>
  <si>
    <t>Average 
Progress %</t>
  </si>
  <si>
    <t>Miss. Jyoti  9004939383</t>
  </si>
  <si>
    <t>Mr.Mangesh Bapardekar</t>
  </si>
  <si>
    <t>Mr. Tejas 8108880488</t>
  </si>
  <si>
    <t>Gaurav Panchal</t>
  </si>
  <si>
    <t xml:space="preserve">Construction work is in process at the time of Visit.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</si>
</sst>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4" xfId="0" applyFont="1" applyBorder="1"/>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4" xfId="0" applyBorder="1"/>
    <xf numFmtId="0" fontId="0" fillId="0" borderId="7" xfId="0" applyBorder="1"/>
    <xf numFmtId="0" fontId="0" fillId="0" borderId="1" xfId="0" applyBorder="1" applyAlignment="1">
      <alignment vertical="top" wrapText="1"/>
    </xf>
    <xf numFmtId="164" fontId="6" fillId="0" borderId="0" xfId="1" applyNumberFormat="1" applyFont="1"/>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9" fontId="11" fillId="0" borderId="6" xfId="8" applyFont="1" applyFill="1" applyBorder="1" applyAlignment="1" applyProtection="1">
      <alignment horizontal="center" vertical="top" wrapText="1"/>
      <protection locked="0"/>
    </xf>
    <xf numFmtId="1" fontId="12" fillId="0" borderId="2" xfId="1" applyNumberFormat="1" applyFont="1" applyBorder="1" applyAlignment="1" applyProtection="1">
      <alignment horizontal="center" vertical="top" wrapText="1"/>
      <protection locked="0"/>
    </xf>
    <xf numFmtId="0" fontId="11" fillId="0" borderId="0" xfId="0" applyFont="1" applyAlignment="1">
      <alignment horizontal="center" vertical="center"/>
    </xf>
    <xf numFmtId="9" fontId="12" fillId="0" borderId="15" xfId="8" applyFont="1" applyFill="1" applyBorder="1" applyAlignment="1" applyProtection="1">
      <alignment horizontal="center" vertical="top" wrapText="1"/>
      <protection locked="0"/>
    </xf>
    <xf numFmtId="0" fontId="11" fillId="0" borderId="0" xfId="1" applyFont="1" applyAlignment="1">
      <alignment horizontal="center" vertical="center"/>
    </xf>
    <xf numFmtId="1" fontId="11" fillId="0" borderId="1" xfId="0" applyNumberFormat="1" applyFont="1" applyBorder="1" applyAlignment="1" applyProtection="1">
      <alignment horizontal="center" vertical="center" wrapText="1"/>
      <protection locked="0"/>
    </xf>
    <xf numFmtId="0" fontId="11" fillId="0" borderId="2" xfId="1" applyFont="1" applyBorder="1" applyAlignment="1" applyProtection="1">
      <alignment horizontal="center" vertical="top" wrapText="1"/>
      <protection locked="0"/>
    </xf>
    <xf numFmtId="9" fontId="11" fillId="0" borderId="2" xfId="8" applyFont="1" applyFill="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12" fillId="0" borderId="2" xfId="1" applyNumberFormat="1" applyFont="1" applyBorder="1" applyAlignment="1" applyProtection="1">
      <alignment horizontal="center" vertical="top" wrapText="1"/>
      <protection locked="0"/>
    </xf>
    <xf numFmtId="1" fontId="12" fillId="0" borderId="15"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20" xfId="1" applyNumberFormat="1" applyFont="1" applyBorder="1" applyAlignment="1" applyProtection="1">
      <alignment horizontal="center" vertical="center"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6" fillId="0" borderId="1"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6" fillId="0" borderId="3" xfId="1" applyFont="1" applyBorder="1" applyAlignment="1" applyProtection="1">
      <alignment horizontal="center" vertical="top" wrapText="1"/>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0" fontId="6" fillId="0" borderId="24"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11" fillId="0" borderId="3"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 fontId="16" fillId="0" borderId="7" xfId="0" applyNumberFormat="1" applyFont="1" applyBorder="1" applyAlignment="1" applyProtection="1">
      <alignment vertical="top" wrapText="1"/>
      <protection locked="0"/>
    </xf>
    <xf numFmtId="1" fontId="16" fillId="0" borderId="20"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4" fontId="5" fillId="0" borderId="7"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9" fillId="0" borderId="2" xfId="0" applyFont="1" applyBorder="1" applyAlignment="1" applyProtection="1">
      <alignment horizontal="center" vertical="center"/>
      <protection locked="0"/>
    </xf>
    <xf numFmtId="0" fontId="7" fillId="0" borderId="15" xfId="1" applyFont="1" applyBorder="1" applyAlignment="1" applyProtection="1">
      <alignment horizontal="center" vertical="top"/>
      <protection locked="0"/>
    </xf>
    <xf numFmtId="1" fontId="9" fillId="0" borderId="32" xfId="0" applyNumberFormat="1"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1" xfId="0"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5"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9" fontId="11" fillId="0" borderId="16" xfId="8" applyFont="1" applyFill="1" applyBorder="1" applyAlignment="1" applyProtection="1">
      <alignment horizontal="center" vertical="center" wrapText="1"/>
      <protection locked="0"/>
    </xf>
    <xf numFmtId="9" fontId="11" fillId="0" borderId="17"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9" xfId="8" applyFont="1" applyFill="1" applyBorder="1" applyAlignment="1" applyProtection="1">
      <alignment horizontal="center" vertical="center" wrapText="1"/>
      <protection locked="0"/>
    </xf>
    <xf numFmtId="9" fontId="11" fillId="0" borderId="11" xfId="8" applyFont="1" applyFill="1" applyBorder="1" applyAlignment="1" applyProtection="1">
      <alignment horizontal="center" vertical="center"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1" fontId="11" fillId="0" borderId="1" xfId="1" applyNumberFormat="1" applyFont="1" applyBorder="1" applyAlignment="1" applyProtection="1">
      <alignment horizontal="left" vertical="top" wrapText="1"/>
      <protection locked="0"/>
    </xf>
    <xf numFmtId="2" fontId="11"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0" fontId="11" fillId="0" borderId="2"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1" fillId="0" borderId="7"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protection locked="0"/>
    </xf>
    <xf numFmtId="1" fontId="12" fillId="0" borderId="7" xfId="1" applyNumberFormat="1" applyFont="1" applyBorder="1" applyAlignment="1" applyProtection="1">
      <alignment horizontal="center" vertical="center" wrapText="1"/>
      <protection locked="0"/>
    </xf>
    <xf numFmtId="1" fontId="12" fillId="0" borderId="20"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7"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11" fillId="0" borderId="33" xfId="1" applyFont="1" applyBorder="1" applyAlignment="1" applyProtection="1">
      <alignment horizontal="center" vertical="top" wrapText="1"/>
      <protection locked="0"/>
    </xf>
    <xf numFmtId="0" fontId="11" fillId="0" borderId="2" xfId="1" applyFont="1" applyBorder="1" applyAlignment="1" applyProtection="1">
      <alignment horizontal="center" vertical="top" wrapText="1"/>
      <protection locked="0"/>
    </xf>
    <xf numFmtId="0" fontId="7" fillId="0" borderId="7"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9" fontId="7" fillId="0" borderId="7" xfId="1" applyNumberFormat="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9" fontId="12" fillId="0" borderId="7" xfId="1"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243044</xdr:colOff>
      <xdr:row>310</xdr:row>
      <xdr:rowOff>140635</xdr:rowOff>
    </xdr:from>
    <xdr:to>
      <xdr:col>6</xdr:col>
      <xdr:colOff>403412</xdr:colOff>
      <xdr:row>328</xdr:row>
      <xdr:rowOff>41555</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05044" y="55968341"/>
          <a:ext cx="4250515" cy="3531626"/>
        </a:xfrm>
        <a:prstGeom prst="rect">
          <a:avLst/>
        </a:prstGeom>
        <a:ln>
          <a:solidFill>
            <a:schemeClr val="tx1"/>
          </a:solidFill>
        </a:ln>
      </xdr:spPr>
    </xdr:pic>
    <xdr:clientData/>
  </xdr:twoCellAnchor>
  <xdr:twoCellAnchor editAs="oneCell">
    <xdr:from>
      <xdr:col>0</xdr:col>
      <xdr:colOff>123825</xdr:colOff>
      <xdr:row>268</xdr:row>
      <xdr:rowOff>76200</xdr:rowOff>
    </xdr:from>
    <xdr:to>
      <xdr:col>3</xdr:col>
      <xdr:colOff>819150</xdr:colOff>
      <xdr:row>302</xdr:row>
      <xdr:rowOff>85725</xdr:rowOff>
    </xdr:to>
    <xdr:pic>
      <xdr:nvPicPr>
        <xdr:cNvPr id="27" name="Picture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23825" y="56311800"/>
          <a:ext cx="3105150" cy="6810375"/>
        </a:xfrm>
        <a:prstGeom prst="rect">
          <a:avLst/>
        </a:prstGeom>
        <a:ln>
          <a:solidFill>
            <a:schemeClr val="tx1"/>
          </a:solidFill>
        </a:ln>
      </xdr:spPr>
    </xdr:pic>
    <xdr:clientData/>
  </xdr:twoCellAnchor>
  <xdr:twoCellAnchor>
    <xdr:from>
      <xdr:col>3</xdr:col>
      <xdr:colOff>914399</xdr:colOff>
      <xdr:row>268</xdr:row>
      <xdr:rowOff>76200</xdr:rowOff>
    </xdr:from>
    <xdr:to>
      <xdr:col>7</xdr:col>
      <xdr:colOff>663261</xdr:colOff>
      <xdr:row>290</xdr:row>
      <xdr:rowOff>123825</xdr:rowOff>
    </xdr:to>
    <xdr:grpSp>
      <xdr:nvGrpSpPr>
        <xdr:cNvPr id="31" name="Group 30">
          <a:extLst>
            <a:ext uri="{FF2B5EF4-FFF2-40B4-BE49-F238E27FC236}">
              <a16:creationId xmlns:a16="http://schemas.microsoft.com/office/drawing/2014/main" xmlns="" id="{00000000-0008-0000-0000-00001F000000}"/>
            </a:ext>
          </a:extLst>
        </xdr:cNvPr>
        <xdr:cNvGrpSpPr/>
      </xdr:nvGrpSpPr>
      <xdr:grpSpPr>
        <a:xfrm>
          <a:off x="3324224" y="45939075"/>
          <a:ext cx="2920687" cy="4448175"/>
          <a:chOff x="2587924" y="414067"/>
          <a:chExt cx="3425512" cy="3240000"/>
        </a:xfrm>
      </xdr:grpSpPr>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2587924" y="414067"/>
            <a:ext cx="3425512" cy="3240000"/>
          </a:xfrm>
          <a:prstGeom prst="rect">
            <a:avLst/>
          </a:prstGeom>
          <a:ln>
            <a:solidFill>
              <a:schemeClr val="tx1"/>
            </a:solidFill>
          </a:ln>
        </xdr:spPr>
      </xdr:pic>
      <xdr:sp macro="" textlink="">
        <xdr:nvSpPr>
          <xdr:cNvPr id="33" name="Rectangle 32">
            <a:extLst>
              <a:ext uri="{FF2B5EF4-FFF2-40B4-BE49-F238E27FC236}">
                <a16:creationId xmlns:a16="http://schemas.microsoft.com/office/drawing/2014/main" xmlns="" id="{00000000-0008-0000-0000-000021000000}"/>
              </a:ext>
            </a:extLst>
          </xdr:cNvPr>
          <xdr:cNvSpPr/>
        </xdr:nvSpPr>
        <xdr:spPr>
          <a:xfrm rot="16200000">
            <a:off x="4968409" y="2614964"/>
            <a:ext cx="734062" cy="88851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337857</xdr:colOff>
      <xdr:row>329</xdr:row>
      <xdr:rowOff>49867</xdr:rowOff>
    </xdr:from>
    <xdr:to>
      <xdr:col>7</xdr:col>
      <xdr:colOff>516207</xdr:colOff>
      <xdr:row>348</xdr:row>
      <xdr:rowOff>118671</xdr:rowOff>
    </xdr:to>
    <xdr:grpSp>
      <xdr:nvGrpSpPr>
        <xdr:cNvPr id="2" name="Group 1">
          <a:extLst>
            <a:ext uri="{FF2B5EF4-FFF2-40B4-BE49-F238E27FC236}">
              <a16:creationId xmlns:a16="http://schemas.microsoft.com/office/drawing/2014/main" xmlns="" id="{00000000-0008-0000-0000-000002000000}"/>
            </a:ext>
          </a:extLst>
        </xdr:cNvPr>
        <xdr:cNvGrpSpPr/>
      </xdr:nvGrpSpPr>
      <xdr:grpSpPr>
        <a:xfrm>
          <a:off x="337857" y="58114267"/>
          <a:ext cx="5760000" cy="3869279"/>
          <a:chOff x="371475" y="59575513"/>
          <a:chExt cx="5758879" cy="3901216"/>
        </a:xfrm>
      </xdr:grpSpPr>
      <xdr:pic>
        <xdr:nvPicPr>
          <xdr:cNvPr id="36" name="Picture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4"/>
          <a:stretch>
            <a:fillRect/>
          </a:stretch>
        </xdr:blipFill>
        <xdr:spPr>
          <a:xfrm>
            <a:off x="371475" y="59575513"/>
            <a:ext cx="5758879" cy="3901216"/>
          </a:xfrm>
          <a:prstGeom prst="rect">
            <a:avLst/>
          </a:prstGeom>
          <a:ln>
            <a:solidFill>
              <a:schemeClr val="tx1"/>
            </a:solidFill>
          </a:ln>
        </xdr:spPr>
      </xdr:pic>
      <xdr:sp macro="" textlink="">
        <xdr:nvSpPr>
          <xdr:cNvPr id="37" name="Rectangle 36">
            <a:extLst>
              <a:ext uri="{FF2B5EF4-FFF2-40B4-BE49-F238E27FC236}">
                <a16:creationId xmlns:a16="http://schemas.microsoft.com/office/drawing/2014/main" xmlns="" id="{00000000-0008-0000-0000-000025000000}"/>
              </a:ext>
            </a:extLst>
          </xdr:cNvPr>
          <xdr:cNvSpPr/>
        </xdr:nvSpPr>
        <xdr:spPr>
          <a:xfrm>
            <a:off x="2904164" y="60568968"/>
            <a:ext cx="1414457" cy="1914307"/>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8" name="TextBox 8">
            <a:extLst>
              <a:ext uri="{FF2B5EF4-FFF2-40B4-BE49-F238E27FC236}">
                <a16:creationId xmlns:a16="http://schemas.microsoft.com/office/drawing/2014/main" xmlns="" id="{00000000-0008-0000-0000-000026000000}"/>
              </a:ext>
            </a:extLst>
          </xdr:cNvPr>
          <xdr:cNvSpPr txBox="1"/>
        </xdr:nvSpPr>
        <xdr:spPr>
          <a:xfrm>
            <a:off x="3012836" y="60538544"/>
            <a:ext cx="1691671" cy="37739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i="0">
                <a:solidFill>
                  <a:srgbClr val="FFFF00"/>
                </a:solidFill>
              </a:rPr>
              <a:t>Bldg No 01</a:t>
            </a:r>
            <a:endParaRPr lang="en-IN" b="1" i="0">
              <a:solidFill>
                <a:srgbClr val="FFFF00"/>
              </a:solidFill>
            </a:endParaRPr>
          </a:p>
        </xdr:txBody>
      </xdr:sp>
    </xdr:grpSp>
    <xdr:clientData/>
  </xdr:twoCellAnchor>
  <xdr:twoCellAnchor>
    <xdr:from>
      <xdr:col>0</xdr:col>
      <xdr:colOff>523877</xdr:colOff>
      <xdr:row>278</xdr:row>
      <xdr:rowOff>200024</xdr:rowOff>
    </xdr:from>
    <xdr:to>
      <xdr:col>3</xdr:col>
      <xdr:colOff>152402</xdr:colOff>
      <xdr:row>288</xdr:row>
      <xdr:rowOff>0</xdr:rowOff>
    </xdr:to>
    <xdr:sp macro="" textlink="">
      <xdr:nvSpPr>
        <xdr:cNvPr id="16" name="Rectangle 15">
          <a:extLst>
            <a:ext uri="{FF2B5EF4-FFF2-40B4-BE49-F238E27FC236}">
              <a16:creationId xmlns:a16="http://schemas.microsoft.com/office/drawing/2014/main" xmlns="" id="{00000000-0008-0000-0000-000010000000}"/>
            </a:ext>
          </a:extLst>
        </xdr:cNvPr>
        <xdr:cNvSpPr/>
      </xdr:nvSpPr>
      <xdr:spPr>
        <a:xfrm rot="16200000">
          <a:off x="642939" y="47848837"/>
          <a:ext cx="1800226" cy="2038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235324</xdr:colOff>
      <xdr:row>277</xdr:row>
      <xdr:rowOff>56030</xdr:rowOff>
    </xdr:from>
    <xdr:to>
      <xdr:col>3</xdr:col>
      <xdr:colOff>279730</xdr:colOff>
      <xdr:row>279</xdr:row>
      <xdr:rowOff>30012</xdr:rowOff>
    </xdr:to>
    <xdr:sp macro="" textlink="">
      <xdr:nvSpPr>
        <xdr:cNvPr id="24" name="TextBox 8">
          <a:extLst>
            <a:ext uri="{FF2B5EF4-FFF2-40B4-BE49-F238E27FC236}">
              <a16:creationId xmlns:a16="http://schemas.microsoft.com/office/drawing/2014/main" xmlns="" id="{00000000-0008-0000-0000-000018000000}"/>
            </a:ext>
          </a:extLst>
        </xdr:cNvPr>
        <xdr:cNvSpPr txBox="1"/>
      </xdr:nvSpPr>
      <xdr:spPr>
        <a:xfrm>
          <a:off x="997324" y="48375795"/>
          <a:ext cx="1691671" cy="37739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0" i="0">
              <a:solidFill>
                <a:srgbClr val="FF0000"/>
              </a:solidFill>
            </a:rPr>
            <a:t>Bldg No 01</a:t>
          </a:r>
          <a:endParaRPr lang="en-IN" sz="1600" b="0" i="0">
            <a:solidFill>
              <a:srgbClr val="FF0000"/>
            </a:solidFill>
          </a:endParaRPr>
        </a:p>
      </xdr:txBody>
    </xdr:sp>
    <xdr:clientData/>
  </xdr:twoCellAnchor>
  <xdr:twoCellAnchor editAs="oneCell">
    <xdr:from>
      <xdr:col>9</xdr:col>
      <xdr:colOff>2</xdr:colOff>
      <xdr:row>51</xdr:row>
      <xdr:rowOff>0</xdr:rowOff>
    </xdr:from>
    <xdr:to>
      <xdr:col>16</xdr:col>
      <xdr:colOff>190501</xdr:colOff>
      <xdr:row>66</xdr:row>
      <xdr:rowOff>190500</xdr:rowOff>
    </xdr:to>
    <xdr:pic>
      <xdr:nvPicPr>
        <xdr:cNvPr id="25" name="Picture 24">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474326" y="11911853"/>
          <a:ext cx="5804646" cy="2879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447675</xdr:colOff>
      <xdr:row>237</xdr:row>
      <xdr:rowOff>72391</xdr:rowOff>
    </xdr:from>
    <xdr:to>
      <xdr:col>15</xdr:col>
      <xdr:colOff>624840</xdr:colOff>
      <xdr:row>265</xdr:row>
      <xdr:rowOff>133351</xdr:rowOff>
    </xdr:to>
    <xdr:grpSp>
      <xdr:nvGrpSpPr>
        <xdr:cNvPr id="15" name="Group 14">
          <a:extLst>
            <a:ext uri="{FF2B5EF4-FFF2-40B4-BE49-F238E27FC236}">
              <a16:creationId xmlns:a16="http://schemas.microsoft.com/office/drawing/2014/main" xmlns="" id="{00000000-0008-0000-0000-00000F000000}"/>
            </a:ext>
          </a:extLst>
        </xdr:cNvPr>
        <xdr:cNvGrpSpPr/>
      </xdr:nvGrpSpPr>
      <xdr:grpSpPr>
        <a:xfrm>
          <a:off x="6762750" y="39744016"/>
          <a:ext cx="6168390" cy="5652135"/>
          <a:chOff x="-139338" y="167640"/>
          <a:chExt cx="6997338" cy="7965211"/>
        </a:xfrm>
      </xdr:grpSpPr>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500666" y="167640"/>
            <a:ext cx="3357334" cy="2520000"/>
          </a:xfrm>
          <a:prstGeom prst="rect">
            <a:avLst/>
          </a:prstGeom>
          <a:ln>
            <a:solidFill>
              <a:schemeClr val="tx1"/>
            </a:solidFill>
          </a:ln>
        </xdr:spPr>
      </xdr:pic>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429000" y="5612851"/>
            <a:ext cx="1888031" cy="252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21614" y="167640"/>
            <a:ext cx="3357334" cy="2520000"/>
          </a:xfrm>
          <a:prstGeom prst="rect">
            <a:avLst/>
          </a:prstGeom>
          <a:ln>
            <a:solidFill>
              <a:schemeClr val="tx1"/>
            </a:solidFill>
          </a:ln>
        </xdr:spPr>
      </xdr:pic>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339814" y="5612851"/>
            <a:ext cx="1895906" cy="2520000"/>
          </a:xfrm>
          <a:prstGeom prst="rect">
            <a:avLst/>
          </a:prstGeom>
          <a:ln>
            <a:solidFill>
              <a:schemeClr val="tx1"/>
            </a:solidFill>
          </a:ln>
        </xdr:spPr>
      </xdr:pic>
      <xdr:pic>
        <xdr:nvPicPr>
          <xdr:cNvPr id="30" name="Picture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609906" y="2890245"/>
            <a:ext cx="3357334" cy="2520000"/>
          </a:xfrm>
          <a:prstGeom prst="rect">
            <a:avLst/>
          </a:prstGeom>
          <a:ln>
            <a:solidFill>
              <a:schemeClr val="tx1"/>
            </a:solidFill>
          </a:ln>
        </xdr:spPr>
      </xdr:pic>
      <xdr:pic>
        <xdr:nvPicPr>
          <xdr:cNvPr id="34" name="Picture 33">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232186" y="2890245"/>
            <a:ext cx="1888031" cy="2520000"/>
          </a:xfrm>
          <a:prstGeom prst="rect">
            <a:avLst/>
          </a:prstGeom>
          <a:ln>
            <a:solidFill>
              <a:schemeClr val="tx1"/>
            </a:solidFill>
          </a:ln>
        </xdr:spPr>
      </xdr:pic>
      <xdr:sp macro="" textlink="">
        <xdr:nvSpPr>
          <xdr:cNvPr id="35" name="TextBox 14">
            <a:extLst>
              <a:ext uri="{FF2B5EF4-FFF2-40B4-BE49-F238E27FC236}">
                <a16:creationId xmlns:a16="http://schemas.microsoft.com/office/drawing/2014/main" xmlns="" id="{00000000-0008-0000-0000-000023000000}"/>
              </a:ext>
            </a:extLst>
          </xdr:cNvPr>
          <xdr:cNvSpPr txBox="1"/>
        </xdr:nvSpPr>
        <xdr:spPr>
          <a:xfrm>
            <a:off x="2049084" y="3322320"/>
            <a:ext cx="893613" cy="39372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2</a:t>
            </a:r>
          </a:p>
        </xdr:txBody>
      </xdr:sp>
      <xdr:sp macro="" textlink="">
        <xdr:nvSpPr>
          <xdr:cNvPr id="39" name="TextBox 15">
            <a:extLst>
              <a:ext uri="{FF2B5EF4-FFF2-40B4-BE49-F238E27FC236}">
                <a16:creationId xmlns:a16="http://schemas.microsoft.com/office/drawing/2014/main" xmlns="" id="{00000000-0008-0000-0000-000027000000}"/>
              </a:ext>
            </a:extLst>
          </xdr:cNvPr>
          <xdr:cNvSpPr txBox="1"/>
        </xdr:nvSpPr>
        <xdr:spPr>
          <a:xfrm>
            <a:off x="5176201" y="694730"/>
            <a:ext cx="893613" cy="39372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2</a:t>
            </a:r>
          </a:p>
        </xdr:txBody>
      </xdr:sp>
      <xdr:sp macro="" textlink="">
        <xdr:nvSpPr>
          <xdr:cNvPr id="40" name="TextBox 16">
            <a:extLst>
              <a:ext uri="{FF2B5EF4-FFF2-40B4-BE49-F238E27FC236}">
                <a16:creationId xmlns:a16="http://schemas.microsoft.com/office/drawing/2014/main" xmlns="" id="{00000000-0008-0000-0000-000028000000}"/>
              </a:ext>
            </a:extLst>
          </xdr:cNvPr>
          <xdr:cNvSpPr txBox="1"/>
        </xdr:nvSpPr>
        <xdr:spPr>
          <a:xfrm>
            <a:off x="2423706" y="510064"/>
            <a:ext cx="893613" cy="39372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2</a:t>
            </a:r>
          </a:p>
        </xdr:txBody>
      </xdr:sp>
      <xdr:sp macro="" textlink="">
        <xdr:nvSpPr>
          <xdr:cNvPr id="41" name="TextBox 17">
            <a:extLst>
              <a:ext uri="{FF2B5EF4-FFF2-40B4-BE49-F238E27FC236}">
                <a16:creationId xmlns:a16="http://schemas.microsoft.com/office/drawing/2014/main" xmlns="" id="{00000000-0008-0000-0000-000029000000}"/>
              </a:ext>
            </a:extLst>
          </xdr:cNvPr>
          <xdr:cNvSpPr txBox="1"/>
        </xdr:nvSpPr>
        <xdr:spPr>
          <a:xfrm>
            <a:off x="-139338" y="167640"/>
            <a:ext cx="893613" cy="39372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1</a:t>
            </a:r>
          </a:p>
        </xdr:txBody>
      </xdr:sp>
      <xdr:sp macro="" textlink="">
        <xdr:nvSpPr>
          <xdr:cNvPr id="42" name="TextBox 18">
            <a:extLst>
              <a:ext uri="{FF2B5EF4-FFF2-40B4-BE49-F238E27FC236}">
                <a16:creationId xmlns:a16="http://schemas.microsoft.com/office/drawing/2014/main" xmlns="" id="{00000000-0008-0000-0000-00002A000000}"/>
              </a:ext>
            </a:extLst>
          </xdr:cNvPr>
          <xdr:cNvSpPr txBox="1"/>
        </xdr:nvSpPr>
        <xdr:spPr>
          <a:xfrm>
            <a:off x="4672960" y="3214730"/>
            <a:ext cx="893613" cy="39372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2</a:t>
            </a:r>
          </a:p>
        </xdr:txBody>
      </xdr:sp>
    </xdr:grpSp>
    <xdr:clientData/>
  </xdr:twoCellAnchor>
  <xdr:twoCellAnchor>
    <xdr:from>
      <xdr:col>8</xdr:col>
      <xdr:colOff>408213</xdr:colOff>
      <xdr:row>236</xdr:row>
      <xdr:rowOff>127679</xdr:rowOff>
    </xdr:from>
    <xdr:to>
      <xdr:col>15</xdr:col>
      <xdr:colOff>522240</xdr:colOff>
      <xdr:row>265</xdr:row>
      <xdr:rowOff>0</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6723288" y="39599279"/>
          <a:ext cx="6105252" cy="5663521"/>
          <a:chOff x="85724" y="43218779"/>
          <a:chExt cx="6102531" cy="7011175"/>
        </a:xfrm>
      </xdr:grpSpPr>
      <xdr:pic>
        <xdr:nvPicPr>
          <xdr:cNvPr id="26" name="Picture 25" descr="https://vsjcllp.vsjadon.com/upload/insp-233981-1525.jpg">
            <a:extLst>
              <a:ext uri="{FF2B5EF4-FFF2-40B4-BE49-F238E27FC236}">
                <a16:creationId xmlns:a16="http://schemas.microsoft.com/office/drawing/2014/main" xmlns="" id="{00000000-0008-0000-0000-00001A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364921" y="48029132"/>
            <a:ext cx="1611510" cy="220082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3981-845.jpg">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714374" y="45606833"/>
            <a:ext cx="3061611" cy="234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3981-844.jpg">
            <a:extLst>
              <a:ext uri="{FF2B5EF4-FFF2-40B4-BE49-F238E27FC236}">
                <a16:creationId xmlns:a16="http://schemas.microsoft.com/office/drawing/2014/main" xmlns="" id="{00000000-0008-0000-0000-00002B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863068" y="45608421"/>
            <a:ext cx="1725386" cy="234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3981-849.jpg">
            <a:extLst>
              <a:ext uri="{FF2B5EF4-FFF2-40B4-BE49-F238E27FC236}">
                <a16:creationId xmlns:a16="http://schemas.microsoft.com/office/drawing/2014/main" xmlns="" id="{00000000-0008-0000-0000-00002C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3179988" y="43218779"/>
            <a:ext cx="3008267" cy="22998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3981-862.jpg">
            <a:extLst>
              <a:ext uri="{FF2B5EF4-FFF2-40B4-BE49-F238E27FC236}">
                <a16:creationId xmlns:a16="http://schemas.microsoft.com/office/drawing/2014/main" xmlns="" id="{00000000-0008-0000-0000-00002D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85724" y="43218779"/>
            <a:ext cx="3008266" cy="22998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209550</xdr:colOff>
      <xdr:row>236</xdr:row>
      <xdr:rowOff>180974</xdr:rowOff>
    </xdr:from>
    <xdr:to>
      <xdr:col>7</xdr:col>
      <xdr:colOff>561975</xdr:colOff>
      <xdr:row>260</xdr:row>
      <xdr:rowOff>170974</xdr:rowOff>
    </xdr:to>
    <xdr:grpSp>
      <xdr:nvGrpSpPr>
        <xdr:cNvPr id="46" name="Group 45">
          <a:extLst>
            <a:ext uri="{FF2B5EF4-FFF2-40B4-BE49-F238E27FC236}">
              <a16:creationId xmlns:a16="http://schemas.microsoft.com/office/drawing/2014/main" xmlns="" id="{86A51913-27CF-486D-8B06-CDA9E8A17174}"/>
            </a:ext>
          </a:extLst>
        </xdr:cNvPr>
        <xdr:cNvGrpSpPr/>
      </xdr:nvGrpSpPr>
      <xdr:grpSpPr>
        <a:xfrm>
          <a:off x="209550" y="39652574"/>
          <a:ext cx="5934075" cy="4781075"/>
          <a:chOff x="397938" y="524966"/>
          <a:chExt cx="6423924" cy="4904900"/>
        </a:xfrm>
      </xdr:grpSpPr>
      <xdr:pic>
        <xdr:nvPicPr>
          <xdr:cNvPr id="47" name="Picture 46">
            <a:extLst>
              <a:ext uri="{FF2B5EF4-FFF2-40B4-BE49-F238E27FC236}">
                <a16:creationId xmlns:a16="http://schemas.microsoft.com/office/drawing/2014/main" xmlns="" id="{9058B661-FA29-464D-BE50-DCE9F826AE84}"/>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786384" y="524966"/>
            <a:ext cx="3357334" cy="2520000"/>
          </a:xfrm>
          <a:prstGeom prst="rect">
            <a:avLst/>
          </a:prstGeom>
          <a:ln>
            <a:solidFill>
              <a:schemeClr val="tx1"/>
            </a:solidFill>
          </a:ln>
        </xdr:spPr>
      </xdr:pic>
      <xdr:pic>
        <xdr:nvPicPr>
          <xdr:cNvPr id="48" name="Picture 47">
            <a:extLst>
              <a:ext uri="{FF2B5EF4-FFF2-40B4-BE49-F238E27FC236}">
                <a16:creationId xmlns:a16="http://schemas.microsoft.com/office/drawing/2014/main" xmlns="" id="{09D6972E-114E-4E6D-9B20-EC83C09DC723}"/>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395775" y="524966"/>
            <a:ext cx="1888031" cy="2520000"/>
          </a:xfrm>
          <a:prstGeom prst="rect">
            <a:avLst/>
          </a:prstGeom>
          <a:ln>
            <a:solidFill>
              <a:schemeClr val="tx1"/>
            </a:solidFill>
          </a:ln>
        </xdr:spPr>
      </xdr:pic>
      <xdr:pic>
        <xdr:nvPicPr>
          <xdr:cNvPr id="49" name="Picture 48">
            <a:extLst>
              <a:ext uri="{FF2B5EF4-FFF2-40B4-BE49-F238E27FC236}">
                <a16:creationId xmlns:a16="http://schemas.microsoft.com/office/drawing/2014/main" xmlns="" id="{5B4DCD49-6505-46A2-970A-C8DB40F4E99A}"/>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97938" y="3269866"/>
            <a:ext cx="2877714" cy="2160000"/>
          </a:xfrm>
          <a:prstGeom prst="rect">
            <a:avLst/>
          </a:prstGeom>
          <a:ln>
            <a:solidFill>
              <a:schemeClr val="tx1"/>
            </a:solidFill>
          </a:ln>
        </xdr:spPr>
      </xdr:pic>
      <xdr:pic>
        <xdr:nvPicPr>
          <xdr:cNvPr id="50" name="Picture 49">
            <a:extLst>
              <a:ext uri="{FF2B5EF4-FFF2-40B4-BE49-F238E27FC236}">
                <a16:creationId xmlns:a16="http://schemas.microsoft.com/office/drawing/2014/main" xmlns="" id="{34F3B17F-3BC8-4DF9-A2A5-69B6214C9632}"/>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430444" y="3269866"/>
            <a:ext cx="1618313" cy="2160000"/>
          </a:xfrm>
          <a:prstGeom prst="rect">
            <a:avLst/>
          </a:prstGeom>
          <a:ln>
            <a:solidFill>
              <a:schemeClr val="tx1"/>
            </a:solidFill>
          </a:ln>
        </xdr:spPr>
      </xdr:pic>
      <xdr:pic>
        <xdr:nvPicPr>
          <xdr:cNvPr id="51" name="Picture 50">
            <a:extLst>
              <a:ext uri="{FF2B5EF4-FFF2-40B4-BE49-F238E27FC236}">
                <a16:creationId xmlns:a16="http://schemas.microsoft.com/office/drawing/2014/main" xmlns="" id="{1DF13A3D-9A1B-4EA3-AC15-4A5AB3326376}"/>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5203549" y="3269866"/>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76T6dsD6Rc2nbkc6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0"/>
  <sheetViews>
    <sheetView tabSelected="1" view="pageBreakPreview" topLeftCell="A74" zoomScaleNormal="100" zoomScaleSheetLayoutView="100" zoomScalePageLayoutView="85" workbookViewId="0">
      <selection activeCell="N80" sqref="N8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69" t="s">
        <v>160</v>
      </c>
      <c r="B1" s="169"/>
      <c r="C1" s="169"/>
      <c r="D1" s="169"/>
      <c r="E1" s="169"/>
      <c r="F1" s="169"/>
      <c r="G1" s="169"/>
      <c r="H1" s="169"/>
    </row>
    <row r="2" spans="1:26" ht="16.5" customHeight="1" x14ac:dyDescent="0.25">
      <c r="A2" s="170" t="s">
        <v>0</v>
      </c>
      <c r="B2" s="170"/>
      <c r="C2" s="170"/>
      <c r="D2" s="170"/>
      <c r="E2" s="170"/>
      <c r="F2" s="170"/>
      <c r="G2" s="170"/>
      <c r="H2" s="170"/>
    </row>
    <row r="3" spans="1:26" x14ac:dyDescent="0.25">
      <c r="A3" s="79" t="s">
        <v>1</v>
      </c>
      <c r="B3" s="79"/>
      <c r="C3" s="79"/>
      <c r="D3" s="79"/>
      <c r="E3" s="79" t="str">
        <f ca="1">TEXT(TODAY(),"DD/MM/YYYY")</f>
        <v>14/08/2025</v>
      </c>
      <c r="F3" s="79"/>
      <c r="G3" s="79"/>
      <c r="H3" s="79"/>
      <c r="K3" s="55" t="s">
        <v>231</v>
      </c>
      <c r="L3" s="54" t="s">
        <v>229</v>
      </c>
      <c r="M3" s="54" t="s">
        <v>234</v>
      </c>
      <c r="N3" s="54" t="s">
        <v>232</v>
      </c>
      <c r="O3" s="54" t="s">
        <v>233</v>
      </c>
      <c r="P3" s="54" t="s">
        <v>235</v>
      </c>
    </row>
    <row r="4" spans="1:26" ht="15" customHeight="1" x14ac:dyDescent="0.25">
      <c r="A4" s="79" t="s">
        <v>228</v>
      </c>
      <c r="B4" s="79"/>
      <c r="C4" s="79"/>
      <c r="D4" s="79"/>
      <c r="E4" s="79" t="s">
        <v>229</v>
      </c>
      <c r="F4" s="79"/>
      <c r="G4" s="79"/>
      <c r="H4" s="79"/>
      <c r="K4" s="53" t="s">
        <v>230</v>
      </c>
      <c r="L4" s="54" t="s">
        <v>166</v>
      </c>
      <c r="M4" s="54" t="s">
        <v>239</v>
      </c>
      <c r="N4" s="54" t="s">
        <v>241</v>
      </c>
      <c r="O4" s="54" t="s">
        <v>243</v>
      </c>
      <c r="P4" s="54"/>
    </row>
    <row r="5" spans="1:26" ht="15" customHeight="1" x14ac:dyDescent="0.25">
      <c r="A5" s="79" t="s">
        <v>2</v>
      </c>
      <c r="B5" s="79"/>
      <c r="C5" s="79"/>
      <c r="D5" s="79"/>
      <c r="E5" s="79" t="s">
        <v>236</v>
      </c>
      <c r="F5" s="79"/>
      <c r="G5" s="79"/>
      <c r="H5" s="79"/>
      <c r="K5" s="53"/>
      <c r="L5" s="54" t="s">
        <v>236</v>
      </c>
      <c r="M5" s="54" t="s">
        <v>240</v>
      </c>
      <c r="N5" s="54" t="s">
        <v>242</v>
      </c>
      <c r="O5" s="54" t="s">
        <v>244</v>
      </c>
      <c r="P5" s="54"/>
    </row>
    <row r="6" spans="1:26" x14ac:dyDescent="0.25">
      <c r="A6" s="79" t="s">
        <v>3</v>
      </c>
      <c r="B6" s="79"/>
      <c r="C6" s="79"/>
      <c r="D6" s="79"/>
      <c r="E6" s="172">
        <v>45880</v>
      </c>
      <c r="F6" s="79"/>
      <c r="G6" s="79"/>
      <c r="H6" s="79"/>
      <c r="K6" s="53"/>
      <c r="L6" s="54" t="s">
        <v>237</v>
      </c>
      <c r="M6" s="54"/>
      <c r="N6" s="54"/>
      <c r="O6" s="54" t="s">
        <v>245</v>
      </c>
      <c r="P6" s="54"/>
    </row>
    <row r="7" spans="1:26" ht="16.5" customHeight="1" x14ac:dyDescent="0.25">
      <c r="A7" s="79" t="s">
        <v>4</v>
      </c>
      <c r="B7" s="79"/>
      <c r="C7" s="79"/>
      <c r="D7" s="79"/>
      <c r="E7" s="79" t="s">
        <v>297</v>
      </c>
      <c r="F7" s="79"/>
      <c r="G7" s="79"/>
      <c r="H7" s="79"/>
      <c r="K7" s="53"/>
      <c r="L7" s="54" t="s">
        <v>238</v>
      </c>
      <c r="M7" s="54"/>
      <c r="N7" s="54"/>
      <c r="O7" s="54" t="s">
        <v>245</v>
      </c>
      <c r="P7" s="54"/>
    </row>
    <row r="8" spans="1:26" ht="15" customHeight="1" x14ac:dyDescent="0.25">
      <c r="A8" s="79" t="s">
        <v>5</v>
      </c>
      <c r="B8" s="79"/>
      <c r="C8" s="79"/>
      <c r="D8" s="79"/>
      <c r="E8" s="79" t="str">
        <f>E7</f>
        <v>Dream Homes</v>
      </c>
      <c r="F8" s="79"/>
      <c r="G8" s="79"/>
      <c r="H8" s="79"/>
      <c r="K8" s="53"/>
      <c r="L8" s="54"/>
      <c r="M8" s="54"/>
      <c r="N8" s="54"/>
      <c r="O8" s="54" t="s">
        <v>246</v>
      </c>
      <c r="P8" s="54"/>
    </row>
    <row r="9" spans="1:26" x14ac:dyDescent="0.25">
      <c r="A9" s="79" t="s">
        <v>6</v>
      </c>
      <c r="B9" s="79"/>
      <c r="C9" s="79"/>
      <c r="D9" s="79"/>
      <c r="E9" s="171" t="s">
        <v>298</v>
      </c>
      <c r="F9" s="171"/>
      <c r="G9" s="171"/>
      <c r="H9" s="171"/>
      <c r="K9" s="53"/>
      <c r="L9" s="54"/>
      <c r="M9" s="54"/>
      <c r="N9" s="54"/>
      <c r="O9" s="54" t="s">
        <v>247</v>
      </c>
      <c r="P9" s="54"/>
    </row>
    <row r="10" spans="1:26" x14ac:dyDescent="0.25">
      <c r="A10" s="79" t="s">
        <v>163</v>
      </c>
      <c r="B10" s="79"/>
      <c r="C10" s="79"/>
      <c r="D10" s="79"/>
      <c r="E10" s="79" t="s">
        <v>308</v>
      </c>
      <c r="F10" s="79"/>
      <c r="G10" s="79"/>
      <c r="H10" s="79"/>
      <c r="K10" s="53"/>
      <c r="L10" s="54"/>
      <c r="M10" s="54"/>
      <c r="N10" s="54"/>
      <c r="O10" s="54"/>
      <c r="P10" s="54"/>
    </row>
    <row r="11" spans="1:26" x14ac:dyDescent="0.25">
      <c r="A11" s="79" t="s">
        <v>164</v>
      </c>
      <c r="B11" s="79"/>
      <c r="C11" s="79"/>
      <c r="D11" s="79"/>
      <c r="E11" s="79" t="s">
        <v>346</v>
      </c>
      <c r="F11" s="79"/>
      <c r="G11" s="79"/>
      <c r="H11" s="79"/>
      <c r="I11" s="79" t="s">
        <v>344</v>
      </c>
      <c r="J11" s="79"/>
      <c r="K11" s="79"/>
      <c r="L11" s="79"/>
    </row>
    <row r="12" spans="1:26" x14ac:dyDescent="0.25">
      <c r="A12" s="79" t="s">
        <v>7</v>
      </c>
      <c r="B12" s="79"/>
      <c r="C12" s="79"/>
      <c r="D12" s="79"/>
      <c r="E12" s="79" t="s">
        <v>330</v>
      </c>
      <c r="F12" s="79"/>
      <c r="G12" s="79"/>
      <c r="H12" s="79"/>
    </row>
    <row r="13" spans="1:26" x14ac:dyDescent="0.25">
      <c r="A13" s="79" t="s">
        <v>167</v>
      </c>
      <c r="B13" s="79"/>
      <c r="C13" s="79"/>
      <c r="D13" s="79"/>
      <c r="E13" s="79" t="s">
        <v>28</v>
      </c>
      <c r="F13" s="79"/>
      <c r="G13" s="79"/>
      <c r="H13" s="79"/>
      <c r="S13" s="54" t="s">
        <v>175</v>
      </c>
      <c r="T13" s="54" t="s">
        <v>185</v>
      </c>
      <c r="U13" s="54" t="s">
        <v>168</v>
      </c>
      <c r="V13" s="54" t="s">
        <v>190</v>
      </c>
      <c r="W13" s="54" t="s">
        <v>208</v>
      </c>
      <c r="X13"/>
      <c r="Y13" t="s">
        <v>190</v>
      </c>
      <c r="Z13" t="e">
        <f ca="1">OFFSET($S$13,1,MATCH($G20,$S$13:$W$13,0)-1,15,1)</f>
        <v>#VALUE!</v>
      </c>
    </row>
    <row r="14" spans="1:26" ht="35.25" customHeight="1" x14ac:dyDescent="0.25">
      <c r="A14" s="96" t="s">
        <v>274</v>
      </c>
      <c r="B14" s="96"/>
      <c r="C14" s="96"/>
      <c r="D14" s="96"/>
      <c r="E14" s="173" t="s">
        <v>340</v>
      </c>
      <c r="F14" s="173"/>
      <c r="G14" s="173"/>
      <c r="H14" s="173"/>
      <c r="S14" s="54" t="s">
        <v>176</v>
      </c>
      <c r="T14" s="54" t="s">
        <v>183</v>
      </c>
      <c r="U14" s="54" t="s">
        <v>205</v>
      </c>
      <c r="V14" s="54" t="s">
        <v>191</v>
      </c>
      <c r="W14" s="54" t="s">
        <v>209</v>
      </c>
      <c r="X14"/>
      <c r="Y14"/>
      <c r="Z14"/>
    </row>
    <row r="15" spans="1:26" x14ac:dyDescent="0.25">
      <c r="A15" s="96" t="s">
        <v>8</v>
      </c>
      <c r="B15" s="96"/>
      <c r="C15" s="96"/>
      <c r="D15" s="96"/>
      <c r="E15" s="132" t="s">
        <v>299</v>
      </c>
      <c r="F15" s="79"/>
      <c r="G15" s="79"/>
      <c r="H15" s="79"/>
      <c r="I15" s="105" t="e">
        <f ca="1">OFFSET($D$5,1,MATCH($J13,$D$5:$H$5,0)-1,15,1)</f>
        <v>#N/A</v>
      </c>
      <c r="J15" s="106"/>
      <c r="K15" s="106"/>
      <c r="L15" s="106"/>
      <c r="M15" s="106"/>
      <c r="N15" s="106"/>
      <c r="O15" s="106"/>
      <c r="P15" s="106"/>
      <c r="S15" s="54" t="s">
        <v>177</v>
      </c>
      <c r="T15" s="54" t="s">
        <v>184</v>
      </c>
      <c r="U15" s="54" t="s">
        <v>206</v>
      </c>
      <c r="V15" s="54" t="s">
        <v>192</v>
      </c>
      <c r="W15" s="54" t="s">
        <v>222</v>
      </c>
      <c r="X15"/>
      <c r="Y15"/>
      <c r="Z15"/>
    </row>
    <row r="16" spans="1:26" ht="34.9" customHeight="1" x14ac:dyDescent="0.25">
      <c r="A16" s="132" t="s">
        <v>9</v>
      </c>
      <c r="B16" s="132"/>
      <c r="C16" s="132" t="str">
        <f>CONCATENATE((IF(OR(E9="",E9="NA"),"",E9)),", ",(IF(OR(A17="",A17="NA"),"",A17)),".",(IF(OR(C17="",C17="NA"),"",C17)),", near ",(IF(OR(C22="",C22="NA"),"",C22)),", ",(IF(OR(C19="",C19="NA"),"",C19)),", ",(IF(OR(C18="",C18="NA"),"",C18)),", ",(IF(OR(G19="",G19="NA"),"",G19)),", ",(IF(OR(C20="",C20="NA"),"",C20)),", ",(IF(OR(C21="",C21="NA"),"",C21)),", ",(IF(OR(G20="",G20="NA"),"",G20))," - ",(IF(OR(G21="",G21="NA"),"",G21)),".")</f>
        <v>Jagjeet Residency, Survey No.29/1/A &amp; 29/1/B, near Jagjeet Enclave, Diva Shil Road, Khardi Gaon, Domkhar, Diva East, Thane, Thane  - 421204.</v>
      </c>
      <c r="D16" s="132"/>
      <c r="E16" s="132"/>
      <c r="F16" s="132"/>
      <c r="G16" s="132"/>
      <c r="H16" s="132"/>
      <c r="S16" s="54" t="s">
        <v>178</v>
      </c>
      <c r="T16" s="54" t="s">
        <v>186</v>
      </c>
      <c r="U16" s="54" t="s">
        <v>207</v>
      </c>
      <c r="V16" s="54" t="s">
        <v>193</v>
      </c>
      <c r="W16" s="54" t="s">
        <v>210</v>
      </c>
      <c r="X16"/>
      <c r="Y16"/>
      <c r="Z16"/>
    </row>
    <row r="17" spans="1:26" x14ac:dyDescent="0.25">
      <c r="A17" s="132" t="s">
        <v>300</v>
      </c>
      <c r="B17" s="132"/>
      <c r="C17" s="132" t="s">
        <v>331</v>
      </c>
      <c r="D17" s="132"/>
      <c r="E17" s="132"/>
      <c r="F17" s="132"/>
      <c r="G17" s="132"/>
      <c r="H17" s="132"/>
      <c r="S17" s="54" t="s">
        <v>179</v>
      </c>
      <c r="T17" s="54" t="s">
        <v>187</v>
      </c>
      <c r="U17" s="54" t="s">
        <v>168</v>
      </c>
      <c r="V17" s="54" t="s">
        <v>194</v>
      </c>
      <c r="W17" s="54" t="s">
        <v>211</v>
      </c>
      <c r="X17"/>
      <c r="Y17"/>
      <c r="Z17"/>
    </row>
    <row r="18" spans="1:26" ht="15.75" customHeight="1" x14ac:dyDescent="0.25">
      <c r="A18" s="132" t="s">
        <v>158</v>
      </c>
      <c r="B18" s="132"/>
      <c r="C18" s="132" t="s">
        <v>326</v>
      </c>
      <c r="D18" s="132"/>
      <c r="E18" s="132"/>
      <c r="F18" s="132"/>
      <c r="G18" s="132"/>
      <c r="H18" s="132"/>
      <c r="S18" s="54" t="s">
        <v>180</v>
      </c>
      <c r="T18" s="54" t="s">
        <v>185</v>
      </c>
      <c r="U18" s="54"/>
      <c r="V18" s="54" t="s">
        <v>195</v>
      </c>
      <c r="W18" s="54" t="s">
        <v>212</v>
      </c>
      <c r="X18"/>
      <c r="Y18"/>
      <c r="Z18"/>
    </row>
    <row r="19" spans="1:26" ht="15.75" customHeight="1" x14ac:dyDescent="0.25">
      <c r="A19" s="132" t="s">
        <v>10</v>
      </c>
      <c r="B19" s="132"/>
      <c r="C19" s="79" t="s">
        <v>306</v>
      </c>
      <c r="D19" s="79"/>
      <c r="E19" s="132" t="s">
        <v>70</v>
      </c>
      <c r="F19" s="132"/>
      <c r="G19" s="132" t="s">
        <v>325</v>
      </c>
      <c r="H19" s="132"/>
      <c r="S19" s="54" t="s">
        <v>181</v>
      </c>
      <c r="T19" s="54" t="s">
        <v>188</v>
      </c>
      <c r="U19" s="54"/>
      <c r="V19" s="54" t="s">
        <v>196</v>
      </c>
      <c r="W19" s="54" t="s">
        <v>213</v>
      </c>
      <c r="X19"/>
      <c r="Y19"/>
      <c r="Z19"/>
    </row>
    <row r="20" spans="1:26" x14ac:dyDescent="0.25">
      <c r="A20" s="79" t="s">
        <v>12</v>
      </c>
      <c r="B20" s="79"/>
      <c r="C20" s="132" t="s">
        <v>301</v>
      </c>
      <c r="D20" s="132"/>
      <c r="E20" s="132" t="s">
        <v>11</v>
      </c>
      <c r="F20" s="132"/>
      <c r="G20" s="177" t="s">
        <v>175</v>
      </c>
      <c r="H20" s="177"/>
      <c r="S20" s="54" t="s">
        <v>182</v>
      </c>
      <c r="T20" s="54" t="s">
        <v>189</v>
      </c>
      <c r="U20" s="54"/>
      <c r="V20" s="54" t="s">
        <v>197</v>
      </c>
      <c r="W20" s="54" t="s">
        <v>214</v>
      </c>
      <c r="X20"/>
      <c r="Y20"/>
      <c r="Z20"/>
    </row>
    <row r="21" spans="1:26" x14ac:dyDescent="0.25">
      <c r="A21" s="79" t="s">
        <v>71</v>
      </c>
      <c r="B21" s="79"/>
      <c r="C21" s="132" t="s">
        <v>176</v>
      </c>
      <c r="D21" s="132"/>
      <c r="E21" s="132" t="s">
        <v>13</v>
      </c>
      <c r="F21" s="132"/>
      <c r="G21" s="132">
        <v>421204</v>
      </c>
      <c r="H21" s="132"/>
      <c r="S21" s="54"/>
      <c r="T21" s="54"/>
      <c r="U21" s="54"/>
      <c r="V21" s="54" t="s">
        <v>198</v>
      </c>
      <c r="W21" s="54" t="s">
        <v>215</v>
      </c>
      <c r="X21"/>
      <c r="Y21"/>
      <c r="Z21"/>
    </row>
    <row r="22" spans="1:26" ht="32.25" customHeight="1" x14ac:dyDescent="0.25">
      <c r="A22" s="79" t="s">
        <v>118</v>
      </c>
      <c r="B22" s="79"/>
      <c r="C22" s="132" t="s">
        <v>332</v>
      </c>
      <c r="D22" s="132"/>
      <c r="E22" s="132" t="s">
        <v>14</v>
      </c>
      <c r="F22" s="132"/>
      <c r="G22" s="132" t="s">
        <v>309</v>
      </c>
      <c r="H22" s="132"/>
      <c r="S22" s="54"/>
      <c r="T22" s="54"/>
      <c r="U22" s="54"/>
      <c r="V22" s="54" t="s">
        <v>199</v>
      </c>
      <c r="W22" s="54" t="s">
        <v>216</v>
      </c>
      <c r="X22"/>
      <c r="Y22"/>
      <c r="Z22"/>
    </row>
    <row r="23" spans="1:26" ht="15" customHeight="1" x14ac:dyDescent="0.25">
      <c r="A23" s="115" t="s">
        <v>73</v>
      </c>
      <c r="B23" s="115"/>
      <c r="C23" s="115"/>
      <c r="D23" s="115"/>
      <c r="E23" s="79" t="s">
        <v>15</v>
      </c>
      <c r="F23" s="79"/>
      <c r="G23" s="79"/>
      <c r="H23" s="79"/>
      <c r="S23" s="54"/>
      <c r="T23" s="54"/>
      <c r="U23" s="54"/>
      <c r="V23" s="54" t="s">
        <v>200</v>
      </c>
      <c r="W23" s="54" t="s">
        <v>217</v>
      </c>
      <c r="X23"/>
      <c r="Y23"/>
      <c r="Z23"/>
    </row>
    <row r="24" spans="1:26" ht="18.75" customHeight="1" x14ac:dyDescent="0.25">
      <c r="A24" s="115"/>
      <c r="B24" s="115"/>
      <c r="C24" s="115"/>
      <c r="D24" s="115"/>
      <c r="E24" s="79"/>
      <c r="F24" s="79"/>
      <c r="G24" s="79"/>
      <c r="H24" s="79"/>
      <c r="S24" s="54"/>
      <c r="T24" s="54"/>
      <c r="U24" s="54"/>
      <c r="V24" s="54" t="s">
        <v>201</v>
      </c>
      <c r="W24" s="54" t="s">
        <v>218</v>
      </c>
      <c r="X24"/>
      <c r="Y24"/>
      <c r="Z24"/>
    </row>
    <row r="25" spans="1:26" ht="15" customHeight="1" x14ac:dyDescent="0.25">
      <c r="A25" s="115" t="s">
        <v>16</v>
      </c>
      <c r="B25" s="115"/>
      <c r="C25" s="115"/>
      <c r="D25" s="115"/>
      <c r="E25" s="132" t="s">
        <v>17</v>
      </c>
      <c r="F25" s="132"/>
      <c r="G25" s="132"/>
      <c r="H25" s="132"/>
      <c r="S25" s="54"/>
      <c r="T25" s="54"/>
      <c r="U25" s="54"/>
      <c r="V25" s="54" t="s">
        <v>202</v>
      </c>
      <c r="W25" s="54" t="s">
        <v>219</v>
      </c>
      <c r="X25"/>
      <c r="Y25"/>
      <c r="Z25"/>
    </row>
    <row r="26" spans="1:26" ht="15" customHeight="1" x14ac:dyDescent="0.25">
      <c r="A26" s="96" t="s">
        <v>18</v>
      </c>
      <c r="B26" s="96"/>
      <c r="C26" s="96"/>
      <c r="D26" s="96"/>
      <c r="E26" s="132" t="str">
        <f>IF(AND(G20="Mumbai"),"Upper Class","Middle Class")</f>
        <v>Middle Class</v>
      </c>
      <c r="F26" s="132"/>
      <c r="G26" s="132"/>
      <c r="H26" s="132"/>
      <c r="S26" s="54"/>
      <c r="T26" s="54"/>
      <c r="U26" s="54"/>
      <c r="V26" s="54" t="s">
        <v>203</v>
      </c>
      <c r="W26" s="54" t="s">
        <v>220</v>
      </c>
      <c r="X26"/>
      <c r="Y26"/>
      <c r="Z26"/>
    </row>
    <row r="27" spans="1:26" x14ac:dyDescent="0.25">
      <c r="A27" s="96" t="s">
        <v>19</v>
      </c>
      <c r="B27" s="96"/>
      <c r="C27" s="96"/>
      <c r="D27" s="96"/>
      <c r="E27" s="132" t="s">
        <v>20</v>
      </c>
      <c r="F27" s="132"/>
      <c r="G27" s="132"/>
      <c r="H27" s="132"/>
      <c r="S27" s="54"/>
      <c r="T27" s="54"/>
      <c r="U27" s="54"/>
      <c r="V27" s="54" t="s">
        <v>204</v>
      </c>
      <c r="W27" s="54" t="s">
        <v>221</v>
      </c>
      <c r="X27"/>
      <c r="Y27"/>
      <c r="Z27"/>
    </row>
    <row r="28" spans="1:26" ht="15.75" customHeight="1" x14ac:dyDescent="0.25">
      <c r="A28" s="96" t="s">
        <v>21</v>
      </c>
      <c r="B28" s="96"/>
      <c r="C28" s="96"/>
      <c r="D28" s="96"/>
      <c r="E28" s="132" t="str">
        <f>IF(AND(G20="Mumbai"),"Developed","Developing")</f>
        <v>Developing</v>
      </c>
      <c r="F28" s="132"/>
      <c r="G28" s="132"/>
      <c r="H28" s="132"/>
    </row>
    <row r="29" spans="1:26" x14ac:dyDescent="0.25">
      <c r="A29" s="96" t="s">
        <v>22</v>
      </c>
      <c r="B29" s="96"/>
      <c r="C29" s="96"/>
      <c r="D29" s="96"/>
      <c r="E29" s="132" t="s">
        <v>23</v>
      </c>
      <c r="F29" s="132"/>
      <c r="G29" s="132"/>
      <c r="H29" s="132"/>
    </row>
    <row r="30" spans="1:26" ht="15.75" customHeight="1" x14ac:dyDescent="0.25">
      <c r="A30" s="96" t="s">
        <v>78</v>
      </c>
      <c r="B30" s="96"/>
      <c r="C30" s="96"/>
      <c r="D30" s="96"/>
      <c r="E30" s="132" t="s">
        <v>79</v>
      </c>
      <c r="F30" s="132"/>
      <c r="G30" s="132"/>
      <c r="H30" s="132"/>
    </row>
    <row r="31" spans="1:26" ht="15" customHeight="1" x14ac:dyDescent="0.25">
      <c r="A31" s="96" t="s">
        <v>30</v>
      </c>
      <c r="B31" s="96"/>
      <c r="C31" s="96"/>
      <c r="D31" s="96"/>
      <c r="E31" s="13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2"/>
      <c r="G31" s="132"/>
      <c r="H31" s="132"/>
    </row>
    <row r="32" spans="1:26" ht="15.75" customHeight="1" x14ac:dyDescent="0.25">
      <c r="A32" s="96" t="s">
        <v>90</v>
      </c>
      <c r="B32" s="96"/>
      <c r="C32" s="96"/>
      <c r="D32" s="96"/>
      <c r="E32" s="132" t="s">
        <v>31</v>
      </c>
      <c r="F32" s="132"/>
      <c r="G32" s="132"/>
      <c r="H32" s="132"/>
    </row>
    <row r="33" spans="1:19" s="22" customFormat="1" x14ac:dyDescent="0.25">
      <c r="A33" s="182" t="s">
        <v>91</v>
      </c>
      <c r="B33" s="182"/>
      <c r="C33" s="179" t="s">
        <v>169</v>
      </c>
      <c r="D33" s="180"/>
      <c r="E33" s="181"/>
      <c r="F33" s="179" t="s">
        <v>29</v>
      </c>
      <c r="G33" s="180"/>
      <c r="H33" s="181"/>
      <c r="S33" s="22" t="e">
        <f ca="1">OFFSET($S$13,1,MATCH($G20,$S$13:$W$13,0)-1,15,1)</f>
        <v>#VALUE!</v>
      </c>
    </row>
    <row r="34" spans="1:19" s="22" customFormat="1" x14ac:dyDescent="0.25">
      <c r="A34" s="178" t="s">
        <v>24</v>
      </c>
      <c r="B34" s="178" t="s">
        <v>28</v>
      </c>
      <c r="C34" s="174" t="s">
        <v>302</v>
      </c>
      <c r="D34" s="175"/>
      <c r="E34" s="176"/>
      <c r="F34" s="174" t="s">
        <v>307</v>
      </c>
      <c r="G34" s="175"/>
      <c r="H34" s="176"/>
    </row>
    <row r="35" spans="1:19" x14ac:dyDescent="0.25">
      <c r="A35" s="178" t="s">
        <v>25</v>
      </c>
      <c r="B35" s="178" t="s">
        <v>28</v>
      </c>
      <c r="C35" s="174" t="s">
        <v>302</v>
      </c>
      <c r="D35" s="175"/>
      <c r="E35" s="176"/>
      <c r="F35" s="174" t="s">
        <v>307</v>
      </c>
      <c r="G35" s="175"/>
      <c r="H35" s="176"/>
    </row>
    <row r="36" spans="1:19" s="22" customFormat="1" x14ac:dyDescent="0.25">
      <c r="A36" s="178" t="s">
        <v>27</v>
      </c>
      <c r="B36" s="178" t="s">
        <v>28</v>
      </c>
      <c r="C36" s="174" t="s">
        <v>302</v>
      </c>
      <c r="D36" s="175"/>
      <c r="E36" s="176"/>
      <c r="F36" s="174" t="s">
        <v>307</v>
      </c>
      <c r="G36" s="175"/>
      <c r="H36" s="176"/>
    </row>
    <row r="37" spans="1:19" x14ac:dyDescent="0.25">
      <c r="A37" s="178" t="s">
        <v>26</v>
      </c>
      <c r="B37" s="178" t="s">
        <v>28</v>
      </c>
      <c r="C37" s="174" t="s">
        <v>304</v>
      </c>
      <c r="D37" s="175"/>
      <c r="E37" s="176"/>
      <c r="F37" s="174" t="s">
        <v>10</v>
      </c>
      <c r="G37" s="175"/>
      <c r="H37" s="176"/>
    </row>
    <row r="38" spans="1:19" x14ac:dyDescent="0.25">
      <c r="A38" s="96" t="s">
        <v>275</v>
      </c>
      <c r="B38" s="96"/>
      <c r="C38" s="96"/>
      <c r="D38" s="96"/>
      <c r="E38" s="96"/>
      <c r="F38" s="96"/>
      <c r="G38" s="96"/>
      <c r="H38" s="96"/>
    </row>
    <row r="39" spans="1:19" ht="15.75" customHeight="1" x14ac:dyDescent="0.25">
      <c r="A39" s="96" t="s">
        <v>161</v>
      </c>
      <c r="B39" s="96"/>
      <c r="C39" s="162" t="s">
        <v>303</v>
      </c>
      <c r="D39" s="162"/>
      <c r="E39" s="162"/>
      <c r="F39" s="162"/>
      <c r="G39" s="162"/>
      <c r="H39" s="162"/>
    </row>
    <row r="40" spans="1:19" x14ac:dyDescent="0.25">
      <c r="A40" s="96" t="s">
        <v>157</v>
      </c>
      <c r="B40" s="96"/>
      <c r="C40" s="207" t="s">
        <v>305</v>
      </c>
      <c r="D40" s="132"/>
      <c r="E40" s="132"/>
      <c r="F40" s="132"/>
      <c r="G40" s="132"/>
      <c r="H40" s="132"/>
    </row>
    <row r="41" spans="1:19" x14ac:dyDescent="0.25">
      <c r="A41" s="162" t="s">
        <v>32</v>
      </c>
      <c r="B41" s="162"/>
      <c r="C41" s="162"/>
      <c r="D41" s="162"/>
      <c r="E41" s="162"/>
      <c r="F41" s="162"/>
      <c r="G41" s="162"/>
      <c r="H41" s="162"/>
    </row>
    <row r="42" spans="1:19" x14ac:dyDescent="0.25">
      <c r="A42" s="96" t="s">
        <v>33</v>
      </c>
      <c r="B42" s="96"/>
      <c r="C42" s="96"/>
      <c r="D42" s="96"/>
      <c r="E42" s="183">
        <v>3150</v>
      </c>
      <c r="F42" s="183"/>
      <c r="G42" s="183"/>
      <c r="H42" s="183"/>
    </row>
    <row r="43" spans="1:19" x14ac:dyDescent="0.25">
      <c r="A43" s="96" t="s">
        <v>34</v>
      </c>
      <c r="B43" s="96"/>
      <c r="C43" s="96"/>
      <c r="D43" s="96"/>
      <c r="E43" s="117">
        <f>3465/E42</f>
        <v>1.1000000000000001</v>
      </c>
      <c r="F43" s="117"/>
      <c r="G43" s="117"/>
      <c r="H43" s="117"/>
    </row>
    <row r="44" spans="1:19" x14ac:dyDescent="0.25">
      <c r="A44" s="96" t="s">
        <v>35</v>
      </c>
      <c r="B44" s="96"/>
      <c r="C44" s="96"/>
      <c r="D44" s="96"/>
      <c r="E44" s="117">
        <f>E46/E42-E43</f>
        <v>3.3827206349206347</v>
      </c>
      <c r="F44" s="117"/>
      <c r="G44" s="117"/>
      <c r="H44" s="117"/>
    </row>
    <row r="45" spans="1:19" x14ac:dyDescent="0.25">
      <c r="A45" s="96" t="s">
        <v>36</v>
      </c>
      <c r="B45" s="96"/>
      <c r="C45" s="96"/>
      <c r="D45" s="96"/>
      <c r="E45" s="117">
        <f>E43+E44</f>
        <v>4.4827206349206348</v>
      </c>
      <c r="F45" s="117"/>
      <c r="G45" s="117"/>
      <c r="H45" s="117"/>
      <c r="I45" s="64">
        <f>E46/E42</f>
        <v>4.4827206349206348</v>
      </c>
    </row>
    <row r="46" spans="1:19" x14ac:dyDescent="0.25">
      <c r="A46" s="79" t="s">
        <v>89</v>
      </c>
      <c r="B46" s="79"/>
      <c r="C46" s="79"/>
      <c r="D46" s="79"/>
      <c r="E46" s="197">
        <v>14120.57</v>
      </c>
      <c r="F46" s="197"/>
      <c r="G46" s="197"/>
      <c r="H46" s="197"/>
    </row>
    <row r="47" spans="1:19" x14ac:dyDescent="0.25">
      <c r="A47" s="79" t="s">
        <v>37</v>
      </c>
      <c r="B47" s="79"/>
      <c r="C47" s="79"/>
      <c r="D47" s="79"/>
      <c r="E47" s="79" t="s">
        <v>117</v>
      </c>
      <c r="F47" s="79"/>
      <c r="G47" s="79"/>
      <c r="H47" s="79"/>
    </row>
    <row r="48" spans="1:19" x14ac:dyDescent="0.25">
      <c r="A48" s="171" t="s">
        <v>38</v>
      </c>
      <c r="B48" s="171"/>
      <c r="C48" s="171"/>
      <c r="D48" s="171"/>
      <c r="E48" s="171"/>
      <c r="F48" s="171"/>
      <c r="G48" s="171"/>
      <c r="H48" s="171"/>
    </row>
    <row r="49" spans="1:24" ht="33.75" customHeight="1" x14ac:dyDescent="0.25">
      <c r="A49" s="211" t="s">
        <v>147</v>
      </c>
      <c r="B49" s="212"/>
      <c r="C49" s="213" t="s">
        <v>255</v>
      </c>
      <c r="D49" s="214"/>
      <c r="E49" s="214"/>
      <c r="F49" s="214"/>
      <c r="G49" s="214"/>
      <c r="H49" s="215"/>
      <c r="R49" t="s">
        <v>248</v>
      </c>
      <c r="S49" t="s">
        <v>168</v>
      </c>
      <c r="T49" t="s">
        <v>175</v>
      </c>
      <c r="U49" t="s">
        <v>190</v>
      </c>
      <c r="V49" t="s">
        <v>185</v>
      </c>
    </row>
    <row r="50" spans="1:24" ht="30.75" customHeight="1" x14ac:dyDescent="0.25">
      <c r="A50" s="89" t="s">
        <v>39</v>
      </c>
      <c r="B50" s="90"/>
      <c r="C50" s="89" t="s">
        <v>311</v>
      </c>
      <c r="D50" s="91"/>
      <c r="E50" s="90"/>
      <c r="F50" s="18" t="s">
        <v>40</v>
      </c>
      <c r="G50" s="130">
        <v>45363</v>
      </c>
      <c r="H50" s="90"/>
      <c r="R50"/>
      <c r="S50" t="s">
        <v>249</v>
      </c>
      <c r="T50" t="s">
        <v>254</v>
      </c>
      <c r="U50" t="s">
        <v>265</v>
      </c>
      <c r="V50" t="s">
        <v>270</v>
      </c>
    </row>
    <row r="51" spans="1:24" ht="33" customHeight="1" x14ac:dyDescent="0.25">
      <c r="A51" s="89" t="s">
        <v>41</v>
      </c>
      <c r="B51" s="90"/>
      <c r="C51" s="89" t="str">
        <f>C50</f>
        <v>S11/0231/20/TMC/TDD/0103/[P/C]/2024/Auto DCR</v>
      </c>
      <c r="D51" s="91"/>
      <c r="E51" s="90"/>
      <c r="F51" s="18" t="s">
        <v>40</v>
      </c>
      <c r="G51" s="130">
        <v>45363</v>
      </c>
      <c r="H51" s="90"/>
      <c r="R51"/>
      <c r="S51" t="s">
        <v>250</v>
      </c>
      <c r="T51" t="s">
        <v>255</v>
      </c>
      <c r="U51" t="s">
        <v>263</v>
      </c>
      <c r="V51" t="s">
        <v>271</v>
      </c>
    </row>
    <row r="52" spans="1:24" s="23" customFormat="1" ht="34.9" customHeight="1" x14ac:dyDescent="0.25">
      <c r="A52" s="142" t="s">
        <v>150</v>
      </c>
      <c r="B52" s="143"/>
      <c r="C52" s="89" t="str">
        <f>C51</f>
        <v>S11/0231/20/TMC/TDD/0103/[P/C]/2024/Auto DCR</v>
      </c>
      <c r="D52" s="91"/>
      <c r="E52" s="90"/>
      <c r="F52" s="18" t="s">
        <v>40</v>
      </c>
      <c r="G52" s="130">
        <v>45363</v>
      </c>
      <c r="H52" s="90"/>
      <c r="R52"/>
      <c r="S52" t="s">
        <v>251</v>
      </c>
      <c r="T52" t="s">
        <v>256</v>
      </c>
      <c r="U52" t="s">
        <v>253</v>
      </c>
      <c r="V52" t="s">
        <v>272</v>
      </c>
    </row>
    <row r="53" spans="1:24" s="23" customFormat="1" ht="16.5" customHeight="1" x14ac:dyDescent="0.25">
      <c r="A53" s="144"/>
      <c r="B53" s="145"/>
      <c r="C53" s="89" t="s">
        <v>329</v>
      </c>
      <c r="D53" s="91"/>
      <c r="E53" s="91"/>
      <c r="F53" s="91"/>
      <c r="G53" s="91"/>
      <c r="H53" s="90"/>
      <c r="R53"/>
      <c r="S53" t="s">
        <v>252</v>
      </c>
      <c r="T53" t="s">
        <v>259</v>
      </c>
      <c r="U53" t="s">
        <v>266</v>
      </c>
    </row>
    <row r="54" spans="1:24" s="23" customFormat="1" x14ac:dyDescent="0.25">
      <c r="A54" s="92" t="s">
        <v>276</v>
      </c>
      <c r="B54" s="135"/>
      <c r="C54" s="89" t="s">
        <v>338</v>
      </c>
      <c r="D54" s="91"/>
      <c r="E54" s="90"/>
      <c r="F54" s="18" t="s">
        <v>40</v>
      </c>
      <c r="G54" s="130">
        <v>44466</v>
      </c>
      <c r="H54" s="90"/>
      <c r="R54"/>
      <c r="S54" t="s">
        <v>251</v>
      </c>
      <c r="T54" t="s">
        <v>256</v>
      </c>
      <c r="U54" t="s">
        <v>253</v>
      </c>
      <c r="V54" t="s">
        <v>272</v>
      </c>
    </row>
    <row r="55" spans="1:24" s="23" customFormat="1" ht="32.25" customHeight="1" x14ac:dyDescent="0.25">
      <c r="A55" s="136"/>
      <c r="B55" s="137"/>
      <c r="C55" s="208" t="s">
        <v>339</v>
      </c>
      <c r="D55" s="209"/>
      <c r="E55" s="209"/>
      <c r="F55" s="209"/>
      <c r="G55" s="209"/>
      <c r="H55" s="210"/>
      <c r="R55"/>
      <c r="S55" t="s">
        <v>253</v>
      </c>
      <c r="T55" t="s">
        <v>257</v>
      </c>
      <c r="U55" t="s">
        <v>267</v>
      </c>
      <c r="V55" s="21"/>
      <c r="W55" s="21"/>
      <c r="X55" s="21"/>
    </row>
    <row r="56" spans="1:24" s="23" customFormat="1" ht="34.5" hidden="1" customHeight="1" x14ac:dyDescent="0.25">
      <c r="A56" s="138" t="s">
        <v>277</v>
      </c>
      <c r="B56" s="139"/>
      <c r="C56" s="89" t="str">
        <f>C55</f>
        <v>Survey No.29/1/A &amp; 29/1/B
Building No. 01 =  G/Stilt + 1st to 22nd Floor</v>
      </c>
      <c r="D56" s="91"/>
      <c r="E56" s="90"/>
      <c r="F56" s="18" t="s">
        <v>40</v>
      </c>
      <c r="G56" s="89">
        <f>G55</f>
        <v>0</v>
      </c>
      <c r="H56" s="90"/>
      <c r="R56"/>
      <c r="S56" s="21"/>
      <c r="T56" t="s">
        <v>258</v>
      </c>
      <c r="U56" t="s">
        <v>268</v>
      </c>
      <c r="V56" s="21"/>
      <c r="W56" s="21"/>
      <c r="X56" s="21"/>
    </row>
    <row r="57" spans="1:24" s="23" customFormat="1" ht="41.25" hidden="1" customHeight="1" x14ac:dyDescent="0.25">
      <c r="A57" s="140"/>
      <c r="B57" s="141"/>
      <c r="C57" s="89"/>
      <c r="D57" s="91"/>
      <c r="E57" s="91"/>
      <c r="F57" s="91"/>
      <c r="G57" s="91"/>
      <c r="H57" s="90"/>
      <c r="R57"/>
      <c r="S57" s="21"/>
      <c r="T57" t="s">
        <v>260</v>
      </c>
      <c r="U57" t="s">
        <v>269</v>
      </c>
      <c r="V57" s="21"/>
      <c r="W57" s="21"/>
      <c r="X57" s="21"/>
    </row>
    <row r="58" spans="1:24" s="23" customFormat="1" ht="15.75" hidden="1" customHeight="1" x14ac:dyDescent="0.25">
      <c r="A58" s="138" t="s">
        <v>278</v>
      </c>
      <c r="B58" s="139"/>
      <c r="C58" s="89">
        <f>C57</f>
        <v>0</v>
      </c>
      <c r="D58" s="91"/>
      <c r="E58" s="90"/>
      <c r="F58" s="18" t="s">
        <v>40</v>
      </c>
      <c r="G58" s="89">
        <f>G57</f>
        <v>0</v>
      </c>
      <c r="H58" s="90"/>
      <c r="R58"/>
      <c r="S58" s="21"/>
      <c r="T58" t="s">
        <v>261</v>
      </c>
      <c r="U58" s="21" t="s">
        <v>292</v>
      </c>
      <c r="V58" s="21"/>
      <c r="W58" s="21"/>
      <c r="X58" s="21"/>
    </row>
    <row r="59" spans="1:24" s="23" customFormat="1" ht="33.75" hidden="1" customHeight="1" x14ac:dyDescent="0.25">
      <c r="A59" s="140"/>
      <c r="B59" s="141"/>
      <c r="C59" s="89"/>
      <c r="D59" s="91"/>
      <c r="E59" s="91"/>
      <c r="F59" s="91"/>
      <c r="G59" s="91"/>
      <c r="H59" s="90"/>
      <c r="R59"/>
      <c r="S59" s="21"/>
      <c r="T59" t="s">
        <v>262</v>
      </c>
      <c r="U59" s="21"/>
      <c r="V59" s="21"/>
      <c r="W59" s="21"/>
      <c r="X59" s="21"/>
    </row>
    <row r="60" spans="1:24" x14ac:dyDescent="0.25">
      <c r="A60" s="109" t="s">
        <v>42</v>
      </c>
      <c r="B60" s="110"/>
      <c r="C60" s="109" t="s">
        <v>103</v>
      </c>
      <c r="D60" s="111"/>
      <c r="E60" s="110"/>
      <c r="F60" s="45" t="s">
        <v>40</v>
      </c>
      <c r="G60" s="133" t="s">
        <v>28</v>
      </c>
      <c r="H60" s="134"/>
      <c r="R60"/>
      <c r="T60" t="s">
        <v>264</v>
      </c>
    </row>
    <row r="61" spans="1:24" x14ac:dyDescent="0.25">
      <c r="A61" s="131" t="s">
        <v>44</v>
      </c>
      <c r="B61" s="131"/>
      <c r="C61" s="131"/>
      <c r="D61" s="131"/>
      <c r="E61" s="131"/>
      <c r="F61" s="131"/>
      <c r="G61" s="131"/>
      <c r="H61" s="131"/>
      <c r="T61" t="s">
        <v>273</v>
      </c>
    </row>
    <row r="62" spans="1:24" x14ac:dyDescent="0.25">
      <c r="A62" s="115" t="s">
        <v>88</v>
      </c>
      <c r="B62" s="115"/>
      <c r="C62" s="115"/>
      <c r="D62" s="96">
        <f>E46</f>
        <v>14120.57</v>
      </c>
      <c r="E62" s="96"/>
      <c r="F62" s="96"/>
      <c r="G62" s="96"/>
      <c r="H62" s="96"/>
      <c r="R62"/>
    </row>
    <row r="63" spans="1:24" x14ac:dyDescent="0.25">
      <c r="A63" s="132" t="s">
        <v>45</v>
      </c>
      <c r="B63" s="79"/>
      <c r="C63" s="79"/>
      <c r="D63" s="79" t="s">
        <v>327</v>
      </c>
      <c r="E63" s="79"/>
      <c r="F63" s="79"/>
      <c r="G63" s="79"/>
      <c r="H63" s="79"/>
      <c r="I63" s="24"/>
      <c r="R63"/>
    </row>
    <row r="64" spans="1:24" x14ac:dyDescent="0.25">
      <c r="A64" s="92" t="s">
        <v>46</v>
      </c>
      <c r="B64" s="93"/>
      <c r="C64" s="135"/>
      <c r="D64" s="164" t="s">
        <v>328</v>
      </c>
      <c r="E64" s="204"/>
      <c r="F64" s="204"/>
      <c r="G64" s="204"/>
      <c r="H64" s="204"/>
      <c r="R64"/>
    </row>
    <row r="65" spans="1:19" ht="15.75" customHeight="1" x14ac:dyDescent="0.25">
      <c r="A65" s="92" t="s">
        <v>86</v>
      </c>
      <c r="B65" s="93"/>
      <c r="C65" s="93"/>
      <c r="D65" s="216" t="s">
        <v>329</v>
      </c>
      <c r="E65" s="217"/>
      <c r="F65" s="217"/>
      <c r="G65" s="217"/>
      <c r="H65" s="218"/>
      <c r="R65"/>
    </row>
    <row r="66" spans="1:19" ht="15.75" customHeight="1" x14ac:dyDescent="0.25">
      <c r="A66" s="79" t="s">
        <v>43</v>
      </c>
      <c r="B66" s="79"/>
      <c r="C66" s="79"/>
      <c r="D66" s="184" t="s">
        <v>310</v>
      </c>
      <c r="E66" s="184"/>
      <c r="F66" s="184"/>
      <c r="G66" s="184"/>
      <c r="H66" s="184"/>
      <c r="J66" s="25"/>
      <c r="K66" s="24"/>
      <c r="N66" s="24"/>
      <c r="S66"/>
    </row>
    <row r="67" spans="1:19" ht="15.75" customHeight="1" x14ac:dyDescent="0.25">
      <c r="A67" s="79" t="s">
        <v>84</v>
      </c>
      <c r="B67" s="79"/>
      <c r="C67" s="79"/>
      <c r="D67" s="196" t="str">
        <f>(IF(G60="NA","60 Years After Completion",IF(G60&lt;&gt;"NA",""&amp;60-ROUNDDOWN((E3-G60)/360,0)&amp;" Years"," ")))</f>
        <v>60 Years After Completion</v>
      </c>
      <c r="E67" s="196"/>
      <c r="F67" s="196"/>
      <c r="G67" s="196"/>
      <c r="H67" s="196"/>
      <c r="N67" s="24"/>
      <c r="S67"/>
    </row>
    <row r="68" spans="1:19" ht="15.75" customHeight="1" x14ac:dyDescent="0.25">
      <c r="A68" s="79" t="s">
        <v>85</v>
      </c>
      <c r="B68" s="79"/>
      <c r="C68" s="79"/>
      <c r="D68" s="132" t="s">
        <v>23</v>
      </c>
      <c r="E68" s="132"/>
      <c r="F68" s="132"/>
      <c r="G68" s="132"/>
      <c r="H68" s="132"/>
      <c r="J68" s="26"/>
      <c r="K68" s="26"/>
      <c r="S68"/>
    </row>
    <row r="69" spans="1:19" ht="32.25" customHeight="1" x14ac:dyDescent="0.25">
      <c r="A69" s="79" t="s">
        <v>333</v>
      </c>
      <c r="B69" s="79"/>
      <c r="C69" s="79"/>
      <c r="D69" s="132" t="s">
        <v>312</v>
      </c>
      <c r="E69" s="132"/>
      <c r="F69" s="132"/>
      <c r="G69" s="132"/>
      <c r="H69" s="132"/>
      <c r="S69"/>
    </row>
    <row r="70" spans="1:19" x14ac:dyDescent="0.25">
      <c r="A70" s="115" t="s">
        <v>144</v>
      </c>
      <c r="B70" s="115"/>
      <c r="C70" s="115"/>
      <c r="D70" s="115" t="s">
        <v>28</v>
      </c>
      <c r="E70" s="115"/>
      <c r="F70" s="115"/>
      <c r="G70" s="115"/>
      <c r="H70" s="115"/>
      <c r="I70" s="27"/>
      <c r="J70" s="27"/>
      <c r="K70" s="27"/>
      <c r="L70" s="27"/>
      <c r="M70" s="27"/>
      <c r="N70" s="27"/>
    </row>
    <row r="71" spans="1:19" ht="15.75" customHeight="1" x14ac:dyDescent="0.25">
      <c r="A71" s="116" t="s">
        <v>83</v>
      </c>
      <c r="B71" s="116"/>
      <c r="C71" s="116"/>
      <c r="D71" s="164" t="str">
        <f ca="1">(IF(G77&gt;95%,"Nothing",IF(G77&gt;0%,"Cement, Aggregate, Steel, etc",IF(G77=0%,"Work not yet Started"))))</f>
        <v>Cement, Aggregate, Steel, etc</v>
      </c>
      <c r="E71" s="164"/>
      <c r="F71" s="164"/>
      <c r="G71" s="164"/>
      <c r="H71" s="164"/>
      <c r="J71" s="26"/>
      <c r="S71"/>
    </row>
    <row r="72" spans="1:19" ht="33.75" customHeight="1" thickBot="1" x14ac:dyDescent="0.3">
      <c r="A72" s="163" t="s">
        <v>116</v>
      </c>
      <c r="B72" s="163"/>
      <c r="C72" s="163"/>
      <c r="D72" s="164" t="str">
        <f ca="1">(IF(D71="Nothing","Yes",IF(D71="Cement, Aggregate, Steel, etc","Under Construction",IF(D71="Work not yet Started","Work not yet Started"))))</f>
        <v>Under Construction</v>
      </c>
      <c r="E72" s="164"/>
      <c r="F72" s="164" t="str">
        <f ca="1">(IF(D71="Nothing","Yes",IF(D71="Cement, Aggregate, Steel, etc","Under Construction",IF(D71="Work not yet Started","Work not yet Started"))))</f>
        <v>Under Construction</v>
      </c>
      <c r="G72" s="164"/>
      <c r="H72" s="164"/>
      <c r="S72"/>
    </row>
    <row r="73" spans="1:19" ht="15.75" customHeight="1" x14ac:dyDescent="0.25">
      <c r="A73" s="219" t="s">
        <v>136</v>
      </c>
      <c r="B73" s="220"/>
      <c r="C73" s="221" t="s">
        <v>329</v>
      </c>
      <c r="D73" s="222"/>
      <c r="E73" s="222"/>
      <c r="F73" s="222"/>
      <c r="G73" s="222"/>
      <c r="H73" s="223"/>
      <c r="I73" s="48" t="str">
        <f ca="1">IF(D86=100%,"All work Completed. Possession granted to the Building.",IF(D85=100%,"All work Completed, Waiting for OC",I74&amp;""&amp;I75&amp;""&amp;J74&amp;""&amp;J73&amp;" "&amp;J75))</f>
        <v>Excavation, Plinth Completed, RCC upto 6 Slab, Brickwork upto 3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6 Slab, Brickwork upto 3 Floor</v>
      </c>
      <c r="S73"/>
    </row>
    <row r="74" spans="1:19" x14ac:dyDescent="0.25">
      <c r="A74" s="16" t="s">
        <v>138</v>
      </c>
      <c r="B74" s="46">
        <f>IF(AND(ISNUMBER(SEARCH("1B",C73))),1,IF(AND(ISNUMBER(SEARCH("2B",C73))),2,IF(AND(ISNUMBER(SEARCH("3B",C73))),3,IF(AND(ISNUMBER(SEARCH("4B",C73))),4,IF(ISNUMBER(SEARCH("5B",C73)),5,0)))))</f>
        <v>0</v>
      </c>
      <c r="C74" s="46" t="s">
        <v>69</v>
      </c>
      <c r="D74" s="46">
        <v>1</v>
      </c>
      <c r="E74" s="46" t="s">
        <v>68</v>
      </c>
      <c r="F74" s="46">
        <v>0</v>
      </c>
      <c r="G74" s="46" t="s">
        <v>77</v>
      </c>
      <c r="H74" s="17">
        <f ca="1">--TRIM(RIGHT(SUBSTITUTE(LEFT(C73,_xlfn.AGGREGATE(16,6,FIND({0,1,2,3,4,5,6,7,8,9},C73,ROW(INDIRECT("1:"&amp;LEN(C73)))),1))," ",REPT(" ",LEN(C73))),LEN(C73)))</f>
        <v>22</v>
      </c>
      <c r="I74" s="50" t="str">
        <f ca="1">IF(D77=100%,"Excavation","")&amp;IF(D78=100%,", Plinth","")&amp;IF(D79=100%,", RCC Slab","")&amp;IF(D80=100%,", Brickwork","")&amp;IF(D81=100%,", Internal Plaster","")&amp;IF(D82=100%,", External Plaster","")&amp;IF(D83=100%,", Flooring","")&amp;IF(D84=100%,", Painting","")&amp;IF(D85=100%,", Building common Amenities","")</f>
        <v>Excavation, Plinth</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25" customHeight="1" x14ac:dyDescent="0.25">
      <c r="A75" s="198" t="s">
        <v>87</v>
      </c>
      <c r="B75" s="171"/>
      <c r="C75" s="205" t="str">
        <f ca="1">I73</f>
        <v>Excavation, Plinth Completed, RCC upto 6 Slab, Brickwork upto 3 Floor Completed</v>
      </c>
      <c r="D75" s="205"/>
      <c r="E75" s="205"/>
      <c r="F75" s="205"/>
      <c r="G75" s="205"/>
      <c r="H75" s="206"/>
      <c r="I75" s="50" t="str">
        <f ca="1">IF(I74&lt;&gt;""," Completed","")</f>
        <v xml:space="preserve"> Completed</v>
      </c>
      <c r="J75" s="51" t="str">
        <f ca="1">IF(J73&lt;&gt;"","Completed","")</f>
        <v>Completed</v>
      </c>
      <c r="S75"/>
    </row>
    <row r="76" spans="1:19" ht="15.75" customHeight="1" x14ac:dyDescent="0.25">
      <c r="A76" s="123" t="s">
        <v>47</v>
      </c>
      <c r="B76" s="124"/>
      <c r="C76" s="67" t="s">
        <v>135</v>
      </c>
      <c r="D76" s="67" t="s">
        <v>80</v>
      </c>
      <c r="E76" s="124" t="s">
        <v>82</v>
      </c>
      <c r="F76" s="124"/>
      <c r="G76" s="124" t="s">
        <v>81</v>
      </c>
      <c r="H76" s="165"/>
      <c r="I76" s="13" t="s">
        <v>137</v>
      </c>
      <c r="J76" s="28">
        <f ca="1">H74*25%</f>
        <v>5.5</v>
      </c>
      <c r="S76"/>
    </row>
    <row r="77" spans="1:19" x14ac:dyDescent="0.25">
      <c r="A77" s="123" t="s">
        <v>124</v>
      </c>
      <c r="B77" s="124"/>
      <c r="C77" s="67">
        <f ca="1">J78</f>
        <v>22</v>
      </c>
      <c r="D77" s="68">
        <f ca="1">((100/H74)*C77)/100</f>
        <v>1.0000000000000002</v>
      </c>
      <c r="E77" s="185">
        <f ca="1">(((C78/H74*10)+(40/(D74+F74+H74)*C79)+(7.5/(H74)*C80)+(7.5/(H74)*C81)+(10/H74*C82)+(10/H74*C83)+(5/H74*C84)+(5/H74*C85)+(5/H74*C86))/100)</f>
        <v>0.21457509881422926</v>
      </c>
      <c r="F77" s="186"/>
      <c r="G77" s="185">
        <f ca="1">((((C77/H74)*20)+((C78/H74)*25)+(30/(H74+F74+D74)*C79)+(5/H74*C80)+(5/H74*C81)+(5/H74*C82)+(5/H74*C83)+(0/H74*C84)+(0/H74*C85)+(5/H74*C86))/100)</f>
        <v>0.53507905138339917</v>
      </c>
      <c r="H77" s="191"/>
      <c r="I77" s="13" t="s">
        <v>98</v>
      </c>
      <c r="J77" s="29">
        <f ca="1">H74*50%</f>
        <v>11</v>
      </c>
    </row>
    <row r="78" spans="1:19" x14ac:dyDescent="0.25">
      <c r="A78" s="123" t="s">
        <v>48</v>
      </c>
      <c r="B78" s="124"/>
      <c r="C78" s="69">
        <v>22</v>
      </c>
      <c r="D78" s="68">
        <f ca="1">((100/H74)*C78)/100</f>
        <v>1.0000000000000002</v>
      </c>
      <c r="E78" s="187"/>
      <c r="F78" s="188"/>
      <c r="G78" s="187"/>
      <c r="H78" s="192"/>
      <c r="I78" s="13" t="s">
        <v>99</v>
      </c>
      <c r="J78" s="29">
        <f ca="1">H74</f>
        <v>22</v>
      </c>
      <c r="S78"/>
    </row>
    <row r="79" spans="1:19" ht="15.75" customHeight="1" x14ac:dyDescent="0.25">
      <c r="A79" s="123" t="s">
        <v>125</v>
      </c>
      <c r="B79" s="124"/>
      <c r="C79" s="67">
        <v>6</v>
      </c>
      <c r="D79" s="68">
        <f ca="1">((100/(D74+F74+H74))*C79)/100</f>
        <v>0.2608695652173913</v>
      </c>
      <c r="E79" s="187"/>
      <c r="F79" s="188"/>
      <c r="G79" s="187"/>
      <c r="H79" s="192"/>
      <c r="I79" s="13" t="s">
        <v>100</v>
      </c>
      <c r="J79" s="30">
        <f ca="1">(IF(B74&gt;1,(H74/(B74+2)),H74/4))</f>
        <v>5.5</v>
      </c>
      <c r="S79"/>
    </row>
    <row r="80" spans="1:19" ht="15.75" customHeight="1" x14ac:dyDescent="0.25">
      <c r="A80" s="123" t="s">
        <v>132</v>
      </c>
      <c r="B80" s="124" t="s">
        <v>126</v>
      </c>
      <c r="C80" s="67">
        <v>3</v>
      </c>
      <c r="D80" s="68">
        <f ca="1">((100/H74)*C80)/100</f>
        <v>0.13636363636363635</v>
      </c>
      <c r="E80" s="187"/>
      <c r="F80" s="188"/>
      <c r="G80" s="187"/>
      <c r="H80" s="192"/>
      <c r="I80" s="13" t="s">
        <v>101</v>
      </c>
      <c r="J80" s="30">
        <f ca="1">(IF(B74&gt;1,(H74/(B74+2)+J79),H74/4+J79))</f>
        <v>11</v>
      </c>
    </row>
    <row r="81" spans="1:10" ht="15.75" customHeight="1" x14ac:dyDescent="0.25">
      <c r="A81" s="123" t="s">
        <v>133</v>
      </c>
      <c r="B81" s="124" t="s">
        <v>126</v>
      </c>
      <c r="C81" s="67">
        <v>0</v>
      </c>
      <c r="D81" s="68">
        <f ca="1">((100/H74)*C81)/100</f>
        <v>0</v>
      </c>
      <c r="E81" s="187"/>
      <c r="F81" s="188"/>
      <c r="G81" s="187"/>
      <c r="H81" s="192"/>
      <c r="I81" s="13" t="s">
        <v>142</v>
      </c>
      <c r="J81" s="30">
        <f>(IF(B74&gt;1,(H74/(B74+2)+J80),0))</f>
        <v>0</v>
      </c>
    </row>
    <row r="82" spans="1:10" ht="15" customHeight="1" x14ac:dyDescent="0.25">
      <c r="A82" s="123" t="s">
        <v>131</v>
      </c>
      <c r="B82" s="124" t="s">
        <v>128</v>
      </c>
      <c r="C82" s="67">
        <v>0</v>
      </c>
      <c r="D82" s="68">
        <f ca="1">((100/(H74))*C82)/100</f>
        <v>0</v>
      </c>
      <c r="E82" s="187"/>
      <c r="F82" s="188"/>
      <c r="G82" s="187"/>
      <c r="H82" s="192"/>
      <c r="I82" s="13" t="s">
        <v>139</v>
      </c>
      <c r="J82" s="30">
        <f>(IF(B74&gt;2,(H74/(B74+2)+J81),0))</f>
        <v>0</v>
      </c>
    </row>
    <row r="83" spans="1:10" ht="15.75" customHeight="1" x14ac:dyDescent="0.25">
      <c r="A83" s="123" t="s">
        <v>127</v>
      </c>
      <c r="B83" s="124" t="s">
        <v>127</v>
      </c>
      <c r="C83" s="67">
        <v>0</v>
      </c>
      <c r="D83" s="68">
        <f ca="1">((100/H74)*C83)/100</f>
        <v>0</v>
      </c>
      <c r="E83" s="187"/>
      <c r="F83" s="188"/>
      <c r="G83" s="187"/>
      <c r="H83" s="192"/>
      <c r="I83" s="13" t="s">
        <v>140</v>
      </c>
      <c r="J83" s="31">
        <f>(IF(B74&gt;3,(H74/(B74+2)+J82),0))</f>
        <v>0</v>
      </c>
    </row>
    <row r="84" spans="1:10" ht="15.75" customHeight="1" x14ac:dyDescent="0.25">
      <c r="A84" s="123" t="s">
        <v>134</v>
      </c>
      <c r="B84" s="124"/>
      <c r="C84" s="67">
        <v>0</v>
      </c>
      <c r="D84" s="68">
        <f ca="1">((100/H74)*C84)/100</f>
        <v>0</v>
      </c>
      <c r="E84" s="187"/>
      <c r="F84" s="188"/>
      <c r="G84" s="187"/>
      <c r="H84" s="192"/>
      <c r="I84" s="13" t="s">
        <v>141</v>
      </c>
      <c r="J84" s="30">
        <f>(IF(B74&gt;4,(H74/(B74+2)+J83),0))</f>
        <v>0</v>
      </c>
    </row>
    <row r="85" spans="1:10" ht="15.75" customHeight="1" x14ac:dyDescent="0.25">
      <c r="A85" s="123" t="s">
        <v>129</v>
      </c>
      <c r="B85" s="124" t="s">
        <v>129</v>
      </c>
      <c r="C85" s="67">
        <v>0</v>
      </c>
      <c r="D85" s="68">
        <f ca="1">((100/(H74))*C85)/100</f>
        <v>0</v>
      </c>
      <c r="E85" s="187"/>
      <c r="F85" s="188"/>
      <c r="G85" s="187"/>
      <c r="H85" s="192"/>
      <c r="I85" s="13" t="s">
        <v>143</v>
      </c>
      <c r="J85" s="30">
        <f ca="1">(IF(B74=1,(H74/(B74+3)+J80),IF(B74=0,(H74/4+J80),IF(B74&gt;1,0))))</f>
        <v>16.5</v>
      </c>
    </row>
    <row r="86" spans="1:10" ht="16.5" thickBot="1" x14ac:dyDescent="0.3">
      <c r="A86" s="194" t="s">
        <v>130</v>
      </c>
      <c r="B86" s="195"/>
      <c r="C86" s="70">
        <v>0</v>
      </c>
      <c r="D86" s="71">
        <f ca="1">((100/(H74))*C86)/100</f>
        <v>0</v>
      </c>
      <c r="E86" s="189"/>
      <c r="F86" s="190"/>
      <c r="G86" s="189"/>
      <c r="H86" s="193"/>
      <c r="I86" s="15" t="s">
        <v>102</v>
      </c>
      <c r="J86" s="32">
        <f ca="1">(IF(B74&gt;1.5,(H74/(B74+2)+J80+MAX(0,J81-J80)+MAX(0,J82-J81)+MAX(0,J83-J82)+MAX(0,J84-J83)+MAX(0,J85-J84)),IF(B74=1,(H74/(B74+3)+J85),IF(B74=0,H74/4+J85))))</f>
        <v>22</v>
      </c>
    </row>
    <row r="87" spans="1:10" ht="15.75" hidden="1" customHeight="1" x14ac:dyDescent="0.25">
      <c r="A87" s="118" t="s">
        <v>136</v>
      </c>
      <c r="B87" s="119"/>
      <c r="C87" s="120" t="e">
        <f>#REF!</f>
        <v>#REF!</v>
      </c>
      <c r="D87" s="121"/>
      <c r="E87" s="121"/>
      <c r="F87" s="121"/>
      <c r="G87" s="121"/>
      <c r="H87" s="122"/>
      <c r="I87" s="48" t="e">
        <f ca="1">IF(D100=100%,"All work Completed. Possession granted to the Building.",IF(D99=100%,"All work Completed, Waiting for OC",I88&amp;""&amp;I89&amp;""&amp;J88&amp;""&amp;J87&amp;" "&amp;J89))</f>
        <v>#REF!</v>
      </c>
      <c r="J87" s="49"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25">
      <c r="A88" s="16" t="s">
        <v>138</v>
      </c>
      <c r="B88" s="46">
        <f>IF(AND(ISNUMBER(SEARCH("1B",C87))),1,IF(AND(ISNUMBER(SEARCH("2B",C87))),2,IF(AND(ISNUMBER(SEARCH("3B",C87))),3,IF(AND(ISNUMBER(SEARCH("4B",C87))),4,IF(ISNUMBER(SEARCH("5B",C87)),5,0)))))</f>
        <v>0</v>
      </c>
      <c r="C88" s="46" t="s">
        <v>69</v>
      </c>
      <c r="D88" s="46">
        <v>1</v>
      </c>
      <c r="E88" s="46" t="s">
        <v>68</v>
      </c>
      <c r="F88" s="14">
        <v>0</v>
      </c>
      <c r="G88" s="47" t="s">
        <v>77</v>
      </c>
      <c r="H88" s="17" t="e">
        <f ca="1">--TRIM(RIGHT(SUBSTITUTE(LEFT(C87,_xlfn.AGGREGATE(16,6,FIND({0,1,2,3,4,5,6,7,8,9},C87,ROW(INDIRECT("1:"&amp;LEN(C87)))),1))," ",REPT(" ",LEN(C87))),LEN(C87)))</f>
        <v>#REF!</v>
      </c>
      <c r="I88" s="50" t="e">
        <f ca="1">IF(D91=100%,"Excavation","")&amp;IF(D92=100%,", Plinth","")&amp;IF(D93=100%,", RCC Slab","")&amp;IF(D94=100%,", Brickwork","")&amp;IF(D95=100%,", Internal Plaster","")&amp;IF(D96=100%,", External Plaster","")&amp;IF(D97=100%,", Flooring","")&amp;IF(D98=100%,", Painting","")&amp;IF(D99=100%,", Building common Amenities","")</f>
        <v>#REF!</v>
      </c>
      <c r="J88" s="51"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25">
      <c r="A89" s="198" t="s">
        <v>87</v>
      </c>
      <c r="B89" s="171"/>
      <c r="C89" s="205" t="e">
        <f ca="1">(IF($G$60="NA",I87,"All work Completed. OC Received."))</f>
        <v>#REF!</v>
      </c>
      <c r="D89" s="205"/>
      <c r="E89" s="205"/>
      <c r="F89" s="205"/>
      <c r="G89" s="205"/>
      <c r="H89" s="206"/>
      <c r="I89" s="50" t="e">
        <f ca="1">IF(I88&lt;&gt;""," Completed","")</f>
        <v>#REF!</v>
      </c>
      <c r="J89" s="51" t="e">
        <f ca="1">IF(J87&lt;&gt;"","Completed","")</f>
        <v>#REF!</v>
      </c>
    </row>
    <row r="90" spans="1:10" ht="15.75" hidden="1" customHeight="1" x14ac:dyDescent="0.25">
      <c r="A90" s="98" t="s">
        <v>47</v>
      </c>
      <c r="B90" s="94"/>
      <c r="C90" s="43" t="s">
        <v>135</v>
      </c>
      <c r="D90" s="43" t="s">
        <v>80</v>
      </c>
      <c r="E90" s="94" t="s">
        <v>82</v>
      </c>
      <c r="F90" s="94"/>
      <c r="G90" s="94" t="s">
        <v>81</v>
      </c>
      <c r="H90" s="95"/>
      <c r="I90" s="13" t="s">
        <v>137</v>
      </c>
      <c r="J90" s="28" t="e">
        <f ca="1">H88*25%</f>
        <v>#REF!</v>
      </c>
    </row>
    <row r="91" spans="1:10" hidden="1" x14ac:dyDescent="0.25">
      <c r="A91" s="98" t="s">
        <v>124</v>
      </c>
      <c r="B91" s="94"/>
      <c r="C91" s="59" t="e">
        <f ca="1">J92</f>
        <v>#REF!</v>
      </c>
      <c r="D91" s="19" t="e">
        <f ca="1">((100/H88)*C91)/100</f>
        <v>#REF!</v>
      </c>
      <c r="E91" s="99" t="e">
        <f ca="1">(((C92/H88*10)+(40/(D88+F88+H88)*C93)+(7.5/(H88)*C94)+(7.5/(H88)*C95)+(10/H88*C96)+(10/H88*C97)+(5/H88*C98)+(5/H88*C99)+(5/H88*C100))/100)</f>
        <v>#REF!</v>
      </c>
      <c r="F91" s="100"/>
      <c r="G91" s="99" t="e">
        <f ca="1">((((C91/H88)*20)+((C92/H88)*25)+(30/(H88+F88+D88)*C93)+(5/H88*C94)+(5/H88*C95)+(5/H88*C96)+(5/H88*C97)+(0/H88*C98)+(0/H88*C99)+(5/H88*C100))/100)</f>
        <v>#REF!</v>
      </c>
      <c r="H91" s="166"/>
      <c r="I91" s="13" t="s">
        <v>98</v>
      </c>
      <c r="J91" s="29" t="e">
        <f ca="1">H88*50%</f>
        <v>#REF!</v>
      </c>
    </row>
    <row r="92" spans="1:10" hidden="1" x14ac:dyDescent="0.25">
      <c r="A92" s="98" t="s">
        <v>48</v>
      </c>
      <c r="B92" s="94"/>
      <c r="C92" s="60">
        <v>19</v>
      </c>
      <c r="D92" s="19" t="e">
        <f ca="1">((100/H88)*C92)/100</f>
        <v>#REF!</v>
      </c>
      <c r="E92" s="101"/>
      <c r="F92" s="102"/>
      <c r="G92" s="101"/>
      <c r="H92" s="167"/>
      <c r="I92" s="13" t="s">
        <v>99</v>
      </c>
      <c r="J92" s="29" t="e">
        <f ca="1">H88</f>
        <v>#REF!</v>
      </c>
    </row>
    <row r="93" spans="1:10" ht="15.75" hidden="1" customHeight="1" x14ac:dyDescent="0.25">
      <c r="A93" s="98" t="s">
        <v>125</v>
      </c>
      <c r="B93" s="94"/>
      <c r="C93" s="43">
        <v>0</v>
      </c>
      <c r="D93" s="19" t="e">
        <f ca="1">((100/(D88+F88+H88))*C93)/100</f>
        <v>#REF!</v>
      </c>
      <c r="E93" s="101"/>
      <c r="F93" s="102"/>
      <c r="G93" s="101"/>
      <c r="H93" s="167"/>
      <c r="I93" s="13" t="s">
        <v>100</v>
      </c>
      <c r="J93" s="30" t="e">
        <f ca="1">(IF(B88&gt;1,(H88/(B88+2)),H88/4))</f>
        <v>#REF!</v>
      </c>
    </row>
    <row r="94" spans="1:10" ht="15.75" hidden="1" customHeight="1" x14ac:dyDescent="0.25">
      <c r="A94" s="98" t="s">
        <v>132</v>
      </c>
      <c r="B94" s="94" t="s">
        <v>126</v>
      </c>
      <c r="C94" s="43">
        <v>0</v>
      </c>
      <c r="D94" s="19" t="e">
        <f ca="1">((100/H88)*C94)/100</f>
        <v>#REF!</v>
      </c>
      <c r="E94" s="101"/>
      <c r="F94" s="102"/>
      <c r="G94" s="101"/>
      <c r="H94" s="167"/>
      <c r="I94" s="13" t="s">
        <v>101</v>
      </c>
      <c r="J94" s="30" t="e">
        <f ca="1">(IF(B88&gt;1,(H88/(B88+2)+J93),H88/4+J93))</f>
        <v>#REF!</v>
      </c>
    </row>
    <row r="95" spans="1:10" ht="15.75" hidden="1" customHeight="1" x14ac:dyDescent="0.25">
      <c r="A95" s="98" t="s">
        <v>133</v>
      </c>
      <c r="B95" s="94" t="s">
        <v>126</v>
      </c>
      <c r="C95" s="43">
        <v>0</v>
      </c>
      <c r="D95" s="19" t="e">
        <f ca="1">((100/H88)*C95)/100</f>
        <v>#REF!</v>
      </c>
      <c r="E95" s="101"/>
      <c r="F95" s="102"/>
      <c r="G95" s="101"/>
      <c r="H95" s="167"/>
      <c r="I95" s="13" t="s">
        <v>142</v>
      </c>
      <c r="J95" s="30">
        <f>(IF(B88&gt;1,(H88/(B88+2)+J94),0))</f>
        <v>0</v>
      </c>
    </row>
    <row r="96" spans="1:10" ht="15" hidden="1" customHeight="1" x14ac:dyDescent="0.25">
      <c r="A96" s="98" t="s">
        <v>131</v>
      </c>
      <c r="B96" s="94" t="s">
        <v>128</v>
      </c>
      <c r="C96" s="43">
        <v>0</v>
      </c>
      <c r="D96" s="19" t="e">
        <f ca="1">((100/(H88))*C96)/100</f>
        <v>#REF!</v>
      </c>
      <c r="E96" s="101"/>
      <c r="F96" s="102"/>
      <c r="G96" s="101"/>
      <c r="H96" s="167"/>
      <c r="I96" s="13" t="s">
        <v>139</v>
      </c>
      <c r="J96" s="30">
        <f>(IF(B88&gt;2,(H88/(B88+2)+J95),0))</f>
        <v>0</v>
      </c>
    </row>
    <row r="97" spans="1:10" ht="15.75" hidden="1" customHeight="1" x14ac:dyDescent="0.25">
      <c r="A97" s="98" t="s">
        <v>127</v>
      </c>
      <c r="B97" s="94" t="s">
        <v>127</v>
      </c>
      <c r="C97" s="43">
        <v>0</v>
      </c>
      <c r="D97" s="19" t="e">
        <f ca="1">((100/H88)*C97)/100</f>
        <v>#REF!</v>
      </c>
      <c r="E97" s="101"/>
      <c r="F97" s="102"/>
      <c r="G97" s="101"/>
      <c r="H97" s="167"/>
      <c r="I97" s="13" t="s">
        <v>140</v>
      </c>
      <c r="J97" s="31">
        <f>(IF(B88&gt;3,(H88/(B88+2)+J96),0))</f>
        <v>0</v>
      </c>
    </row>
    <row r="98" spans="1:10" ht="15.75" hidden="1" customHeight="1" x14ac:dyDescent="0.25">
      <c r="A98" s="98" t="s">
        <v>134</v>
      </c>
      <c r="B98" s="94"/>
      <c r="C98" s="43">
        <v>0</v>
      </c>
      <c r="D98" s="19" t="e">
        <f ca="1">((100/H88)*C98)/100</f>
        <v>#REF!</v>
      </c>
      <c r="E98" s="101"/>
      <c r="F98" s="102"/>
      <c r="G98" s="101"/>
      <c r="H98" s="167"/>
      <c r="I98" s="13" t="s">
        <v>141</v>
      </c>
      <c r="J98" s="30">
        <f>(IF(B88&gt;4,(H88/(B88+2)+J97),0))</f>
        <v>0</v>
      </c>
    </row>
    <row r="99" spans="1:10" ht="15.75" hidden="1" customHeight="1" x14ac:dyDescent="0.25">
      <c r="A99" s="98" t="s">
        <v>129</v>
      </c>
      <c r="B99" s="94" t="s">
        <v>129</v>
      </c>
      <c r="C99" s="43">
        <v>0</v>
      </c>
      <c r="D99" s="19" t="e">
        <f ca="1">((100/(H88))*C99)/100</f>
        <v>#REF!</v>
      </c>
      <c r="E99" s="101"/>
      <c r="F99" s="102"/>
      <c r="G99" s="101"/>
      <c r="H99" s="167"/>
      <c r="I99" s="13" t="s">
        <v>143</v>
      </c>
      <c r="J99" s="30" t="e">
        <f ca="1">(IF(B88=1,(H88/(B88+3)+J94),IF(B88=0,(H88/4+J94),IF(B88&gt;1,0))))</f>
        <v>#REF!</v>
      </c>
    </row>
    <row r="100" spans="1:10" ht="16.5" hidden="1" thickBot="1" x14ac:dyDescent="0.3">
      <c r="A100" s="149" t="s">
        <v>130</v>
      </c>
      <c r="B100" s="150"/>
      <c r="C100" s="44">
        <v>0</v>
      </c>
      <c r="D100" s="20" t="e">
        <f ca="1">((100/(H88))*C100)/100</f>
        <v>#REF!</v>
      </c>
      <c r="E100" s="103"/>
      <c r="F100" s="104"/>
      <c r="G100" s="103"/>
      <c r="H100" s="168"/>
      <c r="I100" s="15" t="s">
        <v>102</v>
      </c>
      <c r="J100" s="32" t="e">
        <f ca="1">(IF(B88&gt;1.5,(H88/(B88+2)+J94+MAX(0,J95-J94)+MAX(0,J96-J95)+MAX(0,J97-J96)+MAX(0,J98-J97)+MAX(0,J99-J98)),IF(B88=1,(H88/(B88+3)+J99),IF(B88=0,H88/4+J99))))</f>
        <v>#REF!</v>
      </c>
    </row>
    <row r="101" spans="1:10" ht="15.75" hidden="1" customHeight="1" x14ac:dyDescent="0.25">
      <c r="A101" s="118" t="s">
        <v>136</v>
      </c>
      <c r="B101" s="119"/>
      <c r="C101" s="120" t="e">
        <f>#REF!</f>
        <v>#REF!</v>
      </c>
      <c r="D101" s="121"/>
      <c r="E101" s="121"/>
      <c r="F101" s="121"/>
      <c r="G101" s="121"/>
      <c r="H101" s="122"/>
      <c r="I101" s="48" t="e">
        <f ca="1">IF(D114=100%,"All work Completed. Possession granted to the Building.",IF(D113=100%,"All work Completed, Waiting for OC",I102&amp;""&amp;I103&amp;""&amp;J102&amp;""&amp;J101&amp;" "&amp;J103))</f>
        <v>#REF!</v>
      </c>
      <c r="J101" s="49" t="e">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#REF!</v>
      </c>
    </row>
    <row r="102" spans="1:10" hidden="1" x14ac:dyDescent="0.25">
      <c r="A102" s="16" t="s">
        <v>138</v>
      </c>
      <c r="B102" s="46">
        <f>IF(AND(ISNUMBER(SEARCH("1B",C101))),1,IF(AND(ISNUMBER(SEARCH("2B",C101))),2,IF(AND(ISNUMBER(SEARCH("3B",C101))),3,IF(AND(ISNUMBER(SEARCH("4B",C101))),4,IF(ISNUMBER(SEARCH("5B",C101)),5,0)))))</f>
        <v>0</v>
      </c>
      <c r="C102" s="46" t="s">
        <v>69</v>
      </c>
      <c r="D102" s="46">
        <v>1</v>
      </c>
      <c r="E102" s="46" t="s">
        <v>68</v>
      </c>
      <c r="F102" s="14">
        <v>0</v>
      </c>
      <c r="G102" s="47" t="s">
        <v>77</v>
      </c>
      <c r="H102" s="17" t="e">
        <f ca="1">--TRIM(RIGHT(SUBSTITUTE(LEFT(C101,_xlfn.AGGREGATE(16,6,FIND({0,1,2,3,4,5,6,7,8,9},C101,ROW(INDIRECT("1:"&amp;LEN(C101)))),1))," ",REPT(" ",LEN(C101))),LEN(C101)))</f>
        <v>#REF!</v>
      </c>
      <c r="I102" s="50" t="e">
        <f ca="1">IF(D105=100%,"Excavation","")&amp;IF(D106=100%,", Plinth","")&amp;IF(D107=100%,", RCC Slab","")&amp;IF(D108=100%,", Brickwork","")&amp;IF(D109=100%,", Internal Plaster","")&amp;IF(D110=100%,", External Plaster","")&amp;IF(D111=100%,", Flooring","")&amp;IF(D112=100%,", Painting","")&amp;IF(D113=100%,", Building common Amenities","")</f>
        <v>#REF!</v>
      </c>
      <c r="J102" s="51" t="e">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#REF!</v>
      </c>
    </row>
    <row r="103" spans="1:10" hidden="1" x14ac:dyDescent="0.25">
      <c r="A103" s="198" t="s">
        <v>87</v>
      </c>
      <c r="B103" s="171"/>
      <c r="C103" s="205" t="e">
        <f ca="1">(IF($G$60="NA",I101,"All work Completed. OC Received."))</f>
        <v>#REF!</v>
      </c>
      <c r="D103" s="205"/>
      <c r="E103" s="205"/>
      <c r="F103" s="205"/>
      <c r="G103" s="205"/>
      <c r="H103" s="206"/>
      <c r="I103" s="50" t="e">
        <f ca="1">IF(I102&lt;&gt;""," Completed","")</f>
        <v>#REF!</v>
      </c>
      <c r="J103" s="51" t="e">
        <f ca="1">IF(J101&lt;&gt;"","Completed","")</f>
        <v>#REF!</v>
      </c>
    </row>
    <row r="104" spans="1:10" ht="15.75" hidden="1" customHeight="1" x14ac:dyDescent="0.25">
      <c r="A104" s="98" t="s">
        <v>47</v>
      </c>
      <c r="B104" s="94"/>
      <c r="C104" s="43" t="s">
        <v>135</v>
      </c>
      <c r="D104" s="43" t="s">
        <v>80</v>
      </c>
      <c r="E104" s="94" t="s">
        <v>82</v>
      </c>
      <c r="F104" s="94"/>
      <c r="G104" s="94" t="s">
        <v>81</v>
      </c>
      <c r="H104" s="95"/>
      <c r="I104" s="13" t="s">
        <v>137</v>
      </c>
      <c r="J104" s="28" t="e">
        <f ca="1">H102*25%</f>
        <v>#REF!</v>
      </c>
    </row>
    <row r="105" spans="1:10" hidden="1" x14ac:dyDescent="0.25">
      <c r="A105" s="98" t="s">
        <v>124</v>
      </c>
      <c r="B105" s="94"/>
      <c r="C105" s="43" t="e">
        <f ca="1">J106</f>
        <v>#REF!</v>
      </c>
      <c r="D105" s="19" t="e">
        <f ca="1">((100/H102)*C105)/100</f>
        <v>#REF!</v>
      </c>
      <c r="E105" s="99" t="e">
        <f ca="1">(((C106/H102*10)+(40/(D102+F102+H102)*C107)+(7.5/(H102)*C108)+(7.5/(H102)*C109)+(10/H102*C110)+(10/H102*C111)+(5/H102*C112)+(5/H102*C113)+(5/H102*C114))/100)</f>
        <v>#REF!</v>
      </c>
      <c r="F105" s="100"/>
      <c r="G105" s="99" t="e">
        <f ca="1">((((C105/H102)*20)+((C106/H102)*25)+(30/(H102+F102+D102)*C107)+(5/H102*C108)+(5/H102*C109)+(5/H102*C110)+(5/H102*C111)+(0/H102*C112)+(0/H102*C113)+(5/H102*C114))/100)</f>
        <v>#REF!</v>
      </c>
      <c r="H105" s="166"/>
      <c r="I105" s="13" t="s">
        <v>98</v>
      </c>
      <c r="J105" s="29" t="e">
        <f ca="1">H102*50%</f>
        <v>#REF!</v>
      </c>
    </row>
    <row r="106" spans="1:10" hidden="1" x14ac:dyDescent="0.25">
      <c r="A106" s="98" t="s">
        <v>48</v>
      </c>
      <c r="B106" s="94"/>
      <c r="C106" s="43" t="e">
        <f ca="1">J114</f>
        <v>#REF!</v>
      </c>
      <c r="D106" s="19" t="e">
        <f ca="1">((100/H102)*C106)/100</f>
        <v>#REF!</v>
      </c>
      <c r="E106" s="101"/>
      <c r="F106" s="102"/>
      <c r="G106" s="101"/>
      <c r="H106" s="167"/>
      <c r="I106" s="13" t="s">
        <v>99</v>
      </c>
      <c r="J106" s="29" t="e">
        <f ca="1">H102</f>
        <v>#REF!</v>
      </c>
    </row>
    <row r="107" spans="1:10" ht="15.75" hidden="1" customHeight="1" x14ac:dyDescent="0.25">
      <c r="A107" s="98" t="s">
        <v>125</v>
      </c>
      <c r="B107" s="94"/>
      <c r="C107" s="43" t="e">
        <f ca="1">D102+H102</f>
        <v>#REF!</v>
      </c>
      <c r="D107" s="19" t="e">
        <f ca="1">((100/(D102+F102+H102))*C107)/100</f>
        <v>#REF!</v>
      </c>
      <c r="E107" s="101"/>
      <c r="F107" s="102"/>
      <c r="G107" s="101"/>
      <c r="H107" s="167"/>
      <c r="I107" s="13" t="s">
        <v>100</v>
      </c>
      <c r="J107" s="30" t="e">
        <f ca="1">(IF(B102&gt;1,(H102/(B102+2)),H102/4))</f>
        <v>#REF!</v>
      </c>
    </row>
    <row r="108" spans="1:10" ht="15.75" hidden="1" customHeight="1" x14ac:dyDescent="0.25">
      <c r="A108" s="98" t="s">
        <v>132</v>
      </c>
      <c r="B108" s="94" t="s">
        <v>126</v>
      </c>
      <c r="C108" s="43">
        <v>0</v>
      </c>
      <c r="D108" s="19" t="e">
        <f ca="1">((100/H102)*C108)/100</f>
        <v>#REF!</v>
      </c>
      <c r="E108" s="101"/>
      <c r="F108" s="102"/>
      <c r="G108" s="101"/>
      <c r="H108" s="167"/>
      <c r="I108" s="13" t="s">
        <v>101</v>
      </c>
      <c r="J108" s="30" t="e">
        <f ca="1">(IF(B102&gt;1,(H102/(B102+2)+J107),H102/4+J107))</f>
        <v>#REF!</v>
      </c>
    </row>
    <row r="109" spans="1:10" ht="15.75" hidden="1" customHeight="1" x14ac:dyDescent="0.25">
      <c r="A109" s="98" t="s">
        <v>133</v>
      </c>
      <c r="B109" s="94" t="s">
        <v>126</v>
      </c>
      <c r="C109" s="43">
        <v>0</v>
      </c>
      <c r="D109" s="19" t="e">
        <f ca="1">((100/H102)*C109)/100</f>
        <v>#REF!</v>
      </c>
      <c r="E109" s="101"/>
      <c r="F109" s="102"/>
      <c r="G109" s="101"/>
      <c r="H109" s="167"/>
      <c r="I109" s="13" t="s">
        <v>142</v>
      </c>
      <c r="J109" s="30">
        <f>(IF(B102&gt;1,(H102/(B102+2)+J108),0))</f>
        <v>0</v>
      </c>
    </row>
    <row r="110" spans="1:10" ht="15" hidden="1" customHeight="1" x14ac:dyDescent="0.25">
      <c r="A110" s="98" t="s">
        <v>131</v>
      </c>
      <c r="B110" s="94" t="s">
        <v>128</v>
      </c>
      <c r="C110" s="43">
        <v>0</v>
      </c>
      <c r="D110" s="19" t="e">
        <f ca="1">((100/(H102))*C110)/100</f>
        <v>#REF!</v>
      </c>
      <c r="E110" s="101"/>
      <c r="F110" s="102"/>
      <c r="G110" s="101"/>
      <c r="H110" s="167"/>
      <c r="I110" s="13" t="s">
        <v>139</v>
      </c>
      <c r="J110" s="30">
        <f>(IF(B102&gt;2,(H102/(B102+2)+J109),0))</f>
        <v>0</v>
      </c>
    </row>
    <row r="111" spans="1:10" ht="15.75" hidden="1" customHeight="1" x14ac:dyDescent="0.25">
      <c r="A111" s="98" t="s">
        <v>127</v>
      </c>
      <c r="B111" s="94" t="s">
        <v>127</v>
      </c>
      <c r="C111" s="43">
        <v>0</v>
      </c>
      <c r="D111" s="19" t="e">
        <f ca="1">((100/H102)*C111)/100</f>
        <v>#REF!</v>
      </c>
      <c r="E111" s="101"/>
      <c r="F111" s="102"/>
      <c r="G111" s="101"/>
      <c r="H111" s="167"/>
      <c r="I111" s="13" t="s">
        <v>140</v>
      </c>
      <c r="J111" s="31">
        <f>(IF(B102&gt;3,(H102/(B102+2)+J110),0))</f>
        <v>0</v>
      </c>
    </row>
    <row r="112" spans="1:10" ht="15.75" hidden="1" customHeight="1" x14ac:dyDescent="0.25">
      <c r="A112" s="98" t="s">
        <v>134</v>
      </c>
      <c r="B112" s="94"/>
      <c r="C112" s="43">
        <v>0</v>
      </c>
      <c r="D112" s="19" t="e">
        <f ca="1">((100/H102)*C112)/100</f>
        <v>#REF!</v>
      </c>
      <c r="E112" s="101"/>
      <c r="F112" s="102"/>
      <c r="G112" s="101"/>
      <c r="H112" s="167"/>
      <c r="I112" s="13" t="s">
        <v>141</v>
      </c>
      <c r="J112" s="30">
        <f>(IF(B102&gt;4,(H102/(B102+2)+J111),0))</f>
        <v>0</v>
      </c>
    </row>
    <row r="113" spans="1:19" ht="15.75" hidden="1" customHeight="1" x14ac:dyDescent="0.25">
      <c r="A113" s="98" t="s">
        <v>129</v>
      </c>
      <c r="B113" s="94" t="s">
        <v>129</v>
      </c>
      <c r="C113" s="43">
        <v>0</v>
      </c>
      <c r="D113" s="19" t="e">
        <f ca="1">((100/(H102))*C113)/100</f>
        <v>#REF!</v>
      </c>
      <c r="E113" s="101"/>
      <c r="F113" s="102"/>
      <c r="G113" s="101"/>
      <c r="H113" s="167"/>
      <c r="I113" s="13" t="s">
        <v>143</v>
      </c>
      <c r="J113" s="30" t="e">
        <f ca="1">(IF(B102=1,(H102/(B102+3)+J108),IF(B102=0,(H102/4+J108),IF(B102&gt;1,0))))</f>
        <v>#REF!</v>
      </c>
    </row>
    <row r="114" spans="1:19" ht="16.5" hidden="1" thickBot="1" x14ac:dyDescent="0.3">
      <c r="A114" s="149" t="s">
        <v>130</v>
      </c>
      <c r="B114" s="150"/>
      <c r="C114" s="44">
        <v>0</v>
      </c>
      <c r="D114" s="20" t="e">
        <f ca="1">((100/(H102))*C114)/100</f>
        <v>#REF!</v>
      </c>
      <c r="E114" s="103"/>
      <c r="F114" s="104"/>
      <c r="G114" s="103"/>
      <c r="H114" s="168"/>
      <c r="I114" s="15" t="s">
        <v>102</v>
      </c>
      <c r="J114" s="32" t="e">
        <f ca="1">(IF(B102&gt;1.5,(H102/(B102+2)+J108+MAX(0,J109-J108)+MAX(0,J110-J109)+MAX(0,J111-J110)+MAX(0,J112-J111)+MAX(0,J113-J112)),IF(B102=1,(H102/(B102+3)+J113),IF(B102=0,H102/4+J113))))</f>
        <v>#REF!</v>
      </c>
    </row>
    <row r="115" spans="1:19" ht="15.75" hidden="1" customHeight="1" x14ac:dyDescent="0.25">
      <c r="A115" s="219" t="s">
        <v>136</v>
      </c>
      <c r="B115" s="220"/>
      <c r="C115" s="221" t="s">
        <v>341</v>
      </c>
      <c r="D115" s="222"/>
      <c r="E115" s="222"/>
      <c r="F115" s="222"/>
      <c r="G115" s="222"/>
      <c r="H115" s="223"/>
      <c r="I115" s="48" t="str">
        <f ca="1">IF(D128=100%,"All work Completed. Possession granted to the Building.",IF(D127=100%,"All work Completed, Waiting for OC",I116&amp;""&amp;I117&amp;""&amp;J116&amp;""&amp;J115&amp;" "&amp;J117))</f>
        <v>Excavation, Plinth Completed, RCC upto 3 Slab Completed</v>
      </c>
      <c r="J115" s="49" t="str">
        <f ca="1">(IF(C121=(D116+F116+H116),"",IF(C121&gt;0,", RCC upto "&amp;C121&amp;" Slab","")))&amp;(IF(C122=H116,"",IF(C122&gt;0,", Brickwork upto "&amp;C122&amp;" Floor","")))&amp;(IF(C123=H116,"",IF(C123&gt;0,", Internal Plaster upto "&amp;C123&amp;" Floor","")))&amp;(IF(C124=H116,"",IF(C124&gt;0,", External Plaster upto "&amp;C124&amp;" Floor","")))&amp;(IF(C125=H116,"",IF(C125&gt;0,", Flooring upto "&amp;C125&amp;" Floor","")))&amp;(IF(C126=H116,"",IF(C126&gt;0,", Painting upto "&amp;C126&amp;" Floor","")))&amp;(IF(C127=H116,"",IF(C127&gt;0,", Finishing upto "&amp;C127&amp;" Floor","")))&amp;(IF(C128=H116,"",IF(C128&gt;0,", Possession upto "&amp;C128&amp;" Floor","")))</f>
        <v>, RCC upto 3 Slab</v>
      </c>
      <c r="S115"/>
    </row>
    <row r="116" spans="1:19" hidden="1" x14ac:dyDescent="0.25">
      <c r="A116" s="16" t="s">
        <v>138</v>
      </c>
      <c r="B116" s="46">
        <f>IF(AND(ISNUMBER(SEARCH("1B",C115))),1,IF(AND(ISNUMBER(SEARCH("2B",C115))),2,IF(AND(ISNUMBER(SEARCH("3B",C115))),3,IF(AND(ISNUMBER(SEARCH("4B",C115))),4,IF(ISNUMBER(SEARCH("5B",C115)),5,0)))))</f>
        <v>0</v>
      </c>
      <c r="C116" s="46" t="s">
        <v>69</v>
      </c>
      <c r="D116" s="46">
        <v>1</v>
      </c>
      <c r="E116" s="46" t="s">
        <v>68</v>
      </c>
      <c r="F116" s="46">
        <v>0</v>
      </c>
      <c r="G116" s="46" t="s">
        <v>77</v>
      </c>
      <c r="H116" s="17">
        <f ca="1">--TRIM(RIGHT(SUBSTITUTE(LEFT(C115,_xlfn.AGGREGATE(16,6,FIND({0,1,2,3,4,5,6,7,8,9},C115,ROW(INDIRECT("1:"&amp;LEN(C115)))),1))," ",REPT(" ",LEN(C115))),LEN(C115)))</f>
        <v>22</v>
      </c>
      <c r="I116" s="50" t="str">
        <f ca="1">IF(D119=100%,"Excavation","")&amp;IF(D120=100%,", Plinth","")&amp;IF(D121=100%,", RCC Slab","")&amp;IF(D122=100%,", Brickwork","")&amp;IF(D123=100%,", Internal Plaster","")&amp;IF(D124=100%,", External Plaster","")&amp;IF(D125=100%,", Flooring","")&amp;IF(D126=100%,", Painting","")&amp;IF(D127=100%,", Building common Amenities","")</f>
        <v>Excavation, Plinth</v>
      </c>
      <c r="J116" s="51" t="str">
        <f ca="1">(IF(C119=0,"Work not yet Started.",IF(D119=25%,"Piling work in process",IF(D119=50%,"Excavation work in process",IF(D119=100%,"","0")))))&amp;(IF(C120=0%,"",IF(C120=J121,", Footing work is process",IF(C120=J122,", Footing work Completed",IF(C120=J123,", 1st Basement Completed",IF(C120=J124,", 1st &amp; 2nd Basement Completed",IF(C120=J125,", 1st to 3rd Basement Completed",IF(C120=J126,", 1st to 4th Basement Completed",IF(C120=J127,", Plinth work is process",IF(C120=J128,"","0"))))))))))</f>
        <v/>
      </c>
      <c r="S116"/>
    </row>
    <row r="117" spans="1:19" hidden="1" x14ac:dyDescent="0.25">
      <c r="A117" s="198" t="s">
        <v>87</v>
      </c>
      <c r="B117" s="171"/>
      <c r="C117" s="205" t="str">
        <f ca="1">I115</f>
        <v>Excavation, Plinth Completed, RCC upto 3 Slab Completed</v>
      </c>
      <c r="D117" s="205"/>
      <c r="E117" s="205"/>
      <c r="F117" s="205"/>
      <c r="G117" s="205"/>
      <c r="H117" s="206"/>
      <c r="I117" s="50" t="str">
        <f ca="1">IF(I116&lt;&gt;""," Completed","")</f>
        <v xml:space="preserve"> Completed</v>
      </c>
      <c r="J117" s="51" t="str">
        <f ca="1">IF(J115&lt;&gt;"","Completed","")</f>
        <v>Completed</v>
      </c>
      <c r="S117"/>
    </row>
    <row r="118" spans="1:19" ht="15.75" hidden="1" customHeight="1" x14ac:dyDescent="0.25">
      <c r="A118" s="123" t="s">
        <v>47</v>
      </c>
      <c r="B118" s="124"/>
      <c r="C118" s="67" t="s">
        <v>135</v>
      </c>
      <c r="D118" s="67" t="s">
        <v>80</v>
      </c>
      <c r="E118" s="124" t="s">
        <v>82</v>
      </c>
      <c r="F118" s="124"/>
      <c r="G118" s="124" t="s">
        <v>81</v>
      </c>
      <c r="H118" s="165"/>
      <c r="I118" s="13" t="s">
        <v>137</v>
      </c>
      <c r="J118" s="28">
        <f ca="1">H116*25%</f>
        <v>5.5</v>
      </c>
      <c r="S118"/>
    </row>
    <row r="119" spans="1:19" hidden="1" x14ac:dyDescent="0.25">
      <c r="A119" s="123" t="s">
        <v>124</v>
      </c>
      <c r="B119" s="124"/>
      <c r="C119" s="67">
        <f ca="1">J120</f>
        <v>22</v>
      </c>
      <c r="D119" s="68">
        <f ca="1">((100/H116)*C119)/100</f>
        <v>1.0000000000000002</v>
      </c>
      <c r="E119" s="185">
        <f ca="1">(((C120/H116*10)+(40/(D116+F116+H116)*C121)+(7.5/(H116)*C122)+(7.5/(H116)*C123)+(10/H116*C124)+(10/H116*C125)+(5/H116*C126)+(5/H116*C127)+(5/H116*C128))/100)</f>
        <v>0.15217391304347827</v>
      </c>
      <c r="F119" s="186"/>
      <c r="G119" s="185">
        <f ca="1">((((C119/H116)*20)+((C120/H116)*25)+(30/(H116+F116+D116)*C121)+(5/H116*C122)+(5/H116*C123)+(5/H116*C124)+(5/H116*C125)+(0/H116*C126)+(0/H116*C127)+(5/H116*C128))/100)</f>
        <v>0.48913043478260865</v>
      </c>
      <c r="H119" s="191"/>
      <c r="I119" s="13" t="s">
        <v>98</v>
      </c>
      <c r="J119" s="29">
        <f ca="1">H116*50%</f>
        <v>11</v>
      </c>
    </row>
    <row r="120" spans="1:19" hidden="1" x14ac:dyDescent="0.25">
      <c r="A120" s="123" t="s">
        <v>48</v>
      </c>
      <c r="B120" s="124"/>
      <c r="C120" s="69">
        <v>22</v>
      </c>
      <c r="D120" s="68">
        <f ca="1">((100/H116)*C120)/100</f>
        <v>1.0000000000000002</v>
      </c>
      <c r="E120" s="187"/>
      <c r="F120" s="188"/>
      <c r="G120" s="187"/>
      <c r="H120" s="192"/>
      <c r="I120" s="13" t="s">
        <v>99</v>
      </c>
      <c r="J120" s="29">
        <f ca="1">H116</f>
        <v>22</v>
      </c>
      <c r="S120"/>
    </row>
    <row r="121" spans="1:19" ht="15.75" hidden="1" customHeight="1" x14ac:dyDescent="0.25">
      <c r="A121" s="123" t="s">
        <v>125</v>
      </c>
      <c r="B121" s="124"/>
      <c r="C121" s="67">
        <v>3</v>
      </c>
      <c r="D121" s="68">
        <f ca="1">((100/(D116+F116+H116))*C121)/100</f>
        <v>0.13043478260869565</v>
      </c>
      <c r="E121" s="187"/>
      <c r="F121" s="188"/>
      <c r="G121" s="187"/>
      <c r="H121" s="192"/>
      <c r="I121" s="13" t="s">
        <v>100</v>
      </c>
      <c r="J121" s="30">
        <f ca="1">(IF(B116&gt;1,(H116/(B116+2)),H116/4))</f>
        <v>5.5</v>
      </c>
      <c r="S121"/>
    </row>
    <row r="122" spans="1:19" ht="15.75" hidden="1" customHeight="1" x14ac:dyDescent="0.25">
      <c r="A122" s="123" t="s">
        <v>132</v>
      </c>
      <c r="B122" s="124" t="s">
        <v>126</v>
      </c>
      <c r="C122" s="67">
        <v>0</v>
      </c>
      <c r="D122" s="68">
        <f ca="1">((100/H116)*C122)/100</f>
        <v>0</v>
      </c>
      <c r="E122" s="187"/>
      <c r="F122" s="188"/>
      <c r="G122" s="187"/>
      <c r="H122" s="192"/>
      <c r="I122" s="13" t="s">
        <v>101</v>
      </c>
      <c r="J122" s="30">
        <f ca="1">(IF(B116&gt;1,(H116/(B116+2)+J121),H116/4+J121))</f>
        <v>11</v>
      </c>
    </row>
    <row r="123" spans="1:19" ht="15.75" hidden="1" customHeight="1" x14ac:dyDescent="0.25">
      <c r="A123" s="123" t="s">
        <v>133</v>
      </c>
      <c r="B123" s="124" t="s">
        <v>126</v>
      </c>
      <c r="C123" s="67">
        <v>0</v>
      </c>
      <c r="D123" s="68">
        <f ca="1">((100/H116)*C123)/100</f>
        <v>0</v>
      </c>
      <c r="E123" s="187"/>
      <c r="F123" s="188"/>
      <c r="G123" s="187"/>
      <c r="H123" s="192"/>
      <c r="I123" s="13" t="s">
        <v>142</v>
      </c>
      <c r="J123" s="30">
        <f>(IF(B116&gt;1,(H116/(B116+2)+J122),0))</f>
        <v>0</v>
      </c>
    </row>
    <row r="124" spans="1:19" ht="15" hidden="1" customHeight="1" x14ac:dyDescent="0.25">
      <c r="A124" s="123" t="s">
        <v>131</v>
      </c>
      <c r="B124" s="124" t="s">
        <v>128</v>
      </c>
      <c r="C124" s="67">
        <v>0</v>
      </c>
      <c r="D124" s="68">
        <f ca="1">((100/(H116))*C124)/100</f>
        <v>0</v>
      </c>
      <c r="E124" s="187"/>
      <c r="F124" s="188"/>
      <c r="G124" s="187"/>
      <c r="H124" s="192"/>
      <c r="I124" s="13" t="s">
        <v>139</v>
      </c>
      <c r="J124" s="30">
        <f>(IF(B116&gt;2,(H116/(B116+2)+J123),0))</f>
        <v>0</v>
      </c>
    </row>
    <row r="125" spans="1:19" ht="15.75" hidden="1" customHeight="1" x14ac:dyDescent="0.25">
      <c r="A125" s="123" t="s">
        <v>127</v>
      </c>
      <c r="B125" s="124" t="s">
        <v>127</v>
      </c>
      <c r="C125" s="67">
        <v>0</v>
      </c>
      <c r="D125" s="68">
        <f ca="1">((100/H116)*C125)/100</f>
        <v>0</v>
      </c>
      <c r="E125" s="187"/>
      <c r="F125" s="188"/>
      <c r="G125" s="187"/>
      <c r="H125" s="192"/>
      <c r="I125" s="13" t="s">
        <v>140</v>
      </c>
      <c r="J125" s="31">
        <f>(IF(B116&gt;3,(H116/(B116+2)+J124),0))</f>
        <v>0</v>
      </c>
    </row>
    <row r="126" spans="1:19" ht="15.75" hidden="1" customHeight="1" x14ac:dyDescent="0.25">
      <c r="A126" s="123" t="s">
        <v>134</v>
      </c>
      <c r="B126" s="124"/>
      <c r="C126" s="67">
        <v>0</v>
      </c>
      <c r="D126" s="68">
        <f ca="1">((100/H116)*C126)/100</f>
        <v>0</v>
      </c>
      <c r="E126" s="187"/>
      <c r="F126" s="188"/>
      <c r="G126" s="187"/>
      <c r="H126" s="192"/>
      <c r="I126" s="13" t="s">
        <v>141</v>
      </c>
      <c r="J126" s="30">
        <f>(IF(B116&gt;4,(H116/(B116+2)+J125),0))</f>
        <v>0</v>
      </c>
    </row>
    <row r="127" spans="1:19" ht="15.75" hidden="1" customHeight="1" x14ac:dyDescent="0.25">
      <c r="A127" s="123" t="s">
        <v>129</v>
      </c>
      <c r="B127" s="124" t="s">
        <v>129</v>
      </c>
      <c r="C127" s="67">
        <v>0</v>
      </c>
      <c r="D127" s="68">
        <f ca="1">((100/(H116))*C127)/100</f>
        <v>0</v>
      </c>
      <c r="E127" s="187"/>
      <c r="F127" s="188"/>
      <c r="G127" s="187"/>
      <c r="H127" s="192"/>
      <c r="I127" s="13" t="s">
        <v>143</v>
      </c>
      <c r="J127" s="30">
        <f ca="1">(IF(B116=1,(H116/(B116+3)+J122),IF(B116=0,(H116/4+J122),IF(B116&gt;1,0))))</f>
        <v>16.5</v>
      </c>
    </row>
    <row r="128" spans="1:19" ht="16.5" hidden="1" thickBot="1" x14ac:dyDescent="0.3">
      <c r="A128" s="233" t="s">
        <v>130</v>
      </c>
      <c r="B128" s="234"/>
      <c r="C128" s="77">
        <v>0</v>
      </c>
      <c r="D128" s="78">
        <f ca="1">((100/(H116))*C128)/100</f>
        <v>0</v>
      </c>
      <c r="E128" s="187"/>
      <c r="F128" s="188"/>
      <c r="G128" s="187"/>
      <c r="H128" s="192"/>
      <c r="I128" s="15" t="s">
        <v>102</v>
      </c>
      <c r="J128" s="32">
        <f ca="1">(IF(B116&gt;1.5,(H116/(B116+2)+J122+MAX(0,J123-J122)+MAX(0,J124-J123)+MAX(0,J125-J124)+MAX(0,J126-J125)+MAX(0,J127-J126)),IF(B116=1,(H116/(B116+3)+J127),IF(B116=0,H116/4+J127))))</f>
        <v>22</v>
      </c>
    </row>
    <row r="129" spans="1:22" ht="33.75" hidden="1" customHeight="1" x14ac:dyDescent="0.25">
      <c r="A129" s="235" t="s">
        <v>343</v>
      </c>
      <c r="B129" s="236"/>
      <c r="C129" s="237">
        <f ca="1">AVERAGE(E77,E119)</f>
        <v>0.18337450592885376</v>
      </c>
      <c r="D129" s="236"/>
      <c r="E129" s="238" t="s">
        <v>342</v>
      </c>
      <c r="F129" s="239"/>
      <c r="G129" s="240">
        <f ca="1">AVERAGE(G77,G119)</f>
        <v>0.51210474308300391</v>
      </c>
      <c r="H129" s="239"/>
      <c r="S129"/>
    </row>
    <row r="130" spans="1:22" x14ac:dyDescent="0.25">
      <c r="A130" s="224" t="s">
        <v>152</v>
      </c>
      <c r="B130" s="224"/>
      <c r="C130" s="224"/>
      <c r="D130" s="224"/>
      <c r="E130" s="224"/>
      <c r="F130" s="152" t="s">
        <v>156</v>
      </c>
      <c r="G130" s="152"/>
      <c r="H130" s="152"/>
      <c r="R130" t="s">
        <v>248</v>
      </c>
      <c r="S130" t="s">
        <v>168</v>
      </c>
      <c r="T130" t="s">
        <v>175</v>
      </c>
      <c r="U130" t="s">
        <v>190</v>
      </c>
      <c r="V130" t="s">
        <v>185</v>
      </c>
    </row>
    <row r="131" spans="1:22" x14ac:dyDescent="0.25">
      <c r="A131" s="96" t="s">
        <v>154</v>
      </c>
      <c r="B131" s="96"/>
      <c r="C131" s="96"/>
      <c r="D131" s="96"/>
      <c r="E131" s="96"/>
      <c r="F131" s="97">
        <v>5700</v>
      </c>
      <c r="G131" s="97"/>
      <c r="H131" s="97"/>
      <c r="R131"/>
      <c r="S131">
        <v>800000</v>
      </c>
      <c r="T131">
        <v>150000</v>
      </c>
      <c r="U131">
        <v>100000</v>
      </c>
      <c r="V131">
        <v>100000</v>
      </c>
    </row>
    <row r="132" spans="1:22" x14ac:dyDescent="0.25">
      <c r="A132" s="96" t="s">
        <v>153</v>
      </c>
      <c r="B132" s="96"/>
      <c r="C132" s="96"/>
      <c r="D132" s="96"/>
      <c r="E132" s="96"/>
      <c r="F132" s="97">
        <v>10000</v>
      </c>
      <c r="G132" s="97"/>
      <c r="H132" s="97"/>
      <c r="R132"/>
      <c r="S132">
        <v>900000</v>
      </c>
      <c r="T132">
        <v>200000</v>
      </c>
      <c r="U132">
        <v>150000</v>
      </c>
      <c r="V132">
        <v>150000</v>
      </c>
    </row>
    <row r="133" spans="1:22" hidden="1" x14ac:dyDescent="0.25">
      <c r="A133" s="96" t="s">
        <v>155</v>
      </c>
      <c r="B133" s="96"/>
      <c r="C133" s="96"/>
      <c r="D133" s="96"/>
      <c r="E133" s="96"/>
      <c r="F133" s="97"/>
      <c r="G133" s="97"/>
      <c r="H133" s="97"/>
      <c r="R133"/>
      <c r="S133">
        <v>1000000</v>
      </c>
      <c r="T133">
        <v>250000</v>
      </c>
      <c r="U133">
        <v>200000</v>
      </c>
      <c r="V133">
        <v>200000</v>
      </c>
    </row>
    <row r="134" spans="1:22" s="33" customFormat="1" hidden="1" x14ac:dyDescent="0.25">
      <c r="A134" s="96" t="s">
        <v>171</v>
      </c>
      <c r="B134" s="96"/>
      <c r="C134" s="96"/>
      <c r="D134" s="96"/>
      <c r="E134" s="96"/>
      <c r="F134" s="97"/>
      <c r="G134" s="97"/>
      <c r="H134" s="97"/>
      <c r="R134"/>
      <c r="S134">
        <v>1100000</v>
      </c>
      <c r="T134">
        <v>300000</v>
      </c>
      <c r="U134">
        <v>250000</v>
      </c>
      <c r="V134" s="23">
        <v>250000</v>
      </c>
    </row>
    <row r="135" spans="1:22" s="33" customFormat="1" x14ac:dyDescent="0.25">
      <c r="A135" s="96" t="s">
        <v>92</v>
      </c>
      <c r="B135" s="96"/>
      <c r="C135" s="96"/>
      <c r="D135" s="96"/>
      <c r="E135" s="96"/>
      <c r="F135" s="97">
        <v>250000</v>
      </c>
      <c r="G135" s="97"/>
      <c r="H135" s="97"/>
      <c r="R135"/>
      <c r="S135">
        <v>1200000</v>
      </c>
      <c r="T135">
        <v>350000</v>
      </c>
      <c r="U135">
        <v>300000</v>
      </c>
      <c r="V135">
        <v>300000</v>
      </c>
    </row>
    <row r="136" spans="1:22" s="33" customFormat="1" x14ac:dyDescent="0.25">
      <c r="A136" s="96" t="s">
        <v>93</v>
      </c>
      <c r="B136" s="96"/>
      <c r="C136" s="96"/>
      <c r="D136" s="96"/>
      <c r="E136" s="96"/>
      <c r="F136" s="97">
        <v>50000</v>
      </c>
      <c r="G136" s="97"/>
      <c r="H136" s="97"/>
      <c r="R136"/>
      <c r="S136">
        <v>1300000</v>
      </c>
      <c r="T136">
        <v>400000</v>
      </c>
      <c r="U136">
        <v>350000</v>
      </c>
      <c r="V136" s="23">
        <v>400000</v>
      </c>
    </row>
    <row r="137" spans="1:22" s="33" customFormat="1" hidden="1" x14ac:dyDescent="0.25">
      <c r="A137" s="96" t="s">
        <v>94</v>
      </c>
      <c r="B137" s="96"/>
      <c r="C137" s="96"/>
      <c r="D137" s="96"/>
      <c r="E137" s="96"/>
      <c r="F137" s="97"/>
      <c r="G137" s="97"/>
      <c r="H137" s="97"/>
      <c r="R137"/>
      <c r="S137">
        <v>1400000</v>
      </c>
      <c r="T137">
        <v>500000</v>
      </c>
      <c r="U137">
        <v>400000</v>
      </c>
      <c r="V137"/>
    </row>
    <row r="138" spans="1:22" s="33" customFormat="1" hidden="1" x14ac:dyDescent="0.25">
      <c r="A138" s="96" t="s">
        <v>95</v>
      </c>
      <c r="B138" s="96"/>
      <c r="C138" s="96"/>
      <c r="D138" s="96"/>
      <c r="E138" s="96"/>
      <c r="F138" s="97"/>
      <c r="G138" s="97"/>
      <c r="H138" s="97"/>
      <c r="R138"/>
      <c r="S138">
        <v>1500000</v>
      </c>
      <c r="T138">
        <v>600000</v>
      </c>
      <c r="U138">
        <v>500000</v>
      </c>
      <c r="V138" s="23"/>
    </row>
    <row r="139" spans="1:22" s="33" customFormat="1" hidden="1" x14ac:dyDescent="0.25">
      <c r="A139" s="96" t="s">
        <v>96</v>
      </c>
      <c r="B139" s="96"/>
      <c r="C139" s="96"/>
      <c r="D139" s="96"/>
      <c r="E139" s="96"/>
      <c r="F139" s="97"/>
      <c r="G139" s="97"/>
      <c r="H139" s="97"/>
      <c r="R139"/>
      <c r="S139">
        <v>1600000</v>
      </c>
      <c r="T139">
        <v>700000</v>
      </c>
      <c r="U139">
        <v>600000</v>
      </c>
      <c r="V139"/>
    </row>
    <row r="140" spans="1:22" s="33" customFormat="1" hidden="1" x14ac:dyDescent="0.25">
      <c r="A140" s="96" t="s">
        <v>97</v>
      </c>
      <c r="B140" s="96"/>
      <c r="C140" s="96"/>
      <c r="D140" s="96"/>
      <c r="E140" s="96"/>
      <c r="F140" s="97"/>
      <c r="G140" s="97"/>
      <c r="H140" s="97"/>
      <c r="R140"/>
      <c r="S140">
        <v>1700000</v>
      </c>
      <c r="T140">
        <v>800000</v>
      </c>
      <c r="U140"/>
      <c r="V140" s="23"/>
    </row>
    <row r="141" spans="1:22" x14ac:dyDescent="0.25">
      <c r="A141" s="96" t="s">
        <v>49</v>
      </c>
      <c r="B141" s="96"/>
      <c r="C141" s="96"/>
      <c r="D141" s="96"/>
      <c r="E141" s="96"/>
      <c r="F141" s="97">
        <v>350000</v>
      </c>
      <c r="G141" s="97"/>
      <c r="H141" s="97"/>
      <c r="R141"/>
      <c r="S141">
        <v>1800000</v>
      </c>
      <c r="T141">
        <v>900000</v>
      </c>
      <c r="U141"/>
    </row>
    <row r="142" spans="1:22" s="34" customFormat="1" x14ac:dyDescent="0.25">
      <c r="A142" s="162" t="s">
        <v>50</v>
      </c>
      <c r="B142" s="162"/>
      <c r="C142" s="162"/>
      <c r="D142" s="162"/>
      <c r="E142" s="162"/>
      <c r="F142" s="97">
        <f>F131*0.8</f>
        <v>4560</v>
      </c>
      <c r="G142" s="97"/>
      <c r="H142" s="97"/>
      <c r="R142" s="21"/>
      <c r="S142" s="21"/>
      <c r="T142">
        <v>1000000</v>
      </c>
      <c r="U142"/>
      <c r="V142" s="21"/>
    </row>
    <row r="143" spans="1:22" s="35" customFormat="1" ht="15.75" customHeight="1" x14ac:dyDescent="0.25">
      <c r="A143" s="161" t="s">
        <v>72</v>
      </c>
      <c r="B143" s="161"/>
      <c r="C143" s="161"/>
      <c r="D143" s="161"/>
      <c r="E143" s="161"/>
      <c r="F143" s="161"/>
      <c r="G143" s="161"/>
      <c r="H143" s="161"/>
      <c r="R143"/>
      <c r="S143" s="21"/>
      <c r="T143"/>
      <c r="U143"/>
      <c r="V143" s="21"/>
    </row>
    <row r="144" spans="1:22" s="35" customFormat="1" ht="15.75" customHeight="1" x14ac:dyDescent="0.25">
      <c r="A144" s="108" t="s">
        <v>51</v>
      </c>
      <c r="B144" s="108"/>
      <c r="C144" s="114" t="s">
        <v>75</v>
      </c>
      <c r="D144" s="114"/>
      <c r="E144" s="112" t="s">
        <v>52</v>
      </c>
      <c r="F144" s="112"/>
      <c r="G144" s="108" t="s">
        <v>53</v>
      </c>
      <c r="H144" s="108"/>
      <c r="R144"/>
      <c r="S144" s="21"/>
      <c r="T144"/>
      <c r="U144" s="21"/>
      <c r="V144" s="21"/>
    </row>
    <row r="145" spans="1:22" s="35" customFormat="1" x14ac:dyDescent="0.25">
      <c r="A145" s="113" t="s">
        <v>320</v>
      </c>
      <c r="B145" s="113"/>
      <c r="C145" s="147">
        <f>COUNT(D160:D170)</f>
        <v>11</v>
      </c>
      <c r="D145" s="148"/>
      <c r="E145" s="147">
        <f t="shared" ref="E145" si="0">SUM(F160:F170)</f>
        <v>2425.5597599999996</v>
      </c>
      <c r="F145" s="148"/>
      <c r="G145" s="147">
        <f t="shared" ref="G145" si="1">SUM(H160:H170)</f>
        <v>3759.617628</v>
      </c>
      <c r="H145" s="148"/>
      <c r="R145"/>
      <c r="S145" s="21"/>
      <c r="T145"/>
      <c r="U145" s="21"/>
      <c r="V145" s="21"/>
    </row>
    <row r="146" spans="1:22" s="35" customFormat="1" hidden="1" x14ac:dyDescent="0.25">
      <c r="A146" s="113"/>
      <c r="B146" s="113"/>
      <c r="C146" s="148"/>
      <c r="D146" s="148"/>
      <c r="E146" s="231"/>
      <c r="F146" s="231"/>
      <c r="G146" s="232"/>
      <c r="H146" s="232"/>
      <c r="R146"/>
      <c r="S146" s="21"/>
      <c r="T146"/>
      <c r="U146" s="21"/>
      <c r="V146" s="21"/>
    </row>
    <row r="147" spans="1:22" s="35" customFormat="1" hidden="1" x14ac:dyDescent="0.25">
      <c r="A147" s="161" t="s">
        <v>146</v>
      </c>
      <c r="B147" s="161"/>
      <c r="C147" s="114"/>
      <c r="D147" s="114"/>
      <c r="E147" s="112"/>
      <c r="F147" s="112"/>
      <c r="G147" s="108"/>
      <c r="H147" s="108"/>
      <c r="R147"/>
      <c r="S147" s="21"/>
      <c r="T147"/>
      <c r="U147" s="21"/>
      <c r="V147" s="21"/>
    </row>
    <row r="148" spans="1:22" s="35" customFormat="1" x14ac:dyDescent="0.25">
      <c r="A148" s="161" t="s">
        <v>67</v>
      </c>
      <c r="B148" s="161"/>
      <c r="C148" s="161"/>
      <c r="D148" s="161"/>
      <c r="E148" s="161"/>
      <c r="F148" s="161"/>
      <c r="G148" s="161"/>
      <c r="H148" s="161"/>
      <c r="T148"/>
    </row>
    <row r="149" spans="1:22" s="35" customFormat="1" ht="15.75" customHeight="1" x14ac:dyDescent="0.25">
      <c r="A149" s="108" t="s">
        <v>51</v>
      </c>
      <c r="B149" s="108"/>
      <c r="C149" s="114" t="s">
        <v>75</v>
      </c>
      <c r="D149" s="114"/>
      <c r="E149" s="112" t="s">
        <v>52</v>
      </c>
      <c r="F149" s="112"/>
      <c r="G149" s="108" t="s">
        <v>53</v>
      </c>
      <c r="H149" s="108"/>
      <c r="T149"/>
    </row>
    <row r="150" spans="1:22" s="35" customFormat="1" ht="16.5" thickBot="1" x14ac:dyDescent="0.3">
      <c r="A150" s="113" t="s">
        <v>321</v>
      </c>
      <c r="B150" s="113"/>
      <c r="C150" s="148">
        <f>COUNT(D176:D187)*6+COUNT(D189:D200)*12+COUNT(D202,D204:D213)*4</f>
        <v>260</v>
      </c>
      <c r="D150" s="148"/>
      <c r="E150" s="147">
        <f t="shared" ref="E150" si="2">SUM(F176:F187)*6+SUM(F189:F200)*12+SUM(F202,F204:F213)*4</f>
        <v>98355.727079999968</v>
      </c>
      <c r="F150" s="147"/>
      <c r="G150" s="147">
        <f>SUM(H176:H187)*6+SUM(H189:H200)*12+SUM(H202,H204:H213)*4</f>
        <v>147533.59062</v>
      </c>
      <c r="H150" s="147"/>
      <c r="T150"/>
    </row>
    <row r="151" spans="1:22" s="35" customFormat="1" hidden="1" x14ac:dyDescent="0.25">
      <c r="A151" s="113"/>
      <c r="B151" s="113"/>
      <c r="C151" s="148"/>
      <c r="D151" s="148"/>
      <c r="E151" s="231"/>
      <c r="F151" s="231"/>
      <c r="G151" s="232"/>
      <c r="H151" s="232"/>
      <c r="T151"/>
    </row>
    <row r="152" spans="1:22" s="35" customFormat="1" ht="16.5" hidden="1" thickBot="1" x14ac:dyDescent="0.3">
      <c r="A152" s="228" t="s">
        <v>146</v>
      </c>
      <c r="B152" s="228"/>
      <c r="C152" s="151"/>
      <c r="D152" s="151"/>
      <c r="E152" s="229"/>
      <c r="F152" s="229"/>
      <c r="G152" s="230"/>
      <c r="H152" s="230"/>
      <c r="T152"/>
    </row>
    <row r="153" spans="1:22" s="35" customFormat="1" ht="16.5" thickBot="1" x14ac:dyDescent="0.3">
      <c r="A153" s="128" t="s">
        <v>162</v>
      </c>
      <c r="B153" s="129"/>
      <c r="C153" s="153">
        <f>C145+C150</f>
        <v>271</v>
      </c>
      <c r="D153" s="154"/>
      <c r="E153" s="153">
        <f t="shared" ref="E153" si="3">E145+E150</f>
        <v>100781.28683999997</v>
      </c>
      <c r="F153" s="154"/>
      <c r="G153" s="153">
        <f t="shared" ref="G153" si="4">G145+G150</f>
        <v>151293.20824800001</v>
      </c>
      <c r="H153" s="154"/>
      <c r="T153"/>
    </row>
    <row r="154" spans="1:22" s="34" customFormat="1" x14ac:dyDescent="0.25">
      <c r="A154" s="152" t="s">
        <v>54</v>
      </c>
      <c r="B154" s="152"/>
      <c r="C154" s="152"/>
      <c r="D154" s="152"/>
      <c r="E154" s="152"/>
      <c r="F154" s="152"/>
      <c r="G154" s="152"/>
      <c r="H154" s="152"/>
      <c r="T154" s="35"/>
    </row>
    <row r="155" spans="1:22" x14ac:dyDescent="0.25">
      <c r="A155" s="107" t="s">
        <v>170</v>
      </c>
      <c r="B155" s="107"/>
      <c r="C155" s="107"/>
      <c r="D155" s="107"/>
      <c r="E155" s="107"/>
      <c r="F155" s="107"/>
      <c r="G155" s="107"/>
      <c r="H155" s="107"/>
      <c r="T155" s="35"/>
    </row>
    <row r="156" spans="1:22" s="23" customFormat="1" ht="47.25" customHeight="1" x14ac:dyDescent="0.25">
      <c r="A156" s="85" t="s">
        <v>334</v>
      </c>
      <c r="B156" s="85" t="s">
        <v>172</v>
      </c>
      <c r="C156" s="85" t="s">
        <v>55</v>
      </c>
      <c r="D156" s="85" t="s">
        <v>317</v>
      </c>
      <c r="E156" s="202" t="s">
        <v>151</v>
      </c>
      <c r="F156" s="85" t="s">
        <v>56</v>
      </c>
      <c r="G156" s="202" t="s">
        <v>57</v>
      </c>
      <c r="H156" s="72" t="s">
        <v>145</v>
      </c>
      <c r="T156" s="73"/>
    </row>
    <row r="157" spans="1:22" s="75" customFormat="1" x14ac:dyDescent="0.25">
      <c r="A157" s="86"/>
      <c r="B157" s="86"/>
      <c r="C157" s="86"/>
      <c r="D157" s="86"/>
      <c r="E157" s="203"/>
      <c r="F157" s="86"/>
      <c r="G157" s="203"/>
      <c r="H157" s="74">
        <v>0.55000000000000004</v>
      </c>
      <c r="T157" s="73"/>
    </row>
    <row r="158" spans="1:22" s="37" customFormat="1" x14ac:dyDescent="0.25">
      <c r="A158" s="199" t="s">
        <v>324</v>
      </c>
      <c r="B158" s="200"/>
      <c r="C158" s="200"/>
      <c r="D158" s="200"/>
      <c r="E158" s="200"/>
      <c r="F158" s="200"/>
      <c r="G158" s="200"/>
      <c r="H158" s="201"/>
      <c r="J158" s="36"/>
      <c r="T158" s="35"/>
    </row>
    <row r="159" spans="1:22" s="37" customFormat="1" x14ac:dyDescent="0.25">
      <c r="A159" s="199" t="s">
        <v>323</v>
      </c>
      <c r="B159" s="200"/>
      <c r="C159" s="200"/>
      <c r="D159" s="200"/>
      <c r="E159" s="200"/>
      <c r="F159" s="200"/>
      <c r="G159" s="200"/>
      <c r="H159" s="201"/>
      <c r="J159" s="36"/>
      <c r="T159" s="35"/>
    </row>
    <row r="160" spans="1:22" s="37" customFormat="1" ht="15.75" customHeight="1" x14ac:dyDescent="0.25">
      <c r="A160" s="80">
        <v>1</v>
      </c>
      <c r="B160" s="81"/>
      <c r="C160" s="42" t="s">
        <v>313</v>
      </c>
      <c r="D160" s="42">
        <f>(22.38)*10.764</f>
        <v>240.89831999999998</v>
      </c>
      <c r="E160" s="42">
        <v>0</v>
      </c>
      <c r="F160" s="42">
        <f>D160+(IF(E160&lt;201,E160,IF(E160&lt;301,E160/2,E160/3)))</f>
        <v>240.89831999999998</v>
      </c>
      <c r="G160" s="42">
        <v>0</v>
      </c>
      <c r="H160" s="42">
        <f>(F160+(IF(G160&lt;101,G160,IF(G160&lt;201,G160/2,IF(G160&lt;=301,G160/3,G160/4)))))*(($H$157)+1)</f>
        <v>373.39239599999996</v>
      </c>
      <c r="I160" s="36">
        <f>(3.02*7.41)</f>
        <v>22.3782</v>
      </c>
      <c r="J160" s="42">
        <f>10.764</f>
        <v>10.763999999999999</v>
      </c>
      <c r="L160" s="87"/>
      <c r="M160" s="87"/>
      <c r="N160" s="36"/>
      <c r="T160" s="35"/>
    </row>
    <row r="161" spans="1:20" s="37" customFormat="1" ht="15.75" customHeight="1" x14ac:dyDescent="0.25">
      <c r="A161" s="80">
        <f t="shared" ref="A161:A170" si="5">A160+1</f>
        <v>2</v>
      </c>
      <c r="B161" s="81"/>
      <c r="C161" s="42" t="s">
        <v>313</v>
      </c>
      <c r="D161" s="42">
        <f>(18.89)*10.764</f>
        <v>203.33195999999998</v>
      </c>
      <c r="E161" s="42">
        <v>0</v>
      </c>
      <c r="F161" s="42">
        <f t="shared" ref="F161:F163" si="6">D161+(IF(E161&lt;201,E161,IF(E161&lt;301,E161/2,E161/3)))</f>
        <v>203.33195999999998</v>
      </c>
      <c r="G161" s="42">
        <v>0</v>
      </c>
      <c r="H161" s="42">
        <f t="shared" ref="H161:H163" si="7">(F161+(IF(G161&lt;101,G161,IF(G161&lt;201,G161/2,IF(G161&lt;=301,G161/3,G161/4)))))*(($H$157)+1)</f>
        <v>315.16453799999999</v>
      </c>
      <c r="I161" s="36"/>
      <c r="L161" s="87"/>
      <c r="M161" s="87"/>
      <c r="N161" s="36"/>
      <c r="T161" s="34"/>
    </row>
    <row r="162" spans="1:20" s="37" customFormat="1" ht="15.75" customHeight="1" x14ac:dyDescent="0.25">
      <c r="A162" s="80">
        <f t="shared" si="5"/>
        <v>3</v>
      </c>
      <c r="B162" s="81"/>
      <c r="C162" s="42" t="s">
        <v>313</v>
      </c>
      <c r="D162" s="42">
        <f>(20.26)*10.764</f>
        <v>218.07864000000001</v>
      </c>
      <c r="E162" s="42">
        <v>0</v>
      </c>
      <c r="F162" s="42">
        <f t="shared" si="6"/>
        <v>218.07864000000001</v>
      </c>
      <c r="G162" s="42">
        <v>0</v>
      </c>
      <c r="H162" s="42">
        <f t="shared" si="7"/>
        <v>338.02189200000004</v>
      </c>
      <c r="I162" s="36"/>
      <c r="L162" s="87"/>
      <c r="M162" s="87"/>
      <c r="N162" s="36"/>
      <c r="T162" s="21"/>
    </row>
    <row r="163" spans="1:20" s="37" customFormat="1" ht="15.75" customHeight="1" x14ac:dyDescent="0.25">
      <c r="A163" s="80">
        <f t="shared" si="5"/>
        <v>4</v>
      </c>
      <c r="B163" s="81"/>
      <c r="C163" s="42" t="s">
        <v>313</v>
      </c>
      <c r="D163" s="66">
        <f>(20.38)*(10.764)</f>
        <v>219.37031999999996</v>
      </c>
      <c r="E163" s="42">
        <v>0</v>
      </c>
      <c r="F163" s="42">
        <f t="shared" si="6"/>
        <v>219.37031999999996</v>
      </c>
      <c r="G163" s="42">
        <v>0</v>
      </c>
      <c r="H163" s="42">
        <f t="shared" si="7"/>
        <v>340.02399599999995</v>
      </c>
      <c r="I163" s="36">
        <f>(2.75*7.41)</f>
        <v>20.377500000000001</v>
      </c>
      <c r="L163" s="87"/>
      <c r="M163" s="87"/>
      <c r="N163" s="36"/>
      <c r="T163" s="21"/>
    </row>
    <row r="164" spans="1:20" s="37" customFormat="1" ht="15.75" customHeight="1" x14ac:dyDescent="0.25">
      <c r="A164" s="80">
        <f t="shared" si="5"/>
        <v>5</v>
      </c>
      <c r="B164" s="81"/>
      <c r="C164" s="42" t="s">
        <v>313</v>
      </c>
      <c r="D164" s="66">
        <f>(15.78)*(10.764)</f>
        <v>169.85591999999997</v>
      </c>
      <c r="E164" s="42">
        <v>0</v>
      </c>
      <c r="F164" s="42">
        <f t="shared" ref="F164:F165" si="8">D164+(IF(E164&lt;201,E164,IF(E164&lt;301,E164/2,E164/3)))</f>
        <v>169.85591999999997</v>
      </c>
      <c r="G164" s="42">
        <v>0</v>
      </c>
      <c r="H164" s="42">
        <f t="shared" ref="H164:H165" si="9">(F164+(IF(G164&lt;101,G164,IF(G164&lt;201,G164/2,IF(G164&lt;=301,G164/3,G164/4)))))*(($H$157)+1)</f>
        <v>263.27667599999995</v>
      </c>
      <c r="I164" s="36"/>
      <c r="L164" s="87"/>
      <c r="M164" s="87"/>
      <c r="N164" s="36"/>
      <c r="T164" s="34"/>
    </row>
    <row r="165" spans="1:20" s="37" customFormat="1" ht="15.75" customHeight="1" x14ac:dyDescent="0.25">
      <c r="A165" s="80">
        <f t="shared" si="5"/>
        <v>6</v>
      </c>
      <c r="B165" s="81"/>
      <c r="C165" s="42" t="s">
        <v>313</v>
      </c>
      <c r="D165" s="66">
        <f>(20.3)*(10.764)</f>
        <v>218.50919999999999</v>
      </c>
      <c r="E165" s="42">
        <v>0</v>
      </c>
      <c r="F165" s="42">
        <f t="shared" si="8"/>
        <v>218.50919999999999</v>
      </c>
      <c r="G165" s="42">
        <v>0</v>
      </c>
      <c r="H165" s="42">
        <f t="shared" si="9"/>
        <v>338.68925999999999</v>
      </c>
      <c r="I165" s="36"/>
      <c r="L165" s="87"/>
      <c r="M165" s="87"/>
      <c r="N165" s="36"/>
      <c r="T165" s="21"/>
    </row>
    <row r="166" spans="1:20" s="37" customFormat="1" ht="15.75" customHeight="1" x14ac:dyDescent="0.25">
      <c r="A166" s="80">
        <f t="shared" si="5"/>
        <v>7</v>
      </c>
      <c r="B166" s="81"/>
      <c r="C166" s="42" t="s">
        <v>313</v>
      </c>
      <c r="D166" s="66">
        <f>(20.3)*(10.764)</f>
        <v>218.50919999999999</v>
      </c>
      <c r="E166" s="42">
        <v>0</v>
      </c>
      <c r="F166" s="42">
        <f t="shared" ref="F166:F168" si="10">D166+(IF(E166&lt;201,E166,IF(E166&lt;301,E166/2,E166/3)))</f>
        <v>218.50919999999999</v>
      </c>
      <c r="G166" s="42">
        <v>0</v>
      </c>
      <c r="H166" s="42">
        <f t="shared" ref="H166:H168" si="11">(F166+(IF(G166&lt;101,G166,IF(G166&lt;201,G166/2,IF(G166&lt;=301,G166/3,G166/4)))))*(($H$157)+1)</f>
        <v>338.68925999999999</v>
      </c>
      <c r="I166" s="36"/>
      <c r="L166" s="87"/>
      <c r="M166" s="87"/>
      <c r="N166" s="36"/>
      <c r="T166" s="34"/>
    </row>
    <row r="167" spans="1:20" s="37" customFormat="1" ht="15.75" customHeight="1" x14ac:dyDescent="0.25">
      <c r="A167" s="80">
        <f t="shared" si="5"/>
        <v>8</v>
      </c>
      <c r="B167" s="81"/>
      <c r="C167" s="42" t="s">
        <v>313</v>
      </c>
      <c r="D167" s="66">
        <f>(15.78)*(10.764)</f>
        <v>169.85591999999997</v>
      </c>
      <c r="E167" s="42">
        <v>0</v>
      </c>
      <c r="F167" s="42">
        <f t="shared" si="10"/>
        <v>169.85591999999997</v>
      </c>
      <c r="G167" s="42">
        <v>0</v>
      </c>
      <c r="H167" s="42">
        <f t="shared" si="11"/>
        <v>263.27667599999995</v>
      </c>
      <c r="I167" s="36"/>
      <c r="L167" s="87"/>
      <c r="M167" s="87"/>
      <c r="N167" s="36"/>
      <c r="T167" s="21"/>
    </row>
    <row r="168" spans="1:20" s="37" customFormat="1" ht="15.75" customHeight="1" x14ac:dyDescent="0.25">
      <c r="A168" s="80">
        <f t="shared" si="5"/>
        <v>9</v>
      </c>
      <c r="B168" s="81"/>
      <c r="C168" s="42" t="s">
        <v>313</v>
      </c>
      <c r="D168" s="66">
        <f>(24.95)*(10.764)</f>
        <v>268.56179999999995</v>
      </c>
      <c r="E168" s="42">
        <v>0</v>
      </c>
      <c r="F168" s="42">
        <f t="shared" si="10"/>
        <v>268.56179999999995</v>
      </c>
      <c r="G168" s="42">
        <v>0</v>
      </c>
      <c r="H168" s="42">
        <f t="shared" si="11"/>
        <v>416.27078999999992</v>
      </c>
      <c r="I168" s="36">
        <f>2.75*9.07</f>
        <v>24.942500000000003</v>
      </c>
      <c r="L168" s="87"/>
      <c r="M168" s="87"/>
      <c r="N168" s="36"/>
      <c r="T168" s="21"/>
    </row>
    <row r="169" spans="1:20" s="37" customFormat="1" ht="15.75" customHeight="1" x14ac:dyDescent="0.25">
      <c r="A169" s="80">
        <f t="shared" si="5"/>
        <v>10</v>
      </c>
      <c r="B169" s="81"/>
      <c r="C169" s="42" t="s">
        <v>313</v>
      </c>
      <c r="D169" s="66">
        <f>(19.26)*(10.764)</f>
        <v>207.31464</v>
      </c>
      <c r="E169" s="42">
        <v>0</v>
      </c>
      <c r="F169" s="42">
        <f t="shared" ref="F169:F170" si="12">D169+(IF(E169&lt;201,E169,IF(E169&lt;301,E169/2,E169/3)))</f>
        <v>207.31464</v>
      </c>
      <c r="G169" s="42">
        <v>0</v>
      </c>
      <c r="H169" s="42">
        <f t="shared" ref="H169:H170" si="13">(F169+(IF(G169&lt;101,G169,IF(G169&lt;201,G169/2,IF(G169&lt;=301,G169/3,G169/4)))))*(($H$157)+1)</f>
        <v>321.337692</v>
      </c>
      <c r="I169" s="36"/>
      <c r="L169" s="87"/>
      <c r="M169" s="87"/>
      <c r="N169" s="36"/>
      <c r="T169" s="34"/>
    </row>
    <row r="170" spans="1:20" s="37" customFormat="1" ht="15.75" customHeight="1" x14ac:dyDescent="0.25">
      <c r="A170" s="80">
        <f t="shared" si="5"/>
        <v>11</v>
      </c>
      <c r="B170" s="81"/>
      <c r="C170" s="42" t="s">
        <v>313</v>
      </c>
      <c r="D170" s="66">
        <f>(27.06)*(10.764)</f>
        <v>291.27383999999995</v>
      </c>
      <c r="E170" s="42">
        <v>0</v>
      </c>
      <c r="F170" s="42">
        <f t="shared" si="12"/>
        <v>291.27383999999995</v>
      </c>
      <c r="G170" s="42">
        <v>0</v>
      </c>
      <c r="H170" s="42">
        <f t="shared" si="13"/>
        <v>451.47445199999993</v>
      </c>
      <c r="I170" s="36">
        <f>(3.86*7)</f>
        <v>27.02</v>
      </c>
      <c r="J170" s="66">
        <f>10.764</f>
        <v>10.763999999999999</v>
      </c>
      <c r="L170" s="87"/>
      <c r="M170" s="87"/>
      <c r="N170" s="36"/>
      <c r="T170" s="21"/>
    </row>
    <row r="171" spans="1:20" s="37" customFormat="1" x14ac:dyDescent="0.25">
      <c r="A171" s="80"/>
      <c r="B171" s="88"/>
      <c r="C171" s="88"/>
      <c r="D171" s="88"/>
      <c r="E171" s="88"/>
      <c r="F171" s="88"/>
      <c r="G171" s="88"/>
      <c r="H171" s="81"/>
      <c r="I171" s="36"/>
      <c r="N171" s="36"/>
    </row>
    <row r="172" spans="1:20" ht="47.25" customHeight="1" x14ac:dyDescent="0.25">
      <c r="A172" s="85" t="s">
        <v>337</v>
      </c>
      <c r="B172" s="85" t="s">
        <v>173</v>
      </c>
      <c r="C172" s="85" t="s">
        <v>55</v>
      </c>
      <c r="D172" s="85" t="s">
        <v>317</v>
      </c>
      <c r="E172" s="85" t="s">
        <v>318</v>
      </c>
      <c r="F172" s="85" t="s">
        <v>56</v>
      </c>
      <c r="G172" s="202" t="s">
        <v>57</v>
      </c>
      <c r="H172" s="72" t="s">
        <v>145</v>
      </c>
      <c r="I172" s="36"/>
      <c r="T172" s="37"/>
    </row>
    <row r="173" spans="1:20" s="37" customFormat="1" x14ac:dyDescent="0.25">
      <c r="A173" s="86"/>
      <c r="B173" s="86"/>
      <c r="C173" s="86"/>
      <c r="D173" s="86"/>
      <c r="E173" s="86"/>
      <c r="F173" s="86"/>
      <c r="G173" s="203"/>
      <c r="H173" s="74">
        <v>0.5</v>
      </c>
      <c r="I173" s="36"/>
    </row>
    <row r="174" spans="1:20" s="37" customFormat="1" x14ac:dyDescent="0.25">
      <c r="A174" s="225" t="s">
        <v>324</v>
      </c>
      <c r="B174" s="226"/>
      <c r="C174" s="226"/>
      <c r="D174" s="226"/>
      <c r="E174" s="226"/>
      <c r="F174" s="226"/>
      <c r="G174" s="226"/>
      <c r="H174" s="227"/>
      <c r="J174" s="36"/>
      <c r="T174" s="35"/>
    </row>
    <row r="175" spans="1:20" s="37" customFormat="1" ht="15.75" customHeight="1" x14ac:dyDescent="0.25">
      <c r="A175" s="82" t="s">
        <v>335</v>
      </c>
      <c r="B175" s="83"/>
      <c r="C175" s="83"/>
      <c r="D175" s="83"/>
      <c r="E175" s="83"/>
      <c r="F175" s="83"/>
      <c r="G175" s="83"/>
      <c r="H175" s="84"/>
      <c r="I175" s="36"/>
      <c r="L175" s="66">
        <f>10.764</f>
        <v>10.763999999999999</v>
      </c>
    </row>
    <row r="176" spans="1:20" s="37" customFormat="1" ht="15.75" customHeight="1" x14ac:dyDescent="0.25">
      <c r="A176" s="80"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10^ROW(INDIRECT("1:"&amp;LEN((LEFT(A175,SUM(LEN(A175)-LEN(SUBSTITUTE(A175,{"0","1","2"},""))))))))/10))*100+1&amp;""&amp;" ,..,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",LEN(A175))),LEN(A175)))))))/10))*100+1</f>
        <v>101 ,.., 601</v>
      </c>
      <c r="B176" s="81"/>
      <c r="C176" s="42" t="s">
        <v>314</v>
      </c>
      <c r="D176" s="36">
        <f>29.54*10.764</f>
        <v>317.96855999999997</v>
      </c>
      <c r="E176" s="66">
        <f>7.49*(10.764)</f>
        <v>80.62236</v>
      </c>
      <c r="F176" s="42">
        <f t="shared" ref="F176:F187" si="14">D176+E176</f>
        <v>398.59091999999998</v>
      </c>
      <c r="G176" s="42">
        <v>0</v>
      </c>
      <c r="H176" s="42">
        <f t="shared" ref="H176:H187" si="15">F176*(($H$173)+1)+(IF(G176&lt;101,G176,IF(G176&lt;201,G176/2,IF(G176&lt;=301,G176/3,G176/4))))</f>
        <v>597.88637999999992</v>
      </c>
      <c r="I176" s="65"/>
      <c r="J176" s="42">
        <f>(2.75*1.22+0.85*2.13+0.85*2.74)*10.764</f>
        <v>80.670798000000005</v>
      </c>
    </row>
    <row r="177" spans="1:10" s="37" customFormat="1" ht="15.75" customHeight="1" x14ac:dyDescent="0.25">
      <c r="A177" s="80"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102 ,.., 602</v>
      </c>
      <c r="B177" s="81"/>
      <c r="C177" s="42" t="s">
        <v>314</v>
      </c>
      <c r="D177" s="42">
        <f>(29.17)*10.764</f>
        <v>313.98588000000001</v>
      </c>
      <c r="E177" s="66">
        <f>7.27*(10.764)</f>
        <v>78.254279999999994</v>
      </c>
      <c r="F177" s="42">
        <f t="shared" si="14"/>
        <v>392.24016</v>
      </c>
      <c r="G177" s="42">
        <v>0</v>
      </c>
      <c r="H177" s="42">
        <f t="shared" si="15"/>
        <v>588.36023999999998</v>
      </c>
      <c r="I177" s="65"/>
    </row>
    <row r="178" spans="1:10" s="37" customFormat="1" ht="15.75" customHeight="1" x14ac:dyDescent="0.25">
      <c r="A178" s="80"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103 ,.., 603</v>
      </c>
      <c r="B178" s="81"/>
      <c r="C178" s="42" t="s">
        <v>315</v>
      </c>
      <c r="D178" s="42">
        <f>(25.07)*10.764</f>
        <v>269.85347999999999</v>
      </c>
      <c r="E178" s="66">
        <f>2.75*(10.764)</f>
        <v>29.600999999999999</v>
      </c>
      <c r="F178" s="42">
        <f t="shared" si="14"/>
        <v>299.45447999999999</v>
      </c>
      <c r="G178" s="42">
        <v>0</v>
      </c>
      <c r="H178" s="42">
        <f t="shared" si="15"/>
        <v>449.18171999999998</v>
      </c>
      <c r="I178" s="36"/>
    </row>
    <row r="179" spans="1:10" s="37" customFormat="1" ht="15.75" customHeight="1" x14ac:dyDescent="0.25">
      <c r="A179" s="80"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104 ,.., 604</v>
      </c>
      <c r="B179" s="81"/>
      <c r="C179" s="42" t="s">
        <v>315</v>
      </c>
      <c r="D179" s="42">
        <f>(25.07)*10.764</f>
        <v>269.85347999999999</v>
      </c>
      <c r="E179" s="66">
        <f>2.75*(10.764)</f>
        <v>29.600999999999999</v>
      </c>
      <c r="F179" s="42">
        <f t="shared" si="14"/>
        <v>299.45447999999999</v>
      </c>
      <c r="G179" s="42">
        <v>0</v>
      </c>
      <c r="H179" s="42">
        <f t="shared" si="15"/>
        <v>449.18171999999998</v>
      </c>
      <c r="I179" s="36">
        <f>(4.97*2.75+2.29*2.43+1.89*1.25+1.22*1.05+1.22*1.25)</f>
        <v>24.400699999999997</v>
      </c>
      <c r="J179" s="42">
        <f>(1*2.75)*10.764</f>
        <v>29.600999999999999</v>
      </c>
    </row>
    <row r="180" spans="1:10" s="37" customFormat="1" ht="15.75" customHeight="1" x14ac:dyDescent="0.25">
      <c r="A180" s="80"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105 ,.., 605</v>
      </c>
      <c r="B180" s="81"/>
      <c r="C180" s="42" t="s">
        <v>314</v>
      </c>
      <c r="D180" s="66">
        <f>(29.23)*(10.764)</f>
        <v>314.63171999999997</v>
      </c>
      <c r="E180" s="66">
        <f>10.66*(10.764)</f>
        <v>114.74423999999999</v>
      </c>
      <c r="F180" s="42">
        <f t="shared" si="14"/>
        <v>429.37595999999996</v>
      </c>
      <c r="G180" s="42">
        <v>0</v>
      </c>
      <c r="H180" s="42">
        <f t="shared" si="15"/>
        <v>644.06394</v>
      </c>
      <c r="I180" s="36"/>
      <c r="J180" s="36"/>
    </row>
    <row r="181" spans="1:10" s="37" customFormat="1" ht="15.75" customHeight="1" x14ac:dyDescent="0.25">
      <c r="A181" s="80"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106 ,.., 606</v>
      </c>
      <c r="B181" s="81"/>
      <c r="C181" s="42" t="s">
        <v>314</v>
      </c>
      <c r="D181" s="42">
        <f>(29.97)*10.764</f>
        <v>322.59707999999995</v>
      </c>
      <c r="E181" s="66">
        <f>(2.75*2+2.13*0.75+2.74*1)*(10.764)</f>
        <v>105.89085</v>
      </c>
      <c r="F181" s="42">
        <f t="shared" si="14"/>
        <v>428.48792999999995</v>
      </c>
      <c r="G181" s="42">
        <v>0</v>
      </c>
      <c r="H181" s="42">
        <f t="shared" si="15"/>
        <v>642.73189499999989</v>
      </c>
      <c r="I181" s="36"/>
    </row>
    <row r="182" spans="1:10" s="37" customFormat="1" ht="15.75" customHeight="1" x14ac:dyDescent="0.25">
      <c r="A182" s="80"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107 ,.., 607</v>
      </c>
      <c r="B182" s="81"/>
      <c r="C182" s="42" t="s">
        <v>314</v>
      </c>
      <c r="D182" s="42">
        <f>(29.97)*10.764</f>
        <v>322.59707999999995</v>
      </c>
      <c r="E182" s="66">
        <f>(2.75*2+2.13*0.75+2.74*1)*(10.764)</f>
        <v>105.89085</v>
      </c>
      <c r="F182" s="42">
        <f t="shared" si="14"/>
        <v>428.48792999999995</v>
      </c>
      <c r="G182" s="42">
        <v>0</v>
      </c>
      <c r="H182" s="42">
        <f t="shared" si="15"/>
        <v>642.73189499999989</v>
      </c>
      <c r="I182" s="65"/>
    </row>
    <row r="183" spans="1:10" s="37" customFormat="1" ht="15.75" customHeight="1" x14ac:dyDescent="0.25">
      <c r="A183" s="80"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108 ,.., 608</v>
      </c>
      <c r="B183" s="81"/>
      <c r="C183" s="42" t="s">
        <v>314</v>
      </c>
      <c r="D183" s="42">
        <f>(29.99)*10.764</f>
        <v>322.81235999999996</v>
      </c>
      <c r="E183" s="66">
        <f>5.06*(10.764)</f>
        <v>54.465839999999993</v>
      </c>
      <c r="F183" s="42">
        <f t="shared" si="14"/>
        <v>377.27819999999997</v>
      </c>
      <c r="G183" s="42">
        <v>0</v>
      </c>
      <c r="H183" s="42">
        <f t="shared" si="15"/>
        <v>565.91729999999995</v>
      </c>
      <c r="I183" s="36"/>
    </row>
    <row r="184" spans="1:10" s="37" customFormat="1" ht="15.75" customHeight="1" x14ac:dyDescent="0.25">
      <c r="A184" s="80"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109 ,.., 609</v>
      </c>
      <c r="B184" s="81"/>
      <c r="C184" s="42" t="s">
        <v>314</v>
      </c>
      <c r="D184" s="42">
        <f>(28.67)*10.764</f>
        <v>308.60388</v>
      </c>
      <c r="E184" s="66">
        <f>7.43*(10.764)</f>
        <v>79.976519999999994</v>
      </c>
      <c r="F184" s="42">
        <f t="shared" si="14"/>
        <v>388.5804</v>
      </c>
      <c r="G184" s="42">
        <v>0</v>
      </c>
      <c r="H184" s="42">
        <f t="shared" si="15"/>
        <v>582.87059999999997</v>
      </c>
      <c r="I184" s="36"/>
    </row>
    <row r="185" spans="1:10" s="37" customFormat="1" ht="15.75" customHeight="1" x14ac:dyDescent="0.25">
      <c r="A185" s="80"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110 ,.., 610</v>
      </c>
      <c r="B185" s="81"/>
      <c r="C185" s="42" t="s">
        <v>315</v>
      </c>
      <c r="D185" s="42">
        <f>(23.72)*10.764</f>
        <v>255.32207999999997</v>
      </c>
      <c r="E185" s="66">
        <f>2.72*(10.764)</f>
        <v>29.278079999999999</v>
      </c>
      <c r="F185" s="42">
        <f t="shared" si="14"/>
        <v>284.60015999999996</v>
      </c>
      <c r="G185" s="42">
        <v>0</v>
      </c>
      <c r="H185" s="42">
        <f t="shared" si="15"/>
        <v>426.90023999999994</v>
      </c>
      <c r="I185" s="36"/>
      <c r="J185" s="36"/>
    </row>
    <row r="186" spans="1:10" s="37" customFormat="1" ht="15.75" customHeight="1" x14ac:dyDescent="0.25">
      <c r="A186" s="80"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111 ,.., 611</v>
      </c>
      <c r="B186" s="81"/>
      <c r="C186" s="42" t="s">
        <v>314</v>
      </c>
      <c r="D186" s="42">
        <f>(28.96)*10.764</f>
        <v>311.72543999999999</v>
      </c>
      <c r="E186" s="66">
        <f>9.77*(10.764)</f>
        <v>105.16427999999999</v>
      </c>
      <c r="F186" s="42">
        <f t="shared" si="14"/>
        <v>416.88972000000001</v>
      </c>
      <c r="G186" s="42">
        <v>0</v>
      </c>
      <c r="H186" s="42">
        <f t="shared" si="15"/>
        <v>625.33457999999996</v>
      </c>
      <c r="I186" s="36"/>
    </row>
    <row r="187" spans="1:10" s="37" customFormat="1" ht="15.75" customHeight="1" x14ac:dyDescent="0.25">
      <c r="A187" s="80"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112 ,.., 612</v>
      </c>
      <c r="B187" s="81"/>
      <c r="C187" s="42" t="s">
        <v>314</v>
      </c>
      <c r="D187" s="42">
        <f>(29.54)*10.764</f>
        <v>317.96855999999997</v>
      </c>
      <c r="E187" s="66">
        <f>7.49*(10.764)</f>
        <v>80.62236</v>
      </c>
      <c r="F187" s="42">
        <f t="shared" si="14"/>
        <v>398.59091999999998</v>
      </c>
      <c r="G187" s="42">
        <v>0</v>
      </c>
      <c r="H187" s="42">
        <f t="shared" si="15"/>
        <v>597.88637999999992</v>
      </c>
      <c r="I187" s="36">
        <f>(2.75*4.4+3.05*2.6+2.44*2.11+2.11*1.13+1.13*0.9)</f>
        <v>28.579699999999999</v>
      </c>
      <c r="J187" s="36">
        <f>(2.75*1.22)</f>
        <v>3.355</v>
      </c>
    </row>
    <row r="188" spans="1:10" s="37" customFormat="1" x14ac:dyDescent="0.25">
      <c r="A188" s="82" t="s">
        <v>336</v>
      </c>
      <c r="B188" s="83"/>
      <c r="C188" s="83"/>
      <c r="D188" s="83"/>
      <c r="E188" s="83"/>
      <c r="F188" s="83"/>
      <c r="G188" s="83"/>
      <c r="H188" s="84"/>
      <c r="I188" s="36"/>
    </row>
    <row r="189" spans="1:10" s="37" customFormat="1" ht="15.75" customHeight="1" x14ac:dyDescent="0.25">
      <c r="A189" s="80"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10^ROW(INDIRECT("1:"&amp;LEN((LEFT(A188,SUM(LEN(A188)-LEN(SUBSTITUTE(A188,{"0","1","2"},""))))))))/10))*100+1&amp;""&amp;" to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",LEN(A188))),LEN(A188)))))))/10))*100+1</f>
        <v>801 to 2101</v>
      </c>
      <c r="B189" s="81"/>
      <c r="C189" s="42" t="s">
        <v>314</v>
      </c>
      <c r="D189" s="36">
        <f>29.54*10.764</f>
        <v>317.96855999999997</v>
      </c>
      <c r="E189" s="66">
        <f>7.49*(10.764)</f>
        <v>80.62236</v>
      </c>
      <c r="F189" s="42">
        <f t="shared" ref="F189:F200" si="16">D189+E189</f>
        <v>398.59091999999998</v>
      </c>
      <c r="G189" s="42">
        <v>0</v>
      </c>
      <c r="H189" s="42">
        <f t="shared" ref="H189:H200" si="17">F189*(($H$173)+1)+(IF(G189&lt;101,G189,IF(G189&lt;201,G189/2,IF(G189&lt;=301,G189/3,G189/4))))</f>
        <v>597.88637999999992</v>
      </c>
      <c r="I189" s="36"/>
      <c r="J189" s="42"/>
    </row>
    <row r="190" spans="1:10" s="37" customFormat="1" ht="15.75" customHeight="1" x14ac:dyDescent="0.25">
      <c r="A190" s="80"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to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802 to 2102</v>
      </c>
      <c r="B190" s="81"/>
      <c r="C190" s="42" t="s">
        <v>314</v>
      </c>
      <c r="D190" s="42">
        <f>(29.17)*10.764</f>
        <v>313.98588000000001</v>
      </c>
      <c r="E190" s="66">
        <f>7.27*(10.764)</f>
        <v>78.254279999999994</v>
      </c>
      <c r="F190" s="42">
        <f t="shared" si="16"/>
        <v>392.24016</v>
      </c>
      <c r="G190" s="42">
        <v>0</v>
      </c>
      <c r="H190" s="42">
        <f t="shared" si="17"/>
        <v>588.36023999999998</v>
      </c>
      <c r="I190" s="36"/>
    </row>
    <row r="191" spans="1:10" s="37" customFormat="1" ht="15.75" customHeight="1" x14ac:dyDescent="0.25">
      <c r="A191" s="80"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803 to 2103</v>
      </c>
      <c r="B191" s="81"/>
      <c r="C191" s="42" t="s">
        <v>315</v>
      </c>
      <c r="D191" s="42">
        <f>(25.07)*10.764</f>
        <v>269.85347999999999</v>
      </c>
      <c r="E191" s="66">
        <f>2.75*(10.764)</f>
        <v>29.600999999999999</v>
      </c>
      <c r="F191" s="42">
        <f t="shared" si="16"/>
        <v>299.45447999999999</v>
      </c>
      <c r="G191" s="42">
        <v>0</v>
      </c>
      <c r="H191" s="42">
        <f t="shared" si="17"/>
        <v>449.18171999999998</v>
      </c>
      <c r="I191" s="36"/>
    </row>
    <row r="192" spans="1:10" s="37" customFormat="1" ht="15.75" customHeight="1" x14ac:dyDescent="0.25">
      <c r="A192" s="80"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804 to 2104</v>
      </c>
      <c r="B192" s="81"/>
      <c r="C192" s="42" t="s">
        <v>315</v>
      </c>
      <c r="D192" s="42">
        <f>(25.07)*10.764</f>
        <v>269.85347999999999</v>
      </c>
      <c r="E192" s="66">
        <f>2.75*(10.764)</f>
        <v>29.600999999999999</v>
      </c>
      <c r="F192" s="42">
        <f t="shared" si="16"/>
        <v>299.45447999999999</v>
      </c>
      <c r="G192" s="42">
        <v>0</v>
      </c>
      <c r="H192" s="42">
        <f t="shared" si="17"/>
        <v>449.18171999999998</v>
      </c>
      <c r="I192" s="36"/>
    </row>
    <row r="193" spans="1:10" s="37" customFormat="1" ht="15.75" customHeight="1" x14ac:dyDescent="0.25">
      <c r="A193" s="80"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805 to 2105</v>
      </c>
      <c r="B193" s="81"/>
      <c r="C193" s="42" t="s">
        <v>314</v>
      </c>
      <c r="D193" s="66">
        <f>(29.23)*(10.764)</f>
        <v>314.63171999999997</v>
      </c>
      <c r="E193" s="66">
        <f>10.66*(10.764)</f>
        <v>114.74423999999999</v>
      </c>
      <c r="F193" s="42">
        <f t="shared" si="16"/>
        <v>429.37595999999996</v>
      </c>
      <c r="G193" s="42">
        <v>0</v>
      </c>
      <c r="H193" s="42">
        <f t="shared" si="17"/>
        <v>644.06394</v>
      </c>
      <c r="I193" s="36"/>
    </row>
    <row r="194" spans="1:10" s="37" customFormat="1" ht="15.75" customHeight="1" x14ac:dyDescent="0.25">
      <c r="A194" s="80"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806 to 2106</v>
      </c>
      <c r="B194" s="81"/>
      <c r="C194" s="42" t="s">
        <v>314</v>
      </c>
      <c r="D194" s="42">
        <f>(29.97)*10.764</f>
        <v>322.59707999999995</v>
      </c>
      <c r="E194" s="66">
        <f>(2.75*2+2.13*0.75+2.74*1)*(10.764)</f>
        <v>105.89085</v>
      </c>
      <c r="F194" s="42">
        <f t="shared" si="16"/>
        <v>428.48792999999995</v>
      </c>
      <c r="G194" s="42">
        <v>0</v>
      </c>
      <c r="H194" s="42">
        <f t="shared" si="17"/>
        <v>642.73189499999989</v>
      </c>
      <c r="I194" s="36"/>
    </row>
    <row r="195" spans="1:10" s="37" customFormat="1" ht="15.75" customHeight="1" x14ac:dyDescent="0.25">
      <c r="A195" s="80"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807 to 2107</v>
      </c>
      <c r="B195" s="81"/>
      <c r="C195" s="42" t="s">
        <v>314</v>
      </c>
      <c r="D195" s="42">
        <f>(29.97)*10.764</f>
        <v>322.59707999999995</v>
      </c>
      <c r="E195" s="66">
        <f>(2.75*2+2.13*0.75+2.74*1)*(10.764)</f>
        <v>105.89085</v>
      </c>
      <c r="F195" s="42">
        <f t="shared" si="16"/>
        <v>428.48792999999995</v>
      </c>
      <c r="G195" s="42">
        <v>0</v>
      </c>
      <c r="H195" s="42">
        <f t="shared" si="17"/>
        <v>642.73189499999989</v>
      </c>
      <c r="I195" s="36">
        <f>(2.75*3.55+2.13*2.18+2.74*2.95+1.22*1.85+1.22*1.85+0.85*2.35)</f>
        <v>29.000400000000003</v>
      </c>
    </row>
    <row r="196" spans="1:10" s="37" customFormat="1" ht="15.75" customHeight="1" x14ac:dyDescent="0.25">
      <c r="A196" s="80"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808 to 2108</v>
      </c>
      <c r="B196" s="81"/>
      <c r="C196" s="42" t="s">
        <v>314</v>
      </c>
      <c r="D196" s="42">
        <f>(29.99)*10.764</f>
        <v>322.81235999999996</v>
      </c>
      <c r="E196" s="66">
        <f>5.06*(10.764)</f>
        <v>54.465839999999993</v>
      </c>
      <c r="F196" s="42">
        <f t="shared" si="16"/>
        <v>377.27819999999997</v>
      </c>
      <c r="G196" s="42">
        <v>0</v>
      </c>
      <c r="H196" s="42">
        <f t="shared" si="17"/>
        <v>565.91729999999995</v>
      </c>
      <c r="I196" s="36"/>
    </row>
    <row r="197" spans="1:10" s="37" customFormat="1" ht="15.75" customHeight="1" x14ac:dyDescent="0.25">
      <c r="A197" s="8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809 to 2109</v>
      </c>
      <c r="B197" s="81"/>
      <c r="C197" s="42" t="s">
        <v>314</v>
      </c>
      <c r="D197" s="42">
        <f>(28.67)*10.764</f>
        <v>308.60388</v>
      </c>
      <c r="E197" s="66">
        <f>7.43*(10.764)</f>
        <v>79.976519999999994</v>
      </c>
      <c r="F197" s="42">
        <f t="shared" si="16"/>
        <v>388.5804</v>
      </c>
      <c r="G197" s="42">
        <v>0</v>
      </c>
      <c r="H197" s="42">
        <f t="shared" si="17"/>
        <v>582.87059999999997</v>
      </c>
      <c r="I197" s="36"/>
    </row>
    <row r="198" spans="1:10" s="37" customFormat="1" ht="15.75" customHeight="1" x14ac:dyDescent="0.25">
      <c r="A198" s="80"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810 to 2110</v>
      </c>
      <c r="B198" s="81"/>
      <c r="C198" s="42" t="s">
        <v>315</v>
      </c>
      <c r="D198" s="42">
        <f>(23.72)*10.764</f>
        <v>255.32207999999997</v>
      </c>
      <c r="E198" s="66">
        <f>2.72*(10.764)</f>
        <v>29.278079999999999</v>
      </c>
      <c r="F198" s="42">
        <f t="shared" si="16"/>
        <v>284.60015999999996</v>
      </c>
      <c r="G198" s="42">
        <v>0</v>
      </c>
      <c r="H198" s="42">
        <f t="shared" si="17"/>
        <v>426.90023999999994</v>
      </c>
      <c r="I198" s="36">
        <f>(4.72*2.75+2.33*2.28+1.2*1.2+1.89*1.2+1.2*1.2)</f>
        <v>23.4404</v>
      </c>
    </row>
    <row r="199" spans="1:10" s="37" customFormat="1" ht="15.75" customHeight="1" x14ac:dyDescent="0.25">
      <c r="A199" s="80"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811 to 2111</v>
      </c>
      <c r="B199" s="81"/>
      <c r="C199" s="42" t="s">
        <v>314</v>
      </c>
      <c r="D199" s="42">
        <f>(28.96)*10.764</f>
        <v>311.72543999999999</v>
      </c>
      <c r="E199" s="66">
        <f>9.77*(10.764)</f>
        <v>105.16427999999999</v>
      </c>
      <c r="F199" s="42">
        <f t="shared" si="16"/>
        <v>416.88972000000001</v>
      </c>
      <c r="G199" s="42">
        <v>0</v>
      </c>
      <c r="H199" s="42">
        <f t="shared" si="17"/>
        <v>625.33457999999996</v>
      </c>
      <c r="I199" s="36"/>
    </row>
    <row r="200" spans="1:10" s="37" customFormat="1" ht="15.75" customHeight="1" x14ac:dyDescent="0.25">
      <c r="A200" s="80"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812 to 2112</v>
      </c>
      <c r="B200" s="81"/>
      <c r="C200" s="42" t="s">
        <v>314</v>
      </c>
      <c r="D200" s="42">
        <f>(29.54)*10.764</f>
        <v>317.96855999999997</v>
      </c>
      <c r="E200" s="66">
        <f>7.49*(10.764)</f>
        <v>80.62236</v>
      </c>
      <c r="F200" s="42">
        <f t="shared" si="16"/>
        <v>398.59091999999998</v>
      </c>
      <c r="G200" s="42">
        <v>0</v>
      </c>
      <c r="H200" s="42">
        <f t="shared" si="17"/>
        <v>597.88637999999992</v>
      </c>
      <c r="I200" s="36"/>
    </row>
    <row r="201" spans="1:10" s="37" customFormat="1" x14ac:dyDescent="0.25">
      <c r="A201" s="82" t="s">
        <v>319</v>
      </c>
      <c r="B201" s="83"/>
      <c r="C201" s="83"/>
      <c r="D201" s="83"/>
      <c r="E201" s="83"/>
      <c r="F201" s="83"/>
      <c r="G201" s="83"/>
      <c r="H201" s="84"/>
      <c r="I201" s="36"/>
    </row>
    <row r="202" spans="1:10" s="37" customFormat="1" ht="15.75" customHeight="1" x14ac:dyDescent="0.25">
      <c r="A202" s="80">
        <v>1</v>
      </c>
      <c r="B202" s="81"/>
      <c r="C202" s="42" t="s">
        <v>314</v>
      </c>
      <c r="D202" s="36">
        <f>29.54*10.764</f>
        <v>317.96855999999997</v>
      </c>
      <c r="E202" s="66">
        <f>7.49*(10.764)</f>
        <v>80.62236</v>
      </c>
      <c r="F202" s="42">
        <f t="shared" ref="F202:F213" si="18">D202+E202</f>
        <v>398.59091999999998</v>
      </c>
      <c r="G202" s="42">
        <v>0</v>
      </c>
      <c r="H202" s="42">
        <f>F202*(($H$173)+1)+(IF(G202&lt;101,G202,IF(G202&lt;201,G202/2,IF(G202&lt;=301,G202/3,G202/4))))</f>
        <v>597.88637999999992</v>
      </c>
      <c r="I202" s="36">
        <f>(4.4*2.75+2.13*2.33+2.74*2.33+1.22*2.11+1.22*2.11)</f>
        <v>28.595500000000005</v>
      </c>
      <c r="J202" s="36">
        <f>(2.75*1.22+2.13*0.85+2.74*0.85)*10.764</f>
        <v>80.670798000000005</v>
      </c>
    </row>
    <row r="203" spans="1:10" s="37" customFormat="1" ht="15.75" customHeight="1" x14ac:dyDescent="0.25">
      <c r="A203" s="80">
        <v>2</v>
      </c>
      <c r="B203" s="81"/>
      <c r="C203" s="80" t="s">
        <v>316</v>
      </c>
      <c r="D203" s="88"/>
      <c r="E203" s="88"/>
      <c r="F203" s="88"/>
      <c r="G203" s="88"/>
      <c r="H203" s="81"/>
      <c r="I203" s="36"/>
    </row>
    <row r="204" spans="1:10" s="37" customFormat="1" ht="15.75" customHeight="1" x14ac:dyDescent="0.25">
      <c r="A204" s="80">
        <v>3</v>
      </c>
      <c r="B204" s="81"/>
      <c r="C204" s="42" t="s">
        <v>315</v>
      </c>
      <c r="D204" s="42">
        <f>(25.07)*10.764</f>
        <v>269.85347999999999</v>
      </c>
      <c r="E204" s="66">
        <f>2.75*(10.764)</f>
        <v>29.600999999999999</v>
      </c>
      <c r="F204" s="42">
        <f t="shared" si="18"/>
        <v>299.45447999999999</v>
      </c>
      <c r="G204" s="42">
        <v>0</v>
      </c>
      <c r="H204" s="42">
        <f t="shared" ref="H204:H213" si="19">F204*(($H$173)+1)+(IF(G204&lt;101,G204,IF(G204&lt;201,G204/2,IF(G204&lt;=301,G204/3,G204/4))))</f>
        <v>449.18171999999998</v>
      </c>
      <c r="I204" s="36">
        <f>(4.97*2.75+2.29*2.43+1.22*1.05+1.89*1.25+1.22*1.25)</f>
        <v>24.400699999999997</v>
      </c>
      <c r="J204" s="36">
        <f>(2.75*1)*10.764</f>
        <v>29.600999999999999</v>
      </c>
    </row>
    <row r="205" spans="1:10" s="37" customFormat="1" ht="15.75" customHeight="1" x14ac:dyDescent="0.25">
      <c r="A205" s="80">
        <v>4</v>
      </c>
      <c r="B205" s="81"/>
      <c r="C205" s="42" t="s">
        <v>315</v>
      </c>
      <c r="D205" s="42">
        <f>(25.07)*10.764</f>
        <v>269.85347999999999</v>
      </c>
      <c r="E205" s="66">
        <f>2.75*(10.764)</f>
        <v>29.600999999999999</v>
      </c>
      <c r="F205" s="42">
        <f t="shared" si="18"/>
        <v>299.45447999999999</v>
      </c>
      <c r="G205" s="42">
        <v>0</v>
      </c>
      <c r="H205" s="42">
        <f t="shared" si="19"/>
        <v>449.18171999999998</v>
      </c>
      <c r="I205" s="36"/>
    </row>
    <row r="206" spans="1:10" s="37" customFormat="1" ht="15.75" customHeight="1" x14ac:dyDescent="0.25">
      <c r="A206" s="80">
        <v>5</v>
      </c>
      <c r="B206" s="81"/>
      <c r="C206" s="42" t="s">
        <v>314</v>
      </c>
      <c r="D206" s="66">
        <f>(29.23)*(10.764)</f>
        <v>314.63171999999997</v>
      </c>
      <c r="E206" s="66">
        <f>10.66*(10.764)</f>
        <v>114.74423999999999</v>
      </c>
      <c r="F206" s="42">
        <f t="shared" si="18"/>
        <v>429.37595999999996</v>
      </c>
      <c r="G206" s="42">
        <v>0</v>
      </c>
      <c r="H206" s="42">
        <f t="shared" si="19"/>
        <v>644.06394</v>
      </c>
      <c r="I206" s="36"/>
    </row>
    <row r="207" spans="1:10" s="37" customFormat="1" ht="15.75" customHeight="1" x14ac:dyDescent="0.25">
      <c r="A207" s="80">
        <v>6</v>
      </c>
      <c r="B207" s="81"/>
      <c r="C207" s="42" t="s">
        <v>314</v>
      </c>
      <c r="D207" s="42">
        <f>(29.97)*10.764</f>
        <v>322.59707999999995</v>
      </c>
      <c r="E207" s="66">
        <f>(2.75*2+2.13*0.75+2.74*1)*(10.764)</f>
        <v>105.89085</v>
      </c>
      <c r="F207" s="42">
        <f t="shared" si="18"/>
        <v>428.48792999999995</v>
      </c>
      <c r="G207" s="42">
        <v>0</v>
      </c>
      <c r="H207" s="42">
        <f t="shared" si="19"/>
        <v>642.73189499999989</v>
      </c>
      <c r="I207" s="36"/>
    </row>
    <row r="208" spans="1:10" s="37" customFormat="1" ht="15.75" customHeight="1" x14ac:dyDescent="0.25">
      <c r="A208" s="80">
        <v>7</v>
      </c>
      <c r="B208" s="81"/>
      <c r="C208" s="42" t="s">
        <v>314</v>
      </c>
      <c r="D208" s="42">
        <f>(29.97)*10.764</f>
        <v>322.59707999999995</v>
      </c>
      <c r="E208" s="66">
        <f>(2.75*2+2.13*0.75+2.74*1)*(10.764)</f>
        <v>105.89085</v>
      </c>
      <c r="F208" s="42">
        <f t="shared" si="18"/>
        <v>428.48792999999995</v>
      </c>
      <c r="G208" s="42">
        <v>0</v>
      </c>
      <c r="H208" s="42">
        <f t="shared" si="19"/>
        <v>642.73189499999989</v>
      </c>
      <c r="I208" s="36"/>
    </row>
    <row r="209" spans="1:20" s="37" customFormat="1" ht="15.75" customHeight="1" x14ac:dyDescent="0.25">
      <c r="A209" s="80">
        <v>8</v>
      </c>
      <c r="B209" s="81"/>
      <c r="C209" s="42" t="s">
        <v>314</v>
      </c>
      <c r="D209" s="42">
        <f>(29.99)*10.764</f>
        <v>322.81235999999996</v>
      </c>
      <c r="E209" s="66">
        <f>5.06*(10.764)</f>
        <v>54.465839999999993</v>
      </c>
      <c r="F209" s="42">
        <f t="shared" si="18"/>
        <v>377.27819999999997</v>
      </c>
      <c r="G209" s="42">
        <v>0</v>
      </c>
      <c r="H209" s="42">
        <f t="shared" si="19"/>
        <v>565.91729999999995</v>
      </c>
      <c r="I209" s="36"/>
    </row>
    <row r="210" spans="1:20" s="37" customFormat="1" ht="15.75" customHeight="1" x14ac:dyDescent="0.25">
      <c r="A210" s="80">
        <v>9</v>
      </c>
      <c r="B210" s="81"/>
      <c r="C210" s="42" t="s">
        <v>314</v>
      </c>
      <c r="D210" s="42">
        <f>(28.67)*10.764</f>
        <v>308.60388</v>
      </c>
      <c r="E210" s="66">
        <f>7.43*(10.764)</f>
        <v>79.976519999999994</v>
      </c>
      <c r="F210" s="42">
        <f t="shared" si="18"/>
        <v>388.5804</v>
      </c>
      <c r="G210" s="42">
        <v>0</v>
      </c>
      <c r="H210" s="42">
        <f t="shared" si="19"/>
        <v>582.87059999999997</v>
      </c>
      <c r="I210" s="36"/>
    </row>
    <row r="211" spans="1:20" s="37" customFormat="1" ht="15.75" customHeight="1" x14ac:dyDescent="0.25">
      <c r="A211" s="80">
        <v>10</v>
      </c>
      <c r="B211" s="81"/>
      <c r="C211" s="42" t="s">
        <v>315</v>
      </c>
      <c r="D211" s="42">
        <f>(23.72)*10.764</f>
        <v>255.32207999999997</v>
      </c>
      <c r="E211" s="66">
        <f>2.72*(10.764)</f>
        <v>29.278079999999999</v>
      </c>
      <c r="F211" s="42">
        <f t="shared" si="18"/>
        <v>284.60015999999996</v>
      </c>
      <c r="G211" s="42">
        <v>0</v>
      </c>
      <c r="H211" s="42">
        <f t="shared" si="19"/>
        <v>426.90023999999994</v>
      </c>
      <c r="I211" s="36"/>
    </row>
    <row r="212" spans="1:20" s="37" customFormat="1" ht="15.75" customHeight="1" x14ac:dyDescent="0.25">
      <c r="A212" s="80">
        <v>11</v>
      </c>
      <c r="B212" s="81"/>
      <c r="C212" s="42" t="s">
        <v>314</v>
      </c>
      <c r="D212" s="42">
        <f>(28.96)*10.764</f>
        <v>311.72543999999999</v>
      </c>
      <c r="E212" s="66">
        <f>9.77*(10.764)</f>
        <v>105.16427999999999</v>
      </c>
      <c r="F212" s="42">
        <f t="shared" si="18"/>
        <v>416.88972000000001</v>
      </c>
      <c r="G212" s="42">
        <v>0</v>
      </c>
      <c r="H212" s="42">
        <f t="shared" si="19"/>
        <v>625.33457999999996</v>
      </c>
      <c r="I212" s="36"/>
    </row>
    <row r="213" spans="1:20" s="37" customFormat="1" ht="15.75" customHeight="1" x14ac:dyDescent="0.25">
      <c r="A213" s="80">
        <v>12</v>
      </c>
      <c r="B213" s="81"/>
      <c r="C213" s="42" t="s">
        <v>314</v>
      </c>
      <c r="D213" s="42">
        <f>(29.54)*10.764</f>
        <v>317.96855999999997</v>
      </c>
      <c r="E213" s="66">
        <f>7.49*(10.764)</f>
        <v>80.62236</v>
      </c>
      <c r="F213" s="42">
        <f t="shared" si="18"/>
        <v>398.59091999999998</v>
      </c>
      <c r="G213" s="42">
        <v>0</v>
      </c>
      <c r="H213" s="42">
        <f t="shared" si="19"/>
        <v>597.88637999999992</v>
      </c>
      <c r="I213" s="36"/>
    </row>
    <row r="214" spans="1:20" s="35" customFormat="1" x14ac:dyDescent="0.25">
      <c r="A214" s="158" t="s">
        <v>65</v>
      </c>
      <c r="B214" s="158"/>
      <c r="C214" s="158"/>
      <c r="D214" s="158"/>
      <c r="E214" s="158"/>
      <c r="F214" s="158"/>
      <c r="G214" s="158"/>
      <c r="H214" s="158"/>
      <c r="T214" s="37"/>
    </row>
    <row r="215" spans="1:20" s="35" customFormat="1" x14ac:dyDescent="0.25">
      <c r="A215" s="76" t="s">
        <v>149</v>
      </c>
      <c r="B215" s="155" t="s">
        <v>348</v>
      </c>
      <c r="C215" s="156"/>
      <c r="D215" s="156"/>
      <c r="E215" s="156"/>
      <c r="F215" s="156"/>
      <c r="G215" s="156"/>
      <c r="H215" s="157"/>
      <c r="T215" s="37"/>
    </row>
    <row r="216" spans="1:20" s="35" customFormat="1" x14ac:dyDescent="0.25">
      <c r="A216" s="76" t="s">
        <v>149</v>
      </c>
      <c r="B216" s="155" t="str">
        <f>(IF(H172="Saleable area Loading :","We have considered Saleable area of Flats as per our Calculation.","We considered Saleable area of Flat as per Builder area Sheet."))</f>
        <v>We have considered Saleable area of Flats as per our Calculation.</v>
      </c>
      <c r="C216" s="156"/>
      <c r="D216" s="156"/>
      <c r="E216" s="156"/>
      <c r="F216" s="156"/>
      <c r="G216" s="156"/>
      <c r="H216" s="157"/>
      <c r="T216" s="37"/>
    </row>
    <row r="217" spans="1:20" s="35" customFormat="1" x14ac:dyDescent="0.25">
      <c r="A217" s="76" t="s">
        <v>149</v>
      </c>
      <c r="B217" s="155" t="str">
        <f>(IF(H156="Saleable area Loading :","We have considered Saleable area of Commercial as per our Calculation.","We considered Saleable area of Commercial as per Builder area Sheet."))</f>
        <v>We have considered Saleable area of Commercial as per our Calculation.</v>
      </c>
      <c r="C217" s="156"/>
      <c r="D217" s="156"/>
      <c r="E217" s="156"/>
      <c r="F217" s="156"/>
      <c r="G217" s="156"/>
      <c r="H217" s="157"/>
      <c r="T217" s="37"/>
    </row>
    <row r="218" spans="1:20" s="35" customFormat="1" x14ac:dyDescent="0.25">
      <c r="A218" s="76" t="s">
        <v>149</v>
      </c>
      <c r="B218" s="155" t="s">
        <v>119</v>
      </c>
      <c r="C218" s="156"/>
      <c r="D218" s="156"/>
      <c r="E218" s="156"/>
      <c r="F218" s="156"/>
      <c r="G218" s="156"/>
      <c r="H218" s="157"/>
      <c r="T218" s="37"/>
    </row>
    <row r="219" spans="1:20" s="35" customFormat="1" x14ac:dyDescent="0.25">
      <c r="A219" s="76" t="s">
        <v>149</v>
      </c>
      <c r="B219" s="155" t="s">
        <v>322</v>
      </c>
      <c r="C219" s="156"/>
      <c r="D219" s="156"/>
      <c r="E219" s="156"/>
      <c r="F219" s="156"/>
      <c r="G219" s="156"/>
      <c r="H219" s="157"/>
      <c r="T219" s="37"/>
    </row>
    <row r="220" spans="1:20" s="35" customFormat="1" x14ac:dyDescent="0.25">
      <c r="A220" s="76" t="s">
        <v>149</v>
      </c>
      <c r="B220" s="155" t="s">
        <v>148</v>
      </c>
      <c r="C220" s="156"/>
      <c r="D220" s="156"/>
      <c r="E220" s="156"/>
      <c r="F220" s="156"/>
      <c r="G220" s="156"/>
      <c r="H220" s="157"/>
    </row>
    <row r="221" spans="1:20" s="35" customFormat="1" x14ac:dyDescent="0.25">
      <c r="A221" s="76" t="s">
        <v>149</v>
      </c>
      <c r="B221" s="155" t="s">
        <v>120</v>
      </c>
      <c r="C221" s="156"/>
      <c r="D221" s="156"/>
      <c r="E221" s="156"/>
      <c r="F221" s="156"/>
      <c r="G221" s="156"/>
      <c r="H221" s="157"/>
    </row>
    <row r="222" spans="1:20" s="35" customFormat="1" x14ac:dyDescent="0.25">
      <c r="A222" s="76" t="s">
        <v>149</v>
      </c>
      <c r="B222" s="155" t="s">
        <v>121</v>
      </c>
      <c r="C222" s="156"/>
      <c r="D222" s="156"/>
      <c r="E222" s="156"/>
      <c r="F222" s="156"/>
      <c r="G222" s="156"/>
      <c r="H222" s="157"/>
    </row>
    <row r="223" spans="1:20" s="35" customFormat="1" ht="32.25" hidden="1" customHeight="1" x14ac:dyDescent="0.25">
      <c r="A223" s="52" t="s">
        <v>149</v>
      </c>
      <c r="B223" s="125" t="s">
        <v>174</v>
      </c>
      <c r="C223" s="126"/>
      <c r="D223" s="126"/>
      <c r="E223" s="126"/>
      <c r="F223" s="126"/>
      <c r="G223" s="126"/>
      <c r="H223" s="127"/>
    </row>
    <row r="224" spans="1:20" x14ac:dyDescent="0.25">
      <c r="A224" s="131" t="s">
        <v>58</v>
      </c>
      <c r="B224" s="131"/>
      <c r="C224" s="131"/>
      <c r="D224" s="131"/>
      <c r="E224" s="131"/>
      <c r="F224" s="131"/>
      <c r="G224" s="131"/>
      <c r="H224" s="131"/>
      <c r="T224" s="35"/>
    </row>
    <row r="225" spans="1:20" x14ac:dyDescent="0.25">
      <c r="A225" s="96" t="s">
        <v>59</v>
      </c>
      <c r="B225" s="96"/>
      <c r="C225" s="96"/>
      <c r="D225" s="96"/>
      <c r="E225" s="96"/>
      <c r="F225" s="96"/>
      <c r="G225" s="96"/>
      <c r="H225" s="96"/>
      <c r="T225" s="35"/>
    </row>
    <row r="226" spans="1:20" ht="15.75" customHeight="1" x14ac:dyDescent="0.25">
      <c r="A226" s="146" t="s">
        <v>60</v>
      </c>
      <c r="B226" s="146"/>
      <c r="C226" s="146"/>
      <c r="D226" s="146"/>
      <c r="E226" s="146"/>
      <c r="F226" s="146"/>
      <c r="G226" s="146"/>
      <c r="H226" s="146"/>
      <c r="T226" s="35"/>
    </row>
    <row r="227" spans="1:20" x14ac:dyDescent="0.25">
      <c r="A227" s="96" t="s">
        <v>61</v>
      </c>
      <c r="B227" s="96"/>
      <c r="C227" s="96"/>
      <c r="D227" s="96"/>
      <c r="E227" s="96"/>
      <c r="F227" s="96"/>
      <c r="G227" s="96"/>
      <c r="H227" s="96"/>
      <c r="T227" s="35"/>
    </row>
    <row r="228" spans="1:20" x14ac:dyDescent="0.25">
      <c r="A228" s="96" t="s">
        <v>62</v>
      </c>
      <c r="B228" s="96"/>
      <c r="C228" s="96"/>
      <c r="D228" s="96"/>
      <c r="E228" s="96"/>
      <c r="F228" s="96"/>
      <c r="G228" s="96"/>
      <c r="H228" s="96"/>
      <c r="T228" s="35"/>
    </row>
    <row r="229" spans="1:20" x14ac:dyDescent="0.25">
      <c r="A229" s="96" t="s">
        <v>122</v>
      </c>
      <c r="B229" s="96"/>
      <c r="C229" s="96"/>
      <c r="D229" s="96"/>
      <c r="E229" s="96"/>
      <c r="F229" s="96"/>
      <c r="G229" s="96"/>
      <c r="H229" s="96"/>
      <c r="T229" s="35"/>
    </row>
    <row r="230" spans="1:20" ht="33.950000000000003" customHeight="1" x14ac:dyDescent="0.25">
      <c r="A230" s="115" t="s">
        <v>123</v>
      </c>
      <c r="B230" s="115"/>
      <c r="C230" s="115"/>
      <c r="D230" s="115"/>
      <c r="E230" s="115"/>
      <c r="F230" s="115"/>
      <c r="G230" s="115"/>
      <c r="H230" s="115"/>
    </row>
    <row r="231" spans="1:20" x14ac:dyDescent="0.25">
      <c r="A231" s="160" t="s">
        <v>74</v>
      </c>
      <c r="B231" s="160"/>
      <c r="C231" s="160" t="s">
        <v>345</v>
      </c>
      <c r="D231" s="160"/>
      <c r="E231" s="160" t="s">
        <v>104</v>
      </c>
      <c r="F231" s="160"/>
      <c r="G231" s="160" t="s">
        <v>347</v>
      </c>
      <c r="H231" s="160"/>
    </row>
    <row r="232" spans="1:20" x14ac:dyDescent="0.25">
      <c r="A232" s="159" t="s">
        <v>76</v>
      </c>
      <c r="B232" s="159"/>
      <c r="C232" s="159"/>
      <c r="D232" s="159"/>
      <c r="E232" s="159"/>
      <c r="F232" s="159"/>
      <c r="G232" s="159"/>
      <c r="H232" s="159"/>
    </row>
    <row r="233" spans="1:20" x14ac:dyDescent="0.25">
      <c r="A233" s="159"/>
      <c r="B233" s="159"/>
      <c r="C233" s="159"/>
      <c r="D233" s="159"/>
      <c r="E233" s="159"/>
      <c r="F233" s="159"/>
      <c r="G233" s="159"/>
      <c r="H233" s="159"/>
    </row>
    <row r="234" spans="1:20" x14ac:dyDescent="0.25">
      <c r="A234" s="159"/>
      <c r="B234" s="159"/>
      <c r="C234" s="159"/>
      <c r="D234" s="159"/>
      <c r="E234" s="159"/>
      <c r="F234" s="159"/>
      <c r="G234" s="159"/>
      <c r="H234" s="159"/>
    </row>
    <row r="235" spans="1:20" x14ac:dyDescent="0.25">
      <c r="A235" s="159"/>
      <c r="B235" s="159"/>
      <c r="C235" s="159"/>
      <c r="D235" s="159"/>
      <c r="E235" s="159"/>
      <c r="F235" s="159"/>
      <c r="G235" s="159"/>
      <c r="H235" s="159"/>
    </row>
    <row r="236" spans="1:20" x14ac:dyDescent="0.25">
      <c r="A236" s="38" t="s">
        <v>63</v>
      </c>
      <c r="B236" s="39"/>
      <c r="C236" s="39"/>
      <c r="D236" s="38" t="str">
        <f>E9</f>
        <v>Jagjeet Residency</v>
      </c>
      <c r="F236" s="39"/>
      <c r="G236" s="39"/>
      <c r="H236" s="39"/>
    </row>
    <row r="237" spans="1:20" x14ac:dyDescent="0.25">
      <c r="A237" s="39"/>
      <c r="B237" s="39"/>
      <c r="C237" s="39"/>
      <c r="D237" s="39"/>
      <c r="E237" s="39"/>
      <c r="F237" s="39"/>
      <c r="G237" s="39"/>
      <c r="H237" s="39"/>
    </row>
    <row r="238" spans="1:20" x14ac:dyDescent="0.25">
      <c r="A238" s="39"/>
      <c r="B238" s="39"/>
      <c r="C238" s="39"/>
      <c r="D238" s="39"/>
      <c r="E238" s="39"/>
      <c r="F238" s="39"/>
      <c r="G238" s="39"/>
      <c r="H238" s="39"/>
    </row>
    <row r="239" spans="1:20" ht="15" customHeight="1" x14ac:dyDescent="0.25"/>
    <row r="268" spans="1:1" x14ac:dyDescent="0.25">
      <c r="A268" s="41" t="s">
        <v>159</v>
      </c>
    </row>
    <row r="310" spans="1:1" x14ac:dyDescent="0.25">
      <c r="A310" s="41" t="s">
        <v>64</v>
      </c>
    </row>
  </sheetData>
  <mergeCells count="402">
    <mergeCell ref="A126:B126"/>
    <mergeCell ref="A127:B127"/>
    <mergeCell ref="A128:B128"/>
    <mergeCell ref="A129:B129"/>
    <mergeCell ref="C129:D129"/>
    <mergeCell ref="E129:F129"/>
    <mergeCell ref="G129:H129"/>
    <mergeCell ref="A163:B163"/>
    <mergeCell ref="A162:B162"/>
    <mergeCell ref="A158:H158"/>
    <mergeCell ref="A174:H174"/>
    <mergeCell ref="A135:E135"/>
    <mergeCell ref="A100:B100"/>
    <mergeCell ref="A105:B105"/>
    <mergeCell ref="A152:B152"/>
    <mergeCell ref="E152:F152"/>
    <mergeCell ref="C103:H103"/>
    <mergeCell ref="A104:B104"/>
    <mergeCell ref="A140:E140"/>
    <mergeCell ref="G152:H152"/>
    <mergeCell ref="C146:D146"/>
    <mergeCell ref="E146:F146"/>
    <mergeCell ref="G146:H146"/>
    <mergeCell ref="A147:B147"/>
    <mergeCell ref="C147:D147"/>
    <mergeCell ref="E147:F147"/>
    <mergeCell ref="G147:H147"/>
    <mergeCell ref="A151:B151"/>
    <mergeCell ref="C151:D151"/>
    <mergeCell ref="E151:F151"/>
    <mergeCell ref="G151:H151"/>
    <mergeCell ref="A113:B113"/>
    <mergeCell ref="A133:E133"/>
    <mergeCell ref="A130:E130"/>
    <mergeCell ref="F134:H134"/>
    <mergeCell ref="G104:H104"/>
    <mergeCell ref="A103:B103"/>
    <mergeCell ref="G156:G157"/>
    <mergeCell ref="F135:H135"/>
    <mergeCell ref="A115:B115"/>
    <mergeCell ref="C115:H115"/>
    <mergeCell ref="A117:B117"/>
    <mergeCell ref="C117:H117"/>
    <mergeCell ref="A118:B118"/>
    <mergeCell ref="E118:F118"/>
    <mergeCell ref="G118:H118"/>
    <mergeCell ref="A119:B119"/>
    <mergeCell ref="E119:F128"/>
    <mergeCell ref="G119:H128"/>
    <mergeCell ref="A120:B120"/>
    <mergeCell ref="A121:B121"/>
    <mergeCell ref="A122:B122"/>
    <mergeCell ref="A123:B123"/>
    <mergeCell ref="A124:B124"/>
    <mergeCell ref="A125:B125"/>
    <mergeCell ref="A40:B40"/>
    <mergeCell ref="C40:H40"/>
    <mergeCell ref="F156:F157"/>
    <mergeCell ref="C145:D145"/>
    <mergeCell ref="E145:F145"/>
    <mergeCell ref="B156:B157"/>
    <mergeCell ref="A156:A157"/>
    <mergeCell ref="C172:C173"/>
    <mergeCell ref="G172:G173"/>
    <mergeCell ref="G153:H153"/>
    <mergeCell ref="C55:H55"/>
    <mergeCell ref="A49:B49"/>
    <mergeCell ref="C49:H49"/>
    <mergeCell ref="D65:H65"/>
    <mergeCell ref="A45:D45"/>
    <mergeCell ref="A75:B75"/>
    <mergeCell ref="A73:B73"/>
    <mergeCell ref="C73:H73"/>
    <mergeCell ref="A81:B81"/>
    <mergeCell ref="A68:C68"/>
    <mergeCell ref="D68:H68"/>
    <mergeCell ref="C75:H75"/>
    <mergeCell ref="A78:B78"/>
    <mergeCell ref="A80:B80"/>
    <mergeCell ref="A39:B39"/>
    <mergeCell ref="C39:H39"/>
    <mergeCell ref="A46:D46"/>
    <mergeCell ref="L163:M163"/>
    <mergeCell ref="L162:M162"/>
    <mergeCell ref="L161:M161"/>
    <mergeCell ref="L160:M160"/>
    <mergeCell ref="A84:B84"/>
    <mergeCell ref="C150:D150"/>
    <mergeCell ref="E150:F150"/>
    <mergeCell ref="G150:H150"/>
    <mergeCell ref="A131:E131"/>
    <mergeCell ref="A101:B101"/>
    <mergeCell ref="C101:H101"/>
    <mergeCell ref="A159:H159"/>
    <mergeCell ref="E156:E157"/>
    <mergeCell ref="A91:B91"/>
    <mergeCell ref="A47:D47"/>
    <mergeCell ref="A48:H48"/>
    <mergeCell ref="D64:H64"/>
    <mergeCell ref="A64:C64"/>
    <mergeCell ref="A83:B83"/>
    <mergeCell ref="C89:H89"/>
    <mergeCell ref="A79:B79"/>
    <mergeCell ref="A38:H38"/>
    <mergeCell ref="A37:B37"/>
    <mergeCell ref="C37:E37"/>
    <mergeCell ref="G105:H114"/>
    <mergeCell ref="A42:D42"/>
    <mergeCell ref="E42:H42"/>
    <mergeCell ref="A41:H41"/>
    <mergeCell ref="A66:C66"/>
    <mergeCell ref="A67:C67"/>
    <mergeCell ref="D66:H66"/>
    <mergeCell ref="E77:F86"/>
    <mergeCell ref="G77:H86"/>
    <mergeCell ref="A85:B85"/>
    <mergeCell ref="A86:B86"/>
    <mergeCell ref="D67:H67"/>
    <mergeCell ref="A44:D44"/>
    <mergeCell ref="E44:H44"/>
    <mergeCell ref="E45:H45"/>
    <mergeCell ref="E46:H46"/>
    <mergeCell ref="A90:B90"/>
    <mergeCell ref="E47:H47"/>
    <mergeCell ref="C57:H57"/>
    <mergeCell ref="C59:H59"/>
    <mergeCell ref="A89:B8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2:H235"/>
    <mergeCell ref="A231:B231"/>
    <mergeCell ref="E231:F231"/>
    <mergeCell ref="C231:D231"/>
    <mergeCell ref="G231:H231"/>
    <mergeCell ref="A143:H143"/>
    <mergeCell ref="A141:E141"/>
    <mergeCell ref="F141:H141"/>
    <mergeCell ref="A142:E142"/>
    <mergeCell ref="F142:H142"/>
    <mergeCell ref="A150:B150"/>
    <mergeCell ref="A178:B178"/>
    <mergeCell ref="A145:B145"/>
    <mergeCell ref="A227:H227"/>
    <mergeCell ref="A148:H148"/>
    <mergeCell ref="A230:H230"/>
    <mergeCell ref="A228:H228"/>
    <mergeCell ref="A224:H224"/>
    <mergeCell ref="G149:H149"/>
    <mergeCell ref="A180:B180"/>
    <mergeCell ref="C156:C157"/>
    <mergeCell ref="A225:H225"/>
    <mergeCell ref="A189:B189"/>
    <mergeCell ref="B220:H220"/>
    <mergeCell ref="B222:H222"/>
    <mergeCell ref="B221:H221"/>
    <mergeCell ref="B217:H217"/>
    <mergeCell ref="A204:B204"/>
    <mergeCell ref="A201:H201"/>
    <mergeCell ref="A202:B202"/>
    <mergeCell ref="A203:B203"/>
    <mergeCell ref="A206:B206"/>
    <mergeCell ref="A205:B205"/>
    <mergeCell ref="B215:H215"/>
    <mergeCell ref="B216:H216"/>
    <mergeCell ref="B218:H218"/>
    <mergeCell ref="B219:H219"/>
    <mergeCell ref="A214:H214"/>
    <mergeCell ref="A207:B207"/>
    <mergeCell ref="C203:H203"/>
    <mergeCell ref="A213:B213"/>
    <mergeCell ref="A229:H229"/>
    <mergeCell ref="A226:H226"/>
    <mergeCell ref="A149:B149"/>
    <mergeCell ref="D172:D173"/>
    <mergeCell ref="E172:E173"/>
    <mergeCell ref="A95:B95"/>
    <mergeCell ref="A96:B96"/>
    <mergeCell ref="A97:B97"/>
    <mergeCell ref="A111:B111"/>
    <mergeCell ref="F131:H131"/>
    <mergeCell ref="G145:H145"/>
    <mergeCell ref="A114:B114"/>
    <mergeCell ref="F137:H137"/>
    <mergeCell ref="C144:D144"/>
    <mergeCell ref="C152:D152"/>
    <mergeCell ref="A179:B179"/>
    <mergeCell ref="A164:B164"/>
    <mergeCell ref="A169:B169"/>
    <mergeCell ref="A187:B187"/>
    <mergeCell ref="E149:F149"/>
    <mergeCell ref="A154:H154"/>
    <mergeCell ref="A160:B160"/>
    <mergeCell ref="C153:D153"/>
    <mergeCell ref="E153:F153"/>
    <mergeCell ref="B223:H223"/>
    <mergeCell ref="A153:B153"/>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A208:B208"/>
    <mergeCell ref="I15:P15"/>
    <mergeCell ref="F140:H140"/>
    <mergeCell ref="F138:H138"/>
    <mergeCell ref="A177:B177"/>
    <mergeCell ref="A155:H155"/>
    <mergeCell ref="G144:H144"/>
    <mergeCell ref="A139:E139"/>
    <mergeCell ref="A161:B161"/>
    <mergeCell ref="A60:B60"/>
    <mergeCell ref="C60:E60"/>
    <mergeCell ref="D62:H62"/>
    <mergeCell ref="F139:H139"/>
    <mergeCell ref="E144:F144"/>
    <mergeCell ref="A144:B144"/>
    <mergeCell ref="A146:B146"/>
    <mergeCell ref="C149:D149"/>
    <mergeCell ref="D70:H70"/>
    <mergeCell ref="A71:C71"/>
    <mergeCell ref="E43:H43"/>
    <mergeCell ref="A43:D43"/>
    <mergeCell ref="A87:B87"/>
    <mergeCell ref="C87:H87"/>
    <mergeCell ref="A82:B82"/>
    <mergeCell ref="A176:B176"/>
    <mergeCell ref="C51:E51"/>
    <mergeCell ref="E90:F90"/>
    <mergeCell ref="G90:H90"/>
    <mergeCell ref="A136:E136"/>
    <mergeCell ref="F136:H136"/>
    <mergeCell ref="A138:E138"/>
    <mergeCell ref="F133:H133"/>
    <mergeCell ref="A137:E137"/>
    <mergeCell ref="A108:B108"/>
    <mergeCell ref="A109:B109"/>
    <mergeCell ref="E91:F100"/>
    <mergeCell ref="A98:B98"/>
    <mergeCell ref="A99:B99"/>
    <mergeCell ref="E104:F104"/>
    <mergeCell ref="E105:F114"/>
    <mergeCell ref="E76:F76"/>
    <mergeCell ref="A69:C69"/>
    <mergeCell ref="D69:H69"/>
    <mergeCell ref="A72:C72"/>
    <mergeCell ref="D72:H72"/>
    <mergeCell ref="A70:C70"/>
    <mergeCell ref="D71:H71"/>
    <mergeCell ref="A77:B77"/>
    <mergeCell ref="G76:H76"/>
    <mergeCell ref="A165:B165"/>
    <mergeCell ref="L165:M165"/>
    <mergeCell ref="A166:B166"/>
    <mergeCell ref="L166:M166"/>
    <mergeCell ref="A167:B167"/>
    <mergeCell ref="L167:M167"/>
    <mergeCell ref="A168:B168"/>
    <mergeCell ref="L168:M168"/>
    <mergeCell ref="C52:E52"/>
    <mergeCell ref="A65:C65"/>
    <mergeCell ref="A76:B76"/>
    <mergeCell ref="A106:B106"/>
    <mergeCell ref="A107:B107"/>
    <mergeCell ref="G91:H100"/>
    <mergeCell ref="A92:B92"/>
    <mergeCell ref="A93:B93"/>
    <mergeCell ref="A94:B94"/>
    <mergeCell ref="F132:H132"/>
    <mergeCell ref="A132:E132"/>
    <mergeCell ref="D156:D157"/>
    <mergeCell ref="A134:E134"/>
    <mergeCell ref="A110:B110"/>
    <mergeCell ref="F130:H130"/>
    <mergeCell ref="A112:B112"/>
    <mergeCell ref="A212:B212"/>
    <mergeCell ref="A194:B194"/>
    <mergeCell ref="A195:B195"/>
    <mergeCell ref="A196:B196"/>
    <mergeCell ref="A197:B197"/>
    <mergeCell ref="A198:B198"/>
    <mergeCell ref="A199:B199"/>
    <mergeCell ref="A200:B200"/>
    <mergeCell ref="A191:B191"/>
    <mergeCell ref="I11:L11"/>
    <mergeCell ref="A192:B192"/>
    <mergeCell ref="A193:B193"/>
    <mergeCell ref="A188:H188"/>
    <mergeCell ref="A175:H175"/>
    <mergeCell ref="B172:B173"/>
    <mergeCell ref="A209:B209"/>
    <mergeCell ref="A210:B210"/>
    <mergeCell ref="A211:B211"/>
    <mergeCell ref="A190:B190"/>
    <mergeCell ref="L169:M169"/>
    <mergeCell ref="A170:B170"/>
    <mergeCell ref="L170:M170"/>
    <mergeCell ref="A181:B181"/>
    <mergeCell ref="A182:B182"/>
    <mergeCell ref="A183:B183"/>
    <mergeCell ref="A184:B184"/>
    <mergeCell ref="A185:B185"/>
    <mergeCell ref="A186:B186"/>
    <mergeCell ref="F172:F173"/>
    <mergeCell ref="A171:H171"/>
    <mergeCell ref="A172:A173"/>
    <mergeCell ref="A50:B50"/>
    <mergeCell ref="L164:M164"/>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6:E157">
      <formula1>"Attached Loft area,Attached Otla area,Attached Mezzanine area"</formula1>
    </dataValidation>
    <dataValidation type="list" allowBlank="1" showInputMessage="1" showErrorMessage="1" sqref="F130:H130">
      <formula1>"On Saleable Area,On Builtup Area,On Carpet Area,On Plot Area"</formula1>
    </dataValidation>
    <dataValidation type="list" allowBlank="1" showInputMessage="1" showErrorMessage="1" sqref="F141:H141">
      <formula1>OFFSET($S$130,1,MATCH($G20,$S$130:$W$130,0)-1,15,1)</formula1>
    </dataValidation>
    <dataValidation type="list" allowBlank="1" showInputMessage="1" showErrorMessage="1" sqref="B156:B157">
      <formula1>"Shop No. (Sale Plan),Sale / Rehab,Sale / Mhada"</formula1>
    </dataValidation>
    <dataValidation type="list" allowBlank="1" showInputMessage="1" showErrorMessage="1" sqref="B172:B17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72:E173">
      <formula1>"Fungible area,Balcony Area + AP Area,Chajja Area,Cornice Area,AP Area,WS Area"</formula1>
    </dataValidation>
    <dataValidation type="list" allowBlank="1" showInputMessage="1" showErrorMessage="1" sqref="H157 H17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124">
      <formula1>0</formula1>
      <formula2>H74</formula2>
    </dataValidation>
    <dataValidation type="list" allowBlank="1" showInputMessage="1" showErrorMessage="1" sqref="H156 H172">
      <formula1>"Saleable area Loading :,Builder Saleable Area"</formula1>
    </dataValidation>
    <dataValidation type="list" allowBlank="1" showInputMessage="1" showErrorMessage="1" sqref="D156:D157 D172:D17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35" max="16383" man="1"/>
    <brk id="267" max="16383" man="1"/>
    <brk id="30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1" t="s">
        <v>105</v>
      </c>
      <c r="C3" s="241"/>
      <c r="D3" s="241"/>
      <c r="E3" s="241"/>
      <c r="F3" s="241"/>
      <c r="G3" s="241"/>
      <c r="H3" s="241"/>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175</v>
      </c>
      <c r="E4" s="54" t="s">
        <v>185</v>
      </c>
      <c r="F4" s="54" t="s">
        <v>168</v>
      </c>
      <c r="G4" s="54" t="s">
        <v>190</v>
      </c>
      <c r="H4" s="54" t="s">
        <v>208</v>
      </c>
      <c r="J4" t="s">
        <v>190</v>
      </c>
      <c r="K4" t="s">
        <v>206</v>
      </c>
    </row>
    <row r="5" spans="2:11" x14ac:dyDescent="0.25">
      <c r="B5" s="53"/>
      <c r="C5" s="53"/>
      <c r="D5" s="54" t="s">
        <v>176</v>
      </c>
      <c r="E5" s="54" t="s">
        <v>183</v>
      </c>
      <c r="F5" s="54" t="s">
        <v>205</v>
      </c>
      <c r="G5" s="54" t="s">
        <v>191</v>
      </c>
      <c r="H5" s="54" t="s">
        <v>209</v>
      </c>
    </row>
    <row r="6" spans="2:11" x14ac:dyDescent="0.25">
      <c r="B6" s="53"/>
      <c r="C6" s="53"/>
      <c r="D6" s="54" t="s">
        <v>177</v>
      </c>
      <c r="E6" s="54" t="s">
        <v>184</v>
      </c>
      <c r="F6" s="54" t="s">
        <v>206</v>
      </c>
      <c r="G6" s="54" t="s">
        <v>192</v>
      </c>
      <c r="H6" s="54" t="s">
        <v>222</v>
      </c>
    </row>
    <row r="7" spans="2:11" x14ac:dyDescent="0.25">
      <c r="B7" s="53"/>
      <c r="C7" s="53"/>
      <c r="D7" s="54" t="s">
        <v>178</v>
      </c>
      <c r="E7" s="54" t="s">
        <v>186</v>
      </c>
      <c r="F7" s="54" t="s">
        <v>207</v>
      </c>
      <c r="G7" s="54" t="s">
        <v>193</v>
      </c>
      <c r="H7" s="54" t="s">
        <v>210</v>
      </c>
    </row>
    <row r="8" spans="2:11" x14ac:dyDescent="0.25">
      <c r="B8" s="53"/>
      <c r="C8" s="53"/>
      <c r="D8" s="54" t="s">
        <v>179</v>
      </c>
      <c r="E8" s="54" t="s">
        <v>187</v>
      </c>
      <c r="F8" s="54"/>
      <c r="G8" s="54" t="s">
        <v>194</v>
      </c>
      <c r="H8" s="54" t="s">
        <v>211</v>
      </c>
    </row>
    <row r="9" spans="2:11" x14ac:dyDescent="0.25">
      <c r="B9" s="53"/>
      <c r="C9" s="53"/>
      <c r="D9" s="54" t="s">
        <v>180</v>
      </c>
      <c r="E9" s="54" t="s">
        <v>185</v>
      </c>
      <c r="F9" s="54"/>
      <c r="G9" s="54" t="s">
        <v>195</v>
      </c>
      <c r="H9" s="54" t="s">
        <v>212</v>
      </c>
    </row>
    <row r="10" spans="2:11" x14ac:dyDescent="0.25">
      <c r="B10" s="53"/>
      <c r="C10" s="53"/>
      <c r="D10" s="54" t="s">
        <v>181</v>
      </c>
      <c r="E10" s="54" t="s">
        <v>188</v>
      </c>
      <c r="F10" s="54"/>
      <c r="G10" s="54" t="s">
        <v>196</v>
      </c>
      <c r="H10" s="54" t="s">
        <v>213</v>
      </c>
    </row>
    <row r="11" spans="2:11" x14ac:dyDescent="0.25">
      <c r="B11" s="53"/>
      <c r="C11" s="53"/>
      <c r="D11" s="54" t="s">
        <v>182</v>
      </c>
      <c r="E11" s="54" t="s">
        <v>189</v>
      </c>
      <c r="F11" s="54"/>
      <c r="G11" s="54" t="s">
        <v>197</v>
      </c>
      <c r="H11" s="54" t="s">
        <v>214</v>
      </c>
    </row>
    <row r="12" spans="2:11" x14ac:dyDescent="0.25">
      <c r="B12" s="53"/>
      <c r="C12" s="53"/>
      <c r="D12" s="54"/>
      <c r="E12" s="54"/>
      <c r="F12" s="54"/>
      <c r="G12" s="54" t="s">
        <v>198</v>
      </c>
      <c r="H12" s="54" t="s">
        <v>215</v>
      </c>
    </row>
    <row r="13" spans="2:11" x14ac:dyDescent="0.25">
      <c r="B13" s="53"/>
      <c r="C13" s="53"/>
      <c r="D13" s="54"/>
      <c r="E13" s="54"/>
      <c r="F13" s="54"/>
      <c r="G13" s="54" t="s">
        <v>199</v>
      </c>
      <c r="H13" s="54" t="s">
        <v>216</v>
      </c>
    </row>
    <row r="14" spans="2:11" x14ac:dyDescent="0.25">
      <c r="B14" s="53"/>
      <c r="C14" s="53"/>
      <c r="D14" s="54"/>
      <c r="E14" s="54"/>
      <c r="F14" s="54"/>
      <c r="G14" s="54" t="s">
        <v>200</v>
      </c>
      <c r="H14" s="54" t="s">
        <v>217</v>
      </c>
    </row>
    <row r="15" spans="2:11" x14ac:dyDescent="0.25">
      <c r="B15" s="53"/>
      <c r="C15" s="53"/>
      <c r="D15" s="54"/>
      <c r="E15" s="54"/>
      <c r="F15" s="54"/>
      <c r="G15" s="54" t="s">
        <v>201</v>
      </c>
      <c r="H15" s="54" t="s">
        <v>218</v>
      </c>
    </row>
    <row r="16" spans="2:11" x14ac:dyDescent="0.25">
      <c r="B16" s="53"/>
      <c r="C16" s="53"/>
      <c r="D16" s="54"/>
      <c r="E16" s="54"/>
      <c r="F16" s="54"/>
      <c r="G16" s="54" t="s">
        <v>202</v>
      </c>
      <c r="H16" s="54" t="s">
        <v>219</v>
      </c>
    </row>
    <row r="17" spans="2:8" x14ac:dyDescent="0.25">
      <c r="B17" s="53"/>
      <c r="C17" s="53"/>
      <c r="D17" s="54"/>
      <c r="E17" s="54"/>
      <c r="F17" s="54"/>
      <c r="G17" s="54" t="s">
        <v>203</v>
      </c>
      <c r="H17" s="54" t="s">
        <v>220</v>
      </c>
    </row>
    <row r="18" spans="2:8" x14ac:dyDescent="0.25">
      <c r="B18" s="53"/>
      <c r="C18" s="53"/>
      <c r="D18" s="54"/>
      <c r="E18" s="54"/>
      <c r="F18" s="54"/>
      <c r="G18" s="54" t="s">
        <v>204</v>
      </c>
      <c r="H18" s="54" t="s">
        <v>221</v>
      </c>
    </row>
    <row r="24" spans="2:8" x14ac:dyDescent="0.25">
      <c r="C24" t="s">
        <v>165</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165</v>
      </c>
    </row>
    <row r="33" spans="3:11" x14ac:dyDescent="0.25">
      <c r="J33">
        <v>1</v>
      </c>
      <c r="K33">
        <v>2</v>
      </c>
    </row>
    <row r="34" spans="3:11" x14ac:dyDescent="0.25">
      <c r="C34" s="55" t="s">
        <v>231</v>
      </c>
      <c r="D34" s="54" t="s">
        <v>229</v>
      </c>
      <c r="E34" s="54" t="s">
        <v>234</v>
      </c>
      <c r="F34" s="54" t="s">
        <v>232</v>
      </c>
      <c r="G34" s="54" t="s">
        <v>233</v>
      </c>
      <c r="H34" s="54" t="s">
        <v>235</v>
      </c>
      <c r="J34" t="s">
        <v>190</v>
      </c>
      <c r="K34" t="s">
        <v>206</v>
      </c>
    </row>
    <row r="35" spans="3:11" x14ac:dyDescent="0.25">
      <c r="C35" s="53" t="s">
        <v>230</v>
      </c>
      <c r="D35" s="54" t="s">
        <v>166</v>
      </c>
      <c r="E35" s="54" t="s">
        <v>239</v>
      </c>
      <c r="F35" s="54" t="s">
        <v>241</v>
      </c>
      <c r="G35" s="54" t="s">
        <v>243</v>
      </c>
      <c r="H35" s="54"/>
    </row>
    <row r="36" spans="3:11" x14ac:dyDescent="0.25">
      <c r="C36" s="53"/>
      <c r="D36" s="54" t="s">
        <v>236</v>
      </c>
      <c r="E36" s="54" t="s">
        <v>240</v>
      </c>
      <c r="F36" s="54" t="s">
        <v>242</v>
      </c>
      <c r="G36" s="54" t="s">
        <v>244</v>
      </c>
      <c r="H36" s="54"/>
    </row>
    <row r="37" spans="3:11" x14ac:dyDescent="0.25">
      <c r="C37" s="53"/>
      <c r="D37" s="54" t="s">
        <v>237</v>
      </c>
      <c r="E37" s="54"/>
      <c r="F37" s="54"/>
      <c r="G37" s="54" t="s">
        <v>245</v>
      </c>
      <c r="H37" s="54"/>
    </row>
    <row r="38" spans="3:11" x14ac:dyDescent="0.25">
      <c r="C38" s="53"/>
      <c r="D38" s="54" t="s">
        <v>238</v>
      </c>
      <c r="E38" s="54"/>
      <c r="F38" s="54"/>
      <c r="G38" s="54" t="s">
        <v>245</v>
      </c>
      <c r="H38" s="54"/>
    </row>
    <row r="39" spans="3:11" x14ac:dyDescent="0.25">
      <c r="C39" s="53"/>
      <c r="D39" s="54"/>
      <c r="E39" s="54"/>
      <c r="F39" s="54"/>
      <c r="G39" s="54" t="s">
        <v>246</v>
      </c>
      <c r="H39" s="54"/>
    </row>
    <row r="40" spans="3:11" x14ac:dyDescent="0.25">
      <c r="C40" s="53"/>
      <c r="D40" s="54"/>
      <c r="E40" s="54"/>
      <c r="F40" s="54"/>
      <c r="G40" s="54" t="s">
        <v>247</v>
      </c>
      <c r="H40" s="54"/>
    </row>
    <row r="41" spans="3:11" x14ac:dyDescent="0.25">
      <c r="C41" s="53"/>
      <c r="D41" s="54"/>
      <c r="E41" s="54"/>
      <c r="F41" s="54"/>
      <c r="G41" s="54"/>
      <c r="H41" s="54"/>
    </row>
    <row r="43" spans="3:11" x14ac:dyDescent="0.25">
      <c r="C43" t="s">
        <v>248</v>
      </c>
    </row>
    <row r="44" spans="3:11" x14ac:dyDescent="0.25">
      <c r="C44" t="s">
        <v>168</v>
      </c>
      <c r="D44" t="s">
        <v>249</v>
      </c>
    </row>
    <row r="45" spans="3:11" x14ac:dyDescent="0.25">
      <c r="D45" t="s">
        <v>250</v>
      </c>
    </row>
    <row r="46" spans="3:11" x14ac:dyDescent="0.25">
      <c r="D46" t="s">
        <v>251</v>
      </c>
    </row>
    <row r="47" spans="3:11" x14ac:dyDescent="0.25">
      <c r="D47" t="s">
        <v>252</v>
      </c>
    </row>
    <row r="48" spans="3:11" x14ac:dyDescent="0.25">
      <c r="D48" t="s">
        <v>253</v>
      </c>
    </row>
    <row r="49" spans="3:4" x14ac:dyDescent="0.25">
      <c r="C49" t="s">
        <v>175</v>
      </c>
      <c r="D49" t="s">
        <v>254</v>
      </c>
    </row>
    <row r="50" spans="3:4" x14ac:dyDescent="0.25">
      <c r="D50" t="s">
        <v>255</v>
      </c>
    </row>
    <row r="51" spans="3:4" x14ac:dyDescent="0.25">
      <c r="D51" t="s">
        <v>256</v>
      </c>
    </row>
    <row r="52" spans="3:4" x14ac:dyDescent="0.25">
      <c r="D52" t="s">
        <v>259</v>
      </c>
    </row>
    <row r="53" spans="3:4" x14ac:dyDescent="0.25">
      <c r="D53" t="s">
        <v>257</v>
      </c>
    </row>
    <row r="54" spans="3:4" x14ac:dyDescent="0.25">
      <c r="D54" t="s">
        <v>258</v>
      </c>
    </row>
    <row r="55" spans="3:4" x14ac:dyDescent="0.25">
      <c r="D55" t="s">
        <v>260</v>
      </c>
    </row>
    <row r="56" spans="3:4" x14ac:dyDescent="0.25">
      <c r="D56" t="s">
        <v>261</v>
      </c>
    </row>
    <row r="57" spans="3:4" x14ac:dyDescent="0.25">
      <c r="D57" t="s">
        <v>262</v>
      </c>
    </row>
    <row r="58" spans="3:4" x14ac:dyDescent="0.25">
      <c r="D58" t="s">
        <v>264</v>
      </c>
    </row>
    <row r="59" spans="3:4" x14ac:dyDescent="0.25">
      <c r="D59" t="s">
        <v>273</v>
      </c>
    </row>
    <row r="60" spans="3:4" x14ac:dyDescent="0.25">
      <c r="C60" t="s">
        <v>190</v>
      </c>
      <c r="D60" t="s">
        <v>265</v>
      </c>
    </row>
    <row r="61" spans="3:4" x14ac:dyDescent="0.25">
      <c r="D61" t="s">
        <v>263</v>
      </c>
    </row>
    <row r="62" spans="3:4" x14ac:dyDescent="0.25">
      <c r="D62" t="s">
        <v>253</v>
      </c>
    </row>
    <row r="63" spans="3:4" x14ac:dyDescent="0.25">
      <c r="D63" t="s">
        <v>266</v>
      </c>
    </row>
    <row r="64" spans="3:4" x14ac:dyDescent="0.25">
      <c r="D64" t="s">
        <v>267</v>
      </c>
    </row>
    <row r="65" spans="3:4" x14ac:dyDescent="0.25">
      <c r="D65" t="s">
        <v>268</v>
      </c>
    </row>
    <row r="66" spans="3:4" x14ac:dyDescent="0.25">
      <c r="D66" t="s">
        <v>269</v>
      </c>
    </row>
    <row r="67" spans="3:4" x14ac:dyDescent="0.25">
      <c r="C67" t="s">
        <v>185</v>
      </c>
      <c r="D67" t="s">
        <v>270</v>
      </c>
    </row>
    <row r="68" spans="3:4" x14ac:dyDescent="0.25">
      <c r="D68" t="s">
        <v>271</v>
      </c>
    </row>
    <row r="69" spans="3:4" x14ac:dyDescent="0.2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5" workbookViewId="0">
      <selection activeCell="C15" sqref="C15"/>
    </sheetView>
  </sheetViews>
  <sheetFormatPr defaultRowHeight="15" x14ac:dyDescent="0.25"/>
  <cols>
    <col min="2" max="2" width="3" bestFit="1" customWidth="1"/>
    <col min="3" max="3" width="130" customWidth="1"/>
  </cols>
  <sheetData>
    <row r="2" spans="2:3" ht="15" customHeight="1" x14ac:dyDescent="0.25">
      <c r="B2" s="56">
        <v>1</v>
      </c>
      <c r="C2" s="58" t="s">
        <v>279</v>
      </c>
    </row>
    <row r="3" spans="2:3" x14ac:dyDescent="0.25">
      <c r="B3" s="56">
        <v>2</v>
      </c>
      <c r="C3" s="57" t="s">
        <v>280</v>
      </c>
    </row>
    <row r="4" spans="2:3" x14ac:dyDescent="0.25">
      <c r="B4" s="56">
        <v>3</v>
      </c>
      <c r="C4" s="56" t="s">
        <v>281</v>
      </c>
    </row>
    <row r="5" spans="2:3" ht="30" x14ac:dyDescent="0.25">
      <c r="B5" s="56">
        <v>4</v>
      </c>
      <c r="C5" s="57" t="s">
        <v>282</v>
      </c>
    </row>
    <row r="6" spans="2:3" x14ac:dyDescent="0.25">
      <c r="B6" s="56">
        <v>5</v>
      </c>
      <c r="C6" s="56" t="s">
        <v>283</v>
      </c>
    </row>
    <row r="7" spans="2:3" ht="30" x14ac:dyDescent="0.25">
      <c r="B7" s="56">
        <v>6</v>
      </c>
      <c r="C7" s="57" t="s">
        <v>284</v>
      </c>
    </row>
    <row r="8" spans="2:3" ht="90" x14ac:dyDescent="0.25">
      <c r="B8" s="56">
        <v>7</v>
      </c>
      <c r="C8" s="57" t="s">
        <v>285</v>
      </c>
    </row>
    <row r="9" spans="2:3" x14ac:dyDescent="0.25">
      <c r="B9" s="56">
        <v>8</v>
      </c>
      <c r="C9" s="56" t="s">
        <v>286</v>
      </c>
    </row>
    <row r="10" spans="2:3" x14ac:dyDescent="0.25">
      <c r="B10" s="56">
        <v>9</v>
      </c>
      <c r="C10" s="56" t="s">
        <v>287</v>
      </c>
    </row>
    <row r="11" spans="2:3" x14ac:dyDescent="0.25">
      <c r="B11" s="56">
        <v>10</v>
      </c>
      <c r="C11" s="56" t="s">
        <v>288</v>
      </c>
    </row>
    <row r="12" spans="2:3" x14ac:dyDescent="0.25">
      <c r="B12" s="56">
        <v>11</v>
      </c>
      <c r="C12" s="56" t="s">
        <v>289</v>
      </c>
    </row>
    <row r="13" spans="2:3" x14ac:dyDescent="0.25">
      <c r="B13" s="56">
        <v>12</v>
      </c>
      <c r="C13" s="56" t="s">
        <v>290</v>
      </c>
    </row>
    <row r="14" spans="2:3" x14ac:dyDescent="0.25">
      <c r="B14" s="56">
        <v>13</v>
      </c>
      <c r="C14" s="56" t="s">
        <v>291</v>
      </c>
    </row>
    <row r="15" spans="2:3" x14ac:dyDescent="0.25">
      <c r="B15" s="56">
        <v>14</v>
      </c>
      <c r="C15" s="56" t="s">
        <v>281</v>
      </c>
    </row>
    <row r="16" spans="2:3" x14ac:dyDescent="0.25">
      <c r="B16" s="56">
        <v>15</v>
      </c>
      <c r="C16" s="56" t="s">
        <v>293</v>
      </c>
    </row>
    <row r="17" spans="2:3" ht="31.5" customHeight="1" x14ac:dyDescent="0.25">
      <c r="B17" s="61">
        <v>16</v>
      </c>
      <c r="C17" s="63" t="s">
        <v>294</v>
      </c>
    </row>
    <row r="18" spans="2:3" x14ac:dyDescent="0.25">
      <c r="B18" s="62">
        <v>17</v>
      </c>
      <c r="C18" s="63" t="s">
        <v>295</v>
      </c>
    </row>
    <row r="19" spans="2:3" x14ac:dyDescent="0.25">
      <c r="B19" s="61">
        <v>18</v>
      </c>
      <c r="C19" s="56" t="s">
        <v>296</v>
      </c>
    </row>
    <row r="20" spans="2:3" x14ac:dyDescent="0.25">
      <c r="B20" s="62">
        <v>19</v>
      </c>
      <c r="C20" s="56"/>
    </row>
    <row r="21" spans="2:3" x14ac:dyDescent="0.25">
      <c r="B21" s="56">
        <v>20</v>
      </c>
      <c r="C21" s="56"/>
    </row>
    <row r="22" spans="2:3" x14ac:dyDescent="0.25">
      <c r="B22" s="56"/>
      <c r="C22" s="56"/>
    </row>
    <row r="23" spans="2:3" x14ac:dyDescent="0.25">
      <c r="B23" s="56"/>
      <c r="C23" s="56"/>
    </row>
    <row r="24" spans="2:3" x14ac:dyDescent="0.25">
      <c r="B24" s="56"/>
      <c r="C24" s="56"/>
    </row>
    <row r="25" spans="2:3" x14ac:dyDescent="0.25">
      <c r="B25" s="56"/>
      <c r="C25" s="56"/>
    </row>
    <row r="26" spans="2:3" x14ac:dyDescent="0.25">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2025-08-12T12:59:09Z</cp:lastPrinted>
  <dcterms:created xsi:type="dcterms:W3CDTF">2019-07-16T09:29:46Z</dcterms:created>
  <dcterms:modified xsi:type="dcterms:W3CDTF">2025-08-14T10:56:14Z</dcterms:modified>
</cp:coreProperties>
</file>