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354DBC89-2514-4533-ABCB-CE6A2565F20A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9" i="1"/>
  <c r="D118" i="1"/>
  <c r="D117" i="1"/>
  <c r="D116" i="1"/>
  <c r="D115" i="1"/>
  <c r="D114" i="1"/>
  <c r="D101" i="1"/>
  <c r="E95" i="1" l="1"/>
  <c r="C95" i="1"/>
  <c r="F120" i="1"/>
  <c r="D109" i="1" l="1"/>
  <c r="F109" i="1" s="1"/>
  <c r="D108" i="1"/>
  <c r="F108" i="1" s="1"/>
  <c r="D107" i="1"/>
  <c r="D106" i="1"/>
  <c r="D105" i="1"/>
  <c r="D102" i="1"/>
  <c r="D103" i="1"/>
  <c r="D104" i="1"/>
  <c r="I101" i="1"/>
  <c r="C92" i="1" l="1"/>
  <c r="E92" i="1"/>
  <c r="B123" i="1" l="1"/>
  <c r="A114" i="1"/>
  <c r="C14" i="1" l="1"/>
  <c r="A115" i="1"/>
  <c r="E28" i="1" l="1"/>
  <c r="A116" i="1"/>
  <c r="F119" i="1" l="1"/>
  <c r="F118" i="1"/>
  <c r="I118" i="1" s="1"/>
  <c r="F117" i="1"/>
  <c r="F116" i="1"/>
  <c r="F115" i="1"/>
  <c r="F114" i="1"/>
  <c r="I114" i="1" s="1"/>
  <c r="A117" i="1"/>
  <c r="G95" i="1" l="1"/>
  <c r="F102" i="1"/>
  <c r="F103" i="1"/>
  <c r="F104" i="1"/>
  <c r="J104" i="1" s="1"/>
  <c r="F105" i="1"/>
  <c r="J105" i="1" s="1"/>
  <c r="F106" i="1"/>
  <c r="F107" i="1"/>
  <c r="F101" i="1"/>
  <c r="A118" i="1"/>
  <c r="G92" i="1" l="1"/>
  <c r="B124" i="1"/>
  <c r="A11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5" i="1"/>
  <c r="G114" i="1"/>
  <c r="G115" i="1" s="1"/>
  <c r="G116" i="1" s="1"/>
  <c r="G117" i="1" s="1"/>
  <c r="G118" i="1" s="1"/>
  <c r="G119" i="1" s="1"/>
  <c r="G120" i="1" s="1"/>
  <c r="A102" i="1"/>
  <c r="A103" i="1" s="1"/>
  <c r="A104" i="1" s="1"/>
  <c r="A105" i="1" s="1"/>
  <c r="A106" i="1" s="1"/>
  <c r="A107" i="1" s="1"/>
  <c r="A108" i="1" s="1"/>
  <c r="A109" i="1" s="1"/>
  <c r="G101" i="1"/>
  <c r="G102" i="1" s="1"/>
  <c r="G103" i="1" s="1"/>
  <c r="G104" i="1" s="1"/>
  <c r="G105" i="1" s="1"/>
  <c r="G106" i="1" s="1"/>
  <c r="G107" i="1" s="1"/>
  <c r="G108" i="1" s="1"/>
  <c r="G109" i="1" s="1"/>
  <c r="F89" i="1"/>
  <c r="J75" i="1"/>
  <c r="J74" i="1"/>
  <c r="J73" i="1"/>
  <c r="J72" i="1"/>
  <c r="C64" i="1"/>
  <c r="D53" i="1"/>
  <c r="G48" i="1"/>
  <c r="C48" i="1"/>
  <c r="E41" i="1"/>
  <c r="E42" i="1" s="1"/>
  <c r="E25" i="1"/>
  <c r="E23" i="1"/>
  <c r="E3" i="1"/>
  <c r="D58" i="1" s="1"/>
  <c r="A120" i="1"/>
  <c r="H65" i="1"/>
  <c r="C70" i="1" l="1"/>
  <c r="D70" i="1" s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E68" i="1" l="1"/>
  <c r="I64" i="1" s="1"/>
  <c r="D69" i="1"/>
  <c r="G68" i="1"/>
  <c r="D62" i="1" s="1"/>
  <c r="F63" i="1" l="1"/>
  <c r="D63" i="1"/>
</calcChain>
</file>

<file path=xl/sharedStrings.xml><?xml version="1.0" encoding="utf-8"?>
<sst xmlns="http://schemas.openxmlformats.org/spreadsheetml/2006/main" count="271" uniqueCount="213">
  <si>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</si>
  <si>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</si>
  <si>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</si>
  <si>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</si>
  <si>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</si>
  <si>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</si>
  <si>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</si>
  <si>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</si>
  <si>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</si>
  <si>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</si>
  <si>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</si>
  <si>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</si>
  <si>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</si>
  <si>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</si>
  <si>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</si>
  <si>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</si>
  <si>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</si>
  <si>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</si>
  <si>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</si>
  <si>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</si>
  <si>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</si>
  <si>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</si>
  <si>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</si>
  <si>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</si>
  <si>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</si>
  <si>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</si>
  <si>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</si>
  <si>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</si>
  <si>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</si>
  <si>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</si>
  <si>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</si>
  <si>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</si>
  <si>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</si>
  <si>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</si>
  <si>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</si>
  <si>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</si>
  <si>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</si>
  <si>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</si>
  <si>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</si>
  <si>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</si>
  <si>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</si>
  <si>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</si>
  <si>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</si>
  <si>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</si>
  <si>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</si>
  <si>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</si>
  <si>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</si>
  <si>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</si>
  <si>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</si>
  <si>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</si>
  <si>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</si>
  <si>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</si>
  <si>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</si>
  <si>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</si>
  <si>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</si>
  <si>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</si>
  <si>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</si>
  <si>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</si>
  <si>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</si>
  <si>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</si>
  <si>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</si>
  <si>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</si>
  <si>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</si>
  <si>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</si>
  <si>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</si>
  <si>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</si>
  <si>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</si>
  <si>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</si>
  <si>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</si>
  <si>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</si>
  <si>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</si>
  <si>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</si>
  <si>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</si>
  <si>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</si>
  <si>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</si>
  <si>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</si>
  <si>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</si>
  <si>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</si>
  <si>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</si>
  <si>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</si>
  <si>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</si>
  <si>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</si>
  <si>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</si>
  <si>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</si>
  <si>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</si>
  <si>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</si>
  <si>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</si>
  <si>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</si>
  <si>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</si>
  <si>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</si>
  <si>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</si>
  <si>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</si>
  <si>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</si>
  <si>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</si>
  <si>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</si>
  <si>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</si>
  <si>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</si>
  <si>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</si>
  <si>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</si>
  <si>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</si>
  <si>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</si>
  <si>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</si>
  <si>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</si>
  <si>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</si>
  <si>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</si>
  <si>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</si>
  <si>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</si>
  <si>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</si>
  <si>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</si>
  <si>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</si>
  <si>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</si>
  <si>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</si>
  <si>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</si>
  <si>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</si>
  <si>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</si>
  <si>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</si>
  <si>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</si>
  <si>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</si>
  <si>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</si>
  <si>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</si>
  <si>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</si>
  <si>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</si>
  <si>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</si>
  <si>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</si>
  <si>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</si>
  <si>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</si>
  <si>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</si>
  <si>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</si>
  <si>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</si>
  <si>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</si>
  <si>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</si>
  <si>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</si>
  <si>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</si>
  <si>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</si>
  <si>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</si>
  <si>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</si>
  <si>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</si>
  <si>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</si>
  <si>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</si>
  <si>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</si>
  <si>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</si>
  <si>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</si>
  <si>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</si>
  <si>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</si>
  <si>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</si>
  <si>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</si>
  <si>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</si>
  <si>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</si>
  <si>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</si>
  <si>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</si>
  <si>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</si>
  <si>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</si>
  <si>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</si>
  <si>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</si>
  <si>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</si>
  <si>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</si>
  <si>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</si>
  <si>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</si>
  <si>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</si>
  <si>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</si>
  <si>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</si>
  <si>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</si>
  <si>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</si>
  <si>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</si>
  <si>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</si>
  <si>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</si>
  <si>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Gauri Parvati</t>
  </si>
  <si>
    <t>P52000030990</t>
  </si>
  <si>
    <t>Survey No</t>
  </si>
  <si>
    <t>Approved Plans, CC, Cost Sheet</t>
  </si>
  <si>
    <t>Raigarh</t>
  </si>
  <si>
    <t>Khalapur</t>
  </si>
  <si>
    <t>Chinchwali</t>
  </si>
  <si>
    <t>CBRKC/B/2020/APL/00239</t>
  </si>
  <si>
    <t>Valid Up to: Gr/St + 1st to 4th Floor</t>
  </si>
  <si>
    <t>Khopoli Municipal Council</t>
  </si>
  <si>
    <t>Gr/St + 1st to 4th Floor</t>
  </si>
  <si>
    <t>As per RERA - 15/12/2023</t>
  </si>
  <si>
    <t>Ground Floor for Commercial &amp; Parking</t>
  </si>
  <si>
    <t>Shop</t>
  </si>
  <si>
    <t>Flats</t>
  </si>
  <si>
    <t>1st to 4th Floor</t>
  </si>
  <si>
    <t>1RK</t>
  </si>
  <si>
    <t>2BHK</t>
  </si>
  <si>
    <t>1BHK</t>
  </si>
  <si>
    <t>Flats - 28, Shops - 9</t>
  </si>
  <si>
    <t xml:space="preserve">We considered Gross carpet area = Net carpet + Enclose balcony </t>
  </si>
  <si>
    <t>Society Charges</t>
  </si>
  <si>
    <t>Other Charges</t>
  </si>
  <si>
    <t>4.4KM from Khopoli Railway Station</t>
  </si>
  <si>
    <t>Malav Valencia</t>
  </si>
  <si>
    <t>Khopoli</t>
  </si>
  <si>
    <t>Internal Road</t>
  </si>
  <si>
    <t>Open Plot</t>
  </si>
  <si>
    <t>Buildings</t>
  </si>
  <si>
    <t>100000/-</t>
  </si>
  <si>
    <t>Mr. Shankar Sadu Mhatre</t>
  </si>
  <si>
    <t>M/s. Jyoti Enterprises</t>
  </si>
  <si>
    <t>Name of the builder</t>
  </si>
  <si>
    <t>Location Link</t>
  </si>
  <si>
    <t>https://goo.gl/maps/KqrPeT6MxpUMNzN47</t>
  </si>
  <si>
    <t>Office No. 1031, Wing J, Akshar Business Park, Plot No. 03 Sector 25, Near APMC Market,
Vashi, Navi Mumbai, Maharashtra 400703 TEL: 022-46090378/79/80
E mail : vsjcapf@gmail.com. Web site : www.vsjadon.com</t>
  </si>
  <si>
    <t>Site Meet Person Contact Details ( Name &amp; Contact No.)</t>
  </si>
  <si>
    <t>Mr. Suresh Dhumal 7745850742</t>
  </si>
  <si>
    <t>As per RERA, completion period of project Gauri Parvati is expired on 15/12/2023 but still project is under construction.</t>
  </si>
  <si>
    <t>Nitesh</t>
  </si>
  <si>
    <t>CBRKC/FO/2024/APL/00168
Approved upto : Gr/Stilt + 1st to 4th Floor</t>
  </si>
  <si>
    <t>OC Received but lift &amp; finishing work is pending.</t>
  </si>
  <si>
    <t>We have updated OC (On 30/05/2024).</t>
  </si>
  <si>
    <t>Latitude,Longitude</t>
  </si>
  <si>
    <t>18.8118119,73.3279323</t>
  </si>
  <si>
    <t>OC Received but lift &amp; finishing work is pending from visit (30/05/2024).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</si>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</sst>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12" fillId="2" borderId="1" xfId="9" applyNumberFormat="1" applyFont="1" applyFill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25" fillId="0" borderId="8" xfId="0" applyNumberFormat="1" applyFont="1" applyBorder="1" applyAlignment="1" applyProtection="1">
      <alignment vertical="top" wrapText="1"/>
      <protection locked="0"/>
    </xf>
    <xf numFmtId="1" fontId="25" fillId="0" borderId="23" xfId="0" applyNumberFormat="1" applyFont="1" applyBorder="1" applyAlignment="1" applyProtection="1">
      <alignment vertical="top" wrapText="1"/>
      <protection locked="0"/>
    </xf>
    <xf numFmtId="1" fontId="25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8" xfId="10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206</xdr:row>
      <xdr:rowOff>188164</xdr:rowOff>
    </xdr:from>
    <xdr:to>
      <xdr:col>7</xdr:col>
      <xdr:colOff>534440</xdr:colOff>
      <xdr:row>224</xdr:row>
      <xdr:rowOff>7713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0" y="43536439"/>
          <a:ext cx="6344690" cy="342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304800</xdr:colOff>
      <xdr:row>189</xdr:row>
      <xdr:rowOff>0</xdr:rowOff>
    </xdr:from>
    <xdr:to>
      <xdr:col>7</xdr:col>
      <xdr:colOff>558027</xdr:colOff>
      <xdr:row>206</xdr:row>
      <xdr:rowOff>19575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0" y="39947850"/>
          <a:ext cx="6368277" cy="342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480060</xdr:colOff>
      <xdr:row>144</xdr:row>
      <xdr:rowOff>45720</xdr:rowOff>
    </xdr:from>
    <xdr:to>
      <xdr:col>18</xdr:col>
      <xdr:colOff>593006</xdr:colOff>
      <xdr:row>180</xdr:row>
      <xdr:rowOff>49603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7E8855A-54EF-ACAA-2215-80D7FCA2879C}"/>
            </a:ext>
          </a:extLst>
        </xdr:cNvPr>
        <xdr:cNvGrpSpPr/>
      </xdr:nvGrpSpPr>
      <xdr:grpSpPr>
        <a:xfrm>
          <a:off x="8928735" y="30601920"/>
          <a:ext cx="5808896" cy="7195258"/>
          <a:chOff x="227183" y="197709"/>
          <a:chExt cx="5965106" cy="712858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3CFBE35-24A5-6C7E-0780-B5A0FA2C1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5866" y="552629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26502E8-3097-1C65-473C-8C520CCD3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5481" y="552629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10938EB-31A0-F549-1A52-EBCC6B6071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183" y="285441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C39C4BE-098D-217C-FBBB-1BDA95972A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4914" y="19770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838AA5F-302B-E6EC-B46E-5D1079F3D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6048" y="285441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4E657C6-51FD-EA0B-C564-9EDA98CC0A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4913" y="285441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190847BF-5862-97CC-DEED-8FB164D2EF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6049" y="19770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B9DDFD5-6E02-EC17-E2DB-42D247ADD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184" y="19770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100966</xdr:colOff>
      <xdr:row>147</xdr:row>
      <xdr:rowOff>60960</xdr:rowOff>
    </xdr:from>
    <xdr:to>
      <xdr:col>16</xdr:col>
      <xdr:colOff>550546</xdr:colOff>
      <xdr:row>187</xdr:row>
      <xdr:rowOff>60960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41D942FE-8852-CC7F-57D0-FEC416EDDEB4}"/>
            </a:ext>
          </a:extLst>
        </xdr:cNvPr>
        <xdr:cNvGrpSpPr/>
      </xdr:nvGrpSpPr>
      <xdr:grpSpPr>
        <a:xfrm>
          <a:off x="7787641" y="31217235"/>
          <a:ext cx="5688330" cy="7991475"/>
          <a:chOff x="381593" y="65400"/>
          <a:chExt cx="5997095" cy="8526424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D7CE3309-0512-52DA-82CD-6BECF335E4F1}"/>
              </a:ext>
            </a:extLst>
          </xdr:cNvPr>
          <xdr:cNvGrpSpPr/>
        </xdr:nvGrpSpPr>
        <xdr:grpSpPr>
          <a:xfrm>
            <a:off x="381593" y="4091282"/>
            <a:ext cx="5997095" cy="2520000"/>
            <a:chOff x="381670" y="4091282"/>
            <a:chExt cx="5997095" cy="2520000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DB299200-A9D3-D831-6F6E-C1C3948815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6530" y="4091282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9F6D667C-E788-9C76-659B-174A9CAB49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91390" y="4091282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720BC65F-0477-3EED-89C4-DD9A1415B5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1670" y="4091282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90486251-B60B-5DDD-B4D8-24F5B2BBD3B7}"/>
              </a:ext>
            </a:extLst>
          </xdr:cNvPr>
          <xdr:cNvGrpSpPr/>
        </xdr:nvGrpSpPr>
        <xdr:grpSpPr>
          <a:xfrm>
            <a:off x="666197" y="6791824"/>
            <a:ext cx="5427886" cy="1800000"/>
            <a:chOff x="623182" y="6791824"/>
            <a:chExt cx="5427886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56443F68-2927-335C-E620-B37C3FF7EE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02943" y="679182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AAD0CD83-3C6A-73A2-8A6B-F96268CDB1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87333" y="679182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FBF126B-FCA9-032A-13B9-1596D3ABF5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3182" y="6791824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2DDFF441-8683-8F5D-FB5B-CF6C09177A95}"/>
              </a:ext>
            </a:extLst>
          </xdr:cNvPr>
          <xdr:cNvGrpSpPr/>
        </xdr:nvGrpSpPr>
        <xdr:grpSpPr>
          <a:xfrm>
            <a:off x="416398" y="65400"/>
            <a:ext cx="5927485" cy="3845340"/>
            <a:chOff x="381515" y="65400"/>
            <a:chExt cx="5927485" cy="384534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9A062E04-E5AB-312A-769D-3F16A2D4FC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1515" y="65400"/>
              <a:ext cx="2880000" cy="384534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2CD06B21-AD9C-C3B1-A2B2-EEE205CC40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65400"/>
              <a:ext cx="2880000" cy="384534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85726</xdr:colOff>
      <xdr:row>145</xdr:row>
      <xdr:rowOff>133350</xdr:rowOff>
    </xdr:from>
    <xdr:to>
      <xdr:col>7</xdr:col>
      <xdr:colOff>638176</xdr:colOff>
      <xdr:row>183</xdr:row>
      <xdr:rowOff>180437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34708DB4-2FA0-49D9-A6BA-B0073E2C1C97}"/>
            </a:ext>
          </a:extLst>
        </xdr:cNvPr>
        <xdr:cNvGrpSpPr/>
      </xdr:nvGrpSpPr>
      <xdr:grpSpPr>
        <a:xfrm>
          <a:off x="85726" y="30889575"/>
          <a:ext cx="6248400" cy="7638512"/>
          <a:chOff x="191715" y="215153"/>
          <a:chExt cx="6433203" cy="767661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C8C16695-C0FD-40CB-999A-BA6375B7DB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9235" y="215153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A8DBF85F-5E7C-49D3-81EE-1EC7AA78A9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15153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333D1E7-5D5D-4217-9F32-5849C3451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715" y="369345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59601E0B-97A1-4204-A6E1-7C745FB0DD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4927" y="369345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98A647C-A6F1-4D66-99DC-D84F8D7543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8918" y="3693459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6DE63A79-A24F-43F5-AF71-30824FE9D2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5789" y="6091765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1F7E6D46-F330-4FDC-9475-8DEEBAE6CF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9647" y="6091765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AAEFE258-EC90-4BE7-9829-74B9598ED7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4963" y="6091765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qrPeT6MxpUMNzN4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88"/>
  <sheetViews>
    <sheetView tabSelected="1" view="pageBreakPreview" zoomScaleNormal="100" zoomScaleSheetLayoutView="100" workbookViewId="0">
      <selection activeCell="K92" sqref="K92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9" ht="46.5" customHeight="1" x14ac:dyDescent="0.25">
      <c r="A1" s="140" t="s">
        <v>201</v>
      </c>
      <c r="B1" s="140"/>
      <c r="C1" s="140"/>
      <c r="D1" s="140"/>
      <c r="E1" s="140"/>
      <c r="F1" s="140"/>
      <c r="G1" s="140"/>
      <c r="H1" s="140"/>
    </row>
    <row r="2" spans="1:9" ht="16.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9" x14ac:dyDescent="0.25">
      <c r="A3" s="56" t="s">
        <v>1</v>
      </c>
      <c r="B3" s="56"/>
      <c r="C3" s="56"/>
      <c r="D3" s="56"/>
      <c r="E3" s="141" t="str">
        <f ca="1">TEXT(TODAY(),"DD/MM/YYYY")</f>
        <v>11/08/2025</v>
      </c>
      <c r="F3" s="141"/>
      <c r="G3" s="141"/>
      <c r="H3" s="141"/>
    </row>
    <row r="4" spans="1:9" ht="15" customHeight="1" x14ac:dyDescent="0.25">
      <c r="A4" s="56" t="s">
        <v>2</v>
      </c>
      <c r="B4" s="56"/>
      <c r="C4" s="56"/>
      <c r="D4" s="56"/>
      <c r="E4" s="142" t="s">
        <v>165</v>
      </c>
      <c r="F4" s="142"/>
      <c r="G4" s="142"/>
      <c r="H4" s="142"/>
    </row>
    <row r="5" spans="1:9" x14ac:dyDescent="0.25">
      <c r="A5" s="56" t="s">
        <v>3</v>
      </c>
      <c r="B5" s="56"/>
      <c r="C5" s="56"/>
      <c r="D5" s="56"/>
      <c r="E5" s="141">
        <v>45878</v>
      </c>
      <c r="F5" s="141"/>
      <c r="G5" s="141"/>
      <c r="H5" s="141"/>
    </row>
    <row r="6" spans="1:9" ht="16.5" customHeight="1" x14ac:dyDescent="0.25">
      <c r="A6" s="56" t="s">
        <v>198</v>
      </c>
      <c r="B6" s="56"/>
      <c r="C6" s="56"/>
      <c r="D6" s="56"/>
      <c r="E6" s="63" t="s">
        <v>196</v>
      </c>
      <c r="F6" s="63"/>
      <c r="G6" s="63"/>
      <c r="H6" s="63"/>
    </row>
    <row r="7" spans="1:9" ht="15" customHeight="1" x14ac:dyDescent="0.25">
      <c r="A7" s="56" t="s">
        <v>4</v>
      </c>
      <c r="B7" s="56"/>
      <c r="C7" s="56"/>
      <c r="D7" s="56"/>
      <c r="E7" s="63" t="s">
        <v>197</v>
      </c>
      <c r="F7" s="63"/>
      <c r="G7" s="63"/>
      <c r="H7" s="63"/>
    </row>
    <row r="8" spans="1:9" x14ac:dyDescent="0.25">
      <c r="A8" s="56" t="s">
        <v>5</v>
      </c>
      <c r="B8" s="56"/>
      <c r="C8" s="56"/>
      <c r="D8" s="56"/>
      <c r="E8" s="60" t="s">
        <v>166</v>
      </c>
      <c r="F8" s="60"/>
      <c r="G8" s="60"/>
      <c r="H8" s="60"/>
    </row>
    <row r="9" spans="1:9" x14ac:dyDescent="0.25">
      <c r="A9" s="56" t="s">
        <v>128</v>
      </c>
      <c r="B9" s="56"/>
      <c r="C9" s="56"/>
      <c r="D9" s="56"/>
      <c r="E9" s="56">
        <v>9223415426</v>
      </c>
      <c r="F9" s="56"/>
      <c r="G9" s="56"/>
      <c r="H9" s="56"/>
    </row>
    <row r="10" spans="1:9" x14ac:dyDescent="0.25">
      <c r="A10" s="56" t="s">
        <v>202</v>
      </c>
      <c r="B10" s="56"/>
      <c r="C10" s="56"/>
      <c r="D10" s="56"/>
      <c r="E10" s="56" t="s">
        <v>29</v>
      </c>
      <c r="F10" s="56"/>
      <c r="G10" s="56"/>
      <c r="H10" s="56"/>
      <c r="I10" s="3" t="s">
        <v>203</v>
      </c>
    </row>
    <row r="11" spans="1:9" x14ac:dyDescent="0.25">
      <c r="A11" s="69" t="s">
        <v>6</v>
      </c>
      <c r="B11" s="69"/>
      <c r="C11" s="69"/>
      <c r="D11" s="69"/>
      <c r="E11" s="69" t="s">
        <v>129</v>
      </c>
      <c r="F11" s="69"/>
      <c r="G11" s="69"/>
      <c r="H11" s="69"/>
    </row>
    <row r="12" spans="1:9" x14ac:dyDescent="0.25">
      <c r="A12" s="56" t="s">
        <v>7</v>
      </c>
      <c r="B12" s="56"/>
      <c r="C12" s="56"/>
      <c r="D12" s="56"/>
      <c r="E12" s="96" t="s">
        <v>169</v>
      </c>
      <c r="F12" s="96"/>
      <c r="G12" s="96"/>
      <c r="H12" s="96"/>
    </row>
    <row r="13" spans="1:9" x14ac:dyDescent="0.25">
      <c r="A13" s="56" t="s">
        <v>8</v>
      </c>
      <c r="B13" s="56"/>
      <c r="C13" s="56"/>
      <c r="D13" s="56"/>
      <c r="E13" s="96" t="s">
        <v>167</v>
      </c>
      <c r="F13" s="69"/>
      <c r="G13" s="69"/>
      <c r="H13" s="69"/>
    </row>
    <row r="14" spans="1:9" ht="33" customHeight="1" x14ac:dyDescent="0.25">
      <c r="A14" s="63" t="s">
        <v>9</v>
      </c>
      <c r="B14" s="63"/>
      <c r="C14" s="6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Gauri Parvati, Survey No.1148, near Malav Valencia, Internal Road, Chinchwali, Khopoli, Khalapur, Raigarh - 410203.</v>
      </c>
      <c r="D14" s="63"/>
      <c r="E14" s="63"/>
      <c r="F14" s="63"/>
      <c r="G14" s="63"/>
      <c r="H14" s="63"/>
    </row>
    <row r="15" spans="1:9" x14ac:dyDescent="0.25">
      <c r="A15" s="63" t="s">
        <v>168</v>
      </c>
      <c r="B15" s="63"/>
      <c r="C15" s="96">
        <v>1148</v>
      </c>
      <c r="D15" s="96"/>
      <c r="E15" s="96"/>
      <c r="F15" s="96"/>
      <c r="G15" s="96"/>
      <c r="H15" s="96"/>
    </row>
    <row r="16" spans="1:9" ht="15.75" customHeight="1" x14ac:dyDescent="0.25">
      <c r="A16" s="63" t="s">
        <v>10</v>
      </c>
      <c r="B16" s="63"/>
      <c r="C16" s="69" t="s">
        <v>192</v>
      </c>
      <c r="D16" s="69"/>
      <c r="E16" s="63" t="s">
        <v>77</v>
      </c>
      <c r="F16" s="63"/>
      <c r="G16" s="96" t="s">
        <v>172</v>
      </c>
      <c r="H16" s="96"/>
    </row>
    <row r="17" spans="1:8" x14ac:dyDescent="0.25">
      <c r="A17" s="56" t="s">
        <v>12</v>
      </c>
      <c r="B17" s="56"/>
      <c r="C17" s="96" t="s">
        <v>191</v>
      </c>
      <c r="D17" s="96"/>
      <c r="E17" s="63" t="s">
        <v>11</v>
      </c>
      <c r="F17" s="63"/>
      <c r="G17" s="143" t="s">
        <v>170</v>
      </c>
      <c r="H17" s="143"/>
    </row>
    <row r="18" spans="1:8" x14ac:dyDescent="0.25">
      <c r="A18" s="56" t="s">
        <v>78</v>
      </c>
      <c r="B18" s="56"/>
      <c r="C18" s="96" t="s">
        <v>171</v>
      </c>
      <c r="D18" s="96"/>
      <c r="E18" s="63" t="s">
        <v>13</v>
      </c>
      <c r="F18" s="63"/>
      <c r="G18" s="96">
        <v>410203</v>
      </c>
      <c r="H18" s="96"/>
    </row>
    <row r="19" spans="1:8" ht="32.25" customHeight="1" x14ac:dyDescent="0.25">
      <c r="A19" s="56" t="s">
        <v>130</v>
      </c>
      <c r="B19" s="56"/>
      <c r="C19" s="144" t="s">
        <v>190</v>
      </c>
      <c r="D19" s="144"/>
      <c r="E19" s="63" t="s">
        <v>14</v>
      </c>
      <c r="F19" s="63"/>
      <c r="G19" s="96" t="s">
        <v>189</v>
      </c>
      <c r="H19" s="96"/>
    </row>
    <row r="20" spans="1:8" ht="15" customHeight="1" x14ac:dyDescent="0.25">
      <c r="A20" s="63" t="s">
        <v>81</v>
      </c>
      <c r="B20" s="63"/>
      <c r="C20" s="63"/>
      <c r="D20" s="63"/>
      <c r="E20" s="69" t="s">
        <v>15</v>
      </c>
      <c r="F20" s="69"/>
      <c r="G20" s="69"/>
      <c r="H20" s="69"/>
    </row>
    <row r="21" spans="1:8" ht="18.75" customHeight="1" x14ac:dyDescent="0.25">
      <c r="A21" s="63"/>
      <c r="B21" s="63"/>
      <c r="C21" s="63"/>
      <c r="D21" s="63"/>
      <c r="E21" s="69"/>
      <c r="F21" s="69"/>
      <c r="G21" s="69"/>
      <c r="H21" s="69"/>
    </row>
    <row r="22" spans="1:8" ht="15" customHeight="1" x14ac:dyDescent="0.25">
      <c r="A22" s="63" t="s">
        <v>16</v>
      </c>
      <c r="B22" s="63"/>
      <c r="C22" s="63"/>
      <c r="D22" s="63"/>
      <c r="E22" s="96" t="s">
        <v>17</v>
      </c>
      <c r="F22" s="96"/>
      <c r="G22" s="96"/>
      <c r="H22" s="96"/>
    </row>
    <row r="23" spans="1:8" ht="15" customHeight="1" x14ac:dyDescent="0.25">
      <c r="A23" s="56" t="s">
        <v>18</v>
      </c>
      <c r="B23" s="56"/>
      <c r="C23" s="56"/>
      <c r="D23" s="56"/>
      <c r="E23" s="96" t="str">
        <f>IF(AND(G17="Mumbai"),"Upper Class","Middle Class")</f>
        <v>Middle Class</v>
      </c>
      <c r="F23" s="96"/>
      <c r="G23" s="96"/>
      <c r="H23" s="96"/>
    </row>
    <row r="24" spans="1:8" x14ac:dyDescent="0.25">
      <c r="A24" s="56" t="s">
        <v>19</v>
      </c>
      <c r="B24" s="56"/>
      <c r="C24" s="56"/>
      <c r="D24" s="56"/>
      <c r="E24" s="96" t="s">
        <v>20</v>
      </c>
      <c r="F24" s="96"/>
      <c r="G24" s="96"/>
      <c r="H24" s="96"/>
    </row>
    <row r="25" spans="1:8" ht="15.75" customHeight="1" x14ac:dyDescent="0.25">
      <c r="A25" s="56" t="s">
        <v>21</v>
      </c>
      <c r="B25" s="56"/>
      <c r="C25" s="56"/>
      <c r="D25" s="56"/>
      <c r="E25" s="96" t="str">
        <f>IF(AND(G17="Mumbai"),"Developed","Developing")</f>
        <v>Developing</v>
      </c>
      <c r="F25" s="96"/>
      <c r="G25" s="96"/>
      <c r="H25" s="96"/>
    </row>
    <row r="26" spans="1:8" x14ac:dyDescent="0.25">
      <c r="A26" s="56" t="s">
        <v>22</v>
      </c>
      <c r="B26" s="56"/>
      <c r="C26" s="56"/>
      <c r="D26" s="56"/>
      <c r="E26" s="96" t="s">
        <v>23</v>
      </c>
      <c r="F26" s="96"/>
      <c r="G26" s="96"/>
      <c r="H26" s="96"/>
    </row>
    <row r="27" spans="1:8" x14ac:dyDescent="0.25">
      <c r="A27" s="56" t="s">
        <v>86</v>
      </c>
      <c r="B27" s="56"/>
      <c r="C27" s="56"/>
      <c r="D27" s="56"/>
      <c r="E27" s="96" t="s">
        <v>87</v>
      </c>
      <c r="F27" s="96"/>
      <c r="G27" s="96"/>
      <c r="H27" s="96"/>
    </row>
    <row r="28" spans="1:8" ht="15" customHeight="1" x14ac:dyDescent="0.25">
      <c r="A28" s="63" t="s">
        <v>32</v>
      </c>
      <c r="B28" s="63"/>
      <c r="C28" s="63"/>
      <c r="D28" s="63"/>
      <c r="E28" s="142" t="str">
        <f>IF(ISNUMBER(SEARCH("Shop",D54)),"Residential + Commercial",IF(ISNUMBER(SEARCH("Office",D54)),"Residential + Commercial",IF(SEARCH("Flats",D54),"Residential","")))</f>
        <v>Residential + Commercial</v>
      </c>
      <c r="F28" s="142"/>
      <c r="G28" s="142"/>
      <c r="H28" s="142"/>
    </row>
    <row r="29" spans="1:8" x14ac:dyDescent="0.25">
      <c r="A29" s="63" t="s">
        <v>98</v>
      </c>
      <c r="B29" s="63"/>
      <c r="C29" s="63"/>
      <c r="D29" s="63"/>
      <c r="E29" s="63" t="s">
        <v>33</v>
      </c>
      <c r="F29" s="63"/>
      <c r="G29" s="63"/>
      <c r="H29" s="63"/>
    </row>
    <row r="30" spans="1:8" s="6" customFormat="1" x14ac:dyDescent="0.25">
      <c r="A30" s="150" t="s">
        <v>99</v>
      </c>
      <c r="B30" s="150"/>
      <c r="C30" s="149" t="s">
        <v>28</v>
      </c>
      <c r="D30" s="149"/>
      <c r="E30" s="149"/>
      <c r="F30" s="149" t="s">
        <v>30</v>
      </c>
      <c r="G30" s="149"/>
      <c r="H30" s="149"/>
    </row>
    <row r="31" spans="1:8" s="6" customFormat="1" x14ac:dyDescent="0.25">
      <c r="A31" s="145" t="s">
        <v>24</v>
      </c>
      <c r="B31" s="145" t="s">
        <v>29</v>
      </c>
      <c r="C31" s="139" t="s">
        <v>29</v>
      </c>
      <c r="D31" s="139"/>
      <c r="E31" s="139"/>
      <c r="F31" s="146" t="s">
        <v>193</v>
      </c>
      <c r="G31" s="147"/>
      <c r="H31" s="147"/>
    </row>
    <row r="32" spans="1:8" x14ac:dyDescent="0.25">
      <c r="A32" s="145" t="s">
        <v>25</v>
      </c>
      <c r="B32" s="145" t="s">
        <v>29</v>
      </c>
      <c r="C32" s="139" t="s">
        <v>29</v>
      </c>
      <c r="D32" s="139"/>
      <c r="E32" s="139"/>
      <c r="F32" s="139" t="s">
        <v>190</v>
      </c>
      <c r="G32" s="139"/>
      <c r="H32" s="139"/>
    </row>
    <row r="33" spans="1:8" s="6" customFormat="1" x14ac:dyDescent="0.25">
      <c r="A33" s="145" t="s">
        <v>27</v>
      </c>
      <c r="B33" s="145" t="s">
        <v>29</v>
      </c>
      <c r="C33" s="139" t="s">
        <v>29</v>
      </c>
      <c r="D33" s="139"/>
      <c r="E33" s="139"/>
      <c r="F33" s="139" t="s">
        <v>194</v>
      </c>
      <c r="G33" s="139"/>
      <c r="H33" s="139"/>
    </row>
    <row r="34" spans="1:8" x14ac:dyDescent="0.25">
      <c r="A34" s="145" t="s">
        <v>26</v>
      </c>
      <c r="B34" s="145" t="s">
        <v>29</v>
      </c>
      <c r="C34" s="139" t="s">
        <v>29</v>
      </c>
      <c r="D34" s="139"/>
      <c r="E34" s="139"/>
      <c r="F34" s="139" t="s">
        <v>192</v>
      </c>
      <c r="G34" s="139"/>
      <c r="H34" s="139"/>
    </row>
    <row r="35" spans="1:8" x14ac:dyDescent="0.25">
      <c r="A35" s="56" t="s">
        <v>31</v>
      </c>
      <c r="B35" s="56"/>
      <c r="C35" s="56"/>
      <c r="D35" s="56"/>
      <c r="E35" s="56"/>
      <c r="F35" s="56"/>
      <c r="G35" s="56"/>
      <c r="H35" s="56"/>
    </row>
    <row r="36" spans="1:8" ht="15.75" customHeight="1" x14ac:dyDescent="0.25">
      <c r="A36" s="56" t="s">
        <v>209</v>
      </c>
      <c r="B36" s="56"/>
      <c r="C36" s="154" t="s">
        <v>210</v>
      </c>
      <c r="D36" s="155"/>
      <c r="E36" s="155"/>
      <c r="F36" s="155"/>
      <c r="G36" s="155"/>
      <c r="H36" s="156"/>
    </row>
    <row r="37" spans="1:8" ht="15.75" customHeight="1" x14ac:dyDescent="0.25">
      <c r="A37" s="56" t="s">
        <v>199</v>
      </c>
      <c r="B37" s="56"/>
      <c r="C37" s="151" t="s">
        <v>200</v>
      </c>
      <c r="D37" s="152"/>
      <c r="E37" s="152"/>
      <c r="F37" s="152"/>
      <c r="G37" s="152"/>
      <c r="H37" s="153"/>
    </row>
    <row r="38" spans="1:8" x14ac:dyDescent="0.25">
      <c r="A38" s="60" t="s">
        <v>34</v>
      </c>
      <c r="B38" s="60"/>
      <c r="C38" s="60"/>
      <c r="D38" s="60"/>
      <c r="E38" s="60"/>
      <c r="F38" s="60"/>
      <c r="G38" s="60"/>
      <c r="H38" s="60"/>
    </row>
    <row r="39" spans="1:8" x14ac:dyDescent="0.25">
      <c r="A39" s="56" t="s">
        <v>35</v>
      </c>
      <c r="B39" s="56"/>
      <c r="C39" s="56"/>
      <c r="D39" s="56"/>
      <c r="E39" s="148">
        <v>511.81</v>
      </c>
      <c r="F39" s="148"/>
      <c r="G39" s="148"/>
      <c r="H39" s="148"/>
    </row>
    <row r="40" spans="1:8" x14ac:dyDescent="0.25">
      <c r="A40" s="56" t="s">
        <v>36</v>
      </c>
      <c r="B40" s="56"/>
      <c r="C40" s="56"/>
      <c r="D40" s="56"/>
      <c r="E40" s="55">
        <v>2.35</v>
      </c>
      <c r="F40" s="55"/>
      <c r="G40" s="55"/>
      <c r="H40" s="55"/>
    </row>
    <row r="41" spans="1:8" x14ac:dyDescent="0.25">
      <c r="A41" s="56" t="s">
        <v>37</v>
      </c>
      <c r="B41" s="56"/>
      <c r="C41" s="56"/>
      <c r="D41" s="56"/>
      <c r="E41" s="55">
        <f>E43/E39-E40</f>
        <v>-6.838475215431572E-6</v>
      </c>
      <c r="F41" s="55"/>
      <c r="G41" s="55"/>
      <c r="H41" s="55"/>
    </row>
    <row r="42" spans="1:8" x14ac:dyDescent="0.25">
      <c r="A42" s="56" t="s">
        <v>38</v>
      </c>
      <c r="B42" s="56"/>
      <c r="C42" s="56"/>
      <c r="D42" s="56"/>
      <c r="E42" s="55">
        <f>E40+E41</f>
        <v>2.3499931615247847</v>
      </c>
      <c r="F42" s="55"/>
      <c r="G42" s="55"/>
      <c r="H42" s="55"/>
    </row>
    <row r="43" spans="1:8" x14ac:dyDescent="0.25">
      <c r="A43" s="56" t="s">
        <v>97</v>
      </c>
      <c r="B43" s="56"/>
      <c r="C43" s="56"/>
      <c r="D43" s="56"/>
      <c r="E43" s="136">
        <v>1202.75</v>
      </c>
      <c r="F43" s="136"/>
      <c r="G43" s="136"/>
      <c r="H43" s="136"/>
    </row>
    <row r="44" spans="1:8" x14ac:dyDescent="0.25">
      <c r="A44" s="69" t="s">
        <v>39</v>
      </c>
      <c r="B44" s="69"/>
      <c r="C44" s="69"/>
      <c r="D44" s="69"/>
      <c r="E44" s="69" t="s">
        <v>129</v>
      </c>
      <c r="F44" s="69"/>
      <c r="G44" s="69"/>
      <c r="H44" s="69"/>
    </row>
    <row r="45" spans="1:8" x14ac:dyDescent="0.25">
      <c r="A45" s="60" t="s">
        <v>40</v>
      </c>
      <c r="B45" s="60"/>
      <c r="C45" s="60"/>
      <c r="D45" s="60"/>
      <c r="E45" s="60"/>
      <c r="F45" s="60"/>
      <c r="G45" s="60"/>
      <c r="H45" s="60"/>
    </row>
    <row r="46" spans="1:8" ht="33.75" customHeight="1" x14ac:dyDescent="0.25">
      <c r="A46" s="157" t="s">
        <v>159</v>
      </c>
      <c r="B46" s="158"/>
      <c r="C46" s="159" t="s">
        <v>175</v>
      </c>
      <c r="D46" s="160"/>
      <c r="E46" s="160"/>
      <c r="F46" s="160"/>
      <c r="G46" s="160"/>
      <c r="H46" s="161"/>
    </row>
    <row r="47" spans="1:8" x14ac:dyDescent="0.25">
      <c r="A47" s="63" t="s">
        <v>41</v>
      </c>
      <c r="B47" s="63"/>
      <c r="C47" s="64" t="s">
        <v>173</v>
      </c>
      <c r="D47" s="65"/>
      <c r="E47" s="65"/>
      <c r="F47" s="47" t="s">
        <v>42</v>
      </c>
      <c r="G47" s="66">
        <v>44099</v>
      </c>
      <c r="H47" s="66"/>
    </row>
    <row r="48" spans="1:8" x14ac:dyDescent="0.25">
      <c r="A48" s="56" t="s">
        <v>43</v>
      </c>
      <c r="B48" s="56"/>
      <c r="C48" s="64" t="str">
        <f>C47</f>
        <v>CBRKC/B/2020/APL/00239</v>
      </c>
      <c r="D48" s="64"/>
      <c r="E48" s="64"/>
      <c r="F48" s="47" t="s">
        <v>42</v>
      </c>
      <c r="G48" s="66">
        <f>G47</f>
        <v>44099</v>
      </c>
      <c r="H48" s="66"/>
    </row>
    <row r="49" spans="1:14" s="5" customFormat="1" x14ac:dyDescent="0.25">
      <c r="A49" s="96" t="s">
        <v>44</v>
      </c>
      <c r="B49" s="96"/>
      <c r="C49" s="64" t="s">
        <v>173</v>
      </c>
      <c r="D49" s="65"/>
      <c r="E49" s="65"/>
      <c r="F49" s="8" t="s">
        <v>42</v>
      </c>
      <c r="G49" s="66">
        <v>44099</v>
      </c>
      <c r="H49" s="66"/>
    </row>
    <row r="50" spans="1:14" s="5" customFormat="1" x14ac:dyDescent="0.25">
      <c r="A50" s="96"/>
      <c r="B50" s="96"/>
      <c r="C50" s="98" t="s">
        <v>174</v>
      </c>
      <c r="D50" s="99"/>
      <c r="E50" s="99"/>
      <c r="F50" s="99"/>
      <c r="G50" s="99"/>
      <c r="H50" s="100"/>
    </row>
    <row r="51" spans="1:14" ht="47.1" customHeight="1" x14ac:dyDescent="0.25">
      <c r="A51" s="70" t="s">
        <v>45</v>
      </c>
      <c r="B51" s="70"/>
      <c r="C51" s="71" t="s">
        <v>206</v>
      </c>
      <c r="D51" s="72"/>
      <c r="E51" s="72" t="s">
        <v>46</v>
      </c>
      <c r="F51" s="48" t="s">
        <v>42</v>
      </c>
      <c r="G51" s="97">
        <v>45411</v>
      </c>
      <c r="H51" s="97"/>
    </row>
    <row r="52" spans="1:14" x14ac:dyDescent="0.25">
      <c r="A52" s="95" t="s">
        <v>48</v>
      </c>
      <c r="B52" s="95"/>
      <c r="C52" s="95"/>
      <c r="D52" s="95"/>
      <c r="E52" s="95"/>
      <c r="F52" s="95"/>
      <c r="G52" s="95"/>
      <c r="H52" s="95"/>
    </row>
    <row r="53" spans="1:14" x14ac:dyDescent="0.25">
      <c r="A53" s="63" t="s">
        <v>96</v>
      </c>
      <c r="B53" s="63"/>
      <c r="C53" s="63"/>
      <c r="D53" s="56">
        <f>E43</f>
        <v>1202.75</v>
      </c>
      <c r="E53" s="56"/>
      <c r="F53" s="56"/>
      <c r="G53" s="56"/>
      <c r="H53" s="56"/>
    </row>
    <row r="54" spans="1:14" x14ac:dyDescent="0.25">
      <c r="A54" s="96" t="s">
        <v>49</v>
      </c>
      <c r="B54" s="69"/>
      <c r="C54" s="69"/>
      <c r="D54" s="69" t="s">
        <v>185</v>
      </c>
      <c r="E54" s="69"/>
      <c r="F54" s="69"/>
      <c r="G54" s="69"/>
      <c r="H54" s="69"/>
      <c r="I54" s="35"/>
    </row>
    <row r="55" spans="1:14" ht="15.75" customHeight="1" x14ac:dyDescent="0.25">
      <c r="A55" s="67" t="s">
        <v>50</v>
      </c>
      <c r="B55" s="68"/>
      <c r="C55" s="137"/>
      <c r="D55" s="69" t="s">
        <v>176</v>
      </c>
      <c r="E55" s="69"/>
      <c r="F55" s="69"/>
      <c r="G55" s="69"/>
      <c r="H55" s="69"/>
    </row>
    <row r="56" spans="1:14" ht="15.75" customHeight="1" x14ac:dyDescent="0.25">
      <c r="A56" s="67" t="s">
        <v>94</v>
      </c>
      <c r="B56" s="68"/>
      <c r="C56" s="68"/>
      <c r="D56" s="69" t="s">
        <v>176</v>
      </c>
      <c r="E56" s="69"/>
      <c r="F56" s="69"/>
      <c r="G56" s="69"/>
      <c r="H56" s="69"/>
    </row>
    <row r="57" spans="1:14" ht="15.75" customHeight="1" x14ac:dyDescent="0.25">
      <c r="A57" s="56" t="s">
        <v>47</v>
      </c>
      <c r="B57" s="56"/>
      <c r="C57" s="56"/>
      <c r="D57" s="128" t="s">
        <v>177</v>
      </c>
      <c r="E57" s="128"/>
      <c r="F57" s="128"/>
      <c r="G57" s="128"/>
      <c r="H57" s="128"/>
      <c r="J57" s="34"/>
      <c r="K57" s="35"/>
      <c r="N57" s="35"/>
    </row>
    <row r="58" spans="1:14" ht="15.75" customHeight="1" x14ac:dyDescent="0.25">
      <c r="A58" s="56" t="s">
        <v>92</v>
      </c>
      <c r="B58" s="56"/>
      <c r="C58" s="56"/>
      <c r="D58" s="135" t="str">
        <f ca="1">(IF(G51="NA","60 Years After Completion",IF(G51&lt;&gt;"NA",""&amp;60-ROUNDDOWN((E3-G51)/360,0)&amp;" Years"," ")))</f>
        <v>59 Years</v>
      </c>
      <c r="E58" s="135"/>
      <c r="F58" s="135"/>
      <c r="G58" s="135"/>
      <c r="H58" s="135"/>
      <c r="N58" s="35"/>
    </row>
    <row r="59" spans="1:14" ht="15.75" customHeight="1" x14ac:dyDescent="0.25">
      <c r="A59" s="56" t="s">
        <v>93</v>
      </c>
      <c r="B59" s="56"/>
      <c r="C59" s="56"/>
      <c r="D59" s="63" t="s">
        <v>23</v>
      </c>
      <c r="E59" s="63"/>
      <c r="F59" s="63"/>
      <c r="G59" s="63"/>
      <c r="H59" s="63"/>
      <c r="J59" s="13"/>
      <c r="K59" s="13"/>
    </row>
    <row r="60" spans="1:14" ht="15" hidden="1" customHeight="1" x14ac:dyDescent="0.25">
      <c r="A60" s="56" t="s">
        <v>79</v>
      </c>
      <c r="B60" s="56"/>
      <c r="C60" s="56"/>
      <c r="D60" s="96" t="s">
        <v>156</v>
      </c>
      <c r="E60" s="63"/>
      <c r="F60" s="63"/>
      <c r="G60" s="63"/>
      <c r="H60" s="63"/>
    </row>
    <row r="61" spans="1:14" x14ac:dyDescent="0.25">
      <c r="A61" s="63" t="s">
        <v>157</v>
      </c>
      <c r="B61" s="63"/>
      <c r="C61" s="63"/>
      <c r="D61" s="63" t="s">
        <v>29</v>
      </c>
      <c r="E61" s="63"/>
      <c r="F61" s="63"/>
      <c r="G61" s="63"/>
      <c r="H61" s="63"/>
      <c r="I61" s="45"/>
      <c r="J61" s="45"/>
      <c r="K61" s="45"/>
      <c r="L61" s="45"/>
      <c r="M61" s="45"/>
      <c r="N61" s="45"/>
    </row>
    <row r="62" spans="1:14" ht="15.75" customHeight="1" x14ac:dyDescent="0.25">
      <c r="A62" s="73" t="s">
        <v>91</v>
      </c>
      <c r="B62" s="73"/>
      <c r="C62" s="73"/>
      <c r="D62" s="74" t="str">
        <f ca="1">(IF(G68&gt;95%,"Nothing",IF(G68&gt;0%,"Cement, Aggregate, Steel, etc",IF(G68=0%,"Work not yet Started"))))</f>
        <v>Nothing</v>
      </c>
      <c r="E62" s="74"/>
      <c r="F62" s="74"/>
      <c r="G62" s="74"/>
      <c r="H62" s="74"/>
      <c r="J62" s="13"/>
    </row>
    <row r="63" spans="1:14" ht="33.75" customHeight="1" thickBot="1" x14ac:dyDescent="0.3">
      <c r="A63" s="124" t="s">
        <v>123</v>
      </c>
      <c r="B63" s="124"/>
      <c r="C63" s="124"/>
      <c r="D63" s="74" t="str">
        <f ca="1">(IF(D62="Nothing","Yes",IF(D62="Cement, Aggregate, Steel, etc","Under Construction",IF(D62="Work not yet Started","Work not yet Started"))))</f>
        <v>Yes</v>
      </c>
      <c r="E63" s="74"/>
      <c r="F63" s="74" t="str">
        <f ca="1">(IF(D62="Nothing","Yes",IF(D62="Cement, Aggregate, Steel, etc","Under Construction",IF(D62="Work not yet Started","Work not yet Started"))))</f>
        <v>Yes</v>
      </c>
      <c r="G63" s="74"/>
      <c r="H63" s="74"/>
    </row>
    <row r="64" spans="1:14" ht="15.75" customHeight="1" x14ac:dyDescent="0.25">
      <c r="A64" s="78" t="s">
        <v>148</v>
      </c>
      <c r="B64" s="79"/>
      <c r="C64" s="125" t="str">
        <f>D56</f>
        <v>Gr/St + 1st to 4th Floor</v>
      </c>
      <c r="D64" s="126"/>
      <c r="E64" s="126"/>
      <c r="F64" s="126"/>
      <c r="G64" s="126"/>
      <c r="H64" s="127"/>
      <c r="I64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14"/>
    </row>
    <row r="65" spans="1:10" x14ac:dyDescent="0.25">
      <c r="A65" s="42" t="s">
        <v>150</v>
      </c>
      <c r="B65" s="44">
        <v>0</v>
      </c>
      <c r="C65" s="44" t="s">
        <v>76</v>
      </c>
      <c r="D65" s="44">
        <v>1</v>
      </c>
      <c r="E65" s="44" t="s">
        <v>75</v>
      </c>
      <c r="F65" s="44">
        <v>0</v>
      </c>
      <c r="G65" s="44" t="s">
        <v>85</v>
      </c>
      <c r="H65" s="43">
        <f ca="1">--TRIM(RIGHT(SUBSTITUTE(LEFT(C64,_xlfn.AGGREGATE(16,6,FIND({0,1,2,3,4,5,6,7,8,9},C64,ROW(INDIRECT("1:"&amp;LEN(C64)))),1))," ",REPT(" ",LEN(C64))),LEN(C64)))</f>
        <v>4</v>
      </c>
      <c r="I65" s="13"/>
      <c r="J65" s="15"/>
    </row>
    <row r="66" spans="1:10" x14ac:dyDescent="0.25">
      <c r="A66" s="76" t="s">
        <v>95</v>
      </c>
      <c r="B66" s="77"/>
      <c r="C66" s="122" t="s">
        <v>207</v>
      </c>
      <c r="D66" s="122"/>
      <c r="E66" s="122"/>
      <c r="F66" s="122"/>
      <c r="G66" s="122"/>
      <c r="H66" s="123"/>
      <c r="I66" s="13" t="s">
        <v>110</v>
      </c>
      <c r="J66" s="15"/>
    </row>
    <row r="67" spans="1:10" ht="15.75" customHeight="1" x14ac:dyDescent="0.25">
      <c r="A67" s="57" t="s">
        <v>51</v>
      </c>
      <c r="B67" s="58"/>
      <c r="C67" s="49" t="s">
        <v>147</v>
      </c>
      <c r="D67" s="49" t="s">
        <v>88</v>
      </c>
      <c r="E67" s="58" t="s">
        <v>90</v>
      </c>
      <c r="F67" s="58"/>
      <c r="G67" s="58" t="s">
        <v>89</v>
      </c>
      <c r="H67" s="75"/>
      <c r="I67" s="33" t="s">
        <v>149</v>
      </c>
      <c r="J67" s="16">
        <f ca="1">H65*25%</f>
        <v>1</v>
      </c>
    </row>
    <row r="68" spans="1:10" x14ac:dyDescent="0.25">
      <c r="A68" s="57" t="s">
        <v>136</v>
      </c>
      <c r="B68" s="58"/>
      <c r="C68" s="50">
        <f ca="1">J69</f>
        <v>4</v>
      </c>
      <c r="D68" s="51">
        <f ca="1">((100/H65)*C68)/100</f>
        <v>1</v>
      </c>
      <c r="E68" s="129">
        <f ca="1">(((C69/H65*10)+(40/(D65+F65+H65)*C70)+(7.5/(H65)*C71)+(7.5/(H65)*C72)+(10/H65*C73)+(10/H65*C74)+(5/H65*C75)+(5/H65*C76)+(5/H65*C77))/100)</f>
        <v>0.96250000000000002</v>
      </c>
      <c r="F68" s="129"/>
      <c r="G68" s="129">
        <f ca="1">((((C68/H65)*20)+((C69/H65)*25)+(30/(H65+F65+D65)*C70)+(5/H65*C71)+(5/H65*C72)+(5/H65*C73)+(5/H65*C74)+(0/H65*C75)+(0/H65*C76)+(5/H65*C77))/100)</f>
        <v>0.97499999999999998</v>
      </c>
      <c r="H68" s="131"/>
      <c r="I68" s="33" t="s">
        <v>105</v>
      </c>
      <c r="J68" s="36">
        <f ca="1">H65*50%</f>
        <v>2</v>
      </c>
    </row>
    <row r="69" spans="1:10" x14ac:dyDescent="0.25">
      <c r="A69" s="57" t="s">
        <v>52</v>
      </c>
      <c r="B69" s="58"/>
      <c r="C69" s="52">
        <f ca="1">J77</f>
        <v>4</v>
      </c>
      <c r="D69" s="51">
        <f ca="1">((100/H65)*C69)/100</f>
        <v>1</v>
      </c>
      <c r="E69" s="129"/>
      <c r="F69" s="129"/>
      <c r="G69" s="129"/>
      <c r="H69" s="131"/>
      <c r="I69" s="33" t="s">
        <v>106</v>
      </c>
      <c r="J69" s="36">
        <f ca="1">H65</f>
        <v>4</v>
      </c>
    </row>
    <row r="70" spans="1:10" ht="15.75" customHeight="1" x14ac:dyDescent="0.25">
      <c r="A70" s="138" t="s">
        <v>137</v>
      </c>
      <c r="B70" s="139"/>
      <c r="C70" s="52">
        <f ca="1">D65+H65</f>
        <v>5</v>
      </c>
      <c r="D70" s="51">
        <f ca="1">((100/(D65+F65+H65))*C70)/100</f>
        <v>1</v>
      </c>
      <c r="E70" s="129"/>
      <c r="F70" s="129"/>
      <c r="G70" s="129"/>
      <c r="H70" s="131"/>
      <c r="I70" s="33" t="s">
        <v>107</v>
      </c>
      <c r="J70" s="39">
        <f ca="1">(IF(B65&gt;1,(H65/(B65+2)),H65/4))</f>
        <v>1</v>
      </c>
    </row>
    <row r="71" spans="1:10" ht="15.75" customHeight="1" x14ac:dyDescent="0.25">
      <c r="A71" s="57" t="s">
        <v>144</v>
      </c>
      <c r="B71" s="58" t="s">
        <v>138</v>
      </c>
      <c r="C71" s="50">
        <v>4</v>
      </c>
      <c r="D71" s="51">
        <f ca="1">((100/H65)*C71)/100</f>
        <v>1</v>
      </c>
      <c r="E71" s="129"/>
      <c r="F71" s="129"/>
      <c r="G71" s="129"/>
      <c r="H71" s="131"/>
      <c r="I71" s="33" t="s">
        <v>108</v>
      </c>
      <c r="J71" s="39">
        <f ca="1">(IF(B65&gt;1,(H65/(B65+2)+J70),H65/4+J70))</f>
        <v>2</v>
      </c>
    </row>
    <row r="72" spans="1:10" ht="15.75" customHeight="1" x14ac:dyDescent="0.25">
      <c r="A72" s="57" t="s">
        <v>145</v>
      </c>
      <c r="B72" s="58" t="s">
        <v>138</v>
      </c>
      <c r="C72" s="50">
        <v>4</v>
      </c>
      <c r="D72" s="51">
        <f ca="1">((100/H65)*C72)/100</f>
        <v>1</v>
      </c>
      <c r="E72" s="129"/>
      <c r="F72" s="129"/>
      <c r="G72" s="129"/>
      <c r="H72" s="131"/>
      <c r="I72" s="33" t="s">
        <v>154</v>
      </c>
      <c r="J72" s="39">
        <f>(IF(B65&gt;1,(H65/(B65+2)+J71),0))</f>
        <v>0</v>
      </c>
    </row>
    <row r="73" spans="1:10" ht="15" customHeight="1" x14ac:dyDescent="0.25">
      <c r="A73" s="57" t="s">
        <v>143</v>
      </c>
      <c r="B73" s="58" t="s">
        <v>140</v>
      </c>
      <c r="C73" s="50">
        <v>4</v>
      </c>
      <c r="D73" s="51">
        <f ca="1">((100/(H65))*C73)/100</f>
        <v>1</v>
      </c>
      <c r="E73" s="129"/>
      <c r="F73" s="129"/>
      <c r="G73" s="129"/>
      <c r="H73" s="131"/>
      <c r="I73" s="33" t="s">
        <v>151</v>
      </c>
      <c r="J73" s="39">
        <f>(IF(B65&gt;2,(H65/(B65+2)+J72),0))</f>
        <v>0</v>
      </c>
    </row>
    <row r="74" spans="1:10" ht="15.75" customHeight="1" x14ac:dyDescent="0.25">
      <c r="A74" s="57" t="s">
        <v>139</v>
      </c>
      <c r="B74" s="58" t="s">
        <v>139</v>
      </c>
      <c r="C74" s="50">
        <v>4</v>
      </c>
      <c r="D74" s="51">
        <f ca="1">((100/H65)*C74)/100</f>
        <v>1</v>
      </c>
      <c r="E74" s="129"/>
      <c r="F74" s="129"/>
      <c r="G74" s="129"/>
      <c r="H74" s="131"/>
      <c r="I74" s="33" t="s">
        <v>152</v>
      </c>
      <c r="J74" s="40">
        <f>(IF(B65&gt;3,(H65/(B65+2)+J73),0))</f>
        <v>0</v>
      </c>
    </row>
    <row r="75" spans="1:10" ht="15.75" customHeight="1" x14ac:dyDescent="0.25">
      <c r="A75" s="57" t="s">
        <v>146</v>
      </c>
      <c r="B75" s="58"/>
      <c r="C75" s="50">
        <v>4</v>
      </c>
      <c r="D75" s="51">
        <f ca="1">((100/H65)*C75)/100</f>
        <v>1</v>
      </c>
      <c r="E75" s="129"/>
      <c r="F75" s="129"/>
      <c r="G75" s="129"/>
      <c r="H75" s="131"/>
      <c r="I75" s="33" t="s">
        <v>153</v>
      </c>
      <c r="J75" s="39">
        <f>(IF(B65&gt;4,(H65/(B65+2)+J74),0))</f>
        <v>0</v>
      </c>
    </row>
    <row r="76" spans="1:10" ht="15.75" customHeight="1" x14ac:dyDescent="0.25">
      <c r="A76" s="57" t="s">
        <v>141</v>
      </c>
      <c r="B76" s="58" t="s">
        <v>141</v>
      </c>
      <c r="C76" s="50">
        <v>3</v>
      </c>
      <c r="D76" s="51">
        <f ca="1">((100/(H65))*C76)/100</f>
        <v>0.75</v>
      </c>
      <c r="E76" s="129"/>
      <c r="F76" s="129"/>
      <c r="G76" s="129"/>
      <c r="H76" s="131"/>
      <c r="I76" s="33" t="s">
        <v>155</v>
      </c>
      <c r="J76" s="39">
        <f ca="1">(IF(B65=1,(H65/(B65+3)+J71),IF(B65=0,(H65/4+J71),IF(B65&gt;1,0))))</f>
        <v>3</v>
      </c>
    </row>
    <row r="77" spans="1:10" ht="16.5" thickBot="1" x14ac:dyDescent="0.3">
      <c r="A77" s="133" t="s">
        <v>142</v>
      </c>
      <c r="B77" s="134"/>
      <c r="C77" s="53">
        <v>2</v>
      </c>
      <c r="D77" s="54">
        <f ca="1">((100/(H65))*C77)/100</f>
        <v>0.5</v>
      </c>
      <c r="E77" s="130"/>
      <c r="F77" s="130"/>
      <c r="G77" s="130"/>
      <c r="H77" s="132"/>
      <c r="I77" s="38" t="s">
        <v>109</v>
      </c>
      <c r="J77" s="41">
        <f ca="1">(IF(B65&gt;1.5,(H65/(B65+2)+J71+MAX(0,J72-J71)+MAX(0,J73-J72)+MAX(0,J74-J73)+MAX(0,J75-J74)+MAX(0,J76-J75)),IF(B65=1,(H65/(B65+3)+J76),IF(B65=0,H65/4+J76))))</f>
        <v>4</v>
      </c>
    </row>
    <row r="78" spans="1:10" x14ac:dyDescent="0.25">
      <c r="A78" s="60" t="s">
        <v>53</v>
      </c>
      <c r="B78" s="60"/>
      <c r="C78" s="60"/>
      <c r="D78" s="60"/>
      <c r="E78" s="60"/>
      <c r="F78" s="60"/>
      <c r="G78" s="60"/>
      <c r="H78" s="60"/>
    </row>
    <row r="79" spans="1:10" x14ac:dyDescent="0.25">
      <c r="A79" s="56" t="s">
        <v>162</v>
      </c>
      <c r="B79" s="56"/>
      <c r="C79" s="56"/>
      <c r="D79" s="56"/>
      <c r="E79" s="56"/>
      <c r="F79" s="59">
        <v>2600</v>
      </c>
      <c r="G79" s="59"/>
      <c r="H79" s="59"/>
    </row>
    <row r="80" spans="1:10" x14ac:dyDescent="0.25">
      <c r="A80" s="56" t="s">
        <v>163</v>
      </c>
      <c r="B80" s="56"/>
      <c r="C80" s="56"/>
      <c r="D80" s="56"/>
      <c r="E80" s="56"/>
      <c r="F80" s="80">
        <v>7000</v>
      </c>
      <c r="G80" s="80"/>
      <c r="H80" s="80"/>
    </row>
    <row r="81" spans="1:8" s="7" customFormat="1" x14ac:dyDescent="0.25">
      <c r="A81" s="56" t="s">
        <v>100</v>
      </c>
      <c r="B81" s="56"/>
      <c r="C81" s="56"/>
      <c r="D81" s="56"/>
      <c r="E81" s="56"/>
      <c r="F81" s="80">
        <v>150000</v>
      </c>
      <c r="G81" s="80"/>
      <c r="H81" s="80"/>
    </row>
    <row r="82" spans="1:8" s="7" customFormat="1" hidden="1" x14ac:dyDescent="0.25">
      <c r="A82" s="56" t="s">
        <v>101</v>
      </c>
      <c r="B82" s="56"/>
      <c r="C82" s="56"/>
      <c r="D82" s="56"/>
      <c r="E82" s="56"/>
      <c r="F82" s="80"/>
      <c r="G82" s="80"/>
      <c r="H82" s="80"/>
    </row>
    <row r="83" spans="1:8" s="7" customFormat="1" hidden="1" x14ac:dyDescent="0.25">
      <c r="A83" s="56" t="s">
        <v>102</v>
      </c>
      <c r="B83" s="56"/>
      <c r="C83" s="56"/>
      <c r="D83" s="56"/>
      <c r="E83" s="56"/>
      <c r="F83" s="80"/>
      <c r="G83" s="80"/>
      <c r="H83" s="80"/>
    </row>
    <row r="84" spans="1:8" s="7" customFormat="1" hidden="1" x14ac:dyDescent="0.25">
      <c r="A84" s="56" t="s">
        <v>103</v>
      </c>
      <c r="B84" s="56"/>
      <c r="C84" s="56"/>
      <c r="D84" s="56"/>
      <c r="E84" s="56"/>
      <c r="F84" s="80"/>
      <c r="G84" s="80"/>
      <c r="H84" s="80"/>
    </row>
    <row r="85" spans="1:8" s="7" customFormat="1" hidden="1" x14ac:dyDescent="0.25">
      <c r="A85" s="56" t="s">
        <v>104</v>
      </c>
      <c r="B85" s="56"/>
      <c r="C85" s="56"/>
      <c r="D85" s="56"/>
      <c r="E85" s="56"/>
      <c r="F85" s="80"/>
      <c r="G85" s="80"/>
      <c r="H85" s="80"/>
    </row>
    <row r="86" spans="1:8" s="7" customFormat="1" x14ac:dyDescent="0.25">
      <c r="A86" s="56" t="s">
        <v>187</v>
      </c>
      <c r="B86" s="56"/>
      <c r="C86" s="56"/>
      <c r="D86" s="56"/>
      <c r="E86" s="56"/>
      <c r="F86" s="80">
        <v>50000</v>
      </c>
      <c r="G86" s="80"/>
      <c r="H86" s="80"/>
    </row>
    <row r="87" spans="1:8" s="7" customFormat="1" x14ac:dyDescent="0.25">
      <c r="A87" s="56" t="s">
        <v>188</v>
      </c>
      <c r="B87" s="56"/>
      <c r="C87" s="56"/>
      <c r="D87" s="56"/>
      <c r="E87" s="56"/>
      <c r="F87" s="80">
        <v>75000</v>
      </c>
      <c r="G87" s="80"/>
      <c r="H87" s="80"/>
    </row>
    <row r="88" spans="1:8" x14ac:dyDescent="0.25">
      <c r="A88" s="56" t="s">
        <v>54</v>
      </c>
      <c r="B88" s="56"/>
      <c r="C88" s="56"/>
      <c r="D88" s="56"/>
      <c r="E88" s="56"/>
      <c r="F88" s="80" t="s">
        <v>195</v>
      </c>
      <c r="G88" s="80"/>
      <c r="H88" s="80"/>
    </row>
    <row r="89" spans="1:8" s="4" customFormat="1" x14ac:dyDescent="0.25">
      <c r="A89" s="60" t="s">
        <v>55</v>
      </c>
      <c r="B89" s="60"/>
      <c r="C89" s="60"/>
      <c r="D89" s="60"/>
      <c r="E89" s="60"/>
      <c r="F89" s="80">
        <f>F79*0.8</f>
        <v>2080</v>
      </c>
      <c r="G89" s="80"/>
      <c r="H89" s="80"/>
    </row>
    <row r="90" spans="1:8" s="1" customFormat="1" ht="15.75" customHeight="1" x14ac:dyDescent="0.25">
      <c r="A90" s="85" t="s">
        <v>80</v>
      </c>
      <c r="B90" s="85"/>
      <c r="C90" s="85"/>
      <c r="D90" s="85"/>
      <c r="E90" s="85"/>
      <c r="F90" s="85"/>
      <c r="G90" s="85"/>
      <c r="H90" s="85"/>
    </row>
    <row r="91" spans="1:8" s="1" customFormat="1" ht="15.75" customHeight="1" x14ac:dyDescent="0.25">
      <c r="A91" s="102" t="s">
        <v>56</v>
      </c>
      <c r="B91" s="102"/>
      <c r="C91" s="103" t="s">
        <v>83</v>
      </c>
      <c r="D91" s="103"/>
      <c r="E91" s="101" t="s">
        <v>57</v>
      </c>
      <c r="F91" s="101"/>
      <c r="G91" s="102" t="s">
        <v>58</v>
      </c>
      <c r="H91" s="102"/>
    </row>
    <row r="92" spans="1:8" s="1" customFormat="1" x14ac:dyDescent="0.25">
      <c r="A92" s="104" t="s">
        <v>179</v>
      </c>
      <c r="B92" s="104"/>
      <c r="C92" s="105">
        <f>COUNT(D101:D109)</f>
        <v>9</v>
      </c>
      <c r="D92" s="106"/>
      <c r="E92" s="61">
        <f>SUM(D101:D109)</f>
        <v>1152.5014800000001</v>
      </c>
      <c r="F92" s="62"/>
      <c r="G92" s="61">
        <f>SUM(F101:F109)</f>
        <v>1728.7522199999996</v>
      </c>
      <c r="H92" s="62"/>
    </row>
    <row r="93" spans="1:8" s="1" customFormat="1" x14ac:dyDescent="0.25">
      <c r="A93" s="85" t="s">
        <v>74</v>
      </c>
      <c r="B93" s="85"/>
      <c r="C93" s="85"/>
      <c r="D93" s="85"/>
      <c r="E93" s="85"/>
      <c r="F93" s="85"/>
      <c r="G93" s="85"/>
      <c r="H93" s="85"/>
    </row>
    <row r="94" spans="1:8" s="1" customFormat="1" ht="15.75" customHeight="1" x14ac:dyDescent="0.25">
      <c r="A94" s="102" t="s">
        <v>56</v>
      </c>
      <c r="B94" s="102"/>
      <c r="C94" s="103" t="s">
        <v>83</v>
      </c>
      <c r="D94" s="103"/>
      <c r="E94" s="101" t="s">
        <v>57</v>
      </c>
      <c r="F94" s="101"/>
      <c r="G94" s="102" t="s">
        <v>58</v>
      </c>
      <c r="H94" s="102"/>
    </row>
    <row r="95" spans="1:8" s="1" customFormat="1" x14ac:dyDescent="0.25">
      <c r="A95" s="104" t="s">
        <v>180</v>
      </c>
      <c r="B95" s="104"/>
      <c r="C95" s="106">
        <f>COUNT(D114:D120)*4</f>
        <v>28</v>
      </c>
      <c r="D95" s="106"/>
      <c r="E95" s="61">
        <f>SUM(D114:D120)*4</f>
        <v>9120.7677599999988</v>
      </c>
      <c r="F95" s="61"/>
      <c r="G95" s="61">
        <f>SUM(F114:F120)*4</f>
        <v>13225.113252000001</v>
      </c>
      <c r="H95" s="61"/>
    </row>
    <row r="96" spans="1:8" s="4" customFormat="1" x14ac:dyDescent="0.25">
      <c r="A96" s="119" t="s">
        <v>59</v>
      </c>
      <c r="B96" s="119"/>
      <c r="C96" s="119"/>
      <c r="D96" s="119"/>
      <c r="E96" s="119"/>
      <c r="F96" s="119"/>
      <c r="G96" s="119"/>
      <c r="H96" s="119"/>
    </row>
    <row r="97" spans="1:14" x14ac:dyDescent="0.25">
      <c r="A97" s="119" t="s">
        <v>60</v>
      </c>
      <c r="B97" s="119"/>
      <c r="C97" s="119"/>
      <c r="D97" s="119"/>
      <c r="E97" s="119"/>
      <c r="F97" s="119"/>
      <c r="G97" s="119"/>
      <c r="H97" s="119"/>
    </row>
    <row r="98" spans="1:14" ht="47.25" customHeight="1" x14ac:dyDescent="0.25">
      <c r="A98" s="86" t="s">
        <v>125</v>
      </c>
      <c r="B98" s="86" t="s">
        <v>124</v>
      </c>
      <c r="C98" s="86" t="s">
        <v>61</v>
      </c>
      <c r="D98" s="86" t="s">
        <v>62</v>
      </c>
      <c r="E98" s="120" t="s">
        <v>63</v>
      </c>
      <c r="F98" s="29" t="s">
        <v>158</v>
      </c>
      <c r="G98" s="81" t="s">
        <v>64</v>
      </c>
      <c r="H98" s="82"/>
    </row>
    <row r="99" spans="1:14" s="2" customFormat="1" x14ac:dyDescent="0.25">
      <c r="A99" s="87"/>
      <c r="B99" s="87"/>
      <c r="C99" s="87"/>
      <c r="D99" s="87"/>
      <c r="E99" s="121"/>
      <c r="F99" s="30">
        <v>0.5</v>
      </c>
      <c r="G99" s="83"/>
      <c r="H99" s="84"/>
    </row>
    <row r="100" spans="1:14" s="2" customFormat="1" x14ac:dyDescent="0.25">
      <c r="A100" s="92" t="s">
        <v>178</v>
      </c>
      <c r="B100" s="93"/>
      <c r="C100" s="93"/>
      <c r="D100" s="93"/>
      <c r="E100" s="93"/>
      <c r="F100" s="93"/>
      <c r="G100" s="93"/>
      <c r="H100" s="94"/>
      <c r="J100" s="32"/>
    </row>
    <row r="101" spans="1:14" s="2" customFormat="1" x14ac:dyDescent="0.25">
      <c r="A101" s="89">
        <v>1</v>
      </c>
      <c r="B101" s="90"/>
      <c r="C101" s="31" t="s">
        <v>179</v>
      </c>
      <c r="D101" s="31">
        <f>(11.75*10.764)</f>
        <v>126.47699999999999</v>
      </c>
      <c r="E101" s="31">
        <v>0</v>
      </c>
      <c r="F101" s="31">
        <f>D101*(($F$99)+1)+(IF(E101&lt;101,E101,IF(E101&lt;201,E101/2,IF(E101&lt;=301,E101/3,E101/4))))</f>
        <v>189.71549999999999</v>
      </c>
      <c r="G101" s="89" t="str">
        <f>A100</f>
        <v>Ground Floor for Commercial &amp; Parking</v>
      </c>
      <c r="H101" s="90"/>
      <c r="I101" s="32">
        <f>2.75*4.35</f>
        <v>11.962499999999999</v>
      </c>
      <c r="L101" s="88"/>
      <c r="M101" s="88"/>
      <c r="N101" s="32"/>
    </row>
    <row r="102" spans="1:14" s="2" customFormat="1" x14ac:dyDescent="0.25">
      <c r="A102" s="89">
        <f t="shared" ref="A102:A109" si="0">A101+1</f>
        <v>2</v>
      </c>
      <c r="B102" s="90"/>
      <c r="C102" s="31" t="s">
        <v>179</v>
      </c>
      <c r="D102" s="31">
        <f t="shared" ref="D102:D104" si="1">(11.75*10.764)</f>
        <v>126.47699999999999</v>
      </c>
      <c r="E102" s="31">
        <v>0</v>
      </c>
      <c r="F102" s="31">
        <f t="shared" ref="F102:F107" si="2">D102*(($F$99)+1)+(IF(E102&lt;101,E102,IF(E102&lt;201,E102/2,IF(E102&lt;=301,E102/3,E102/4))))</f>
        <v>189.71549999999999</v>
      </c>
      <c r="G102" s="89" t="str">
        <f t="shared" ref="G102:G109" si="3">G101</f>
        <v>Ground Floor for Commercial &amp; Parking</v>
      </c>
      <c r="H102" s="90"/>
      <c r="I102" s="32"/>
      <c r="L102" s="88"/>
      <c r="M102" s="88"/>
      <c r="N102" s="32"/>
    </row>
    <row r="103" spans="1:14" s="2" customFormat="1" x14ac:dyDescent="0.25">
      <c r="A103" s="89">
        <f t="shared" si="0"/>
        <v>3</v>
      </c>
      <c r="B103" s="90"/>
      <c r="C103" s="31" t="s">
        <v>179</v>
      </c>
      <c r="D103" s="31">
        <f t="shared" si="1"/>
        <v>126.47699999999999</v>
      </c>
      <c r="E103" s="31">
        <v>0</v>
      </c>
      <c r="F103" s="31">
        <f t="shared" si="2"/>
        <v>189.71549999999999</v>
      </c>
      <c r="G103" s="89" t="str">
        <f t="shared" si="3"/>
        <v>Ground Floor for Commercial &amp; Parking</v>
      </c>
      <c r="H103" s="90"/>
      <c r="I103" s="32"/>
      <c r="L103" s="88"/>
      <c r="M103" s="88"/>
      <c r="N103" s="32"/>
    </row>
    <row r="104" spans="1:14" s="2" customFormat="1" x14ac:dyDescent="0.25">
      <c r="A104" s="89">
        <f t="shared" si="0"/>
        <v>4</v>
      </c>
      <c r="B104" s="90"/>
      <c r="C104" s="31" t="s">
        <v>179</v>
      </c>
      <c r="D104" s="31">
        <f t="shared" si="1"/>
        <v>126.47699999999999</v>
      </c>
      <c r="E104" s="31">
        <v>0</v>
      </c>
      <c r="F104" s="31">
        <f t="shared" si="2"/>
        <v>189.71549999999999</v>
      </c>
      <c r="G104" s="89" t="str">
        <f t="shared" si="3"/>
        <v>Ground Floor for Commercial &amp; Parking</v>
      </c>
      <c r="H104" s="90"/>
      <c r="I104" s="32"/>
      <c r="J104" s="2">
        <f>1390730/F104</f>
        <v>7330.6082001734176</v>
      </c>
      <c r="L104" s="88"/>
      <c r="M104" s="88"/>
      <c r="N104" s="32"/>
    </row>
    <row r="105" spans="1:14" s="2" customFormat="1" x14ac:dyDescent="0.25">
      <c r="A105" s="89">
        <f t="shared" si="0"/>
        <v>5</v>
      </c>
      <c r="B105" s="90"/>
      <c r="C105" s="31" t="s">
        <v>179</v>
      </c>
      <c r="D105" s="31">
        <f>(17.68*10.764)</f>
        <v>190.30751999999998</v>
      </c>
      <c r="E105" s="31">
        <v>0</v>
      </c>
      <c r="F105" s="31">
        <f t="shared" si="2"/>
        <v>285.46127999999999</v>
      </c>
      <c r="G105" s="89" t="str">
        <f t="shared" si="3"/>
        <v>Ground Floor for Commercial &amp; Parking</v>
      </c>
      <c r="H105" s="90"/>
      <c r="I105" s="32"/>
      <c r="J105" s="2">
        <f>2092605/F105</f>
        <v>7330.6089007938317</v>
      </c>
      <c r="L105" s="88"/>
      <c r="M105" s="88"/>
      <c r="N105" s="32"/>
    </row>
    <row r="106" spans="1:14" s="2" customFormat="1" x14ac:dyDescent="0.25">
      <c r="A106" s="89">
        <f t="shared" si="0"/>
        <v>6</v>
      </c>
      <c r="B106" s="90"/>
      <c r="C106" s="31" t="s">
        <v>179</v>
      </c>
      <c r="D106" s="31">
        <f>(13.06*10.764)</f>
        <v>140.57784000000001</v>
      </c>
      <c r="E106" s="31">
        <v>0</v>
      </c>
      <c r="F106" s="31">
        <f t="shared" si="2"/>
        <v>210.86676</v>
      </c>
      <c r="G106" s="89" t="str">
        <f t="shared" si="3"/>
        <v>Ground Floor for Commercial &amp; Parking</v>
      </c>
      <c r="H106" s="90"/>
      <c r="I106" s="32"/>
      <c r="L106" s="88"/>
      <c r="M106" s="88"/>
      <c r="N106" s="32"/>
    </row>
    <row r="107" spans="1:14" s="2" customFormat="1" x14ac:dyDescent="0.25">
      <c r="A107" s="89">
        <f t="shared" si="0"/>
        <v>7</v>
      </c>
      <c r="B107" s="90"/>
      <c r="C107" s="31" t="s">
        <v>179</v>
      </c>
      <c r="D107" s="31">
        <f>(10.69*10.764)</f>
        <v>115.06715999999999</v>
      </c>
      <c r="E107" s="31">
        <v>0</v>
      </c>
      <c r="F107" s="31">
        <f t="shared" si="2"/>
        <v>172.60073999999997</v>
      </c>
      <c r="G107" s="89" t="str">
        <f t="shared" si="3"/>
        <v>Ground Floor for Commercial &amp; Parking</v>
      </c>
      <c r="H107" s="90"/>
      <c r="I107" s="32"/>
      <c r="L107" s="88"/>
      <c r="M107" s="88"/>
      <c r="N107" s="32"/>
    </row>
    <row r="108" spans="1:14" s="2" customFormat="1" x14ac:dyDescent="0.25">
      <c r="A108" s="89">
        <f t="shared" si="0"/>
        <v>8</v>
      </c>
      <c r="B108" s="90"/>
      <c r="C108" s="31" t="s">
        <v>179</v>
      </c>
      <c r="D108" s="31">
        <f>(8.81*10.764)</f>
        <v>94.830839999999995</v>
      </c>
      <c r="E108" s="31">
        <v>0</v>
      </c>
      <c r="F108" s="31">
        <f t="shared" ref="F108:F109" si="4">D108*(($F$99)+1)+(IF(E108&lt;101,E108,IF(E108&lt;201,E108/2,IF(E108&lt;=301,E108/3,E108/4))))</f>
        <v>142.24626000000001</v>
      </c>
      <c r="G108" s="89" t="str">
        <f t="shared" si="3"/>
        <v>Ground Floor for Commercial &amp; Parking</v>
      </c>
      <c r="H108" s="90"/>
      <c r="I108" s="32"/>
      <c r="L108" s="88"/>
      <c r="M108" s="88"/>
      <c r="N108" s="32"/>
    </row>
    <row r="109" spans="1:14" s="2" customFormat="1" x14ac:dyDescent="0.25">
      <c r="A109" s="89">
        <f t="shared" si="0"/>
        <v>9</v>
      </c>
      <c r="B109" s="90"/>
      <c r="C109" s="31" t="s">
        <v>179</v>
      </c>
      <c r="D109" s="31">
        <f>(9.83*10.764)</f>
        <v>105.81012</v>
      </c>
      <c r="E109" s="31">
        <v>0</v>
      </c>
      <c r="F109" s="31">
        <f t="shared" si="4"/>
        <v>158.71518</v>
      </c>
      <c r="G109" s="89" t="str">
        <f t="shared" si="3"/>
        <v>Ground Floor for Commercial &amp; Parking</v>
      </c>
      <c r="H109" s="90"/>
      <c r="I109" s="32"/>
      <c r="L109" s="88"/>
      <c r="M109" s="88"/>
      <c r="N109" s="32"/>
    </row>
    <row r="110" spans="1:14" s="2" customFormat="1" x14ac:dyDescent="0.25">
      <c r="A110" s="89"/>
      <c r="B110" s="162"/>
      <c r="C110" s="162"/>
      <c r="D110" s="162"/>
      <c r="E110" s="162"/>
      <c r="F110" s="162"/>
      <c r="G110" s="162"/>
      <c r="H110" s="90"/>
      <c r="I110" s="32"/>
      <c r="N110" s="32"/>
    </row>
    <row r="111" spans="1:14" ht="47.25" customHeight="1" x14ac:dyDescent="0.25">
      <c r="A111" s="81" t="s">
        <v>126</v>
      </c>
      <c r="B111" s="81" t="s">
        <v>127</v>
      </c>
      <c r="C111" s="86" t="s">
        <v>61</v>
      </c>
      <c r="D111" s="86" t="s">
        <v>62</v>
      </c>
      <c r="E111" s="120" t="s">
        <v>63</v>
      </c>
      <c r="F111" s="29" t="s">
        <v>158</v>
      </c>
      <c r="G111" s="81" t="s">
        <v>64</v>
      </c>
      <c r="H111" s="82"/>
      <c r="I111" s="32"/>
    </row>
    <row r="112" spans="1:14" s="2" customFormat="1" x14ac:dyDescent="0.25">
      <c r="A112" s="83"/>
      <c r="B112" s="83"/>
      <c r="C112" s="87"/>
      <c r="D112" s="87"/>
      <c r="E112" s="121"/>
      <c r="F112" s="30">
        <v>0.45</v>
      </c>
      <c r="G112" s="83"/>
      <c r="H112" s="84"/>
      <c r="I112" s="32"/>
    </row>
    <row r="113" spans="1:9" s="2" customFormat="1" x14ac:dyDescent="0.25">
      <c r="A113" s="92" t="s">
        <v>181</v>
      </c>
      <c r="B113" s="93"/>
      <c r="C113" s="93"/>
      <c r="D113" s="93"/>
      <c r="E113" s="93"/>
      <c r="F113" s="93"/>
      <c r="G113" s="93"/>
      <c r="H113" s="94"/>
      <c r="I113" s="32"/>
    </row>
    <row r="114" spans="1:9" s="2" customFormat="1" x14ac:dyDescent="0.25">
      <c r="A114" s="89" t="str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10^ROW(INDIRECT("1:"&amp;LEN((LEFT(A113,SUM(LEN(A113)-LEN(SUBSTITUTE(A113,{"0","1","2"},""))))))))/10))*100+1&amp;""&amp;" to "&amp;""&amp;(SUMPRODUCT(MID(0&amp;(--TRIM(RIGHT(SUBSTITUTE(LEFT(A113,_xlfn.AGGREGATE(16,6,FIND({0,1,2,3,4,5,6,7,8,9},A113,ROW(INDIRECT("1:"&amp;LEN(A113)))),1)),"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",LEN(A113))),LEN(A113)))))))/10))*100+1</f>
        <v>101 to 401</v>
      </c>
      <c r="B114" s="90"/>
      <c r="C114" s="31" t="s">
        <v>182</v>
      </c>
      <c r="D114" s="31">
        <f>(9.72+3.96+1.14+1.44+2.2+2.7*0.75+2.2*0.75)*10.764</f>
        <v>238.26113999999995</v>
      </c>
      <c r="E114" s="31">
        <v>0</v>
      </c>
      <c r="F114" s="31">
        <f t="shared" ref="F114:F119" si="5">D114*(($F$112)+1)+(IF(E114&lt;101,E114,IF(E114&lt;201,E114/2,IF(E114&lt;=301,E114/3,E114/4))))</f>
        <v>345.47865299999995</v>
      </c>
      <c r="G114" s="89" t="str">
        <f>A113</f>
        <v>1st to 4th Floor</v>
      </c>
      <c r="H114" s="90"/>
      <c r="I114" s="32">
        <f>850000/F114</f>
        <v>2460.3546199423213</v>
      </c>
    </row>
    <row r="115" spans="1:9" s="2" customFormat="1" x14ac:dyDescent="0.25">
      <c r="A115" s="89" t="str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10^ROW(INDIRECT("1:"&amp;LEN((LEFT(A114,SUM(LEN(A114)-LEN(SUBSTITUTE(A114,{"0","1","2"},""))))))))/10))*1+1&amp;""&amp;" to "&amp;""&amp;(SUMPRODUCT(MID(0&amp;(--TRIM(RIGHT(SUBSTITUTE(LEFT(A114,_xlfn.AGGREGATE(16,6,FIND({0,1,2,3,4,5,6,7,8,9},A114,ROW(INDIRECT("1:"&amp;LEN(A114)))),1)),"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",LEN(A114))),LEN(A114)))))))/10))*1+1</f>
        <v>102 to 402</v>
      </c>
      <c r="B115" s="90"/>
      <c r="C115" s="31" t="s">
        <v>182</v>
      </c>
      <c r="D115" s="31">
        <f>(11.21+3.96+1.14+1.8+0.94+2.7*0.75+2.2*0.75)*10.764</f>
        <v>244.61189999999999</v>
      </c>
      <c r="E115" s="31">
        <v>0</v>
      </c>
      <c r="F115" s="31">
        <f t="shared" si="5"/>
        <v>354.68725499999999</v>
      </c>
      <c r="G115" s="89" t="str">
        <f t="shared" ref="G115:G120" si="6">G114</f>
        <v>1st to 4th Floor</v>
      </c>
      <c r="H115" s="90"/>
      <c r="I115" s="32"/>
    </row>
    <row r="116" spans="1:9" s="2" customFormat="1" x14ac:dyDescent="0.25">
      <c r="A116" s="89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10^ROW(INDIRECT("1:"&amp;LEN((LEFT(A115,SUM(LEN(A115)-LEN(SUBSTITUTE(A115,{"0","1","2"},""))))))))/10))*1+1&amp;""&amp;" to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",LEN(A115))),LEN(A115)))))))/10))*1+1</f>
        <v>103 to 403</v>
      </c>
      <c r="B116" s="90"/>
      <c r="C116" s="31" t="s">
        <v>182</v>
      </c>
      <c r="D116" s="31">
        <f>(11.07+3.96+1.14+1.86+0.94+2.65*0.75+2.2*0.75)*10.764</f>
        <v>243.34712999999999</v>
      </c>
      <c r="E116" s="31">
        <v>0</v>
      </c>
      <c r="F116" s="31">
        <f t="shared" si="5"/>
        <v>352.85333850000001</v>
      </c>
      <c r="G116" s="89" t="str">
        <f t="shared" si="6"/>
        <v>1st to 4th Floor</v>
      </c>
      <c r="H116" s="90"/>
      <c r="I116" s="32"/>
    </row>
    <row r="117" spans="1:9" s="2" customFormat="1" x14ac:dyDescent="0.25">
      <c r="A117" s="89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to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104 to 404</v>
      </c>
      <c r="B117" s="90"/>
      <c r="C117" s="31" t="s">
        <v>182</v>
      </c>
      <c r="D117" s="31">
        <f>(11.61+3.69+1.08+1.68+2.25+2.7*0.75+1.8*0.75)*10.764</f>
        <v>254.94534000000002</v>
      </c>
      <c r="E117" s="31">
        <v>0</v>
      </c>
      <c r="F117" s="31">
        <f t="shared" si="5"/>
        <v>369.67074300000002</v>
      </c>
      <c r="G117" s="89" t="str">
        <f t="shared" si="6"/>
        <v>1st to 4th Floor</v>
      </c>
      <c r="H117" s="90"/>
      <c r="I117" s="32"/>
    </row>
    <row r="118" spans="1:9" s="2" customFormat="1" x14ac:dyDescent="0.25">
      <c r="A118" s="89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to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105 to 405</v>
      </c>
      <c r="B118" s="90"/>
      <c r="C118" s="31" t="s">
        <v>183</v>
      </c>
      <c r="D118" s="31">
        <f>(67.32-22.05+(2.7+2.7+3+2)*0.75)*10.764</f>
        <v>571.24547999999993</v>
      </c>
      <c r="E118" s="31">
        <v>0</v>
      </c>
      <c r="F118" s="31">
        <f t="shared" si="5"/>
        <v>828.30594599999984</v>
      </c>
      <c r="G118" s="89" t="str">
        <f t="shared" si="6"/>
        <v>1st to 4th Floor</v>
      </c>
      <c r="H118" s="90"/>
      <c r="I118" s="32">
        <f>2050425/F118</f>
        <v>2475.4440190871219</v>
      </c>
    </row>
    <row r="119" spans="1:9" s="2" customFormat="1" x14ac:dyDescent="0.25">
      <c r="A119" s="89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106 to 406</v>
      </c>
      <c r="B119" s="90"/>
      <c r="C119" s="31" t="s">
        <v>184</v>
      </c>
      <c r="D119" s="31">
        <f>(51.13-22.05+(2.7+2.75)*0.75)*10.764</f>
        <v>357.01497000000001</v>
      </c>
      <c r="E119" s="31">
        <v>0</v>
      </c>
      <c r="F119" s="31">
        <f t="shared" si="5"/>
        <v>517.67170650000003</v>
      </c>
      <c r="G119" s="89" t="str">
        <f t="shared" si="6"/>
        <v>1st to 4th Floor</v>
      </c>
      <c r="H119" s="90"/>
      <c r="I119" s="32"/>
    </row>
    <row r="120" spans="1:9" s="2" customFormat="1" x14ac:dyDescent="0.25">
      <c r="A120" s="89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107 to 407</v>
      </c>
      <c r="B120" s="90"/>
      <c r="C120" s="31" t="s">
        <v>184</v>
      </c>
      <c r="D120" s="31">
        <f>(52.22-22.05+(2.8+2.9)*0.75)*10.764</f>
        <v>370.76597999999996</v>
      </c>
      <c r="E120" s="31">
        <v>0</v>
      </c>
      <c r="F120" s="31">
        <f t="shared" ref="F120" si="7">D120*(($F$112)+1)+(IF(E120&lt;101,E120,IF(E120&lt;201,E120/2,IF(E120&lt;=301,E120/3,E120/4))))</f>
        <v>537.61067099999991</v>
      </c>
      <c r="G120" s="89" t="str">
        <f t="shared" si="6"/>
        <v>1st to 4th Floor</v>
      </c>
      <c r="H120" s="90"/>
      <c r="I120" s="32"/>
    </row>
    <row r="121" spans="1:9" s="1" customFormat="1" x14ac:dyDescent="0.25">
      <c r="A121" s="91" t="s">
        <v>72</v>
      </c>
      <c r="B121" s="91"/>
      <c r="C121" s="91"/>
      <c r="D121" s="91"/>
      <c r="E121" s="91"/>
      <c r="F121" s="91"/>
      <c r="G121" s="91"/>
      <c r="H121" s="91"/>
    </row>
    <row r="122" spans="1:9" s="1" customFormat="1" x14ac:dyDescent="0.25">
      <c r="A122" s="46" t="s">
        <v>161</v>
      </c>
      <c r="B122" s="116" t="s">
        <v>211</v>
      </c>
      <c r="C122" s="117"/>
      <c r="D122" s="117"/>
      <c r="E122" s="117"/>
      <c r="F122" s="117"/>
      <c r="G122" s="117"/>
      <c r="H122" s="118"/>
    </row>
    <row r="123" spans="1:9" s="1" customFormat="1" x14ac:dyDescent="0.25">
      <c r="A123" s="46" t="s">
        <v>161</v>
      </c>
      <c r="B123" s="116" t="str">
        <f>(IF(F111="Saleable area Loading :","We have considered Saleable area of Flats as per our Calculation.","We considered Saleable area of Flat as per Builder area Sheet."))</f>
        <v>We have considered Saleable area of Flats as per our Calculation.</v>
      </c>
      <c r="C123" s="117"/>
      <c r="D123" s="117"/>
      <c r="E123" s="117"/>
      <c r="F123" s="117"/>
      <c r="G123" s="117"/>
      <c r="H123" s="118"/>
    </row>
    <row r="124" spans="1:9" s="1" customFormat="1" x14ac:dyDescent="0.25">
      <c r="A124" s="46" t="s">
        <v>161</v>
      </c>
      <c r="B124" s="116" t="str">
        <f>(IF(F98="Saleable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4" s="117"/>
      <c r="D124" s="117"/>
      <c r="E124" s="117"/>
      <c r="F124" s="117"/>
      <c r="G124" s="117"/>
      <c r="H124" s="118"/>
    </row>
    <row r="125" spans="1:9" s="1" customFormat="1" x14ac:dyDescent="0.25">
      <c r="A125" s="46" t="s">
        <v>161</v>
      </c>
      <c r="B125" s="107" t="s">
        <v>131</v>
      </c>
      <c r="C125" s="108"/>
      <c r="D125" s="108"/>
      <c r="E125" s="108"/>
      <c r="F125" s="108"/>
      <c r="G125" s="108"/>
      <c r="H125" s="109"/>
    </row>
    <row r="126" spans="1:9" s="1" customFormat="1" x14ac:dyDescent="0.25">
      <c r="A126" s="46" t="s">
        <v>161</v>
      </c>
      <c r="B126" s="107" t="s">
        <v>186</v>
      </c>
      <c r="C126" s="108"/>
      <c r="D126" s="108"/>
      <c r="E126" s="108"/>
      <c r="F126" s="108"/>
      <c r="G126" s="108"/>
      <c r="H126" s="109"/>
    </row>
    <row r="127" spans="1:9" s="1" customFormat="1" x14ac:dyDescent="0.25">
      <c r="A127" s="46" t="s">
        <v>161</v>
      </c>
      <c r="B127" s="107" t="s">
        <v>160</v>
      </c>
      <c r="C127" s="108"/>
      <c r="D127" s="108"/>
      <c r="E127" s="108"/>
      <c r="F127" s="108"/>
      <c r="G127" s="108"/>
      <c r="H127" s="109"/>
    </row>
    <row r="128" spans="1:9" s="1" customFormat="1" x14ac:dyDescent="0.25">
      <c r="A128" s="46" t="s">
        <v>161</v>
      </c>
      <c r="B128" s="107" t="s">
        <v>132</v>
      </c>
      <c r="C128" s="108"/>
      <c r="D128" s="108"/>
      <c r="E128" s="108"/>
      <c r="F128" s="108"/>
      <c r="G128" s="108"/>
      <c r="H128" s="109"/>
    </row>
    <row r="129" spans="1:8" s="1" customFormat="1" ht="34.5" customHeight="1" x14ac:dyDescent="0.25">
      <c r="A129" s="46" t="s">
        <v>161</v>
      </c>
      <c r="B129" s="107" t="s">
        <v>164</v>
      </c>
      <c r="C129" s="108"/>
      <c r="D129" s="108"/>
      <c r="E129" s="108"/>
      <c r="F129" s="108"/>
      <c r="G129" s="108"/>
      <c r="H129" s="109"/>
    </row>
    <row r="130" spans="1:8" s="1" customFormat="1" x14ac:dyDescent="0.25">
      <c r="A130" s="46" t="s">
        <v>161</v>
      </c>
      <c r="B130" s="107" t="s">
        <v>133</v>
      </c>
      <c r="C130" s="108"/>
      <c r="D130" s="108"/>
      <c r="E130" s="108"/>
      <c r="F130" s="108"/>
      <c r="G130" s="108"/>
      <c r="H130" s="109"/>
    </row>
    <row r="131" spans="1:8" s="1" customFormat="1" ht="31.5" hidden="1" customHeight="1" x14ac:dyDescent="0.25">
      <c r="A131" s="46" t="s">
        <v>161</v>
      </c>
      <c r="B131" s="110" t="s">
        <v>204</v>
      </c>
      <c r="C131" s="111"/>
      <c r="D131" s="111"/>
      <c r="E131" s="111"/>
      <c r="F131" s="111"/>
      <c r="G131" s="111"/>
      <c r="H131" s="112"/>
    </row>
    <row r="132" spans="1:8" s="1" customFormat="1" x14ac:dyDescent="0.25">
      <c r="A132" s="46" t="s">
        <v>161</v>
      </c>
      <c r="B132" s="107" t="s">
        <v>208</v>
      </c>
      <c r="C132" s="108"/>
      <c r="D132" s="108"/>
      <c r="E132" s="108"/>
      <c r="F132" s="108"/>
      <c r="G132" s="108"/>
      <c r="H132" s="109"/>
    </row>
    <row r="133" spans="1:8" x14ac:dyDescent="0.25">
      <c r="A133" s="95" t="s">
        <v>65</v>
      </c>
      <c r="B133" s="95"/>
      <c r="C133" s="95"/>
      <c r="D133" s="95"/>
      <c r="E133" s="95"/>
      <c r="F133" s="95"/>
      <c r="G133" s="95"/>
      <c r="H133" s="95"/>
    </row>
    <row r="134" spans="1:8" x14ac:dyDescent="0.25">
      <c r="A134" s="56" t="s">
        <v>66</v>
      </c>
      <c r="B134" s="56"/>
      <c r="C134" s="56"/>
      <c r="D134" s="56"/>
      <c r="E134" s="56"/>
      <c r="F134" s="56"/>
      <c r="G134" s="56"/>
      <c r="H134" s="56"/>
    </row>
    <row r="135" spans="1:8" ht="15.75" customHeight="1" x14ac:dyDescent="0.25">
      <c r="A135" s="115" t="s">
        <v>67</v>
      </c>
      <c r="B135" s="115"/>
      <c r="C135" s="115"/>
      <c r="D135" s="115"/>
      <c r="E135" s="115"/>
      <c r="F135" s="115"/>
      <c r="G135" s="115"/>
      <c r="H135" s="115"/>
    </row>
    <row r="136" spans="1:8" x14ac:dyDescent="0.25">
      <c r="A136" s="56" t="s">
        <v>68</v>
      </c>
      <c r="B136" s="56"/>
      <c r="C136" s="56"/>
      <c r="D136" s="56"/>
      <c r="E136" s="56"/>
      <c r="F136" s="56"/>
      <c r="G136" s="56"/>
      <c r="H136" s="56"/>
    </row>
    <row r="137" spans="1:8" x14ac:dyDescent="0.25">
      <c r="A137" s="56" t="s">
        <v>69</v>
      </c>
      <c r="B137" s="56"/>
      <c r="C137" s="56"/>
      <c r="D137" s="56"/>
      <c r="E137" s="56"/>
      <c r="F137" s="56"/>
      <c r="G137" s="56"/>
      <c r="H137" s="56"/>
    </row>
    <row r="138" spans="1:8" x14ac:dyDescent="0.25">
      <c r="A138" s="56" t="s">
        <v>134</v>
      </c>
      <c r="B138" s="56"/>
      <c r="C138" s="56"/>
      <c r="D138" s="56"/>
      <c r="E138" s="56"/>
      <c r="F138" s="56"/>
      <c r="G138" s="56"/>
      <c r="H138" s="56"/>
    </row>
    <row r="139" spans="1:8" ht="35.25" customHeight="1" x14ac:dyDescent="0.25">
      <c r="A139" s="63" t="s">
        <v>135</v>
      </c>
      <c r="B139" s="63"/>
      <c r="C139" s="63"/>
      <c r="D139" s="63"/>
      <c r="E139" s="63"/>
      <c r="F139" s="63"/>
      <c r="G139" s="63"/>
      <c r="H139" s="63"/>
    </row>
    <row r="140" spans="1:8" x14ac:dyDescent="0.25">
      <c r="A140" s="114" t="s">
        <v>82</v>
      </c>
      <c r="B140" s="114"/>
      <c r="C140" s="114" t="s">
        <v>205</v>
      </c>
      <c r="D140" s="114"/>
      <c r="E140" s="114" t="s">
        <v>111</v>
      </c>
      <c r="F140" s="114"/>
      <c r="G140" s="114" t="s">
        <v>212</v>
      </c>
      <c r="H140" s="114"/>
    </row>
    <row r="141" spans="1:8" x14ac:dyDescent="0.25">
      <c r="A141" s="113" t="s">
        <v>84</v>
      </c>
      <c r="B141" s="113"/>
      <c r="C141" s="113"/>
      <c r="D141" s="113"/>
      <c r="E141" s="113"/>
      <c r="F141" s="113"/>
      <c r="G141" s="113"/>
      <c r="H141" s="113"/>
    </row>
    <row r="142" spans="1:8" x14ac:dyDescent="0.25">
      <c r="A142" s="113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113"/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113"/>
      <c r="B144" s="113"/>
      <c r="C144" s="113"/>
      <c r="D144" s="113"/>
      <c r="E144" s="113"/>
      <c r="F144" s="113"/>
      <c r="G144" s="113"/>
      <c r="H144" s="113"/>
    </row>
    <row r="145" spans="1:8" x14ac:dyDescent="0.25">
      <c r="A145" s="9" t="s">
        <v>70</v>
      </c>
      <c r="B145" s="10"/>
      <c r="C145" s="10"/>
      <c r="D145" s="9" t="str">
        <f>E8</f>
        <v>Gauri Parvati</v>
      </c>
      <c r="F145" s="10"/>
      <c r="G145" s="10"/>
      <c r="H145" s="10"/>
    </row>
    <row r="146" spans="1:8" x14ac:dyDescent="0.25">
      <c r="A146" s="10"/>
      <c r="B146" s="10"/>
      <c r="C146" s="10"/>
      <c r="D146" s="10"/>
      <c r="E146" s="10"/>
      <c r="F146" s="10"/>
      <c r="G146" s="10"/>
      <c r="H146" s="10"/>
    </row>
    <row r="147" spans="1:8" x14ac:dyDescent="0.25">
      <c r="A147" s="10"/>
      <c r="B147" s="10"/>
      <c r="C147" s="10"/>
      <c r="D147" s="10"/>
      <c r="E147" s="10"/>
      <c r="F147" s="10"/>
      <c r="G147" s="10"/>
      <c r="H147" s="10"/>
    </row>
    <row r="148" spans="1:8" ht="15" customHeight="1" x14ac:dyDescent="0.25"/>
    <row r="188" spans="1:1" x14ac:dyDescent="0.25">
      <c r="A188" s="12" t="s">
        <v>71</v>
      </c>
    </row>
  </sheetData>
  <mergeCells count="276">
    <mergeCell ref="B129:H129"/>
    <mergeCell ref="A46:B46"/>
    <mergeCell ref="C46:H46"/>
    <mergeCell ref="B127:H127"/>
    <mergeCell ref="F80:H80"/>
    <mergeCell ref="A80:E80"/>
    <mergeCell ref="D98:D99"/>
    <mergeCell ref="A107:B107"/>
    <mergeCell ref="A101:B101"/>
    <mergeCell ref="A102:B102"/>
    <mergeCell ref="A103:B103"/>
    <mergeCell ref="A104:B104"/>
    <mergeCell ref="A105:B105"/>
    <mergeCell ref="A81:E81"/>
    <mergeCell ref="A120:B120"/>
    <mergeCell ref="G120:H120"/>
    <mergeCell ref="A110:H110"/>
    <mergeCell ref="A111:A112"/>
    <mergeCell ref="A119:B119"/>
    <mergeCell ref="G119:H119"/>
    <mergeCell ref="A114:B114"/>
    <mergeCell ref="A115:B115"/>
    <mergeCell ref="A116:B116"/>
    <mergeCell ref="A75:B75"/>
    <mergeCell ref="L107:M107"/>
    <mergeCell ref="L106:M106"/>
    <mergeCell ref="G103:H103"/>
    <mergeCell ref="G101:H101"/>
    <mergeCell ref="G107:H107"/>
    <mergeCell ref="G106:H106"/>
    <mergeCell ref="G102:H102"/>
    <mergeCell ref="G105:H105"/>
    <mergeCell ref="G104:H104"/>
    <mergeCell ref="L105:M105"/>
    <mergeCell ref="L104:M104"/>
    <mergeCell ref="L103:M103"/>
    <mergeCell ref="L102:M102"/>
    <mergeCell ref="L101:M101"/>
    <mergeCell ref="A39:D39"/>
    <mergeCell ref="E39:H39"/>
    <mergeCell ref="F32:H32"/>
    <mergeCell ref="F33:H33"/>
    <mergeCell ref="C30:E30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7:C57"/>
    <mergeCell ref="A58:C58"/>
    <mergeCell ref="D57:H57"/>
    <mergeCell ref="E68:F77"/>
    <mergeCell ref="G68:H77"/>
    <mergeCell ref="A76:B76"/>
    <mergeCell ref="A77:B77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4:B74"/>
    <mergeCell ref="A67:B67"/>
    <mergeCell ref="A70:B70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C64:H64"/>
    <mergeCell ref="B128:H128"/>
    <mergeCell ref="B124:H124"/>
    <mergeCell ref="A96:H96"/>
    <mergeCell ref="G115:H115"/>
    <mergeCell ref="A97:H97"/>
    <mergeCell ref="A95:B95"/>
    <mergeCell ref="B122:H122"/>
    <mergeCell ref="B111:B112"/>
    <mergeCell ref="A106:B106"/>
    <mergeCell ref="A108:B108"/>
    <mergeCell ref="B98:B99"/>
    <mergeCell ref="A98:A99"/>
    <mergeCell ref="C111:C112"/>
    <mergeCell ref="D111:D112"/>
    <mergeCell ref="E111:E112"/>
    <mergeCell ref="C95:D95"/>
    <mergeCell ref="E95:F95"/>
    <mergeCell ref="G95:H95"/>
    <mergeCell ref="B123:H123"/>
    <mergeCell ref="B125:H125"/>
    <mergeCell ref="B126:H126"/>
    <mergeCell ref="G108:H108"/>
    <mergeCell ref="A100:H100"/>
    <mergeCell ref="E98:E99"/>
    <mergeCell ref="B130:H130"/>
    <mergeCell ref="B131:H131"/>
    <mergeCell ref="A141:H144"/>
    <mergeCell ref="A140:B140"/>
    <mergeCell ref="E140:F140"/>
    <mergeCell ref="C140:D140"/>
    <mergeCell ref="G140:H140"/>
    <mergeCell ref="A136:H136"/>
    <mergeCell ref="A139:H139"/>
    <mergeCell ref="A137:H137"/>
    <mergeCell ref="A133:H133"/>
    <mergeCell ref="A134:H134"/>
    <mergeCell ref="A138:H138"/>
    <mergeCell ref="A135:H135"/>
    <mergeCell ref="B132:H132"/>
    <mergeCell ref="A48:B48"/>
    <mergeCell ref="A52:H52"/>
    <mergeCell ref="A53:C53"/>
    <mergeCell ref="A54:C54"/>
    <mergeCell ref="D54:H54"/>
    <mergeCell ref="G51:H51"/>
    <mergeCell ref="C50:H50"/>
    <mergeCell ref="E94:F94"/>
    <mergeCell ref="E91:F91"/>
    <mergeCell ref="A91:B91"/>
    <mergeCell ref="F84:H84"/>
    <mergeCell ref="C91:D91"/>
    <mergeCell ref="F87:H87"/>
    <mergeCell ref="F85:H85"/>
    <mergeCell ref="G91:H91"/>
    <mergeCell ref="A86:E86"/>
    <mergeCell ref="F89:H89"/>
    <mergeCell ref="A92:B92"/>
    <mergeCell ref="C94:D94"/>
    <mergeCell ref="G94:H94"/>
    <mergeCell ref="E92:F92"/>
    <mergeCell ref="C92:D92"/>
    <mergeCell ref="A94:B94"/>
    <mergeCell ref="A72:B72"/>
    <mergeCell ref="L108:M108"/>
    <mergeCell ref="A109:B109"/>
    <mergeCell ref="G109:H109"/>
    <mergeCell ref="L109:M109"/>
    <mergeCell ref="A121:H121"/>
    <mergeCell ref="G116:H116"/>
    <mergeCell ref="A113:H113"/>
    <mergeCell ref="G118:H118"/>
    <mergeCell ref="G114:H114"/>
    <mergeCell ref="A117:B117"/>
    <mergeCell ref="A118:B118"/>
    <mergeCell ref="G117:H117"/>
    <mergeCell ref="G111:H112"/>
    <mergeCell ref="A79:E79"/>
    <mergeCell ref="G98:H99"/>
    <mergeCell ref="F81:H81"/>
    <mergeCell ref="F86:H86"/>
    <mergeCell ref="A87:E87"/>
    <mergeCell ref="A82:E82"/>
    <mergeCell ref="F82:H82"/>
    <mergeCell ref="A83:E83"/>
    <mergeCell ref="A85:E85"/>
    <mergeCell ref="A84:E84"/>
    <mergeCell ref="A90:H90"/>
    <mergeCell ref="A88:E88"/>
    <mergeCell ref="F88:H88"/>
    <mergeCell ref="A89:E89"/>
    <mergeCell ref="A93:H93"/>
    <mergeCell ref="C98:C99"/>
    <mergeCell ref="E40:H40"/>
    <mergeCell ref="A40:D40"/>
    <mergeCell ref="A73:B73"/>
    <mergeCell ref="F79:H79"/>
    <mergeCell ref="A78:H78"/>
    <mergeCell ref="G92:H92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62:C62"/>
    <mergeCell ref="D62:H62"/>
    <mergeCell ref="A68:B68"/>
    <mergeCell ref="G67:H67"/>
    <mergeCell ref="A66:B66"/>
    <mergeCell ref="A64:B64"/>
    <mergeCell ref="F83:H83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16383" man="1"/>
    <brk id="77" max="16383" man="1"/>
    <brk id="120" max="16383" man="1"/>
    <brk id="144" max="16383" man="1"/>
    <brk id="18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7"/>
    <col min="2" max="2" width="22.140625" style="17" customWidth="1"/>
    <col min="3" max="3" width="37" style="17" customWidth="1"/>
    <col min="4" max="5" width="11.42578125" style="17" customWidth="1"/>
    <col min="6" max="6" width="14" style="17" customWidth="1"/>
    <col min="7" max="7" width="20" style="17" customWidth="1"/>
    <col min="8" max="8" width="16.42578125" style="17" customWidth="1"/>
    <col min="9" max="16384" width="8.7109375" style="17"/>
  </cols>
  <sheetData>
    <row r="1" spans="1:9" ht="15" customHeight="1" x14ac:dyDescent="0.25"/>
    <row r="2" spans="1:9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25">
      <c r="A3" s="18"/>
      <c r="B3" s="163" t="s">
        <v>112</v>
      </c>
      <c r="C3" s="163"/>
      <c r="D3" s="163"/>
      <c r="E3" s="163"/>
      <c r="F3" s="163"/>
      <c r="G3" s="163"/>
      <c r="H3" s="163"/>
    </row>
    <row r="4" spans="1:9" x14ac:dyDescent="0.25">
      <c r="A4" s="18"/>
      <c r="B4" s="19" t="s">
        <v>113</v>
      </c>
      <c r="C4" s="19" t="s">
        <v>114</v>
      </c>
      <c r="D4" s="19" t="s">
        <v>73</v>
      </c>
      <c r="E4" s="19" t="s">
        <v>115</v>
      </c>
      <c r="F4" s="19" t="s">
        <v>121</v>
      </c>
      <c r="G4" s="19" t="s">
        <v>122</v>
      </c>
      <c r="H4" s="19" t="s">
        <v>116</v>
      </c>
    </row>
    <row r="5" spans="1:9" ht="15" customHeight="1" x14ac:dyDescent="0.25">
      <c r="A5" s="18"/>
      <c r="B5" s="21" t="s">
        <v>117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25">
      <c r="A6" s="18"/>
      <c r="B6" s="21" t="s">
        <v>117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25">
      <c r="A7" s="18"/>
      <c r="B7" s="21" t="s">
        <v>117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25">
      <c r="A8" s="18"/>
      <c r="B8" s="21" t="s">
        <v>117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25">
      <c r="A9" s="18"/>
      <c r="B9" s="21" t="s">
        <v>117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25">
      <c r="A10" s="18"/>
      <c r="B10" s="21" t="s">
        <v>118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25">
      <c r="A11" s="18"/>
      <c r="B11" s="21" t="s">
        <v>118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25">
      <c r="A12" s="18"/>
      <c r="B12" s="26" t="s">
        <v>119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25">
      <c r="B13" s="26" t="s">
        <v>120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2025-08-11T11:00:28Z</cp:lastPrinted>
  <dcterms:created xsi:type="dcterms:W3CDTF">2019-07-16T09:29:46Z</dcterms:created>
  <dcterms:modified xsi:type="dcterms:W3CDTF">2025-08-11T11:01:26Z</dcterms:modified>
</cp:coreProperties>
</file>