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D:\aug 25\AXIS\DUMP\"/>
    </mc:Choice>
  </mc:AlternateContent>
  <xr:revisionPtr revIDLastSave="0" documentId="13_ncr:1_{84BF23FE-F772-4BC4-896E-F155A301CD85}" xr6:coauthVersionLast="47" xr6:coauthVersionMax="47" xr10:uidLastSave="{00000000-0000-0000-0000-000000000000}"/>
  <bookViews>
    <workbookView xWindow="-120" yWindow="-120" windowWidth="20730" windowHeight="11160" tabRatio="725" xr2:uid="{00000000-000D-0000-FFFF-FFFF00000000}"/>
  </bookViews>
  <sheets>
    <sheet name="Report" sheetId="1" r:id="rId1"/>
    <sheet name="valuation" sheetId="5" r:id="rId2"/>
    <sheet name="Research" sheetId="4" r:id="rId3"/>
    <sheet name="Remarks" sheetId="6" r:id="rId4"/>
    <sheet name="Area Calculation" sheetId="7" r:id="rId5"/>
  </sheets>
  <definedNames>
    <definedName name="_xlnm.Print_Area" localSheetId="0">Report!$A$1:$H$724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9" i="1" l="1"/>
  <c r="G489" i="1"/>
  <c r="G488" i="1"/>
  <c r="G214" i="1"/>
  <c r="G213" i="1"/>
  <c r="G289" i="1"/>
  <c r="G288" i="1"/>
  <c r="G363" i="1"/>
  <c r="G362" i="1"/>
  <c r="D475" i="1" l="1"/>
  <c r="F475" i="1" s="1"/>
  <c r="H475" i="1" s="1"/>
  <c r="G430" i="1" l="1"/>
  <c r="G429" i="1"/>
  <c r="D417" i="1"/>
  <c r="F417" i="1" s="1"/>
  <c r="H417" i="1" s="1"/>
  <c r="D408" i="1" l="1"/>
  <c r="F408" i="1" s="1"/>
  <c r="H408" i="1" s="1"/>
  <c r="E522" i="1" l="1"/>
  <c r="D522" i="1"/>
  <c r="E521" i="1"/>
  <c r="D521" i="1"/>
  <c r="E518" i="1"/>
  <c r="D518" i="1"/>
  <c r="E517" i="1"/>
  <c r="D517" i="1"/>
  <c r="E516" i="1"/>
  <c r="D516" i="1"/>
  <c r="F516" i="1" s="1"/>
  <c r="H516" i="1" s="1"/>
  <c r="E515" i="1"/>
  <c r="D515" i="1"/>
  <c r="A516" i="1"/>
  <c r="A517" i="1" s="1"/>
  <c r="A518" i="1" s="1"/>
  <c r="A519" i="1" s="1"/>
  <c r="A520" i="1" s="1"/>
  <c r="A521" i="1" s="1"/>
  <c r="A522" i="1" s="1"/>
  <c r="I532" i="1"/>
  <c r="I523" i="1"/>
  <c r="I534" i="1"/>
  <c r="J534" i="1"/>
  <c r="E540" i="1"/>
  <c r="D540" i="1"/>
  <c r="E539" i="1"/>
  <c r="D539" i="1"/>
  <c r="E538" i="1"/>
  <c r="D538" i="1"/>
  <c r="E537" i="1"/>
  <c r="D537" i="1"/>
  <c r="E536" i="1"/>
  <c r="D536" i="1"/>
  <c r="E535" i="1"/>
  <c r="D535" i="1"/>
  <c r="E534" i="1"/>
  <c r="D534" i="1"/>
  <c r="J529" i="1"/>
  <c r="I529" i="1"/>
  <c r="D529" i="1"/>
  <c r="E529" i="1"/>
  <c r="E528" i="1"/>
  <c r="D528" i="1"/>
  <c r="E531" i="1"/>
  <c r="D531" i="1"/>
  <c r="E530" i="1"/>
  <c r="D530" i="1"/>
  <c r="E527" i="1"/>
  <c r="D527" i="1"/>
  <c r="E526" i="1"/>
  <c r="D526" i="1"/>
  <c r="E525" i="1"/>
  <c r="D525" i="1"/>
  <c r="E524" i="1"/>
  <c r="D524" i="1"/>
  <c r="A534" i="1"/>
  <c r="A535" i="1" s="1"/>
  <c r="A536" i="1" s="1"/>
  <c r="A537" i="1" s="1"/>
  <c r="A538" i="1" s="1"/>
  <c r="A539" i="1" s="1"/>
  <c r="A540" i="1" s="1"/>
  <c r="J490" i="1"/>
  <c r="I490" i="1"/>
  <c r="J488" i="1"/>
  <c r="I488" i="1"/>
  <c r="E513" i="1"/>
  <c r="D513" i="1"/>
  <c r="E512" i="1"/>
  <c r="D512" i="1"/>
  <c r="E509" i="1"/>
  <c r="D509" i="1"/>
  <c r="E508" i="1"/>
  <c r="D508" i="1"/>
  <c r="E507" i="1"/>
  <c r="D507" i="1"/>
  <c r="E506" i="1"/>
  <c r="D506" i="1"/>
  <c r="E504" i="1"/>
  <c r="D504" i="1"/>
  <c r="E499" i="1"/>
  <c r="D499" i="1"/>
  <c r="E498" i="1"/>
  <c r="D498" i="1"/>
  <c r="E497" i="1"/>
  <c r="D497" i="1"/>
  <c r="E495" i="1"/>
  <c r="D495" i="1"/>
  <c r="E490" i="1"/>
  <c r="D490" i="1"/>
  <c r="E489" i="1"/>
  <c r="D489" i="1"/>
  <c r="E488" i="1"/>
  <c r="D488" i="1"/>
  <c r="A525" i="1"/>
  <c r="A526" i="1" s="1"/>
  <c r="A527" i="1" s="1"/>
  <c r="A528" i="1" s="1"/>
  <c r="A529" i="1" s="1"/>
  <c r="A530" i="1" s="1"/>
  <c r="A531" i="1" s="1"/>
  <c r="A507" i="1"/>
  <c r="A508" i="1" s="1"/>
  <c r="A509" i="1" s="1"/>
  <c r="A510" i="1" s="1"/>
  <c r="A511" i="1" s="1"/>
  <c r="A512" i="1" s="1"/>
  <c r="A513" i="1" s="1"/>
  <c r="A498" i="1"/>
  <c r="A499" i="1" s="1"/>
  <c r="A500" i="1" s="1"/>
  <c r="A501" i="1" s="1"/>
  <c r="A502" i="1" s="1"/>
  <c r="A503" i="1" s="1"/>
  <c r="A504" i="1" s="1"/>
  <c r="E481" i="1"/>
  <c r="D481" i="1"/>
  <c r="E480" i="1"/>
  <c r="D480" i="1"/>
  <c r="E479" i="1"/>
  <c r="D479" i="1"/>
  <c r="E478" i="1"/>
  <c r="D478" i="1"/>
  <c r="E477" i="1"/>
  <c r="D477" i="1"/>
  <c r="E476" i="1"/>
  <c r="D476" i="1"/>
  <c r="E472" i="1"/>
  <c r="D472" i="1"/>
  <c r="E471" i="1"/>
  <c r="D471" i="1"/>
  <c r="E470" i="1"/>
  <c r="D470" i="1"/>
  <c r="E469" i="1"/>
  <c r="D469" i="1"/>
  <c r="E468" i="1"/>
  <c r="D468" i="1"/>
  <c r="E467" i="1"/>
  <c r="D467" i="1"/>
  <c r="D466" i="1"/>
  <c r="F466" i="1" s="1"/>
  <c r="H466" i="1" s="1"/>
  <c r="D465" i="1"/>
  <c r="F465" i="1" s="1"/>
  <c r="H465" i="1" s="1"/>
  <c r="I473" i="1"/>
  <c r="I464" i="1"/>
  <c r="A489" i="1"/>
  <c r="A490" i="1" s="1"/>
  <c r="A491" i="1" s="1"/>
  <c r="A492" i="1" s="1"/>
  <c r="A493" i="1" s="1"/>
  <c r="A494" i="1" s="1"/>
  <c r="A495" i="1" s="1"/>
  <c r="A475" i="1"/>
  <c r="A476" i="1" s="1"/>
  <c r="A477" i="1" s="1"/>
  <c r="A478" i="1" s="1"/>
  <c r="A479" i="1" s="1"/>
  <c r="A480" i="1" s="1"/>
  <c r="A481" i="1" s="1"/>
  <c r="A466" i="1"/>
  <c r="A467" i="1" s="1"/>
  <c r="A468" i="1" s="1"/>
  <c r="A469" i="1" s="1"/>
  <c r="A470" i="1" s="1"/>
  <c r="A471" i="1" s="1"/>
  <c r="A472" i="1" s="1"/>
  <c r="E463" i="1"/>
  <c r="D463" i="1"/>
  <c r="E462" i="1"/>
  <c r="D462" i="1"/>
  <c r="E459" i="1"/>
  <c r="D459" i="1"/>
  <c r="E458" i="1"/>
  <c r="D458" i="1"/>
  <c r="D457" i="1"/>
  <c r="F457" i="1" s="1"/>
  <c r="H457" i="1" s="1"/>
  <c r="D456" i="1"/>
  <c r="F456" i="1" s="1"/>
  <c r="H456" i="1" s="1"/>
  <c r="E454" i="1"/>
  <c r="D454" i="1"/>
  <c r="E453" i="1"/>
  <c r="D453" i="1"/>
  <c r="E450" i="1"/>
  <c r="D450" i="1"/>
  <c r="E449" i="1"/>
  <c r="D449" i="1"/>
  <c r="D448" i="1"/>
  <c r="F448" i="1" s="1"/>
  <c r="H448" i="1" s="1"/>
  <c r="D447" i="1"/>
  <c r="F447" i="1" s="1"/>
  <c r="H447" i="1" s="1"/>
  <c r="E445" i="1"/>
  <c r="D445" i="1"/>
  <c r="E440" i="1"/>
  <c r="D440" i="1"/>
  <c r="D439" i="1"/>
  <c r="F439" i="1" s="1"/>
  <c r="H439" i="1" s="1"/>
  <c r="D438" i="1"/>
  <c r="F438" i="1" s="1"/>
  <c r="H438" i="1" s="1"/>
  <c r="E436" i="1"/>
  <c r="D436" i="1"/>
  <c r="F436" i="1" s="1"/>
  <c r="H436" i="1" s="1"/>
  <c r="E431" i="1"/>
  <c r="D431" i="1"/>
  <c r="D430" i="1"/>
  <c r="F430" i="1" s="1"/>
  <c r="H430" i="1" s="1"/>
  <c r="D429" i="1"/>
  <c r="A457" i="1"/>
  <c r="A458" i="1" s="1"/>
  <c r="A459" i="1" s="1"/>
  <c r="A460" i="1" s="1"/>
  <c r="A461" i="1" s="1"/>
  <c r="A462" i="1" s="1"/>
  <c r="A463" i="1" s="1"/>
  <c r="A448" i="1"/>
  <c r="A449" i="1" s="1"/>
  <c r="A450" i="1" s="1"/>
  <c r="A451" i="1" s="1"/>
  <c r="A452" i="1" s="1"/>
  <c r="A453" i="1" s="1"/>
  <c r="A454" i="1" s="1"/>
  <c r="F549" i="1"/>
  <c r="H549" i="1" s="1"/>
  <c r="F548" i="1"/>
  <c r="H548" i="1" s="1"/>
  <c r="F547" i="1"/>
  <c r="H547" i="1" s="1"/>
  <c r="F546" i="1"/>
  <c r="H546" i="1" s="1"/>
  <c r="F545" i="1"/>
  <c r="H545" i="1" s="1"/>
  <c r="F544" i="1"/>
  <c r="H544" i="1" s="1"/>
  <c r="F543" i="1"/>
  <c r="H543" i="1" s="1"/>
  <c r="A543" i="1"/>
  <c r="A544" i="1" s="1"/>
  <c r="A545" i="1" s="1"/>
  <c r="A546" i="1" s="1"/>
  <c r="A547" i="1" s="1"/>
  <c r="A548" i="1" s="1"/>
  <c r="A549" i="1" s="1"/>
  <c r="F542" i="1"/>
  <c r="H542" i="1" s="1"/>
  <c r="A439" i="1"/>
  <c r="A440" i="1" s="1"/>
  <c r="A441" i="1" s="1"/>
  <c r="A442" i="1" s="1"/>
  <c r="A443" i="1" s="1"/>
  <c r="A444" i="1" s="1"/>
  <c r="A445" i="1" s="1"/>
  <c r="A430" i="1"/>
  <c r="A431" i="1" s="1"/>
  <c r="A432" i="1" s="1"/>
  <c r="A433" i="1" s="1"/>
  <c r="A434" i="1" s="1"/>
  <c r="A435" i="1" s="1"/>
  <c r="A436" i="1" s="1"/>
  <c r="I397" i="1"/>
  <c r="I416" i="1"/>
  <c r="E423" i="1"/>
  <c r="D423" i="1"/>
  <c r="E422" i="1"/>
  <c r="D422" i="1"/>
  <c r="E421" i="1"/>
  <c r="D421" i="1"/>
  <c r="E420" i="1"/>
  <c r="D420" i="1"/>
  <c r="E419" i="1"/>
  <c r="D419" i="1"/>
  <c r="E418" i="1"/>
  <c r="D418" i="1"/>
  <c r="E414" i="1"/>
  <c r="D414" i="1"/>
  <c r="E413" i="1"/>
  <c r="D413" i="1"/>
  <c r="E412" i="1"/>
  <c r="D412" i="1"/>
  <c r="E411" i="1"/>
  <c r="D411" i="1"/>
  <c r="E410" i="1"/>
  <c r="D410" i="1"/>
  <c r="E409" i="1"/>
  <c r="D409" i="1"/>
  <c r="E405" i="1"/>
  <c r="D405" i="1"/>
  <c r="E404" i="1"/>
  <c r="D404" i="1"/>
  <c r="E403" i="1"/>
  <c r="D403" i="1"/>
  <c r="E402" i="1"/>
  <c r="D402" i="1"/>
  <c r="E401" i="1"/>
  <c r="D401" i="1"/>
  <c r="E400" i="1"/>
  <c r="D400" i="1"/>
  <c r="D399" i="1"/>
  <c r="F399" i="1" s="1"/>
  <c r="H399" i="1" s="1"/>
  <c r="D398" i="1"/>
  <c r="F398" i="1" s="1"/>
  <c r="H398" i="1" s="1"/>
  <c r="A417" i="1"/>
  <c r="A418" i="1" s="1"/>
  <c r="A419" i="1" s="1"/>
  <c r="A420" i="1" s="1"/>
  <c r="A421" i="1" s="1"/>
  <c r="A422" i="1" s="1"/>
  <c r="A423" i="1" s="1"/>
  <c r="I402" i="1"/>
  <c r="A408" i="1"/>
  <c r="A409" i="1" s="1"/>
  <c r="A410" i="1" s="1"/>
  <c r="A411" i="1" s="1"/>
  <c r="A412" i="1" s="1"/>
  <c r="A413" i="1" s="1"/>
  <c r="A414" i="1" s="1"/>
  <c r="A399" i="1"/>
  <c r="A400" i="1" s="1"/>
  <c r="A401" i="1" s="1"/>
  <c r="A402" i="1" s="1"/>
  <c r="A403" i="1" s="1"/>
  <c r="A404" i="1" s="1"/>
  <c r="A405" i="1" s="1"/>
  <c r="J364" i="1"/>
  <c r="I364" i="1"/>
  <c r="I362" i="1"/>
  <c r="E396" i="1"/>
  <c r="D396" i="1"/>
  <c r="E395" i="1"/>
  <c r="D395" i="1"/>
  <c r="E392" i="1"/>
  <c r="D392" i="1"/>
  <c r="E391" i="1"/>
  <c r="D391" i="1"/>
  <c r="D390" i="1"/>
  <c r="F390" i="1" s="1"/>
  <c r="H390" i="1" s="1"/>
  <c r="D389" i="1"/>
  <c r="F389" i="1" s="1"/>
  <c r="H389" i="1" s="1"/>
  <c r="A390" i="1"/>
  <c r="A391" i="1" s="1"/>
  <c r="A392" i="1" s="1"/>
  <c r="A393" i="1" s="1"/>
  <c r="A394" i="1" s="1"/>
  <c r="A395" i="1" s="1"/>
  <c r="A396" i="1" s="1"/>
  <c r="E387" i="1"/>
  <c r="D387" i="1"/>
  <c r="E386" i="1"/>
  <c r="D386" i="1"/>
  <c r="E383" i="1"/>
  <c r="D383" i="1"/>
  <c r="E382" i="1"/>
  <c r="D382" i="1"/>
  <c r="D381" i="1"/>
  <c r="F381" i="1" s="1"/>
  <c r="H381" i="1" s="1"/>
  <c r="D380" i="1"/>
  <c r="F380" i="1" s="1"/>
  <c r="H380" i="1" s="1"/>
  <c r="A381" i="1"/>
  <c r="A382" i="1" s="1"/>
  <c r="A383" i="1" s="1"/>
  <c r="A384" i="1" s="1"/>
  <c r="A385" i="1" s="1"/>
  <c r="A386" i="1" s="1"/>
  <c r="A387" i="1" s="1"/>
  <c r="E378" i="1"/>
  <c r="D378" i="1"/>
  <c r="E373" i="1"/>
  <c r="D373" i="1"/>
  <c r="D372" i="1"/>
  <c r="F372" i="1" s="1"/>
  <c r="D371" i="1"/>
  <c r="F371" i="1" s="1"/>
  <c r="E369" i="1"/>
  <c r="D369" i="1"/>
  <c r="E364" i="1"/>
  <c r="D364" i="1"/>
  <c r="D363" i="1"/>
  <c r="D362" i="1"/>
  <c r="A372" i="1"/>
  <c r="F363" i="1"/>
  <c r="H363" i="1" s="1"/>
  <c r="A363" i="1"/>
  <c r="A364" i="1" s="1"/>
  <c r="A365" i="1" s="1"/>
  <c r="A366" i="1" s="1"/>
  <c r="A367" i="1" s="1"/>
  <c r="A368" i="1" s="1"/>
  <c r="A369" i="1" s="1"/>
  <c r="I350" i="1"/>
  <c r="I343" i="1"/>
  <c r="I336" i="1"/>
  <c r="I329" i="1"/>
  <c r="I322" i="1"/>
  <c r="I315" i="1"/>
  <c r="E356" i="1"/>
  <c r="D356" i="1"/>
  <c r="E355" i="1"/>
  <c r="D355" i="1"/>
  <c r="E354" i="1"/>
  <c r="D354" i="1"/>
  <c r="E353" i="1"/>
  <c r="D353" i="1"/>
  <c r="E352" i="1"/>
  <c r="D352" i="1"/>
  <c r="E349" i="1"/>
  <c r="D349" i="1"/>
  <c r="E348" i="1"/>
  <c r="D348" i="1"/>
  <c r="E347" i="1"/>
  <c r="D347" i="1"/>
  <c r="E346" i="1"/>
  <c r="D346" i="1"/>
  <c r="E345" i="1"/>
  <c r="D345" i="1"/>
  <c r="E344" i="1"/>
  <c r="D344" i="1"/>
  <c r="F392" i="1" l="1"/>
  <c r="H392" i="1" s="1"/>
  <c r="F405" i="1"/>
  <c r="H405" i="1" s="1"/>
  <c r="F515" i="1"/>
  <c r="H515" i="1" s="1"/>
  <c r="F498" i="1"/>
  <c r="H498" i="1" s="1"/>
  <c r="F490" i="1"/>
  <c r="H490" i="1" s="1"/>
  <c r="F476" i="1"/>
  <c r="H476" i="1" s="1"/>
  <c r="F362" i="1"/>
  <c r="C156" i="1"/>
  <c r="F387" i="1"/>
  <c r="H387" i="1" s="1"/>
  <c r="F480" i="1"/>
  <c r="H480" i="1" s="1"/>
  <c r="H372" i="1"/>
  <c r="J372" i="1"/>
  <c r="H371" i="1"/>
  <c r="J371" i="1"/>
  <c r="K371" i="1" s="1"/>
  <c r="F391" i="1"/>
  <c r="H391" i="1" s="1"/>
  <c r="F401" i="1"/>
  <c r="H401" i="1" s="1"/>
  <c r="F419" i="1"/>
  <c r="H419" i="1" s="1"/>
  <c r="F423" i="1"/>
  <c r="H423" i="1" s="1"/>
  <c r="F429" i="1"/>
  <c r="C157" i="1"/>
  <c r="F454" i="1"/>
  <c r="H454" i="1" s="1"/>
  <c r="F462" i="1"/>
  <c r="H462" i="1" s="1"/>
  <c r="F509" i="1"/>
  <c r="H509" i="1" s="1"/>
  <c r="F525" i="1"/>
  <c r="H525" i="1" s="1"/>
  <c r="F531" i="1"/>
  <c r="H531" i="1" s="1"/>
  <c r="F534" i="1"/>
  <c r="H534" i="1" s="1"/>
  <c r="F410" i="1"/>
  <c r="H410" i="1" s="1"/>
  <c r="F535" i="1"/>
  <c r="H535" i="1" s="1"/>
  <c r="F418" i="1"/>
  <c r="H418" i="1" s="1"/>
  <c r="F468" i="1"/>
  <c r="H468" i="1" s="1"/>
  <c r="F373" i="1"/>
  <c r="F412" i="1"/>
  <c r="H412" i="1" s="1"/>
  <c r="F383" i="1"/>
  <c r="H383" i="1" s="1"/>
  <c r="F479" i="1"/>
  <c r="H479" i="1" s="1"/>
  <c r="F504" i="1"/>
  <c r="H504" i="1" s="1"/>
  <c r="F521" i="1"/>
  <c r="H521" i="1" s="1"/>
  <c r="F469" i="1"/>
  <c r="H469" i="1" s="1"/>
  <c r="F450" i="1"/>
  <c r="H450" i="1" s="1"/>
  <c r="F369" i="1"/>
  <c r="H369" i="1" s="1"/>
  <c r="F386" i="1"/>
  <c r="H386" i="1" s="1"/>
  <c r="F431" i="1"/>
  <c r="H431" i="1" s="1"/>
  <c r="F518" i="1"/>
  <c r="H518" i="1" s="1"/>
  <c r="C158" i="1"/>
  <c r="F467" i="1"/>
  <c r="H467" i="1" s="1"/>
  <c r="F471" i="1"/>
  <c r="H471" i="1" s="1"/>
  <c r="F512" i="1"/>
  <c r="H512" i="1" s="1"/>
  <c r="F395" i="1"/>
  <c r="H395" i="1" s="1"/>
  <c r="F403" i="1"/>
  <c r="H403" i="1" s="1"/>
  <c r="F420" i="1"/>
  <c r="H420" i="1" s="1"/>
  <c r="F529" i="1"/>
  <c r="H529" i="1" s="1"/>
  <c r="F382" i="1"/>
  <c r="H382" i="1" s="1"/>
  <c r="F414" i="1"/>
  <c r="H414" i="1" s="1"/>
  <c r="F524" i="1"/>
  <c r="H524" i="1" s="1"/>
  <c r="F530" i="1"/>
  <c r="H530" i="1" s="1"/>
  <c r="F396" i="1"/>
  <c r="H396" i="1" s="1"/>
  <c r="F421" i="1"/>
  <c r="H421" i="1" s="1"/>
  <c r="F499" i="1"/>
  <c r="H499" i="1" s="1"/>
  <c r="F508" i="1"/>
  <c r="H508" i="1" s="1"/>
  <c r="F409" i="1"/>
  <c r="H409" i="1" s="1"/>
  <c r="F413" i="1"/>
  <c r="H413" i="1" s="1"/>
  <c r="F440" i="1"/>
  <c r="H440" i="1" s="1"/>
  <c r="F458" i="1"/>
  <c r="H458" i="1" s="1"/>
  <c r="F472" i="1"/>
  <c r="H472" i="1" s="1"/>
  <c r="F445" i="1"/>
  <c r="H445" i="1" s="1"/>
  <c r="F453" i="1"/>
  <c r="H453" i="1" s="1"/>
  <c r="F459" i="1"/>
  <c r="H459" i="1" s="1"/>
  <c r="F536" i="1"/>
  <c r="H536" i="1" s="1"/>
  <c r="F540" i="1"/>
  <c r="H540" i="1" s="1"/>
  <c r="F422" i="1"/>
  <c r="H422" i="1" s="1"/>
  <c r="F470" i="1"/>
  <c r="H470" i="1" s="1"/>
  <c r="F477" i="1"/>
  <c r="H477" i="1" s="1"/>
  <c r="F481" i="1"/>
  <c r="H481" i="1" s="1"/>
  <c r="F449" i="1"/>
  <c r="H449" i="1" s="1"/>
  <c r="F463" i="1"/>
  <c r="H463" i="1" s="1"/>
  <c r="F478" i="1"/>
  <c r="H478" i="1" s="1"/>
  <c r="F517" i="1"/>
  <c r="H517" i="1" s="1"/>
  <c r="F522" i="1"/>
  <c r="H522" i="1" s="1"/>
  <c r="F402" i="1"/>
  <c r="F364" i="1"/>
  <c r="H364" i="1" s="1"/>
  <c r="F378" i="1"/>
  <c r="H378" i="1" s="1"/>
  <c r="F489" i="1"/>
  <c r="H489" i="1" s="1"/>
  <c r="F507" i="1"/>
  <c r="H507" i="1" s="1"/>
  <c r="F513" i="1"/>
  <c r="H513" i="1" s="1"/>
  <c r="F527" i="1"/>
  <c r="H527" i="1" s="1"/>
  <c r="F539" i="1"/>
  <c r="H539" i="1" s="1"/>
  <c r="F495" i="1"/>
  <c r="H495" i="1" s="1"/>
  <c r="F537" i="1"/>
  <c r="H537" i="1" s="1"/>
  <c r="F400" i="1"/>
  <c r="H400" i="1" s="1"/>
  <c r="F404" i="1"/>
  <c r="H404" i="1" s="1"/>
  <c r="F411" i="1"/>
  <c r="H411" i="1" s="1"/>
  <c r="F488" i="1"/>
  <c r="F497" i="1"/>
  <c r="H497" i="1" s="1"/>
  <c r="F506" i="1"/>
  <c r="H506" i="1" s="1"/>
  <c r="F526" i="1"/>
  <c r="H526" i="1" s="1"/>
  <c r="F528" i="1"/>
  <c r="H528" i="1" s="1"/>
  <c r="F538" i="1"/>
  <c r="H538" i="1" s="1"/>
  <c r="A373" i="1"/>
  <c r="A374" i="1" s="1"/>
  <c r="A375" i="1" s="1"/>
  <c r="A376" i="1" s="1"/>
  <c r="A377" i="1" s="1"/>
  <c r="A378" i="1" s="1"/>
  <c r="F349" i="1"/>
  <c r="H349" i="1" s="1"/>
  <c r="F348" i="1"/>
  <c r="H348" i="1" s="1"/>
  <c r="F347" i="1"/>
  <c r="H347" i="1" s="1"/>
  <c r="F346" i="1"/>
  <c r="H346" i="1" s="1"/>
  <c r="F345" i="1"/>
  <c r="H345" i="1" s="1"/>
  <c r="A345" i="1"/>
  <c r="A346" i="1" s="1"/>
  <c r="A347" i="1" s="1"/>
  <c r="A348" i="1" s="1"/>
  <c r="A349" i="1" s="1"/>
  <c r="F344" i="1"/>
  <c r="H344" i="1" s="1"/>
  <c r="F356" i="1"/>
  <c r="H356" i="1" s="1"/>
  <c r="F355" i="1"/>
  <c r="H355" i="1" s="1"/>
  <c r="F354" i="1"/>
  <c r="H354" i="1" s="1"/>
  <c r="F353" i="1"/>
  <c r="H353" i="1" s="1"/>
  <c r="F352" i="1"/>
  <c r="H352" i="1" s="1"/>
  <c r="A352" i="1"/>
  <c r="A353" i="1" s="1"/>
  <c r="A354" i="1" s="1"/>
  <c r="A355" i="1" s="1"/>
  <c r="A356" i="1" s="1"/>
  <c r="E342" i="1"/>
  <c r="D342" i="1"/>
  <c r="E341" i="1"/>
  <c r="D341" i="1"/>
  <c r="E340" i="1"/>
  <c r="D340" i="1"/>
  <c r="E339" i="1"/>
  <c r="D339" i="1"/>
  <c r="E338" i="1"/>
  <c r="D338" i="1"/>
  <c r="F338" i="1" s="1"/>
  <c r="H338" i="1" s="1"/>
  <c r="E335" i="1"/>
  <c r="D335" i="1"/>
  <c r="E334" i="1"/>
  <c r="D334" i="1"/>
  <c r="E333" i="1"/>
  <c r="D333" i="1"/>
  <c r="E332" i="1"/>
  <c r="D332" i="1"/>
  <c r="F332" i="1" s="1"/>
  <c r="H332" i="1" s="1"/>
  <c r="E331" i="1"/>
  <c r="D331" i="1"/>
  <c r="E330" i="1"/>
  <c r="D330" i="1"/>
  <c r="A331" i="1"/>
  <c r="A332" i="1" s="1"/>
  <c r="A333" i="1" s="1"/>
  <c r="A334" i="1" s="1"/>
  <c r="A335" i="1" s="1"/>
  <c r="A338" i="1"/>
  <c r="A339" i="1" s="1"/>
  <c r="A340" i="1" s="1"/>
  <c r="A341" i="1" s="1"/>
  <c r="A342" i="1" s="1"/>
  <c r="E328" i="1"/>
  <c r="D328" i="1"/>
  <c r="F328" i="1" s="1"/>
  <c r="H328" i="1" s="1"/>
  <c r="E327" i="1"/>
  <c r="D327" i="1"/>
  <c r="E326" i="1"/>
  <c r="D326" i="1"/>
  <c r="E325" i="1"/>
  <c r="D325" i="1"/>
  <c r="E324" i="1"/>
  <c r="D324" i="1"/>
  <c r="F324" i="1" s="1"/>
  <c r="H324" i="1" s="1"/>
  <c r="E321" i="1"/>
  <c r="D321" i="1"/>
  <c r="E320" i="1"/>
  <c r="D320" i="1"/>
  <c r="E319" i="1"/>
  <c r="D319" i="1"/>
  <c r="E318" i="1"/>
  <c r="D318" i="1"/>
  <c r="E317" i="1"/>
  <c r="D317" i="1"/>
  <c r="E316" i="1"/>
  <c r="D316" i="1"/>
  <c r="A324" i="1"/>
  <c r="A325" i="1" s="1"/>
  <c r="A326" i="1" s="1"/>
  <c r="A327" i="1" s="1"/>
  <c r="A328" i="1" s="1"/>
  <c r="F342" i="1" l="1"/>
  <c r="H342" i="1" s="1"/>
  <c r="F325" i="1"/>
  <c r="H325" i="1" s="1"/>
  <c r="F333" i="1"/>
  <c r="H333" i="1" s="1"/>
  <c r="F339" i="1"/>
  <c r="H339" i="1" s="1"/>
  <c r="H402" i="1"/>
  <c r="J402" i="1"/>
  <c r="H373" i="1"/>
  <c r="J373" i="1"/>
  <c r="H429" i="1"/>
  <c r="G157" i="1" s="1"/>
  <c r="E157" i="1"/>
  <c r="H362" i="1"/>
  <c r="E156" i="1"/>
  <c r="F331" i="1"/>
  <c r="H331" i="1" s="1"/>
  <c r="F335" i="1"/>
  <c r="H335" i="1" s="1"/>
  <c r="F341" i="1"/>
  <c r="H341" i="1" s="1"/>
  <c r="F327" i="1"/>
  <c r="H327" i="1" s="1"/>
  <c r="F330" i="1"/>
  <c r="H330" i="1" s="1"/>
  <c r="F334" i="1"/>
  <c r="H334" i="1" s="1"/>
  <c r="F340" i="1"/>
  <c r="H340" i="1" s="1"/>
  <c r="H488" i="1"/>
  <c r="G158" i="1" s="1"/>
  <c r="E158" i="1"/>
  <c r="F326" i="1"/>
  <c r="H326" i="1" s="1"/>
  <c r="F321" i="1"/>
  <c r="H321" i="1" s="1"/>
  <c r="F320" i="1"/>
  <c r="H320" i="1" s="1"/>
  <c r="F319" i="1"/>
  <c r="F318" i="1"/>
  <c r="F317" i="1"/>
  <c r="H317" i="1" s="1"/>
  <c r="A317" i="1"/>
  <c r="A318" i="1" s="1"/>
  <c r="A319" i="1" s="1"/>
  <c r="A320" i="1" s="1"/>
  <c r="A321" i="1" s="1"/>
  <c r="F316" i="1"/>
  <c r="E314" i="1"/>
  <c r="D314" i="1"/>
  <c r="E311" i="1"/>
  <c r="D311" i="1"/>
  <c r="E310" i="1"/>
  <c r="D310" i="1"/>
  <c r="E309" i="1"/>
  <c r="D309" i="1"/>
  <c r="A310" i="1"/>
  <c r="A311" i="1" s="1"/>
  <c r="A312" i="1" s="1"/>
  <c r="A313" i="1" s="1"/>
  <c r="A314" i="1" s="1"/>
  <c r="E304" i="1"/>
  <c r="D304" i="1"/>
  <c r="E303" i="1"/>
  <c r="D303" i="1"/>
  <c r="E302" i="1"/>
  <c r="D302" i="1"/>
  <c r="A303" i="1"/>
  <c r="A304" i="1" s="1"/>
  <c r="A305" i="1" s="1"/>
  <c r="A306" i="1" s="1"/>
  <c r="A307" i="1" s="1"/>
  <c r="E296" i="1"/>
  <c r="D296" i="1"/>
  <c r="E295" i="1"/>
  <c r="D295" i="1"/>
  <c r="A296" i="1"/>
  <c r="A297" i="1" s="1"/>
  <c r="A298" i="1" s="1"/>
  <c r="A299" i="1" s="1"/>
  <c r="A300" i="1" s="1"/>
  <c r="E289" i="1"/>
  <c r="D289" i="1"/>
  <c r="E288" i="1"/>
  <c r="D288" i="1"/>
  <c r="A289" i="1"/>
  <c r="A290" i="1" s="1"/>
  <c r="A291" i="1" s="1"/>
  <c r="A292" i="1" s="1"/>
  <c r="A293" i="1" s="1"/>
  <c r="F309" i="1" l="1"/>
  <c r="H309" i="1" s="1"/>
  <c r="F302" i="1"/>
  <c r="H302" i="1" s="1"/>
  <c r="G156" i="1"/>
  <c r="H318" i="1"/>
  <c r="J318" i="1"/>
  <c r="H319" i="1"/>
  <c r="J319" i="1"/>
  <c r="F295" i="1"/>
  <c r="H295" i="1" s="1"/>
  <c r="F304" i="1"/>
  <c r="H304" i="1" s="1"/>
  <c r="F289" i="1"/>
  <c r="H289" i="1" s="1"/>
  <c r="F314" i="1"/>
  <c r="H314" i="1" s="1"/>
  <c r="F311" i="1"/>
  <c r="H311" i="1" s="1"/>
  <c r="F303" i="1"/>
  <c r="H303" i="1" s="1"/>
  <c r="F288" i="1"/>
  <c r="H288" i="1" s="1"/>
  <c r="C155" i="1"/>
  <c r="F296" i="1"/>
  <c r="H296" i="1" s="1"/>
  <c r="F310" i="1"/>
  <c r="H310" i="1" s="1"/>
  <c r="H316" i="1"/>
  <c r="E239" i="1"/>
  <c r="D239" i="1"/>
  <c r="M210" i="1"/>
  <c r="I275" i="1"/>
  <c r="E281" i="1"/>
  <c r="D281" i="1"/>
  <c r="E280" i="1"/>
  <c r="D280" i="1"/>
  <c r="E279" i="1"/>
  <c r="D279" i="1"/>
  <c r="E278" i="1"/>
  <c r="D278" i="1"/>
  <c r="E277" i="1"/>
  <c r="D277" i="1"/>
  <c r="I212" i="1"/>
  <c r="E274" i="1"/>
  <c r="D274" i="1"/>
  <c r="E273" i="1"/>
  <c r="D273" i="1"/>
  <c r="E272" i="1"/>
  <c r="D272" i="1"/>
  <c r="E271" i="1"/>
  <c r="D271" i="1"/>
  <c r="E270" i="1"/>
  <c r="D270" i="1"/>
  <c r="E269" i="1"/>
  <c r="D269" i="1"/>
  <c r="I268" i="1"/>
  <c r="I261" i="1"/>
  <c r="A270" i="1"/>
  <c r="A271" i="1" s="1"/>
  <c r="A272" i="1" s="1"/>
  <c r="A273" i="1" s="1"/>
  <c r="A274" i="1" s="1"/>
  <c r="J258" i="1"/>
  <c r="I258" i="1"/>
  <c r="J257" i="1"/>
  <c r="I257" i="1"/>
  <c r="A277" i="1"/>
  <c r="A278" i="1" s="1"/>
  <c r="A279" i="1" s="1"/>
  <c r="A280" i="1" s="1"/>
  <c r="A281" i="1" s="1"/>
  <c r="E267" i="1"/>
  <c r="D267" i="1"/>
  <c r="E266" i="1"/>
  <c r="D266" i="1"/>
  <c r="E265" i="1"/>
  <c r="D265" i="1"/>
  <c r="E264" i="1"/>
  <c r="D264" i="1"/>
  <c r="E263" i="1"/>
  <c r="D263" i="1"/>
  <c r="A263" i="1"/>
  <c r="A264" i="1" s="1"/>
  <c r="A265" i="1" s="1"/>
  <c r="A266" i="1" s="1"/>
  <c r="A267" i="1" s="1"/>
  <c r="E260" i="1"/>
  <c r="D260" i="1"/>
  <c r="E259" i="1"/>
  <c r="D259" i="1"/>
  <c r="E258" i="1"/>
  <c r="D258" i="1"/>
  <c r="E257" i="1"/>
  <c r="D257" i="1"/>
  <c r="E256" i="1"/>
  <c r="D256" i="1"/>
  <c r="E255" i="1"/>
  <c r="D255" i="1"/>
  <c r="I254" i="1"/>
  <c r="I247" i="1"/>
  <c r="I240" i="1"/>
  <c r="A256" i="1"/>
  <c r="A257" i="1" s="1"/>
  <c r="A258" i="1" s="1"/>
  <c r="A259" i="1" s="1"/>
  <c r="A260" i="1" s="1"/>
  <c r="J244" i="1"/>
  <c r="I244" i="1"/>
  <c r="J241" i="1"/>
  <c r="I221" i="1"/>
  <c r="I241" i="1"/>
  <c r="E249" i="1"/>
  <c r="D249" i="1"/>
  <c r="E252" i="1"/>
  <c r="D252" i="1"/>
  <c r="E251" i="1"/>
  <c r="D251" i="1"/>
  <c r="E253" i="1"/>
  <c r="D253" i="1"/>
  <c r="E250" i="1"/>
  <c r="D250" i="1"/>
  <c r="A249" i="1"/>
  <c r="A250" i="1" s="1"/>
  <c r="A251" i="1" s="1"/>
  <c r="A252" i="1" s="1"/>
  <c r="A253" i="1" s="1"/>
  <c r="F266" i="1" l="1"/>
  <c r="H266" i="1" s="1"/>
  <c r="F273" i="1"/>
  <c r="H273" i="1" s="1"/>
  <c r="F253" i="1"/>
  <c r="H253" i="1" s="1"/>
  <c r="F279" i="1"/>
  <c r="H279" i="1" s="1"/>
  <c r="F239" i="1"/>
  <c r="H239" i="1" s="1"/>
  <c r="F251" i="1"/>
  <c r="H251" i="1" s="1"/>
  <c r="F278" i="1"/>
  <c r="H278" i="1" s="1"/>
  <c r="F269" i="1"/>
  <c r="H269" i="1" s="1"/>
  <c r="F250" i="1"/>
  <c r="H250" i="1" s="1"/>
  <c r="F249" i="1"/>
  <c r="H249" i="1" s="1"/>
  <c r="F270" i="1"/>
  <c r="H270" i="1" s="1"/>
  <c r="E155" i="1"/>
  <c r="F257" i="1"/>
  <c r="H257" i="1" s="1"/>
  <c r="G155" i="1"/>
  <c r="F258" i="1"/>
  <c r="H258" i="1" s="1"/>
  <c r="F263" i="1"/>
  <c r="H263" i="1" s="1"/>
  <c r="F267" i="1"/>
  <c r="H267" i="1" s="1"/>
  <c r="F277" i="1"/>
  <c r="H277" i="1" s="1"/>
  <c r="F281" i="1"/>
  <c r="H281" i="1" s="1"/>
  <c r="F280" i="1"/>
  <c r="H280" i="1" s="1"/>
  <c r="F271" i="1"/>
  <c r="H271" i="1" s="1"/>
  <c r="F255" i="1"/>
  <c r="H255" i="1" s="1"/>
  <c r="F259" i="1"/>
  <c r="H259" i="1" s="1"/>
  <c r="F264" i="1"/>
  <c r="H264" i="1" s="1"/>
  <c r="F272" i="1"/>
  <c r="H272" i="1" s="1"/>
  <c r="F256" i="1"/>
  <c r="H256" i="1" s="1"/>
  <c r="F260" i="1"/>
  <c r="H260" i="1" s="1"/>
  <c r="F265" i="1"/>
  <c r="H265" i="1" s="1"/>
  <c r="F252" i="1"/>
  <c r="H252" i="1" s="1"/>
  <c r="F274" i="1"/>
  <c r="H274" i="1" s="1"/>
  <c r="E246" i="1"/>
  <c r="D246" i="1"/>
  <c r="E245" i="1"/>
  <c r="D245" i="1"/>
  <c r="E244" i="1"/>
  <c r="D244" i="1"/>
  <c r="E243" i="1"/>
  <c r="D243" i="1"/>
  <c r="E242" i="1"/>
  <c r="D242" i="1"/>
  <c r="E241" i="1"/>
  <c r="D241" i="1"/>
  <c r="J229" i="1"/>
  <c r="I229" i="1"/>
  <c r="J221" i="1"/>
  <c r="E236" i="1"/>
  <c r="D236" i="1"/>
  <c r="E235" i="1"/>
  <c r="D235" i="1"/>
  <c r="E234" i="1"/>
  <c r="D234" i="1"/>
  <c r="E229" i="1"/>
  <c r="D229" i="1"/>
  <c r="A242" i="1"/>
  <c r="A243" i="1" s="1"/>
  <c r="A244" i="1" s="1"/>
  <c r="A245" i="1" s="1"/>
  <c r="A246" i="1" s="1"/>
  <c r="E228" i="1"/>
  <c r="D228" i="1"/>
  <c r="E227" i="1"/>
  <c r="D227" i="1"/>
  <c r="A235" i="1"/>
  <c r="A236" i="1" s="1"/>
  <c r="A237" i="1" s="1"/>
  <c r="A238" i="1" s="1"/>
  <c r="A239" i="1" s="1"/>
  <c r="E221" i="1"/>
  <c r="D221" i="1"/>
  <c r="E220" i="1"/>
  <c r="D220" i="1"/>
  <c r="A221" i="1"/>
  <c r="A222" i="1" s="1"/>
  <c r="A223" i="1" s="1"/>
  <c r="A224" i="1" s="1"/>
  <c r="A225" i="1" s="1"/>
  <c r="E214" i="1"/>
  <c r="D214" i="1"/>
  <c r="E213" i="1"/>
  <c r="D213" i="1"/>
  <c r="A214" i="1"/>
  <c r="A215" i="1" s="1"/>
  <c r="A216" i="1" s="1"/>
  <c r="A217" i="1" s="1"/>
  <c r="A218" i="1" s="1"/>
  <c r="E207" i="1"/>
  <c r="D207" i="1"/>
  <c r="E206" i="1"/>
  <c r="D206" i="1"/>
  <c r="E205" i="1"/>
  <c r="D205" i="1"/>
  <c r="E204" i="1"/>
  <c r="D204" i="1"/>
  <c r="J203" i="1"/>
  <c r="F207" i="1"/>
  <c r="H207" i="1" s="1"/>
  <c r="A205" i="1"/>
  <c r="A206" i="1" s="1"/>
  <c r="A207" i="1" s="1"/>
  <c r="J198" i="1"/>
  <c r="J202" i="1"/>
  <c r="I202" i="1"/>
  <c r="E202" i="1"/>
  <c r="D202" i="1"/>
  <c r="E201" i="1"/>
  <c r="D201" i="1"/>
  <c r="F201" i="1" s="1"/>
  <c r="E200" i="1"/>
  <c r="D200" i="1"/>
  <c r="E199" i="1"/>
  <c r="D199" i="1"/>
  <c r="A228" i="1"/>
  <c r="A229" i="1" s="1"/>
  <c r="A230" i="1" s="1"/>
  <c r="A231" i="1" s="1"/>
  <c r="A232" i="1" s="1"/>
  <c r="E195" i="1"/>
  <c r="D195" i="1"/>
  <c r="E194" i="1"/>
  <c r="D194" i="1"/>
  <c r="A200" i="1"/>
  <c r="A201" i="1" s="1"/>
  <c r="A202" i="1" s="1"/>
  <c r="E190" i="1"/>
  <c r="D190" i="1"/>
  <c r="E189" i="1"/>
  <c r="D189" i="1"/>
  <c r="H192" i="1"/>
  <c r="H191" i="1"/>
  <c r="A190" i="1"/>
  <c r="A191" i="1" s="1"/>
  <c r="A192" i="1" s="1"/>
  <c r="E185" i="1"/>
  <c r="D185" i="1"/>
  <c r="E184" i="1"/>
  <c r="D184" i="1"/>
  <c r="F184" i="1" s="1"/>
  <c r="H184" i="1" s="1"/>
  <c r="H187" i="1"/>
  <c r="A185" i="1"/>
  <c r="A186" i="1" s="1"/>
  <c r="A187" i="1" s="1"/>
  <c r="I180" i="1"/>
  <c r="J179" i="1"/>
  <c r="I179" i="1"/>
  <c r="E180" i="1"/>
  <c r="D180" i="1"/>
  <c r="E179" i="1"/>
  <c r="D179" i="1"/>
  <c r="H197" i="1"/>
  <c r="H196" i="1"/>
  <c r="A195" i="1"/>
  <c r="A196" i="1" s="1"/>
  <c r="A197" i="1" s="1"/>
  <c r="C119" i="1"/>
  <c r="C105" i="1"/>
  <c r="D62" i="1"/>
  <c r="E43" i="1"/>
  <c r="F235" i="1" l="1"/>
  <c r="H235" i="1" s="1"/>
  <c r="F242" i="1"/>
  <c r="H242" i="1" s="1"/>
  <c r="F245" i="1"/>
  <c r="H245" i="1" s="1"/>
  <c r="F220" i="1"/>
  <c r="H220" i="1" s="1"/>
  <c r="F199" i="1"/>
  <c r="H199" i="1" s="1"/>
  <c r="F205" i="1"/>
  <c r="H205" i="1" s="1"/>
  <c r="F241" i="1"/>
  <c r="H201" i="1"/>
  <c r="J201" i="1"/>
  <c r="F214" i="1"/>
  <c r="H214" i="1" s="1"/>
  <c r="F195" i="1"/>
  <c r="H195" i="1" s="1"/>
  <c r="F229" i="1"/>
  <c r="H229" i="1" s="1"/>
  <c r="F243" i="1"/>
  <c r="H243" i="1" s="1"/>
  <c r="F189" i="1"/>
  <c r="H189" i="1" s="1"/>
  <c r="F202" i="1"/>
  <c r="H202" i="1" s="1"/>
  <c r="F236" i="1"/>
  <c r="H236" i="1" s="1"/>
  <c r="F246" i="1"/>
  <c r="H246" i="1" s="1"/>
  <c r="F194" i="1"/>
  <c r="H194" i="1" s="1"/>
  <c r="F227" i="1"/>
  <c r="H227" i="1" s="1"/>
  <c r="F200" i="1"/>
  <c r="F206" i="1"/>
  <c r="H206" i="1" s="1"/>
  <c r="C153" i="1"/>
  <c r="F190" i="1"/>
  <c r="H190" i="1" s="1"/>
  <c r="F234" i="1"/>
  <c r="H234" i="1" s="1"/>
  <c r="F204" i="1"/>
  <c r="H204" i="1" s="1"/>
  <c r="F213" i="1"/>
  <c r="H213" i="1" s="1"/>
  <c r="C154" i="1"/>
  <c r="F185" i="1"/>
  <c r="H185" i="1" s="1"/>
  <c r="F221" i="1"/>
  <c r="H221" i="1" s="1"/>
  <c r="F228" i="1"/>
  <c r="H228" i="1" s="1"/>
  <c r="F244" i="1"/>
  <c r="H244" i="1" s="1"/>
  <c r="H241" i="1"/>
  <c r="C91" i="1"/>
  <c r="C159" i="1" l="1"/>
  <c r="H200" i="1"/>
  <c r="J200" i="1"/>
  <c r="E154" i="1"/>
  <c r="G154" i="1"/>
  <c r="F166" i="1"/>
  <c r="H166" i="1" s="1"/>
  <c r="E31" i="1" l="1"/>
  <c r="E26" i="1"/>
  <c r="F179" i="1" l="1"/>
  <c r="H179" i="1" l="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I42" i="7" l="1"/>
  <c r="H42" i="7" s="1"/>
  <c r="L42" i="7"/>
  <c r="K42" i="7" s="1"/>
  <c r="E42" i="7"/>
  <c r="D42" i="7" s="1"/>
  <c r="D44" i="7" l="1"/>
  <c r="E44" i="7"/>
  <c r="B572" i="1"/>
  <c r="F167" i="1" l="1"/>
  <c r="H167" i="1" s="1"/>
  <c r="F168" i="1"/>
  <c r="H168" i="1" s="1"/>
  <c r="F169" i="1"/>
  <c r="H169" i="1" s="1"/>
  <c r="G58" i="1" l="1"/>
  <c r="C58" i="1"/>
  <c r="S33" i="1" l="1"/>
  <c r="F11" i="5" l="1"/>
  <c r="G11" i="5" s="1"/>
  <c r="F10" i="5"/>
  <c r="G10" i="5" s="1"/>
  <c r="F9" i="5"/>
  <c r="G9" i="5" s="1"/>
  <c r="F8" i="5"/>
  <c r="G8" i="5" s="1"/>
  <c r="F7" i="5"/>
  <c r="G7" i="5" s="1"/>
  <c r="F6" i="5"/>
  <c r="G6" i="5" s="1"/>
  <c r="F5" i="5"/>
  <c r="G5" i="5" s="1"/>
  <c r="G12" i="5" s="1"/>
  <c r="D597" i="1"/>
  <c r="B573" i="1"/>
  <c r="F569" i="1"/>
  <c r="H569" i="1" s="1"/>
  <c r="F568" i="1"/>
  <c r="H568" i="1" s="1"/>
  <c r="F567" i="1"/>
  <c r="H567" i="1" s="1"/>
  <c r="F566" i="1"/>
  <c r="H566" i="1" s="1"/>
  <c r="F565" i="1"/>
  <c r="H565" i="1" s="1"/>
  <c r="F563" i="1"/>
  <c r="H563" i="1" s="1"/>
  <c r="F562" i="1"/>
  <c r="H562" i="1" s="1"/>
  <c r="F561" i="1"/>
  <c r="H561" i="1" s="1"/>
  <c r="F560" i="1"/>
  <c r="H560" i="1" s="1"/>
  <c r="F559" i="1"/>
  <c r="H559" i="1" s="1"/>
  <c r="F557" i="1"/>
  <c r="H557" i="1" s="1"/>
  <c r="F556" i="1"/>
  <c r="H556" i="1" s="1"/>
  <c r="F555" i="1"/>
  <c r="H555" i="1" s="1"/>
  <c r="F554" i="1"/>
  <c r="H554" i="1" s="1"/>
  <c r="F553" i="1"/>
  <c r="H553" i="1" s="1"/>
  <c r="F551" i="1"/>
  <c r="H551" i="1" s="1"/>
  <c r="F550" i="1"/>
  <c r="H550" i="1" s="1"/>
  <c r="A550" i="1"/>
  <c r="A551" i="1" s="1"/>
  <c r="H182" i="1"/>
  <c r="H181" i="1"/>
  <c r="F180" i="1"/>
  <c r="A180" i="1"/>
  <c r="A181" i="1" s="1"/>
  <c r="A182" i="1" s="1"/>
  <c r="A167" i="1"/>
  <c r="A168" i="1" s="1"/>
  <c r="A169" i="1" s="1"/>
  <c r="C160" i="1"/>
  <c r="F145" i="1"/>
  <c r="C77" i="1"/>
  <c r="B78" i="1" s="1"/>
  <c r="G51" i="1"/>
  <c r="C51" i="1"/>
  <c r="E44" i="1"/>
  <c r="E45" i="1" s="1"/>
  <c r="E28" i="1"/>
  <c r="C16" i="1"/>
  <c r="I15" i="1"/>
  <c r="Z13" i="1"/>
  <c r="E8" i="1"/>
  <c r="E3" i="1"/>
  <c r="D71" i="1" s="1"/>
  <c r="A553" i="1"/>
  <c r="A565" i="1"/>
  <c r="A559" i="1"/>
  <c r="H180" i="1" l="1"/>
  <c r="G153" i="1" s="1"/>
  <c r="E153" i="1"/>
  <c r="H78" i="1"/>
  <c r="A554" i="1"/>
  <c r="A566" i="1"/>
  <c r="A560" i="1"/>
  <c r="J80" i="1" l="1"/>
  <c r="D87" i="1"/>
  <c r="D89" i="1"/>
  <c r="J77" i="1"/>
  <c r="J79" i="1" s="1"/>
  <c r="J81" i="1"/>
  <c r="D86" i="1"/>
  <c r="D83" i="1"/>
  <c r="D84" i="1"/>
  <c r="J82" i="1"/>
  <c r="C81" i="1" s="1"/>
  <c r="D90" i="1"/>
  <c r="D88" i="1"/>
  <c r="D85" i="1"/>
  <c r="J83" i="1"/>
  <c r="J84" i="1" s="1"/>
  <c r="J89" i="1" s="1"/>
  <c r="E159" i="1"/>
  <c r="E160" i="1" s="1"/>
  <c r="G159" i="1"/>
  <c r="G160" i="1" s="1"/>
  <c r="J87" i="1"/>
  <c r="J86" i="1"/>
  <c r="J88" i="1"/>
  <c r="A567" i="1"/>
  <c r="A561" i="1"/>
  <c r="A555" i="1"/>
  <c r="D81" i="1" l="1"/>
  <c r="J85" i="1"/>
  <c r="B92" i="1"/>
  <c r="H92" i="1"/>
  <c r="A556" i="1"/>
  <c r="A562" i="1"/>
  <c r="A568" i="1"/>
  <c r="J90" i="1" l="1"/>
  <c r="C82" i="1" s="1"/>
  <c r="E81" i="1" s="1"/>
  <c r="J94" i="1"/>
  <c r="D104" i="1"/>
  <c r="D98" i="1"/>
  <c r="J96" i="1"/>
  <c r="C95" i="1" s="1"/>
  <c r="D102" i="1"/>
  <c r="J91" i="1"/>
  <c r="J93" i="1" s="1"/>
  <c r="D99" i="1"/>
  <c r="D103" i="1"/>
  <c r="D97" i="1"/>
  <c r="D101" i="1"/>
  <c r="J95" i="1"/>
  <c r="D100" i="1"/>
  <c r="J97" i="1"/>
  <c r="J98" i="1" s="1"/>
  <c r="J103" i="1" s="1"/>
  <c r="J102" i="1"/>
  <c r="J101" i="1"/>
  <c r="J100" i="1"/>
  <c r="A563" i="1"/>
  <c r="A569" i="1"/>
  <c r="A557" i="1"/>
  <c r="D82" i="1" l="1"/>
  <c r="I78" i="1" s="1"/>
  <c r="I79" i="1" s="1"/>
  <c r="G81" i="1"/>
  <c r="D75" i="1" s="1"/>
  <c r="F76" i="1" s="1"/>
  <c r="J78" i="1"/>
  <c r="J99" i="1"/>
  <c r="B120" i="1"/>
  <c r="B106" i="1"/>
  <c r="D95" i="1"/>
  <c r="H120" i="1"/>
  <c r="H106" i="1"/>
  <c r="J104" i="1" l="1"/>
  <c r="C96" i="1" s="1"/>
  <c r="D96" i="1" s="1"/>
  <c r="I92" i="1" s="1"/>
  <c r="I93" i="1" s="1"/>
  <c r="I77" i="1"/>
  <c r="C79" i="1" s="1"/>
  <c r="D76" i="1"/>
  <c r="J124" i="1"/>
  <c r="C123" i="1" s="1"/>
  <c r="J122" i="1"/>
  <c r="J119" i="1"/>
  <c r="J121" i="1" s="1"/>
  <c r="D132" i="1"/>
  <c r="D131" i="1"/>
  <c r="D130" i="1"/>
  <c r="D129" i="1"/>
  <c r="D128" i="1"/>
  <c r="D127" i="1"/>
  <c r="D126" i="1"/>
  <c r="D125" i="1"/>
  <c r="J123" i="1"/>
  <c r="J130" i="1"/>
  <c r="J129" i="1"/>
  <c r="J128" i="1"/>
  <c r="J125" i="1"/>
  <c r="J126" i="1" s="1"/>
  <c r="J131" i="1" s="1"/>
  <c r="J108" i="1"/>
  <c r="D117" i="1"/>
  <c r="J110" i="1"/>
  <c r="C109" i="1" s="1"/>
  <c r="D116" i="1"/>
  <c r="D115" i="1"/>
  <c r="J109" i="1"/>
  <c r="J105" i="1"/>
  <c r="J107" i="1" s="1"/>
  <c r="D113" i="1"/>
  <c r="D118" i="1"/>
  <c r="D112" i="1"/>
  <c r="D111" i="1"/>
  <c r="D114" i="1"/>
  <c r="J115" i="1"/>
  <c r="J111" i="1"/>
  <c r="J112" i="1" s="1"/>
  <c r="J117" i="1" s="1"/>
  <c r="J116" i="1"/>
  <c r="J114" i="1"/>
  <c r="J92" i="1" l="1"/>
  <c r="I91" i="1" s="1"/>
  <c r="C93" i="1" s="1"/>
  <c r="G95" i="1"/>
  <c r="E95" i="1"/>
  <c r="D123" i="1"/>
  <c r="D109" i="1"/>
  <c r="J127" i="1"/>
  <c r="J113" i="1"/>
  <c r="J132" i="1" l="1"/>
  <c r="C124" i="1" s="1"/>
  <c r="E123" i="1" s="1"/>
  <c r="J118" i="1"/>
  <c r="C110" i="1" s="1"/>
  <c r="E109" i="1" s="1"/>
  <c r="D110" i="1" l="1"/>
  <c r="I106" i="1" s="1"/>
  <c r="I107" i="1" s="1"/>
  <c r="G123" i="1"/>
  <c r="J120" i="1"/>
  <c r="D124" i="1"/>
  <c r="I120" i="1" s="1"/>
  <c r="I121" i="1" s="1"/>
  <c r="J106" i="1"/>
  <c r="G109" i="1"/>
  <c r="I105" i="1" l="1"/>
  <c r="C107" i="1" s="1"/>
  <c r="I119" i="1"/>
  <c r="C12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2"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38"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72"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<sst xmlns="http://schemas.openxmlformats.org/spreadsheetml/2006/main" count="1100" uniqueCount="483">
  <si>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</si>
  <si>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</si>
  <si>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</si>
  <si>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</si>
  <si>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</si>
  <si>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</si>
  <si>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</si>
  <si>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</si>
  <si>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</si>
  <si>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</si>
  <si>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</si>
  <si>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</si>
  <si>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</si>
  <si>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</si>
  <si>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</si>
  <si>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</si>
  <si>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</si>
  <si>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</si>
  <si>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</si>
  <si>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</si>
  <si>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</si>
  <si>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</si>
  <si>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</si>
  <si>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</si>
  <si>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</si>
  <si>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</si>
  <si>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</si>
  <si>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</si>
  <si>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</si>
  <si>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</si>
  <si>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</si>
  <si>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</si>
  <si>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</si>
  <si>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</si>
  <si>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</si>
  <si>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</si>
  <si>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</si>
  <si>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</si>
  <si>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</si>
  <si>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</si>
  <si>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</si>
  <si>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</si>
  <si>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</si>
  <si>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</si>
  <si>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</si>
  <si>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</si>
  <si>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</si>
  <si>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</si>
  <si>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</si>
  <si>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</si>
  <si>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</si>
  <si>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</si>
  <si>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</si>
  <si>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</si>
  <si>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</si>
  <si>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</si>
  <si>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</si>
  <si>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</si>
  <si>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</si>
  <si>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</si>
  <si>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</si>
  <si>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</si>
  <si>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</si>
  <si>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</si>
  <si>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</si>
  <si>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</si>
  <si>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</si>
  <si>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</si>
  <si>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</si>
  <si>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</si>
  <si>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</si>
  <si>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</si>
  <si>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</si>
  <si>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</si>
  <si>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</si>
  <si>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</si>
  <si>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</si>
  <si>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</si>
  <si>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</si>
  <si>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</si>
  <si>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</si>
  <si>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</si>
  <si>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</si>
  <si>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</si>
  <si>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</si>
  <si>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</si>
  <si>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</si>
  <si>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</si>
  <si>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</si>
  <si>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</si>
  <si>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</si>
  <si>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</si>
  <si>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</si>
  <si>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</si>
  <si>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</si>
  <si>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</si>
  <si>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</si>
  <si>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</si>
  <si>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</si>
  <si>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</si>
  <si>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</si>
  <si>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</si>
  <si>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</si>
  <si>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</si>
  <si>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</si>
  <si>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</si>
  <si>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</si>
  <si>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</si>
  <si>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</si>
  <si>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</si>
  <si>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</si>
  <si>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</si>
  <si>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</si>
  <si>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</si>
  <si>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</si>
  <si>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</si>
  <si>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</si>
  <si>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</si>
  <si>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</si>
  <si>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</si>
  <si>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</si>
  <si>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</si>
  <si>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</si>
  <si>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</si>
  <si>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</si>
  <si>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</si>
  <si>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</si>
  <si>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</si>
  <si>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</si>
  <si>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</si>
  <si>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</si>
  <si>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</si>
  <si>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</si>
  <si>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</si>
  <si>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</si>
  <si>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</si>
  <si>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</si>
  <si>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</si>
  <si>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</si>
  <si>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</si>
  <si>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</si>
  <si>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</si>
  <si>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</si>
  <si>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</si>
  <si>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</si>
  <si>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</si>
  <si>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</si>
  <si>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</si>
  <si>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</si>
  <si>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</si>
  <si>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</si>
  <si>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</si>
  <si>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</si>
  <si>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</si>
  <si>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</si>
  <si>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</si>
  <si>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</si>
  <si>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</si>
  <si>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</si>
  <si>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</si>
  <si>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</si>
  <si>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</si>
  <si>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</si>
  <si>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</si>
  <si>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</si>
  <si>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</si>
  <si>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</si>
  <si>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</si>
  <si>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</si>
  <si>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</si>
  <si>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</si>
  <si>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</si>
  <si>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</si>
  <si>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</si>
  <si>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</si>
  <si>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</si>
  <si>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</si>
  <si>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</si>
  <si>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</si>
  <si>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</si>
  <si>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</si>
  <si>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</si>
  <si>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</si>
  <si>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</si>
  <si>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</si>
  <si>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</si>
  <si>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</si>
  <si>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</si>
  <si>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</si>
  <si>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</si>
  <si>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</si>
  <si>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</si>
  <si>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</si>
  <si>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</si>
  <si>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</si>
  <si>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</si>
  <si>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</si>
  <si>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</si>
  <si>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</si>
  <si>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</si>
  <si>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</si>
  <si>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</si>
  <si>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</si>
  <si>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</si>
  <si>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</si>
  <si>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</si>
  <si>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</si>
  <si>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</si>
  <si>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</si>
  <si>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</si>
  <si>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</si>
  <si>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</si>
  <si>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</si>
  <si>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</si>
  <si>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</si>
  <si>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</si>
  <si>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</si>
  <si>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</si>
  <si>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</si>
  <si>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</si>
  <si>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</si>
  <si>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</si>
  <si>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</si>
  <si>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</si>
  <si>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</si>
  <si>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</si>
  <si>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</si>
  <si>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</si>
  <si>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</si>
  <si>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</si>
  <si>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</si>
  <si>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</si>
  <si>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</si>
  <si>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</si>
  <si>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</si>
  <si>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</si>
  <si>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</si>
  <si>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</si>
  <si>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</si>
  <si>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</si>
  <si>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</si>
  <si>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</si>
  <si>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</si>
  <si>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</si>
  <si>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</si>
  <si>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</si>
  <si>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</si>
  <si>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</si>
  <si>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</si>
  <si>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</si>
  <si>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</si>
  <si>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</si>
  <si>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</si>
  <si>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</si>
  <si>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</si>
  <si>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</si>
  <si>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</si>
  <si>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</si>
  <si>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</si>
  <si>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</si>
  <si>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</si>
  <si>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</si>
  <si>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</si>
  <si>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</si>
  <si>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</si>
  <si>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</si>
  <si>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</si>
  <si>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</si>
  <si>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</si>
  <si>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</si>
  <si>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</si>
  <si>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</si>
  <si>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</si>
  <si>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</si>
  <si>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</si>
  <si>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</si>
  <si>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</si>
  <si>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</si>
  <si>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</si>
  <si>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</si>
  <si>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</si>
  <si>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</si>
  <si>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</si>
  <si>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</si>
  <si>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</si>
  <si>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</si>
  <si>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</si>
  <si>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</si>
  <si>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</si>
  <si>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</si>
  <si>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</si>
  <si>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</si>
  <si>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</si>
  <si>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</si>
  <si>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</si>
  <si>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</si>
  <si>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</si>
  <si>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</si>
  <si>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</si>
  <si>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</si>
  <si>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</si>
  <si>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</si>
  <si>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</si>
  <si>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</si>
  <si>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</si>
  <si>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</si>
  <si>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</si>
  <si>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</si>
  <si>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</si>
  <si>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</si>
  <si>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</si>
  <si>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</si>
  <si>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</si>
  <si>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</si>
  <si>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</si>
  <si>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</si>
  <si>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</si>
  <si>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</si>
  <si>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</si>
  <si>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</si>
  <si>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</si>
  <si>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</si>
  <si>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</si>
  <si>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</si>
  <si>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</si>
  <si>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</si>
  <si>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</si>
  <si>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</si>
  <si>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</si>
  <si>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</si>
  <si>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</si>
  <si>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</si>
  <si>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</si>
  <si>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</si>
  <si>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</si>
  <si>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</si>
  <si>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</si>
  <si>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</si>
  <si>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</si>
  <si>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</si>
  <si>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</si>
  <si>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</si>
  <si>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</si>
  <si>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</si>
  <si>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</si>
  <si>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</si>
  <si>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</si>
  <si>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</si>
  <si>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</si>
  <si>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</si>
  <si>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</si>
  <si>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</si>
  <si>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Shoden Developers Private Limited</t>
  </si>
  <si>
    <t>P51700077268</t>
  </si>
  <si>
    <t>Hiranandani Westgate Phase 1</t>
  </si>
  <si>
    <t>Mr. Arun Jha 9137579801</t>
  </si>
  <si>
    <t>Somerset, Belvedere A &amp; B, Florencia A &amp; B, Amalfi</t>
  </si>
  <si>
    <t>Plot No</t>
  </si>
  <si>
    <t>138/2/15, 214/6, 8, 9A, 9B, 215/1, 2, 3A, 3B, 216/1, 2, 218/1, 2, 3, 4, 5, 6, 7, 219/1, 2, 3A, 3B, 4, 5, 6, 7, 220/1/A, 1/B, 2, 3, 4A, 4B, 5, 6, 221/1, 2, 222/1/A, 2B, 2C, 3, 4, 5, 6, 7, 8, 231/2/2/A, 2/2/C, 2/2/D, 2/2/B, 3/A, 3/B, 4, 6A, 6B, 232/1, 2, 3, 4, 232/5A &amp; 5B, 285, 286, 288</t>
  </si>
  <si>
    <t>Kavesar</t>
  </si>
  <si>
    <t>19.260847,72.975027</t>
  </si>
  <si>
    <t>https://maps.app.goo.gl/BWeLqEvyknSFtXqn7</t>
  </si>
  <si>
    <t>Thane West</t>
  </si>
  <si>
    <t>Cosmos Park Road</t>
  </si>
  <si>
    <t>Vijay Residency the Residency CHS</t>
  </si>
  <si>
    <t>30.00Mt Wide DP Road</t>
  </si>
  <si>
    <t>Other Plot</t>
  </si>
  <si>
    <t>06 Buildings</t>
  </si>
  <si>
    <t>Somerset = 2B + LG + UG + 1st (Podium -1) to 3rd (Podium -3) Floor
Belvedere A  &amp; B = 2B + LG + UG + 1st (Podium -1)to 2nd Floor (Podium-2)
Florencia A &amp; B = 2B + LG + UG + 1st (Podium -1)to 2nd Floor (Podium-2)
Amalfi = 2B + LG + UG + 1st (Podium -1)to 2nd Floor (Podium-2)</t>
  </si>
  <si>
    <t>As per RERA - 31/12/2031</t>
  </si>
  <si>
    <t>Somerset = 2B + LG + UG + 3P + 4th to 55th Floor
Belvedere A  &amp; B = 2B + LG + UG + 3P + 4th to 51st Floor
Florencia A  &amp; B = 2B + LG + UG + 3P + 4th to 47th Floor
Amalfi = 2B  + LG + UG + 3P + 4th to 47th Floor</t>
  </si>
  <si>
    <t>Somerset = 2B + LG + UG + 3P + 4th to 55th Floor</t>
  </si>
  <si>
    <t>Belvedere A  &amp; B = 2B + LG + UG + 3P + 4th to 55th Floor</t>
  </si>
  <si>
    <t>Florencia A  &amp; B = 2B + LG + UG + 3P + 4th to 55th Floor</t>
  </si>
  <si>
    <t>Amalfi = 2B  + LG + UG + 3P + 4th to 55th Floor</t>
  </si>
  <si>
    <t>Kids Play Area, Landscaped Garden, Gymnasium, Multi Purpose Court, Banquet Hall, Senior Citizen Area, Indoor Heated Pool etc.</t>
  </si>
  <si>
    <t>as per builder website</t>
  </si>
  <si>
    <t>https://www.westgatethane.com/?utm_source=google&amp;utm_medium=cpc&amp;utm_campaign=Hiranandani%20Westgate%20Thane&amp;utm_term=hiranandani%20westgate&amp;utm_Physical_Location=9198122&amp;utm_Targetid=kwd-2391654686877&amp;utm_Target=&amp;utm_Placement=&amp;utm_Adposition=&amp;gad_source=1&amp;tm=tt&amp;gclid=CjwKCAjw59q2BhBOEiwAKc0ijX2AKz1fnfj_RlDQTjZtNokVARdt-O1wvCZQkiiFCgaVyz3SQzXo0hoCZxsQAvD_BwE&amp;aaid=ada2TKceXWXfi</t>
  </si>
  <si>
    <t>Somerset</t>
  </si>
  <si>
    <t>1st &amp; 2nd Basement Floor For Parking</t>
  </si>
  <si>
    <t>Lower Ground Floor For Entrance Lobby (Double Heighted), Society Office, Driver Room, Garbage Room, Telecom Room &amp; Parking</t>
  </si>
  <si>
    <t>Upper Ground Floor Meter Room &amp; Parking</t>
  </si>
  <si>
    <t>1st Floor For Residential, Meter Room, Parking</t>
  </si>
  <si>
    <t>4BHK</t>
  </si>
  <si>
    <t>-</t>
  </si>
  <si>
    <t>Parking</t>
  </si>
  <si>
    <t xml:space="preserve">3rd Floor For Residential &amp; Amenity </t>
  </si>
  <si>
    <t>Yoga Area</t>
  </si>
  <si>
    <t>Gymnasium</t>
  </si>
  <si>
    <t>4th Floor</t>
  </si>
  <si>
    <t>Double Height Entrance below</t>
  </si>
  <si>
    <t>Belvedere A</t>
  </si>
  <si>
    <t>Lower Ground Floor For Entrance Lobby (Double Heighted), Society Office, Driver Room, Meter Room, Telecom Room &amp; Parking</t>
  </si>
  <si>
    <t>Upper Floor For Meter Room, Landscaped Area &amp; Parking</t>
  </si>
  <si>
    <t>3BHK</t>
  </si>
  <si>
    <t>Meter Room</t>
  </si>
  <si>
    <t>3rd Floor</t>
  </si>
  <si>
    <t>5th, 7th to 10th, 12th to 14th, 16th to 18th Floor</t>
  </si>
  <si>
    <t>Deck Area</t>
  </si>
  <si>
    <t>Belvedere B</t>
  </si>
  <si>
    <t>Florencia A</t>
  </si>
  <si>
    <t>Florencia B</t>
  </si>
  <si>
    <t>Amalfi</t>
  </si>
  <si>
    <t>6th, 11th, 15th &amp; 19th Floor (Part Refuge Area)</t>
  </si>
  <si>
    <t>Refuge Area</t>
  </si>
  <si>
    <t>4.5BHK</t>
  </si>
  <si>
    <t>20th to 22nd, 24th to 26th, 28th to 30th Floor</t>
  </si>
  <si>
    <t>23rd, 27th &amp; 31st Floor (Part Refuge Area)</t>
  </si>
  <si>
    <t>32nd to 34th, 36th to 38th, 40th to 42nd, 44th to 46th, 48th to 51st Floor</t>
  </si>
  <si>
    <t>35th, 39th, 43rd &amp; 47th Floor ( Part Refuge Area)</t>
  </si>
  <si>
    <t>Lower Ground Floor For Entrance Lobby (Double Heighted), Meter Room, Society Office, Driver Room &amp; Parking</t>
  </si>
  <si>
    <t>Upper Ground Floor For Meter Room, Landscaped Area &amp; Parking</t>
  </si>
  <si>
    <t>1st Floor For Residential, Meter Room &amp; Parking</t>
  </si>
  <si>
    <t>Business Center below</t>
  </si>
  <si>
    <t>Lower Ground Floor For Entrance Lobby(Double Heighted), Driver Room, Society Office, Telecom Room &amp; Parking</t>
  </si>
  <si>
    <t>Upper Ground Floor For Meter Room-1, Meter Room-2 &amp; Parking</t>
  </si>
  <si>
    <t>1st Floor For Residential &amp; Meter Room-3</t>
  </si>
  <si>
    <t>2BHK</t>
  </si>
  <si>
    <t>Meter Room-3</t>
  </si>
  <si>
    <t>DG Panel Room</t>
  </si>
  <si>
    <t>Void</t>
  </si>
  <si>
    <t>Creche</t>
  </si>
  <si>
    <t>Creche Area Below</t>
  </si>
  <si>
    <t>7th &amp; 12th Floor (Part Refuge Area)</t>
  </si>
  <si>
    <t>17th, 22nd, 27th,  32nd, 37th &amp; 42nd Floor ( Part Refuge Area)</t>
  </si>
  <si>
    <t>We considered Gross carpet area = Net carpet + Deck Area.</t>
  </si>
  <si>
    <t>Lower Ground Floor For Entrance Lobby (Double Heighted), Driver Room, Society Office, Telecom Room &amp; Parking</t>
  </si>
  <si>
    <t>1st Floor For Residential, Meter Room-3, DG Panel Room &amp; Parking</t>
  </si>
  <si>
    <t>3rd Floor (For Residential &amp; Amenity)</t>
  </si>
  <si>
    <t>Maze Area &amp; Kids Play Area (Double Heighted)</t>
  </si>
  <si>
    <t>Maze Area &amp; Kids Play Area Below</t>
  </si>
  <si>
    <t>7th, 12th, 17th, 22nd, 27th, 32nd, 37th &amp; 42nd Floor (Part Refuge Area)</t>
  </si>
  <si>
    <t>Lower Ground Floor For Entrance Lobby (Double Heighted), Society Office, Driver Room, Fire Control Room, Telecom Room &amp; Parking</t>
  </si>
  <si>
    <t>1st Floor For Residential, Meter Room, Meter Room-3 &amp; Parking</t>
  </si>
  <si>
    <t>3rd Floor (For Residential &amp; Creche)</t>
  </si>
  <si>
    <t xml:space="preserve">Creche Area </t>
  </si>
  <si>
    <t>Ajay Songare</t>
  </si>
  <si>
    <t>Business Center (Double Heighted)</t>
  </si>
  <si>
    <t>Vijay Garden Road</t>
  </si>
  <si>
    <t>Other Plot/40.00mt Wide DP Road</t>
  </si>
  <si>
    <t>Waghbil Road</t>
  </si>
  <si>
    <t>Aakar Residency/Vijay Residency</t>
  </si>
  <si>
    <t>Vijay Vatika</t>
  </si>
  <si>
    <t>10.1KM from Thane Railway Station</t>
  </si>
  <si>
    <t>EC &amp; Fire Noc query</t>
  </si>
  <si>
    <r>
      <t xml:space="preserve">Proposed Amenities :                                                                                                                                                                                                                         </t>
    </r>
    <r>
      <rPr>
        <b/>
        <sz val="12"/>
        <color theme="1"/>
        <rFont val="Times New Roman"/>
        <family val="1"/>
      </rPr>
      <t xml:space="preserve">                                               </t>
    </r>
  </si>
  <si>
    <t xml:space="preserve">Details of Residential in Building   </t>
  </si>
  <si>
    <t>2nd Floor For Residential &amp; Parking</t>
  </si>
  <si>
    <t>3rd Floor For Residential, Amenity &amp; Parking</t>
  </si>
  <si>
    <t>Double Height Indoor Games</t>
  </si>
  <si>
    <t>Double Height Indoor Games Below</t>
  </si>
  <si>
    <t>Parking &amp; Void Area</t>
  </si>
  <si>
    <t>Building No. 3</t>
  </si>
  <si>
    <t>BMS Room</t>
  </si>
  <si>
    <t>Flat No. 4 is mentioned As per the floor plan</t>
  </si>
  <si>
    <t>Building No. 6 (Type C2)</t>
  </si>
  <si>
    <t>Building No. 1 (Type A)</t>
  </si>
  <si>
    <t>Flats = 1844</t>
  </si>
  <si>
    <t>SIA/MH/INFRA2/454172/2023</t>
  </si>
  <si>
    <t>EC permission floor approved permission floors sobat match kartat and kahi plans var type name suddha aahet</t>
  </si>
  <si>
    <t>We have taken the Environment Clearance Certificate from the SEIAA site on 09/09/2024.</t>
  </si>
  <si>
    <t>Survey No. 138/2/15, 214/6, 8, 9A, 9B, 215/1, 2, 3A, 3B, 216/1, 2, 218/1, 2, 3, 4, 5, 6, 7, 219/1, 2, 3A, 3B, 4, 5, 6, 7, 220/1/A, 1/B, 2, 3, 4A, 4B, 5, 6, 221/1, 2, 222/1/A, 2B, 2C, 3, 4, 5, 6, 7, 8, 231/2/2/A, 2/2/C, 2/2/D, 2/2/B, 3/A, 3/B, 4, 6A, 6B, 232/1, 2, 3, 4, 232/5A &amp; 5B, 285, 286, 288.
Net Plot Area = 88856.63 Sq.m
Building No. 1 (Type A) = 2B + LG + UG + 1st to 55th Floor(188M Height)
Building No. 2 (Type B) = 2B + LG + UG + 1st to 51st Floor(166.25M Height)
Building No. 3 (Type B) = 2B + LG + UG + 1st to 51st Floor(166.25M Height)
Building No. 4 (Type C1) = 2B + LG + UG + 1st to 47tht Floor(148.10M Height)
Building No. 5 (Type C1) = 2B + LG + UG + 1st to 47tht Floor(148.10M Height)
Building No. 6 (Type C2) = 2B + LG + UG + 1st to 47tht Floor(148.30M Height)</t>
  </si>
  <si>
    <t>Approved area of building (Sq.Mt)
(Somerset, Belvedere A &amp; B, Florencia A &amp; B, Amalfi)</t>
  </si>
  <si>
    <t>S06/0401/23 TMC/TDD/24</t>
  </si>
  <si>
    <t>S06/0401/23/TMCB/TD-DP/TPS/0131/P/C/2024 Auto DCR</t>
  </si>
  <si>
    <t>Approved Plans, CC &amp; Builder Profile</t>
  </si>
  <si>
    <t>Attached Terrace area/
Canopy</t>
  </si>
  <si>
    <t>Approved layout and sheet no. 11 were referred from RERA site on 09/09/2024.</t>
  </si>
  <si>
    <t>TMC/CFO/M/HR/29/28</t>
  </si>
  <si>
    <t>Survey No. 138/2/15, 214/6, 8, 9A, 9B, 215/1, 2, 3A, 3B, 216/1, 2, 218/1, 2, 3, 4, 5, 6, 7, 219/1, 2, 3A, 3B, 4, 5, 6, 7, 220/1/A, 1/B, 2, 3, 4A, 4B, 5, 6, 221/1, 2, 222/1/A, 2B, 2C, 3, 4, 5, 6, 7, 8, 231/2/2/A, 2/2/C, 2/2/D, 2/2/B, 3/A, 3/B, 4, 6A, 6B, 232/1, 2, 3, 4, 232/5A &amp; 5B, 285, 286, 288
Florencia A &amp; B = 2B + LG + UG + 3P + 4th to 47th Floor (148.10M Height)
Amalfi = 2B + LG + UG + 3P + 4th to 47th Floor (148.10M Height)</t>
  </si>
  <si>
    <t>We have updated fire Noc for Building Florencia A &amp; B, Amalfi on 08/10/2024.
Please Check fire noc for Somerset, Belvedere A &amp; B.</t>
  </si>
  <si>
    <t>5th &amp; 6th, 8th to 10th, 12th to 14th, 16th to 18th, 20th to 22nd, 
24th to 26th, 28th to 30th, 32nd to 34th, 36th to 38th, 
40th to 42nd, 44th to 46th, 48th to 50th, 52nd to 55th Floor</t>
  </si>
  <si>
    <t>7th, 11th, 15th, 19th, 23rd, 27th, 31st, 35th, 39th, 
43rd, 47th &amp; 51st Floor (Part Refuge Area)</t>
  </si>
  <si>
    <t>5th, 6th, 8th to 11th, 13th to 16th, 18th to 21st, 23rd to 26th, 
28th to 31st, 33rd to 36th, 38th to 41st, 43rd to 46th &amp; 47th Floor</t>
  </si>
  <si>
    <t>5th, 6th, 8th to 11th, 13th to 16th, 18th to 21st, 23rd to 26th, 28th to 31st, 
33rd to 36th, 38th to 41st, 43rd to 46th &amp; 47th Floor</t>
  </si>
  <si>
    <t>5th, 6th, 8th to 11th, 13th to 16th, 18th to 21st, 23rd to 26th, 
28th to 31st, 33rd to 36th, 38th to 41st, 43rd to 47th  Floor</t>
  </si>
  <si>
    <t>17000 to 18300</t>
  </si>
  <si>
    <t xml:space="preserve">Sanjay </t>
  </si>
  <si>
    <t>Verbal</t>
  </si>
  <si>
    <t xml:space="preserve">Recommended Rates / Other charges of the Property have been revised on 21/02/2025.
</t>
  </si>
  <si>
    <t>Miss. Sonali</t>
  </si>
  <si>
    <t>Construction work is same as last visit dtd 10/05/2025 but work is in process at the time of visit (Internal visit not allowed). 
Construction details taken from Miss Nikita (Sales).</t>
  </si>
  <si>
    <t>Gaurav Panchal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</si>
</sst>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0.00_);_(* \(#,##0.00\);_(* &quot;-&quot;??_);_(@_)"/>
    <numFmt numFmtId="165" formatCode="0.0"/>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20"/>
      <color rgb="FFFF0000"/>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4"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77">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9" fontId="17" fillId="0" borderId="16"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1" fontId="8" fillId="0" borderId="3" xfId="1" applyNumberFormat="1" applyFont="1" applyBorder="1" applyAlignment="1" applyProtection="1">
      <alignment horizontal="center" vertical="top" wrapText="1"/>
      <protection locked="0"/>
    </xf>
    <xf numFmtId="1" fontId="17"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2" fillId="0" borderId="1" xfId="1" applyFont="1" applyBorder="1"/>
    <xf numFmtId="0" fontId="7"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27" fillId="0" borderId="0" xfId="10"/>
    <xf numFmtId="2" fontId="7" fillId="0" borderId="0" xfId="1" applyNumberFormat="1" applyFont="1" applyAlignment="1">
      <alignment horizontal="center" vertical="center"/>
    </xf>
    <xf numFmtId="0" fontId="7" fillId="0" borderId="0" xfId="1" applyFont="1" applyAlignment="1">
      <alignment horizontal="left" vertical="center"/>
    </xf>
    <xf numFmtId="165" fontId="7" fillId="0" borderId="0" xfId="1" applyNumberFormat="1" applyFont="1" applyAlignment="1">
      <alignment horizontal="center" vertical="center"/>
    </xf>
    <xf numFmtId="0" fontId="31" fillId="0" borderId="0" xfId="1" applyFont="1"/>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1" fontId="12" fillId="0" borderId="1" xfId="0" applyNumberFormat="1" applyFont="1" applyBorder="1" applyAlignment="1" applyProtection="1">
      <alignment horizontal="center" vertical="center" wrapText="1"/>
      <protection locked="0"/>
    </xf>
    <xf numFmtId="0" fontId="12" fillId="0" borderId="0" xfId="0" applyFont="1" applyAlignment="1">
      <alignment horizontal="center" vertical="center"/>
    </xf>
    <xf numFmtId="9" fontId="13" fillId="0" borderId="16" xfId="8" applyFont="1" applyFill="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0" fontId="7" fillId="2" borderId="0" xfId="1" applyFont="1" applyFill="1"/>
    <xf numFmtId="14" fontId="7" fillId="2" borderId="0" xfId="1" applyNumberFormat="1" applyFont="1" applyFill="1"/>
    <xf numFmtId="1" fontId="15" fillId="0" borderId="25" xfId="1" applyNumberFormat="1" applyFont="1" applyBorder="1" applyAlignment="1">
      <alignment horizontal="left" vertical="center"/>
    </xf>
    <xf numFmtId="1" fontId="15" fillId="0" borderId="0" xfId="1" applyNumberFormat="1" applyFont="1" applyAlignment="1">
      <alignment horizontal="left" vertical="center"/>
    </xf>
    <xf numFmtId="1" fontId="7" fillId="0" borderId="17" xfId="1" applyNumberFormat="1" applyFont="1" applyBorder="1" applyAlignment="1" applyProtection="1">
      <alignment horizontal="center" vertical="center" wrapText="1"/>
      <protection locked="0"/>
    </xf>
    <xf numFmtId="1" fontId="7" fillId="0" borderId="24" xfId="1" applyNumberFormat="1" applyFont="1" applyBorder="1" applyAlignment="1" applyProtection="1">
      <alignment horizontal="center" vertical="center" wrapText="1"/>
      <protection locked="0"/>
    </xf>
    <xf numFmtId="1" fontId="7" fillId="0" borderId="18" xfId="1" applyNumberFormat="1" applyFont="1" applyBorder="1" applyAlignment="1" applyProtection="1">
      <alignment horizontal="center" vertical="center" wrapText="1"/>
      <protection locked="0"/>
    </xf>
    <xf numFmtId="1" fontId="7" fillId="0" borderId="25" xfId="1" applyNumberFormat="1" applyFont="1" applyBorder="1" applyAlignment="1" applyProtection="1">
      <alignment horizontal="center" vertical="center" wrapText="1"/>
      <protection locked="0"/>
    </xf>
    <xf numFmtId="1" fontId="7" fillId="0" borderId="0" xfId="1" applyNumberFormat="1" applyFont="1" applyAlignment="1" applyProtection="1">
      <alignment horizontal="center" vertical="center" wrapText="1"/>
      <protection locked="0"/>
    </xf>
    <xf numFmtId="1" fontId="7" fillId="0" borderId="26" xfId="1" applyNumberFormat="1" applyFont="1" applyBorder="1" applyAlignment="1" applyProtection="1">
      <alignment horizontal="center" vertical="center" wrapText="1"/>
      <protection locked="0"/>
    </xf>
    <xf numFmtId="1" fontId="7" fillId="0" borderId="19" xfId="1" applyNumberFormat="1" applyFont="1" applyBorder="1" applyAlignment="1" applyProtection="1">
      <alignment horizontal="center" vertical="center" wrapText="1"/>
      <protection locked="0"/>
    </xf>
    <xf numFmtId="1" fontId="7" fillId="0" borderId="2" xfId="1" applyNumberFormat="1" applyFont="1" applyBorder="1" applyAlignment="1" applyProtection="1">
      <alignment horizontal="center" vertical="center" wrapText="1"/>
      <protection locked="0"/>
    </xf>
    <xf numFmtId="1" fontId="7" fillId="0" borderId="20"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3" xfId="1" applyNumberFormat="1" applyFont="1" applyBorder="1" applyAlignment="1" applyProtection="1">
      <alignment horizontal="center" vertical="center" wrapText="1"/>
      <protection locked="0"/>
    </xf>
    <xf numFmtId="1" fontId="6" fillId="0" borderId="16" xfId="1" applyNumberFormat="1" applyFont="1" applyBorder="1" applyAlignment="1" applyProtection="1">
      <alignment horizontal="center" vertical="center" wrapText="1"/>
      <protection locked="0"/>
    </xf>
    <xf numFmtId="1" fontId="6" fillId="0" borderId="35" xfId="1" applyNumberFormat="1" applyFont="1" applyBorder="1" applyAlignment="1" applyProtection="1">
      <alignment horizontal="center" vertical="center" wrapText="1"/>
      <protection locked="0"/>
    </xf>
    <xf numFmtId="1" fontId="6" fillId="0" borderId="25" xfId="1" applyNumberFormat="1" applyFont="1" applyBorder="1" applyAlignment="1" applyProtection="1">
      <alignment horizontal="center" vertical="center" wrapText="1"/>
      <protection locked="0"/>
    </xf>
    <xf numFmtId="1" fontId="6" fillId="0" borderId="0" xfId="1" applyNumberFormat="1" applyFont="1" applyAlignment="1" applyProtection="1">
      <alignment horizontal="center" vertical="center" wrapText="1"/>
      <protection locked="0"/>
    </xf>
    <xf numFmtId="1" fontId="6" fillId="0" borderId="26"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10" fillId="0" borderId="8" xfId="1" applyNumberFormat="1" applyFont="1" applyBorder="1" applyAlignment="1" applyProtection="1">
      <alignment horizontal="center" vertical="center" wrapText="1"/>
      <protection locked="0"/>
    </xf>
    <xf numFmtId="1" fontId="10" fillId="0" borderId="21" xfId="1" applyNumberFormat="1" applyFont="1" applyBorder="1" applyAlignment="1" applyProtection="1">
      <alignment horizontal="center" vertical="center" wrapText="1"/>
      <protection locked="0"/>
    </xf>
    <xf numFmtId="1" fontId="10" fillId="0" borderId="9" xfId="1" applyNumberFormat="1" applyFont="1" applyBorder="1" applyAlignment="1" applyProtection="1">
      <alignment horizontal="center" vertical="center" wrapText="1"/>
      <protection locked="0"/>
    </xf>
    <xf numFmtId="0" fontId="6" fillId="0" borderId="1"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12" fillId="0" borderId="4"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2" fillId="0" borderId="5" xfId="1" applyFont="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167" fontId="12" fillId="0" borderId="1" xfId="9" applyNumberFormat="1" applyFont="1" applyFill="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10"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0" fontId="7" fillId="0" borderId="25" xfId="1" applyFont="1" applyBorder="1" applyAlignment="1">
      <alignment horizontal="center"/>
    </xf>
    <xf numFmtId="0" fontId="7" fillId="0" borderId="0" xfId="1" applyFont="1" applyAlignment="1">
      <alignment horizontal="center"/>
    </xf>
    <xf numFmtId="0" fontId="10" fillId="0" borderId="1" xfId="1" applyFont="1" applyBorder="1" applyAlignment="1" applyProtection="1">
      <alignment horizontal="center"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12" fillId="0" borderId="1" xfId="1" applyFont="1" applyBorder="1" applyAlignment="1" applyProtection="1">
      <alignment horizontal="left" vertical="top"/>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0" fontId="7" fillId="0" borderId="17" xfId="1" applyFont="1" applyBorder="1" applyAlignment="1" applyProtection="1">
      <alignment horizontal="left" vertical="top" wrapText="1"/>
      <protection locked="0"/>
    </xf>
    <xf numFmtId="0" fontId="7" fillId="0" borderId="18"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1" fontId="6" fillId="0" borderId="1" xfId="0" applyNumberFormat="1" applyFont="1" applyBorder="1" applyAlignment="1" applyProtection="1">
      <alignment horizontal="center" vertical="top" wrapText="1"/>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8" fillId="0" borderId="16" xfId="1" applyFont="1" applyBorder="1" applyAlignment="1" applyProtection="1">
      <alignment horizontal="center" vertical="top"/>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lef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10" fillId="0" borderId="33" xfId="0" applyFont="1" applyBorder="1" applyAlignment="1" applyProtection="1">
      <alignment horizontal="center" vertical="center"/>
      <protection locked="0"/>
    </xf>
    <xf numFmtId="1" fontId="10" fillId="0" borderId="33" xfId="0" applyNumberFormat="1" applyFont="1" applyBorder="1" applyAlignment="1" applyProtection="1">
      <alignment horizontal="center" vertical="top" wrapText="1"/>
      <protection locked="0"/>
    </xf>
    <xf numFmtId="0" fontId="6" fillId="0" borderId="1" xfId="1" applyFont="1" applyBorder="1" applyAlignment="1" applyProtection="1">
      <alignment vertical="top"/>
      <protection locked="0"/>
    </xf>
    <xf numFmtId="1" fontId="10" fillId="0" borderId="3" xfId="1" applyNumberFormat="1" applyFont="1" applyBorder="1" applyAlignment="1" applyProtection="1">
      <alignment horizontal="center" vertical="top" wrapText="1"/>
      <protection locked="0"/>
    </xf>
    <xf numFmtId="1" fontId="10" fillId="0" borderId="16" xfId="1" applyNumberFormat="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 xfId="1" applyFont="1" applyBorder="1" applyAlignment="1" applyProtection="1">
      <alignment horizontal="left"/>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3" fillId="0" borderId="1" xfId="1" applyFont="1" applyBorder="1" applyAlignment="1" applyProtection="1">
      <alignment horizontal="center"/>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165"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7" fillId="0" borderId="3" xfId="1" applyFont="1" applyBorder="1" applyAlignment="1" applyProtection="1">
      <alignment horizontal="left" vertical="top" wrapText="1"/>
      <protection locked="0"/>
    </xf>
    <xf numFmtId="0" fontId="7" fillId="0" borderId="3" xfId="1" applyFont="1" applyBorder="1" applyAlignment="1" applyProtection="1">
      <alignment horizontal="left" vertical="top"/>
      <protection locked="0"/>
    </xf>
    <xf numFmtId="0" fontId="12" fillId="0" borderId="24" xfId="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12" fillId="0" borderId="21"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7" fillId="0" borderId="25" xfId="1" applyFont="1" applyBorder="1" applyAlignment="1" applyProtection="1">
      <alignment horizontal="left" vertical="top"/>
      <protection locked="0"/>
    </xf>
    <xf numFmtId="0" fontId="7" fillId="0" borderId="0" xfId="1" applyFont="1" applyAlignment="1" applyProtection="1">
      <alignment horizontal="left" vertical="top"/>
      <protection locked="0"/>
    </xf>
    <xf numFmtId="0" fontId="7" fillId="0" borderId="26" xfId="1" applyFont="1" applyBorder="1" applyAlignment="1" applyProtection="1">
      <alignment horizontal="left" vertical="top"/>
      <protection locked="0"/>
    </xf>
    <xf numFmtId="0" fontId="7" fillId="0" borderId="19" xfId="1" applyFont="1" applyBorder="1" applyAlignment="1" applyProtection="1">
      <alignment horizontal="left" vertical="top"/>
      <protection locked="0"/>
    </xf>
    <xf numFmtId="0" fontId="7" fillId="0" borderId="2" xfId="1" applyFont="1" applyBorder="1" applyAlignment="1" applyProtection="1">
      <alignment horizontal="left" vertical="top"/>
      <protection locked="0"/>
    </xf>
    <xf numFmtId="0" fontId="7" fillId="0" borderId="20" xfId="1" applyFont="1" applyBorder="1" applyAlignment="1" applyProtection="1">
      <alignment horizontal="left" vertical="top"/>
      <protection locked="0"/>
    </xf>
    <xf numFmtId="0" fontId="27" fillId="0" borderId="1" xfId="10" applyFill="1" applyBorder="1" applyAlignment="1" applyProtection="1">
      <alignment horizontal="left" vertical="top" wrapText="1"/>
      <protection locked="0"/>
    </xf>
    <xf numFmtId="0" fontId="8" fillId="0" borderId="16" xfId="1" applyFont="1" applyBorder="1" applyAlignment="1" applyProtection="1">
      <alignment horizontal="left" vertical="top"/>
      <protection locked="0"/>
    </xf>
    <xf numFmtId="0" fontId="10" fillId="0" borderId="8" xfId="1" applyFont="1" applyBorder="1" applyAlignment="1" applyProtection="1">
      <alignment horizontal="left" vertical="top"/>
      <protection locked="0"/>
    </xf>
    <xf numFmtId="0" fontId="10" fillId="0" borderId="21" xfId="1" applyFont="1" applyBorder="1" applyAlignment="1" applyProtection="1">
      <alignment horizontal="left" vertical="top"/>
      <protection locked="0"/>
    </xf>
    <xf numFmtId="0" fontId="10" fillId="0" borderId="9" xfId="1" applyFont="1" applyBorder="1" applyAlignment="1" applyProtection="1">
      <alignment horizontal="left" vertical="top"/>
      <protection locked="0"/>
    </xf>
    <xf numFmtId="9" fontId="12" fillId="0" borderId="17" xfId="8" applyFont="1" applyFill="1" applyBorder="1" applyAlignment="1" applyProtection="1">
      <alignment horizontal="center" vertical="center" wrapText="1"/>
      <protection locked="0"/>
    </xf>
    <xf numFmtId="9" fontId="12" fillId="0" borderId="18"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29" xfId="8" applyFont="1" applyFill="1" applyBorder="1" applyAlignment="1" applyProtection="1">
      <alignment horizontal="center" vertical="center" wrapText="1"/>
      <protection locked="0"/>
    </xf>
    <xf numFmtId="0" fontId="13" fillId="0" borderId="22" xfId="1" applyFont="1" applyBorder="1" applyAlignment="1" applyProtection="1">
      <alignment horizontal="left" vertical="top" wrapText="1"/>
      <protection locked="0"/>
    </xf>
    <xf numFmtId="0" fontId="13" fillId="0" borderId="15"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23" xfId="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9" fontId="12" fillId="0" borderId="27" xfId="8" applyFont="1" applyFill="1" applyBorder="1" applyAlignment="1" applyProtection="1">
      <alignment horizontal="center" vertical="center" wrapText="1"/>
      <protection locked="0"/>
    </xf>
    <xf numFmtId="9" fontId="12" fillId="0" borderId="10" xfId="8" applyFont="1" applyFill="1" applyBorder="1" applyAlignment="1" applyProtection="1">
      <alignment horizontal="center" vertical="center" wrapText="1"/>
      <protection locked="0"/>
    </xf>
    <xf numFmtId="9" fontId="12" fillId="0" borderId="12" xfId="8" applyFont="1" applyFill="1" applyBorder="1" applyAlignment="1" applyProtection="1">
      <alignment horizontal="center" vertical="center" wrapText="1"/>
      <protection locked="0"/>
    </xf>
    <xf numFmtId="1" fontId="8" fillId="0" borderId="3"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26"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0" fontId="7" fillId="0" borderId="17" xfId="1" applyFont="1" applyBorder="1" applyAlignment="1" applyProtection="1">
      <alignment horizontal="left" vertical="top"/>
      <protection locked="0"/>
    </xf>
    <xf numFmtId="0" fontId="7" fillId="0" borderId="24" xfId="1" applyFont="1" applyBorder="1" applyAlignment="1" applyProtection="1">
      <alignment horizontal="left" vertical="top"/>
      <protection locked="0"/>
    </xf>
    <xf numFmtId="0" fontId="7" fillId="0" borderId="18" xfId="1" applyFont="1" applyBorder="1" applyAlignment="1" applyProtection="1">
      <alignment horizontal="left" vertical="top"/>
      <protection locked="0"/>
    </xf>
    <xf numFmtId="1" fontId="17" fillId="0" borderId="3" xfId="1" applyNumberFormat="1" applyFont="1" applyBorder="1" applyAlignment="1" applyProtection="1">
      <alignment horizontal="center" vertical="top" wrapText="1"/>
      <protection locked="0"/>
    </xf>
    <xf numFmtId="1" fontId="17" fillId="0" borderId="16" xfId="1" applyNumberFormat="1" applyFont="1" applyBorder="1" applyAlignment="1" applyProtection="1">
      <alignment horizontal="center" vertical="top"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jpeg"/><Relationship Id="rId33" Type="http://schemas.openxmlformats.org/officeDocument/2006/relationships/image" Target="../media/image33.jpe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jpe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32" Type="http://schemas.openxmlformats.org/officeDocument/2006/relationships/image" Target="../media/image32.jpe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jpeg"/><Relationship Id="rId28" Type="http://schemas.openxmlformats.org/officeDocument/2006/relationships/image" Target="../media/image28.jpe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8" Type="http://schemas.openxmlformats.org/officeDocument/2006/relationships/image" Target="../media/image8.png"/></Relationships>
</file>

<file path=xl/drawings/_rels/drawing2.xml.rels><?xml version="1.0" encoding="UTF-8" standalone="yes"?>
<Relationships xmlns="http://schemas.openxmlformats.org/package/2006/relationships"><Relationship Id="rId2" Type="http://schemas.openxmlformats.org/officeDocument/2006/relationships/image" Target="../media/image39.png"/><Relationship Id="rId1" Type="http://schemas.openxmlformats.org/officeDocument/2006/relationships/image" Target="../media/image38.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7.png"/><Relationship Id="rId1" Type="http://schemas.openxmlformats.org/officeDocument/2006/relationships/image" Target="../media/image36.png"/></Relationships>
</file>

<file path=xl/drawings/drawing1.xml><?xml version="1.0" encoding="utf-8"?>
<xdr:wsDr xmlns:xdr="http://schemas.openxmlformats.org/drawingml/2006/spreadsheetDrawing" xmlns:a="http://schemas.openxmlformats.org/drawingml/2006/main">
  <xdr:twoCellAnchor editAs="oneCell">
    <xdr:from>
      <xdr:col>8</xdr:col>
      <xdr:colOff>444846</xdr:colOff>
      <xdr:row>182</xdr:row>
      <xdr:rowOff>152840</xdr:rowOff>
    </xdr:from>
    <xdr:to>
      <xdr:col>16</xdr:col>
      <xdr:colOff>411229</xdr:colOff>
      <xdr:row>195</xdr:row>
      <xdr:rowOff>45384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6759921" y="38690990"/>
          <a:ext cx="6738658" cy="2492869"/>
        </a:xfrm>
        <a:prstGeom prst="rect">
          <a:avLst/>
        </a:prstGeom>
        <a:ln>
          <a:solidFill>
            <a:schemeClr val="tx1"/>
          </a:solidFill>
        </a:ln>
      </xdr:spPr>
    </xdr:pic>
    <xdr:clientData/>
  </xdr:twoCellAnchor>
  <xdr:twoCellAnchor editAs="oneCell">
    <xdr:from>
      <xdr:col>8</xdr:col>
      <xdr:colOff>818029</xdr:colOff>
      <xdr:row>210</xdr:row>
      <xdr:rowOff>156882</xdr:rowOff>
    </xdr:from>
    <xdr:to>
      <xdr:col>13</xdr:col>
      <xdr:colOff>651099</xdr:colOff>
      <xdr:row>215</xdr:row>
      <xdr:rowOff>53115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7126941" y="45921706"/>
          <a:ext cx="4180952" cy="904762"/>
        </a:xfrm>
        <a:prstGeom prst="rect">
          <a:avLst/>
        </a:prstGeom>
        <a:ln>
          <a:solidFill>
            <a:schemeClr val="tx1"/>
          </a:solidFill>
        </a:ln>
      </xdr:spPr>
    </xdr:pic>
    <xdr:clientData/>
  </xdr:twoCellAnchor>
  <xdr:twoCellAnchor editAs="oneCell">
    <xdr:from>
      <xdr:col>8</xdr:col>
      <xdr:colOff>765923</xdr:colOff>
      <xdr:row>228</xdr:row>
      <xdr:rowOff>191061</xdr:rowOff>
    </xdr:from>
    <xdr:to>
      <xdr:col>13</xdr:col>
      <xdr:colOff>322803</xdr:colOff>
      <xdr:row>235</xdr:row>
      <xdr:rowOff>85564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7080998" y="49378161"/>
          <a:ext cx="3900280" cy="1294678"/>
        </a:xfrm>
        <a:prstGeom prst="rect">
          <a:avLst/>
        </a:prstGeom>
        <a:ln>
          <a:solidFill>
            <a:schemeClr val="tx1"/>
          </a:solidFill>
        </a:ln>
      </xdr:spPr>
    </xdr:pic>
    <xdr:clientData/>
  </xdr:twoCellAnchor>
  <xdr:twoCellAnchor editAs="oneCell">
    <xdr:from>
      <xdr:col>8</xdr:col>
      <xdr:colOff>897031</xdr:colOff>
      <xdr:row>237</xdr:row>
      <xdr:rowOff>80683</xdr:rowOff>
    </xdr:from>
    <xdr:to>
      <xdr:col>14</xdr:col>
      <xdr:colOff>451565</xdr:colOff>
      <xdr:row>247</xdr:row>
      <xdr:rowOff>101718</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7212106" y="51068008"/>
          <a:ext cx="4736134" cy="2021286"/>
        </a:xfrm>
        <a:prstGeom prst="rect">
          <a:avLst/>
        </a:prstGeom>
        <a:ln>
          <a:solidFill>
            <a:schemeClr val="tx1"/>
          </a:solidFill>
        </a:ln>
      </xdr:spPr>
    </xdr:pic>
    <xdr:clientData/>
  </xdr:twoCellAnchor>
  <xdr:twoCellAnchor editAs="oneCell">
    <xdr:from>
      <xdr:col>8</xdr:col>
      <xdr:colOff>1143000</xdr:colOff>
      <xdr:row>254</xdr:row>
      <xdr:rowOff>67235</xdr:rowOff>
    </xdr:from>
    <xdr:to>
      <xdr:col>14</xdr:col>
      <xdr:colOff>30867</xdr:colOff>
      <xdr:row>262</xdr:row>
      <xdr:rowOff>148826</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7451912" y="52690059"/>
          <a:ext cx="4076190" cy="1695238"/>
        </a:xfrm>
        <a:prstGeom prst="rect">
          <a:avLst/>
        </a:prstGeom>
        <a:ln>
          <a:solidFill>
            <a:schemeClr val="tx1"/>
          </a:solidFill>
        </a:ln>
      </xdr:spPr>
    </xdr:pic>
    <xdr:clientData/>
  </xdr:twoCellAnchor>
  <xdr:twoCellAnchor editAs="oneCell">
    <xdr:from>
      <xdr:col>8</xdr:col>
      <xdr:colOff>986118</xdr:colOff>
      <xdr:row>267</xdr:row>
      <xdr:rowOff>56029</xdr:rowOff>
    </xdr:from>
    <xdr:to>
      <xdr:col>13</xdr:col>
      <xdr:colOff>438236</xdr:colOff>
      <xdr:row>275</xdr:row>
      <xdr:rowOff>32858</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stretch>
          <a:fillRect/>
        </a:stretch>
      </xdr:blipFill>
      <xdr:spPr>
        <a:xfrm>
          <a:off x="7295030" y="55301029"/>
          <a:ext cx="3800000" cy="1590476"/>
        </a:xfrm>
        <a:prstGeom prst="rect">
          <a:avLst/>
        </a:prstGeom>
        <a:ln>
          <a:solidFill>
            <a:schemeClr val="tx1"/>
          </a:solidFill>
        </a:ln>
      </xdr:spPr>
    </xdr:pic>
    <xdr:clientData/>
  </xdr:twoCellAnchor>
  <xdr:twoCellAnchor editAs="oneCell">
    <xdr:from>
      <xdr:col>8</xdr:col>
      <xdr:colOff>818030</xdr:colOff>
      <xdr:row>286</xdr:row>
      <xdr:rowOff>44823</xdr:rowOff>
    </xdr:from>
    <xdr:to>
      <xdr:col>13</xdr:col>
      <xdr:colOff>184434</xdr:colOff>
      <xdr:row>290</xdr:row>
      <xdr:rowOff>28476</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a:stretch>
          <a:fillRect/>
        </a:stretch>
      </xdr:blipFill>
      <xdr:spPr>
        <a:xfrm>
          <a:off x="7126942" y="59133441"/>
          <a:ext cx="3714286" cy="790476"/>
        </a:xfrm>
        <a:prstGeom prst="rect">
          <a:avLst/>
        </a:prstGeom>
        <a:ln>
          <a:solidFill>
            <a:schemeClr val="tx1"/>
          </a:solidFill>
        </a:ln>
      </xdr:spPr>
    </xdr:pic>
    <xdr:clientData/>
  </xdr:twoCellAnchor>
  <xdr:twoCellAnchor editAs="oneCell">
    <xdr:from>
      <xdr:col>8</xdr:col>
      <xdr:colOff>818029</xdr:colOff>
      <xdr:row>301</xdr:row>
      <xdr:rowOff>89646</xdr:rowOff>
    </xdr:from>
    <xdr:to>
      <xdr:col>12</xdr:col>
      <xdr:colOff>770527</xdr:colOff>
      <xdr:row>307</xdr:row>
      <xdr:rowOff>41315</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
        <a:stretch>
          <a:fillRect/>
        </a:stretch>
      </xdr:blipFill>
      <xdr:spPr>
        <a:xfrm>
          <a:off x="7126941" y="60590205"/>
          <a:ext cx="3504762" cy="1161905"/>
        </a:xfrm>
        <a:prstGeom prst="rect">
          <a:avLst/>
        </a:prstGeom>
        <a:ln>
          <a:solidFill>
            <a:schemeClr val="tx1"/>
          </a:solidFill>
        </a:ln>
      </xdr:spPr>
    </xdr:pic>
    <xdr:clientData/>
  </xdr:twoCellAnchor>
  <xdr:twoCellAnchor editAs="oneCell">
    <xdr:from>
      <xdr:col>10</xdr:col>
      <xdr:colOff>258295</xdr:colOff>
      <xdr:row>312</xdr:row>
      <xdr:rowOff>97492</xdr:rowOff>
    </xdr:from>
    <xdr:to>
      <xdr:col>15</xdr:col>
      <xdr:colOff>205686</xdr:colOff>
      <xdr:row>320</xdr:row>
      <xdr:rowOff>179081</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9"/>
        <a:stretch>
          <a:fillRect/>
        </a:stretch>
      </xdr:blipFill>
      <xdr:spPr>
        <a:xfrm>
          <a:off x="8497420" y="65905717"/>
          <a:ext cx="4014566" cy="1681790"/>
        </a:xfrm>
        <a:prstGeom prst="rect">
          <a:avLst/>
        </a:prstGeom>
        <a:ln>
          <a:solidFill>
            <a:schemeClr val="tx1"/>
          </a:solidFill>
        </a:ln>
      </xdr:spPr>
    </xdr:pic>
    <xdr:clientData/>
  </xdr:twoCellAnchor>
  <xdr:twoCellAnchor editAs="oneCell">
    <xdr:from>
      <xdr:col>8</xdr:col>
      <xdr:colOff>862853</xdr:colOff>
      <xdr:row>327</xdr:row>
      <xdr:rowOff>190500</xdr:rowOff>
    </xdr:from>
    <xdr:to>
      <xdr:col>13</xdr:col>
      <xdr:colOff>543542</xdr:colOff>
      <xdr:row>336</xdr:row>
      <xdr:rowOff>79908</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0"/>
        <a:stretch>
          <a:fillRect/>
        </a:stretch>
      </xdr:blipFill>
      <xdr:spPr>
        <a:xfrm>
          <a:off x="7171765" y="65733706"/>
          <a:ext cx="4028571" cy="1704762"/>
        </a:xfrm>
        <a:prstGeom prst="rect">
          <a:avLst/>
        </a:prstGeom>
        <a:ln>
          <a:solidFill>
            <a:schemeClr val="tx1"/>
          </a:solidFill>
        </a:ln>
      </xdr:spPr>
    </xdr:pic>
    <xdr:clientData/>
  </xdr:twoCellAnchor>
  <xdr:twoCellAnchor editAs="oneCell">
    <xdr:from>
      <xdr:col>8</xdr:col>
      <xdr:colOff>851648</xdr:colOff>
      <xdr:row>339</xdr:row>
      <xdr:rowOff>179294</xdr:rowOff>
    </xdr:from>
    <xdr:to>
      <xdr:col>13</xdr:col>
      <xdr:colOff>579956</xdr:colOff>
      <xdr:row>348</xdr:row>
      <xdr:rowOff>40133</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1"/>
        <a:stretch>
          <a:fillRect/>
        </a:stretch>
      </xdr:blipFill>
      <xdr:spPr>
        <a:xfrm>
          <a:off x="7160560" y="68142970"/>
          <a:ext cx="4076190" cy="1676190"/>
        </a:xfrm>
        <a:prstGeom prst="rect">
          <a:avLst/>
        </a:prstGeom>
        <a:ln>
          <a:solidFill>
            <a:schemeClr val="tx1"/>
          </a:solidFill>
        </a:ln>
      </xdr:spPr>
    </xdr:pic>
    <xdr:clientData/>
  </xdr:twoCellAnchor>
  <xdr:twoCellAnchor editAs="oneCell">
    <xdr:from>
      <xdr:col>11</xdr:col>
      <xdr:colOff>136150</xdr:colOff>
      <xdr:row>356</xdr:row>
      <xdr:rowOff>124385</xdr:rowOff>
    </xdr:from>
    <xdr:to>
      <xdr:col>17</xdr:col>
      <xdr:colOff>449282</xdr:colOff>
      <xdr:row>374</xdr:row>
      <xdr:rowOff>47740</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2"/>
        <a:stretch>
          <a:fillRect/>
        </a:stretch>
      </xdr:blipFill>
      <xdr:spPr>
        <a:xfrm>
          <a:off x="9080125" y="74733710"/>
          <a:ext cx="5066107" cy="3523805"/>
        </a:xfrm>
        <a:prstGeom prst="rect">
          <a:avLst/>
        </a:prstGeom>
        <a:ln>
          <a:solidFill>
            <a:schemeClr val="tx1"/>
          </a:solidFill>
        </a:ln>
      </xdr:spPr>
    </xdr:pic>
    <xdr:clientData/>
  </xdr:twoCellAnchor>
  <xdr:twoCellAnchor editAs="oneCell">
    <xdr:from>
      <xdr:col>8</xdr:col>
      <xdr:colOff>1086970</xdr:colOff>
      <xdr:row>428</xdr:row>
      <xdr:rowOff>134470</xdr:rowOff>
    </xdr:from>
    <xdr:to>
      <xdr:col>14</xdr:col>
      <xdr:colOff>679599</xdr:colOff>
      <xdr:row>445</xdr:row>
      <xdr:rowOff>29280</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3"/>
        <a:stretch>
          <a:fillRect/>
        </a:stretch>
      </xdr:blipFill>
      <xdr:spPr>
        <a:xfrm>
          <a:off x="7395882" y="86464588"/>
          <a:ext cx="4780952" cy="3323809"/>
        </a:xfrm>
        <a:prstGeom prst="rect">
          <a:avLst/>
        </a:prstGeom>
        <a:ln>
          <a:solidFill>
            <a:schemeClr val="tx1"/>
          </a:solidFill>
        </a:ln>
      </xdr:spPr>
    </xdr:pic>
    <xdr:clientData/>
  </xdr:twoCellAnchor>
  <xdr:twoCellAnchor editAs="oneCell">
    <xdr:from>
      <xdr:col>8</xdr:col>
      <xdr:colOff>533960</xdr:colOff>
      <xdr:row>488</xdr:row>
      <xdr:rowOff>77881</xdr:rowOff>
    </xdr:from>
    <xdr:to>
      <xdr:col>14</xdr:col>
      <xdr:colOff>719867</xdr:colOff>
      <xdr:row>506</xdr:row>
      <xdr:rowOff>132889</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4"/>
        <a:stretch>
          <a:fillRect/>
        </a:stretch>
      </xdr:blipFill>
      <xdr:spPr>
        <a:xfrm>
          <a:off x="6849035" y="102300181"/>
          <a:ext cx="5367507" cy="3655458"/>
        </a:xfrm>
        <a:prstGeom prst="rect">
          <a:avLst/>
        </a:prstGeom>
        <a:ln>
          <a:solidFill>
            <a:schemeClr val="tx1"/>
          </a:solidFill>
        </a:ln>
      </xdr:spPr>
    </xdr:pic>
    <xdr:clientData/>
  </xdr:twoCellAnchor>
  <xdr:twoCellAnchor editAs="oneCell">
    <xdr:from>
      <xdr:col>1</xdr:col>
      <xdr:colOff>794713</xdr:colOff>
      <xdr:row>684</xdr:row>
      <xdr:rowOff>44376</xdr:rowOff>
    </xdr:from>
    <xdr:to>
      <xdr:col>5</xdr:col>
      <xdr:colOff>699555</xdr:colOff>
      <xdr:row>701</xdr:row>
      <xdr:rowOff>35376</xdr:rowOff>
    </xdr:to>
    <xdr:pic>
      <xdr:nvPicPr>
        <xdr:cNvPr id="43" name="Picture 42">
          <a:extLst>
            <a:ext uri="{FF2B5EF4-FFF2-40B4-BE49-F238E27FC236}">
              <a16:creationId xmlns:a16="http://schemas.microsoft.com/office/drawing/2014/main" id="{00000000-0008-0000-0000-00002B000000}"/>
            </a:ext>
          </a:extLst>
        </xdr:cNvPr>
        <xdr:cNvPicPr>
          <a:picLocks noChangeAspect="1"/>
        </xdr:cNvPicPr>
      </xdr:nvPicPr>
      <xdr:blipFill rotWithShape="1">
        <a:blip xmlns:r="http://schemas.openxmlformats.org/officeDocument/2006/relationships" r:embed="rId15" cstate="screen">
          <a:extLst>
            <a:ext uri="{28A0092B-C50C-407E-A947-70E740481C1C}">
              <a14:useLocalDpi xmlns:a14="http://schemas.microsoft.com/office/drawing/2010/main"/>
            </a:ext>
          </a:extLst>
        </a:blip>
        <a:srcRect/>
        <a:stretch/>
      </xdr:blipFill>
      <xdr:spPr>
        <a:xfrm>
          <a:off x="1579573" y="133729656"/>
          <a:ext cx="3333842" cy="3359040"/>
        </a:xfrm>
        <a:prstGeom prst="rect">
          <a:avLst/>
        </a:prstGeom>
        <a:ln>
          <a:solidFill>
            <a:schemeClr val="tx1"/>
          </a:solidFill>
        </a:ln>
      </xdr:spPr>
    </xdr:pic>
    <xdr:clientData/>
  </xdr:twoCellAnchor>
  <xdr:twoCellAnchor>
    <xdr:from>
      <xdr:col>1</xdr:col>
      <xdr:colOff>43031</xdr:colOff>
      <xdr:row>701</xdr:row>
      <xdr:rowOff>190693</xdr:rowOff>
    </xdr:from>
    <xdr:to>
      <xdr:col>7</xdr:col>
      <xdr:colOff>51099</xdr:colOff>
      <xdr:row>717</xdr:row>
      <xdr:rowOff>187810</xdr:rowOff>
    </xdr:to>
    <xdr:grpSp>
      <xdr:nvGrpSpPr>
        <xdr:cNvPr id="44" name="Group 43">
          <a:extLst>
            <a:ext uri="{FF2B5EF4-FFF2-40B4-BE49-F238E27FC236}">
              <a16:creationId xmlns:a16="http://schemas.microsoft.com/office/drawing/2014/main" id="{00000000-0008-0000-0000-00002C000000}"/>
            </a:ext>
          </a:extLst>
        </xdr:cNvPr>
        <xdr:cNvGrpSpPr/>
      </xdr:nvGrpSpPr>
      <xdr:grpSpPr>
        <a:xfrm>
          <a:off x="805031" y="138484168"/>
          <a:ext cx="4827718" cy="3197517"/>
          <a:chOff x="1204685" y="4651256"/>
          <a:chExt cx="4325257" cy="2801258"/>
        </a:xfrm>
      </xdr:grpSpPr>
      <xdr:pic>
        <xdr:nvPicPr>
          <xdr:cNvPr id="45" name="Picture 44">
            <a:extLst>
              <a:ext uri="{FF2B5EF4-FFF2-40B4-BE49-F238E27FC236}">
                <a16:creationId xmlns:a16="http://schemas.microsoft.com/office/drawing/2014/main" id="{00000000-0008-0000-0000-00002D000000}"/>
              </a:ext>
            </a:extLst>
          </xdr:cNvPr>
          <xdr:cNvPicPr>
            <a:picLocks noChangeAspect="1"/>
          </xdr:cNvPicPr>
        </xdr:nvPicPr>
        <xdr:blipFill rotWithShape="1">
          <a:blip xmlns:r="http://schemas.openxmlformats.org/officeDocument/2006/relationships" r:embed="rId16" cstate="screen">
            <a:extLst>
              <a:ext uri="{28A0092B-C50C-407E-A947-70E740481C1C}">
                <a14:useLocalDpi xmlns:a14="http://schemas.microsoft.com/office/drawing/2010/main"/>
              </a:ext>
            </a:extLst>
          </a:blip>
          <a:srcRect/>
          <a:stretch/>
        </xdr:blipFill>
        <xdr:spPr>
          <a:xfrm>
            <a:off x="1204685" y="4651256"/>
            <a:ext cx="4325257" cy="2801258"/>
          </a:xfrm>
          <a:prstGeom prst="rect">
            <a:avLst/>
          </a:prstGeom>
          <a:ln>
            <a:solidFill>
              <a:schemeClr val="tx1"/>
            </a:solidFill>
          </a:ln>
        </xdr:spPr>
      </xdr:pic>
      <xdr:sp macro="" textlink="">
        <xdr:nvSpPr>
          <xdr:cNvPr id="46" name="Freeform 45">
            <a:extLst>
              <a:ext uri="{FF2B5EF4-FFF2-40B4-BE49-F238E27FC236}">
                <a16:creationId xmlns:a16="http://schemas.microsoft.com/office/drawing/2014/main" id="{00000000-0008-0000-0000-00002E000000}"/>
              </a:ext>
            </a:extLst>
          </xdr:cNvPr>
          <xdr:cNvSpPr/>
        </xdr:nvSpPr>
        <xdr:spPr>
          <a:xfrm>
            <a:off x="2857500" y="4884420"/>
            <a:ext cx="1569720" cy="2164080"/>
          </a:xfrm>
          <a:custGeom>
            <a:avLst/>
            <a:gdLst>
              <a:gd name="connsiteX0" fmla="*/ 441960 w 1569720"/>
              <a:gd name="connsiteY0" fmla="*/ 0 h 2164080"/>
              <a:gd name="connsiteX1" fmla="*/ 1569720 w 1569720"/>
              <a:gd name="connsiteY1" fmla="*/ 182880 h 2164080"/>
              <a:gd name="connsiteX2" fmla="*/ 1226820 w 1569720"/>
              <a:gd name="connsiteY2" fmla="*/ 1592580 h 2164080"/>
              <a:gd name="connsiteX3" fmla="*/ 480060 w 1569720"/>
              <a:gd name="connsiteY3" fmla="*/ 2164080 h 2164080"/>
              <a:gd name="connsiteX4" fmla="*/ 0 w 1569720"/>
              <a:gd name="connsiteY4" fmla="*/ 1135380 h 2164080"/>
              <a:gd name="connsiteX5" fmla="*/ 327660 w 1569720"/>
              <a:gd name="connsiteY5" fmla="*/ 510540 h 2164080"/>
              <a:gd name="connsiteX6" fmla="*/ 441960 w 1569720"/>
              <a:gd name="connsiteY6" fmla="*/ 0 h 21640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569720" h="2164080">
                <a:moveTo>
                  <a:pt x="441960" y="0"/>
                </a:moveTo>
                <a:lnTo>
                  <a:pt x="1569720" y="182880"/>
                </a:lnTo>
                <a:lnTo>
                  <a:pt x="1226820" y="1592580"/>
                </a:lnTo>
                <a:lnTo>
                  <a:pt x="480060" y="2164080"/>
                </a:lnTo>
                <a:lnTo>
                  <a:pt x="0" y="1135380"/>
                </a:lnTo>
                <a:lnTo>
                  <a:pt x="327660" y="510540"/>
                </a:lnTo>
                <a:lnTo>
                  <a:pt x="441960" y="0"/>
                </a:lnTo>
                <a:close/>
              </a:path>
            </a:pathLst>
          </a:cu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7" name="TextBox 37">
            <a:extLst>
              <a:ext uri="{FF2B5EF4-FFF2-40B4-BE49-F238E27FC236}">
                <a16:creationId xmlns:a16="http://schemas.microsoft.com/office/drawing/2014/main" id="{00000000-0008-0000-0000-00002F000000}"/>
              </a:ext>
            </a:extLst>
          </xdr:cNvPr>
          <xdr:cNvSpPr txBox="1"/>
        </xdr:nvSpPr>
        <xdr:spPr>
          <a:xfrm>
            <a:off x="1204685" y="4699754"/>
            <a:ext cx="1875770"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FF00"/>
                </a:solidFill>
              </a:rPr>
              <a:t>Hiranandani Westgate </a:t>
            </a:r>
            <a:endParaRPr lang="en-IN" sz="1400" b="1">
              <a:solidFill>
                <a:srgbClr val="FFFF00"/>
              </a:solidFill>
            </a:endParaRPr>
          </a:p>
        </xdr:txBody>
      </xdr:sp>
    </xdr:grpSp>
    <xdr:clientData/>
  </xdr:twoCellAnchor>
  <xdr:twoCellAnchor editAs="oneCell">
    <xdr:from>
      <xdr:col>8</xdr:col>
      <xdr:colOff>320486</xdr:colOff>
      <xdr:row>60</xdr:row>
      <xdr:rowOff>113178</xdr:rowOff>
    </xdr:from>
    <xdr:to>
      <xdr:col>15</xdr:col>
      <xdr:colOff>192006</xdr:colOff>
      <xdr:row>71</xdr:row>
      <xdr:rowOff>174988</xdr:rowOff>
    </xdr:to>
    <xdr:pic>
      <xdr:nvPicPr>
        <xdr:cNvPr id="48" name="Picture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17"/>
        <a:stretch>
          <a:fillRect/>
        </a:stretch>
      </xdr:blipFill>
      <xdr:spPr>
        <a:xfrm>
          <a:off x="6635561" y="14619753"/>
          <a:ext cx="5862745" cy="3052660"/>
        </a:xfrm>
        <a:prstGeom prst="rect">
          <a:avLst/>
        </a:prstGeom>
        <a:ln>
          <a:solidFill>
            <a:schemeClr val="tx1"/>
          </a:solidFill>
        </a:ln>
      </xdr:spPr>
    </xdr:pic>
    <xdr:clientData/>
  </xdr:twoCellAnchor>
  <xdr:twoCellAnchor editAs="oneCell">
    <xdr:from>
      <xdr:col>8</xdr:col>
      <xdr:colOff>526676</xdr:colOff>
      <xdr:row>39</xdr:row>
      <xdr:rowOff>56029</xdr:rowOff>
    </xdr:from>
    <xdr:to>
      <xdr:col>13</xdr:col>
      <xdr:colOff>350223</xdr:colOff>
      <xdr:row>50</xdr:row>
      <xdr:rowOff>74743</xdr:rowOff>
    </xdr:to>
    <xdr:pic>
      <xdr:nvPicPr>
        <xdr:cNvPr id="49" name="Picture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8"/>
        <a:stretch>
          <a:fillRect/>
        </a:stretch>
      </xdr:blipFill>
      <xdr:spPr>
        <a:xfrm>
          <a:off x="6835588" y="10555941"/>
          <a:ext cx="4171429" cy="2685714"/>
        </a:xfrm>
        <a:prstGeom prst="rect">
          <a:avLst/>
        </a:prstGeom>
        <a:ln>
          <a:solidFill>
            <a:schemeClr val="tx1"/>
          </a:solidFill>
        </a:ln>
      </xdr:spPr>
    </xdr:pic>
    <xdr:clientData/>
  </xdr:twoCellAnchor>
  <xdr:twoCellAnchor editAs="oneCell">
    <xdr:from>
      <xdr:col>8</xdr:col>
      <xdr:colOff>432547</xdr:colOff>
      <xdr:row>15</xdr:row>
      <xdr:rowOff>780490</xdr:rowOff>
    </xdr:from>
    <xdr:to>
      <xdr:col>14</xdr:col>
      <xdr:colOff>713692</xdr:colOff>
      <xdr:row>16</xdr:row>
      <xdr:rowOff>777540</xdr:rowOff>
    </xdr:to>
    <xdr:pic>
      <xdr:nvPicPr>
        <xdr:cNvPr id="50" name="Picture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19"/>
        <a:stretch>
          <a:fillRect/>
        </a:stretch>
      </xdr:blipFill>
      <xdr:spPr>
        <a:xfrm>
          <a:off x="6747622" y="4371415"/>
          <a:ext cx="5462745" cy="1187675"/>
        </a:xfrm>
        <a:prstGeom prst="rect">
          <a:avLst/>
        </a:prstGeom>
        <a:ln>
          <a:solidFill>
            <a:schemeClr val="tx1"/>
          </a:solidFill>
        </a:ln>
      </xdr:spPr>
    </xdr:pic>
    <xdr:clientData/>
  </xdr:twoCellAnchor>
  <xdr:twoCellAnchor>
    <xdr:from>
      <xdr:col>1</xdr:col>
      <xdr:colOff>236668</xdr:colOff>
      <xdr:row>641</xdr:row>
      <xdr:rowOff>161811</xdr:rowOff>
    </xdr:from>
    <xdr:to>
      <xdr:col>6</xdr:col>
      <xdr:colOff>510539</xdr:colOff>
      <xdr:row>680</xdr:row>
      <xdr:rowOff>30480</xdr:rowOff>
    </xdr:to>
    <xdr:grpSp>
      <xdr:nvGrpSpPr>
        <xdr:cNvPr id="29" name="Group 28">
          <a:extLst>
            <a:ext uri="{FF2B5EF4-FFF2-40B4-BE49-F238E27FC236}">
              <a16:creationId xmlns:a16="http://schemas.microsoft.com/office/drawing/2014/main" id="{0CDD22C5-144B-8036-2BF0-C4A4293062EF}"/>
            </a:ext>
          </a:extLst>
        </xdr:cNvPr>
        <xdr:cNvGrpSpPr/>
      </xdr:nvGrpSpPr>
      <xdr:grpSpPr>
        <a:xfrm>
          <a:off x="998668" y="126453786"/>
          <a:ext cx="4360096" cy="7669644"/>
          <a:chOff x="739588" y="125465091"/>
          <a:chExt cx="4281095" cy="8021413"/>
        </a:xfrm>
      </xdr:grpSpPr>
      <xdr:grpSp>
        <xdr:nvGrpSpPr>
          <xdr:cNvPr id="30" name="Group 29">
            <a:extLst>
              <a:ext uri="{FF2B5EF4-FFF2-40B4-BE49-F238E27FC236}">
                <a16:creationId xmlns:a16="http://schemas.microsoft.com/office/drawing/2014/main" id="{00000000-0008-0000-0000-00001E000000}"/>
              </a:ext>
            </a:extLst>
          </xdr:cNvPr>
          <xdr:cNvGrpSpPr/>
        </xdr:nvGrpSpPr>
        <xdr:grpSpPr>
          <a:xfrm>
            <a:off x="739588" y="125465091"/>
            <a:ext cx="4281095" cy="5338035"/>
            <a:chOff x="1815434" y="2322000"/>
            <a:chExt cx="3227132" cy="4500000"/>
          </a:xfrm>
        </xdr:grpSpPr>
        <xdr:grpSp>
          <xdr:nvGrpSpPr>
            <xdr:cNvPr id="31" name="Group 30">
              <a:extLst>
                <a:ext uri="{FF2B5EF4-FFF2-40B4-BE49-F238E27FC236}">
                  <a16:creationId xmlns:a16="http://schemas.microsoft.com/office/drawing/2014/main" id="{00000000-0008-0000-0000-00001F000000}"/>
                </a:ext>
              </a:extLst>
            </xdr:cNvPr>
            <xdr:cNvGrpSpPr/>
          </xdr:nvGrpSpPr>
          <xdr:grpSpPr>
            <a:xfrm>
              <a:off x="1815434" y="2322000"/>
              <a:ext cx="3227132" cy="4500000"/>
              <a:chOff x="0" y="0"/>
              <a:chExt cx="3227132" cy="4500000"/>
            </a:xfrm>
          </xdr:grpSpPr>
          <xdr:sp macro="" textlink="">
            <xdr:nvSpPr>
              <xdr:cNvPr id="34" name="TextBox 8">
                <a:extLst>
                  <a:ext uri="{FF2B5EF4-FFF2-40B4-BE49-F238E27FC236}">
                    <a16:creationId xmlns:a16="http://schemas.microsoft.com/office/drawing/2014/main" id="{00000000-0008-0000-0000-000022000000}"/>
                  </a:ext>
                </a:extLst>
              </xdr:cNvPr>
              <xdr:cNvSpPr txBox="1"/>
            </xdr:nvSpPr>
            <xdr:spPr>
              <a:xfrm>
                <a:off x="3042401" y="1199238"/>
                <a:ext cx="18473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IN"/>
              </a:p>
            </xdr:txBody>
          </xdr:sp>
          <xdr:pic>
            <xdr:nvPicPr>
              <xdr:cNvPr id="35" name="Picture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a:off x="92616" y="0"/>
                <a:ext cx="3127949" cy="4500000"/>
              </a:xfrm>
              <a:prstGeom prst="rect">
                <a:avLst/>
              </a:prstGeom>
              <a:ln>
                <a:solidFill>
                  <a:schemeClr val="tx1"/>
                </a:solidFill>
              </a:ln>
            </xdr:spPr>
          </xdr:pic>
          <xdr:sp macro="" textlink="">
            <xdr:nvSpPr>
              <xdr:cNvPr id="36" name="TextBox 13">
                <a:extLst>
                  <a:ext uri="{FF2B5EF4-FFF2-40B4-BE49-F238E27FC236}">
                    <a16:creationId xmlns:a16="http://schemas.microsoft.com/office/drawing/2014/main" id="{00000000-0008-0000-0000-000024000000}"/>
                  </a:ext>
                </a:extLst>
              </xdr:cNvPr>
              <xdr:cNvSpPr txBox="1"/>
            </xdr:nvSpPr>
            <xdr:spPr>
              <a:xfrm>
                <a:off x="722255" y="2599592"/>
                <a:ext cx="784510"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t>Somerset</a:t>
                </a:r>
                <a:endParaRPr lang="en-IN" sz="1200" b="1"/>
              </a:p>
            </xdr:txBody>
          </xdr:sp>
          <xdr:sp macro="" textlink="">
            <xdr:nvSpPr>
              <xdr:cNvPr id="37" name="TextBox 14">
                <a:extLst>
                  <a:ext uri="{FF2B5EF4-FFF2-40B4-BE49-F238E27FC236}">
                    <a16:creationId xmlns:a16="http://schemas.microsoft.com/office/drawing/2014/main" id="{00000000-0008-0000-0000-000025000000}"/>
                  </a:ext>
                </a:extLst>
              </xdr:cNvPr>
              <xdr:cNvSpPr txBox="1"/>
            </xdr:nvSpPr>
            <xdr:spPr>
              <a:xfrm>
                <a:off x="86049" y="2137927"/>
                <a:ext cx="860107"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t>Belvedere A</a:t>
                </a:r>
                <a:endParaRPr lang="en-IN" sz="1200" b="1"/>
              </a:p>
            </xdr:txBody>
          </xdr:sp>
          <xdr:sp macro="" textlink="">
            <xdr:nvSpPr>
              <xdr:cNvPr id="38" name="TextBox 15">
                <a:extLst>
                  <a:ext uri="{FF2B5EF4-FFF2-40B4-BE49-F238E27FC236}">
                    <a16:creationId xmlns:a16="http://schemas.microsoft.com/office/drawing/2014/main" id="{00000000-0008-0000-0000-000026000000}"/>
                  </a:ext>
                </a:extLst>
              </xdr:cNvPr>
              <xdr:cNvSpPr txBox="1"/>
            </xdr:nvSpPr>
            <xdr:spPr>
              <a:xfrm>
                <a:off x="0" y="1075511"/>
                <a:ext cx="946156"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t>Belvedere B</a:t>
                </a:r>
                <a:endParaRPr lang="en-IN" sz="1200" b="1"/>
              </a:p>
            </xdr:txBody>
          </xdr:sp>
          <xdr:sp macro="" textlink="">
            <xdr:nvSpPr>
              <xdr:cNvPr id="39" name="TextBox 16">
                <a:extLst>
                  <a:ext uri="{FF2B5EF4-FFF2-40B4-BE49-F238E27FC236}">
                    <a16:creationId xmlns:a16="http://schemas.microsoft.com/office/drawing/2014/main" id="{00000000-0008-0000-0000-000027000000}"/>
                  </a:ext>
                </a:extLst>
              </xdr:cNvPr>
              <xdr:cNvSpPr txBox="1"/>
            </xdr:nvSpPr>
            <xdr:spPr>
              <a:xfrm>
                <a:off x="175137" y="799612"/>
                <a:ext cx="896271"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t>Florencia A</a:t>
                </a:r>
                <a:endParaRPr lang="en-IN" sz="1200" b="1"/>
              </a:p>
            </xdr:txBody>
          </xdr:sp>
          <xdr:sp macro="" textlink="">
            <xdr:nvSpPr>
              <xdr:cNvPr id="40" name="TextBox 17">
                <a:extLst>
                  <a:ext uri="{FF2B5EF4-FFF2-40B4-BE49-F238E27FC236}">
                    <a16:creationId xmlns:a16="http://schemas.microsoft.com/office/drawing/2014/main" id="{00000000-0008-0000-0000-000028000000}"/>
                  </a:ext>
                </a:extLst>
              </xdr:cNvPr>
              <xdr:cNvSpPr txBox="1"/>
            </xdr:nvSpPr>
            <xdr:spPr>
              <a:xfrm>
                <a:off x="978930" y="795173"/>
                <a:ext cx="889859"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t>Florencia B</a:t>
                </a:r>
                <a:endParaRPr lang="en-IN" sz="1200" b="1"/>
              </a:p>
            </xdr:txBody>
          </xdr:sp>
          <xdr:sp macro="" textlink="">
            <xdr:nvSpPr>
              <xdr:cNvPr id="41" name="TextBox 18">
                <a:extLst>
                  <a:ext uri="{FF2B5EF4-FFF2-40B4-BE49-F238E27FC236}">
                    <a16:creationId xmlns:a16="http://schemas.microsoft.com/office/drawing/2014/main" id="{00000000-0008-0000-0000-000029000000}"/>
                  </a:ext>
                </a:extLst>
              </xdr:cNvPr>
              <xdr:cNvSpPr txBox="1"/>
            </xdr:nvSpPr>
            <xdr:spPr>
              <a:xfrm>
                <a:off x="1776311" y="795723"/>
                <a:ext cx="603050"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t>Amalfi</a:t>
                </a:r>
                <a:endParaRPr lang="en-IN" sz="1200" b="1"/>
              </a:p>
            </xdr:txBody>
          </xdr:sp>
          <xdr:sp macro="" textlink="">
            <xdr:nvSpPr>
              <xdr:cNvPr id="42" name="TextBox 19">
                <a:extLst>
                  <a:ext uri="{FF2B5EF4-FFF2-40B4-BE49-F238E27FC236}">
                    <a16:creationId xmlns:a16="http://schemas.microsoft.com/office/drawing/2014/main" id="{00000000-0008-0000-0000-00002A000000}"/>
                  </a:ext>
                </a:extLst>
              </xdr:cNvPr>
              <xdr:cNvSpPr txBox="1"/>
            </xdr:nvSpPr>
            <xdr:spPr>
              <a:xfrm>
                <a:off x="2512955" y="1842354"/>
                <a:ext cx="707610" cy="461665"/>
              </a:xfrm>
              <a:prstGeom prst="rect">
                <a:avLst/>
              </a:prstGeom>
              <a:solidFill>
                <a:schemeClr val="bg1">
                  <a:lumMod val="9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b="1"/>
                  <a:t>Hiranandani </a:t>
                </a:r>
              </a:p>
              <a:p>
                <a:r>
                  <a:rPr lang="en-US" sz="800" b="1"/>
                  <a:t>Westgate </a:t>
                </a:r>
              </a:p>
              <a:p>
                <a:r>
                  <a:rPr lang="en-US" sz="800" b="1"/>
                  <a:t>Phase 1</a:t>
                </a:r>
                <a:endParaRPr lang="en-IN" sz="800" b="1"/>
              </a:p>
            </xdr:txBody>
          </xdr:sp>
        </xdr:grpSp>
        <xdr:sp macro="" textlink="">
          <xdr:nvSpPr>
            <xdr:cNvPr id="32" name="Down Arrow 31">
              <a:extLst>
                <a:ext uri="{FF2B5EF4-FFF2-40B4-BE49-F238E27FC236}">
                  <a16:creationId xmlns:a16="http://schemas.microsoft.com/office/drawing/2014/main" id="{00000000-0008-0000-0000-000020000000}"/>
                </a:ext>
              </a:extLst>
            </xdr:cNvPr>
            <xdr:cNvSpPr/>
          </xdr:nvSpPr>
          <xdr:spPr>
            <a:xfrm rot="9082958">
              <a:off x="2453640" y="6355080"/>
              <a:ext cx="228600" cy="32766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3" name="TextBox 32">
              <a:extLst>
                <a:ext uri="{FF2B5EF4-FFF2-40B4-BE49-F238E27FC236}">
                  <a16:creationId xmlns:a16="http://schemas.microsoft.com/office/drawing/2014/main" id="{00000000-0008-0000-0000-000021000000}"/>
                </a:ext>
              </a:extLst>
            </xdr:cNvPr>
            <xdr:cNvSpPr txBox="1"/>
          </xdr:nvSpPr>
          <xdr:spPr>
            <a:xfrm>
              <a:off x="2104960" y="6400404"/>
              <a:ext cx="33374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N</a:t>
              </a:r>
              <a:endParaRPr lang="en-IN" b="1"/>
            </a:p>
          </xdr:txBody>
        </xdr:sp>
      </xdr:grpSp>
      <xdr:grpSp>
        <xdr:nvGrpSpPr>
          <xdr:cNvPr id="54" name="Group 53">
            <a:extLst>
              <a:ext uri="{FF2B5EF4-FFF2-40B4-BE49-F238E27FC236}">
                <a16:creationId xmlns:a16="http://schemas.microsoft.com/office/drawing/2014/main" id="{00000000-0008-0000-0000-000036000000}"/>
              </a:ext>
            </a:extLst>
          </xdr:cNvPr>
          <xdr:cNvGrpSpPr/>
        </xdr:nvGrpSpPr>
        <xdr:grpSpPr>
          <a:xfrm>
            <a:off x="2011232" y="130967630"/>
            <a:ext cx="1740173" cy="2518874"/>
            <a:chOff x="1961030" y="129203824"/>
            <a:chExt cx="1704762" cy="2561905"/>
          </a:xfrm>
        </xdr:grpSpPr>
        <xdr:pic>
          <xdr:nvPicPr>
            <xdr:cNvPr id="51" name="Picture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21"/>
            <a:stretch>
              <a:fillRect/>
            </a:stretch>
          </xdr:blipFill>
          <xdr:spPr>
            <a:xfrm>
              <a:off x="1961030" y="129203824"/>
              <a:ext cx="1704762" cy="2561905"/>
            </a:xfrm>
            <a:prstGeom prst="rect">
              <a:avLst/>
            </a:prstGeom>
            <a:ln>
              <a:solidFill>
                <a:schemeClr val="tx1"/>
              </a:solidFill>
            </a:ln>
          </xdr:spPr>
        </xdr:pic>
        <xdr:sp macro="" textlink="">
          <xdr:nvSpPr>
            <xdr:cNvPr id="52" name="Down Arrow 51">
              <a:extLst>
                <a:ext uri="{FF2B5EF4-FFF2-40B4-BE49-F238E27FC236}">
                  <a16:creationId xmlns:a16="http://schemas.microsoft.com/office/drawing/2014/main" id="{00000000-0008-0000-0000-000034000000}"/>
                </a:ext>
              </a:extLst>
            </xdr:cNvPr>
            <xdr:cNvSpPr/>
          </xdr:nvSpPr>
          <xdr:spPr>
            <a:xfrm rot="9082958">
              <a:off x="3026544" y="131254500"/>
              <a:ext cx="294496" cy="39573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53" name="TextBox 52">
              <a:extLst>
                <a:ext uri="{FF2B5EF4-FFF2-40B4-BE49-F238E27FC236}">
                  <a16:creationId xmlns:a16="http://schemas.microsoft.com/office/drawing/2014/main" id="{00000000-0008-0000-0000-000035000000}"/>
                </a:ext>
              </a:extLst>
            </xdr:cNvPr>
            <xdr:cNvSpPr txBox="1"/>
          </xdr:nvSpPr>
          <xdr:spPr>
            <a:xfrm>
              <a:off x="2577353" y="131309239"/>
              <a:ext cx="429951" cy="446059"/>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N</a:t>
              </a:r>
              <a:endParaRPr lang="en-IN" b="1"/>
            </a:p>
          </xdr:txBody>
        </xdr:sp>
      </xdr:grpSp>
    </xdr:grpSp>
    <xdr:clientData/>
  </xdr:twoCellAnchor>
  <xdr:twoCellAnchor editAs="oneCell">
    <xdr:from>
      <xdr:col>8</xdr:col>
      <xdr:colOff>601755</xdr:colOff>
      <xdr:row>49</xdr:row>
      <xdr:rowOff>311523</xdr:rowOff>
    </xdr:from>
    <xdr:to>
      <xdr:col>13</xdr:col>
      <xdr:colOff>753873</xdr:colOff>
      <xdr:row>54</xdr:row>
      <xdr:rowOff>479470</xdr:rowOff>
    </xdr:to>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6916830" y="12741648"/>
          <a:ext cx="4495518" cy="2244397"/>
        </a:xfrm>
        <a:prstGeom prst="rect">
          <a:avLst/>
        </a:prstGeom>
        <a:ln>
          <a:solidFill>
            <a:schemeClr val="tx1"/>
          </a:solidFill>
        </a:ln>
      </xdr:spPr>
    </xdr:pic>
    <xdr:clientData/>
  </xdr:twoCellAnchor>
  <xdr:twoCellAnchor editAs="oneCell">
    <xdr:from>
      <xdr:col>10</xdr:col>
      <xdr:colOff>485775</xdr:colOff>
      <xdr:row>398</xdr:row>
      <xdr:rowOff>57150</xdr:rowOff>
    </xdr:from>
    <xdr:to>
      <xdr:col>17</xdr:col>
      <xdr:colOff>94057</xdr:colOff>
      <xdr:row>415</xdr:row>
      <xdr:rowOff>180530</xdr:rowOff>
    </xdr:to>
    <xdr:pic>
      <xdr:nvPicPr>
        <xdr:cNvPr id="55" name="Picture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12"/>
        <a:stretch>
          <a:fillRect/>
        </a:stretch>
      </xdr:blipFill>
      <xdr:spPr>
        <a:xfrm>
          <a:off x="8724900" y="83258025"/>
          <a:ext cx="5066107" cy="3523805"/>
        </a:xfrm>
        <a:prstGeom prst="rect">
          <a:avLst/>
        </a:prstGeom>
        <a:ln>
          <a:solidFill>
            <a:schemeClr val="tx1"/>
          </a:solidFill>
        </a:ln>
      </xdr:spPr>
    </xdr:pic>
    <xdr:clientData/>
  </xdr:twoCellAnchor>
  <xdr:twoCellAnchor editAs="oneCell">
    <xdr:from>
      <xdr:col>8</xdr:col>
      <xdr:colOff>523875</xdr:colOff>
      <xdr:row>519</xdr:row>
      <xdr:rowOff>19050</xdr:rowOff>
    </xdr:from>
    <xdr:to>
      <xdr:col>14</xdr:col>
      <xdr:colOff>709782</xdr:colOff>
      <xdr:row>536</xdr:row>
      <xdr:rowOff>24968</xdr:rowOff>
    </xdr:to>
    <xdr:pic>
      <xdr:nvPicPr>
        <xdr:cNvPr id="56" name="Picture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14"/>
        <a:stretch>
          <a:fillRect/>
        </a:stretch>
      </xdr:blipFill>
      <xdr:spPr>
        <a:xfrm>
          <a:off x="6838950" y="108442125"/>
          <a:ext cx="5367507" cy="3655458"/>
        </a:xfrm>
        <a:prstGeom prst="rect">
          <a:avLst/>
        </a:prstGeom>
        <a:ln>
          <a:solidFill>
            <a:schemeClr val="tx1"/>
          </a:solidFill>
        </a:ln>
      </xdr:spPr>
    </xdr:pic>
    <xdr:clientData/>
  </xdr:twoCellAnchor>
  <xdr:twoCellAnchor editAs="oneCell">
    <xdr:from>
      <xdr:col>13</xdr:col>
      <xdr:colOff>307414</xdr:colOff>
      <xdr:row>608</xdr:row>
      <xdr:rowOff>103749</xdr:rowOff>
    </xdr:from>
    <xdr:to>
      <xdr:col>15</xdr:col>
      <xdr:colOff>707795</xdr:colOff>
      <xdr:row>622</xdr:row>
      <xdr:rowOff>18750</xdr:rowOff>
    </xdr:to>
    <xdr:pic>
      <xdr:nvPicPr>
        <xdr:cNvPr id="57" name="Picture 56" descr="https://vsjcllp.vsjadon.com/upload/insp-217366-1525.jpg">
          <a:extLst>
            <a:ext uri="{FF2B5EF4-FFF2-40B4-BE49-F238E27FC236}">
              <a16:creationId xmlns:a16="http://schemas.microsoft.com/office/drawing/2014/main" id="{00000000-0008-0000-0000-000039000000}"/>
            </a:ext>
          </a:extLst>
        </xdr:cNvPr>
        <xdr:cNvPicPr>
          <a:picLocks noChangeAspect="1" noChangeArrowheads="1"/>
        </xdr:cNvPicPr>
      </xdr:nvPicPr>
      <xdr:blipFill>
        <a:blip xmlns:r="http://schemas.openxmlformats.org/officeDocument/2006/relationships" r:embed="rId23" cstate="screen">
          <a:extLst>
            <a:ext uri="{28A0092B-C50C-407E-A947-70E740481C1C}">
              <a14:useLocalDpi xmlns:a14="http://schemas.microsoft.com/office/drawing/2010/main"/>
            </a:ext>
          </a:extLst>
        </a:blip>
        <a:srcRect/>
        <a:stretch>
          <a:fillRect/>
        </a:stretch>
      </xdr:blipFill>
      <xdr:spPr bwMode="auto">
        <a:xfrm>
          <a:off x="11264974" y="121505589"/>
          <a:ext cx="2092021" cy="268868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346710</xdr:colOff>
      <xdr:row>596</xdr:row>
      <xdr:rowOff>132397</xdr:rowOff>
    </xdr:from>
    <xdr:to>
      <xdr:col>16</xdr:col>
      <xdr:colOff>135002</xdr:colOff>
      <xdr:row>608</xdr:row>
      <xdr:rowOff>5716</xdr:rowOff>
    </xdr:to>
    <xdr:pic>
      <xdr:nvPicPr>
        <xdr:cNvPr id="58" name="Picture 57" descr="https://vsjcllp.vsjadon.com/upload/insp-217366-843.jpg">
          <a:extLst>
            <a:ext uri="{FF2B5EF4-FFF2-40B4-BE49-F238E27FC236}">
              <a16:creationId xmlns:a16="http://schemas.microsoft.com/office/drawing/2014/main" id="{00000000-0008-0000-0000-00003A000000}"/>
            </a:ext>
          </a:extLst>
        </xdr:cNvPr>
        <xdr:cNvPicPr>
          <a:picLocks noChangeAspect="1" noChangeArrowheads="1"/>
        </xdr:cNvPicPr>
      </xdr:nvPicPr>
      <xdr:blipFill>
        <a:blip xmlns:r="http://schemas.openxmlformats.org/officeDocument/2006/relationships" r:embed="rId24" cstate="screen">
          <a:extLst>
            <a:ext uri="{28A0092B-C50C-407E-A947-70E740481C1C}">
              <a14:useLocalDpi xmlns:a14="http://schemas.microsoft.com/office/drawing/2010/main"/>
            </a:ext>
          </a:extLst>
        </a:blip>
        <a:srcRect/>
        <a:stretch>
          <a:fillRect/>
        </a:stretch>
      </xdr:blipFill>
      <xdr:spPr bwMode="auto">
        <a:xfrm>
          <a:off x="10488930" y="119164417"/>
          <a:ext cx="3095372" cy="224313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832485</xdr:colOff>
      <xdr:row>596</xdr:row>
      <xdr:rowOff>132397</xdr:rowOff>
    </xdr:from>
    <xdr:to>
      <xdr:col>12</xdr:col>
      <xdr:colOff>255017</xdr:colOff>
      <xdr:row>608</xdr:row>
      <xdr:rowOff>5716</xdr:rowOff>
    </xdr:to>
    <xdr:pic>
      <xdr:nvPicPr>
        <xdr:cNvPr id="59" name="Picture 58" descr="https://vsjcllp.vsjadon.com/upload/insp-217366-847.jpg">
          <a:extLst>
            <a:ext uri="{FF2B5EF4-FFF2-40B4-BE49-F238E27FC236}">
              <a16:creationId xmlns:a16="http://schemas.microsoft.com/office/drawing/2014/main" id="{00000000-0008-0000-0000-00003B000000}"/>
            </a:ext>
          </a:extLst>
        </xdr:cNvPr>
        <xdr:cNvPicPr>
          <a:picLocks noChangeAspect="1" noChangeArrowheads="1"/>
        </xdr:cNvPicPr>
      </xdr:nvPicPr>
      <xdr:blipFill>
        <a:blip xmlns:r="http://schemas.openxmlformats.org/officeDocument/2006/relationships" r:embed="rId25" cstate="screen">
          <a:extLst>
            <a:ext uri="{28A0092B-C50C-407E-A947-70E740481C1C}">
              <a14:useLocalDpi xmlns:a14="http://schemas.microsoft.com/office/drawing/2010/main"/>
            </a:ext>
          </a:extLst>
        </a:blip>
        <a:srcRect/>
        <a:stretch>
          <a:fillRect/>
        </a:stretch>
      </xdr:blipFill>
      <xdr:spPr bwMode="auto">
        <a:xfrm>
          <a:off x="7317105" y="119164417"/>
          <a:ext cx="3080132" cy="224313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985345</xdr:colOff>
      <xdr:row>608</xdr:row>
      <xdr:rowOff>108511</xdr:rowOff>
    </xdr:from>
    <xdr:to>
      <xdr:col>13</xdr:col>
      <xdr:colOff>205499</xdr:colOff>
      <xdr:row>622</xdr:row>
      <xdr:rowOff>15240</xdr:rowOff>
    </xdr:to>
    <xdr:pic>
      <xdr:nvPicPr>
        <xdr:cNvPr id="60" name="Picture 59" descr="https://vsjcllp.vsjadon.com/upload/insp-217366-851.jpg">
          <a:extLst>
            <a:ext uri="{FF2B5EF4-FFF2-40B4-BE49-F238E27FC236}">
              <a16:creationId xmlns:a16="http://schemas.microsoft.com/office/drawing/2014/main" id="{00000000-0008-0000-0000-00003C000000}"/>
            </a:ext>
          </a:extLst>
        </xdr:cNvPr>
        <xdr:cNvPicPr>
          <a:picLocks noChangeAspect="1" noChangeArrowheads="1"/>
        </xdr:cNvPicPr>
      </xdr:nvPicPr>
      <xdr:blipFill>
        <a:blip xmlns:r="http://schemas.openxmlformats.org/officeDocument/2006/relationships" r:embed="rId26" cstate="screen">
          <a:extLst>
            <a:ext uri="{28A0092B-C50C-407E-A947-70E740481C1C}">
              <a14:useLocalDpi xmlns:a14="http://schemas.microsoft.com/office/drawing/2010/main"/>
            </a:ext>
          </a:extLst>
        </a:blip>
        <a:srcRect/>
        <a:stretch>
          <a:fillRect/>
        </a:stretch>
      </xdr:blipFill>
      <xdr:spPr bwMode="auto">
        <a:xfrm>
          <a:off x="7469965" y="121510351"/>
          <a:ext cx="3693094" cy="268040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8</xdr:col>
      <xdr:colOff>352425</xdr:colOff>
      <xdr:row>595</xdr:row>
      <xdr:rowOff>161925</xdr:rowOff>
    </xdr:from>
    <xdr:to>
      <xdr:col>15</xdr:col>
      <xdr:colOff>499110</xdr:colOff>
      <xdr:row>620</xdr:row>
      <xdr:rowOff>96297</xdr:rowOff>
    </xdr:to>
    <xdr:grpSp>
      <xdr:nvGrpSpPr>
        <xdr:cNvPr id="16" name="Group 15">
          <a:extLst>
            <a:ext uri="{FF2B5EF4-FFF2-40B4-BE49-F238E27FC236}">
              <a16:creationId xmlns:a16="http://schemas.microsoft.com/office/drawing/2014/main" id="{6C4EF5C7-3D00-D821-32A8-29F594979937}"/>
            </a:ext>
          </a:extLst>
        </xdr:cNvPr>
        <xdr:cNvGrpSpPr/>
      </xdr:nvGrpSpPr>
      <xdr:grpSpPr>
        <a:xfrm>
          <a:off x="6667500" y="120062625"/>
          <a:ext cx="6137910" cy="4925472"/>
          <a:chOff x="0" y="216103"/>
          <a:chExt cx="6896922" cy="5215032"/>
        </a:xfrm>
      </xdr:grpSpPr>
      <xdr:grpSp>
        <xdr:nvGrpSpPr>
          <xdr:cNvPr id="17" name="Group 16">
            <a:extLst>
              <a:ext uri="{FF2B5EF4-FFF2-40B4-BE49-F238E27FC236}">
                <a16:creationId xmlns:a16="http://schemas.microsoft.com/office/drawing/2014/main" id="{0529C93C-1D11-FFAF-B58A-7FDA4BE30B67}"/>
              </a:ext>
            </a:extLst>
          </xdr:cNvPr>
          <xdr:cNvGrpSpPr/>
        </xdr:nvGrpSpPr>
        <xdr:grpSpPr>
          <a:xfrm>
            <a:off x="0" y="216103"/>
            <a:ext cx="6896922" cy="2520000"/>
            <a:chOff x="0" y="216103"/>
            <a:chExt cx="6896922" cy="2520000"/>
          </a:xfrm>
        </xdr:grpSpPr>
        <xdr:pic>
          <xdr:nvPicPr>
            <xdr:cNvPr id="27" name="Picture 26">
              <a:extLst>
                <a:ext uri="{FF2B5EF4-FFF2-40B4-BE49-F238E27FC236}">
                  <a16:creationId xmlns:a16="http://schemas.microsoft.com/office/drawing/2014/main" id="{1C8B3357-00A7-E277-C79E-5702BDD88EF9}"/>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0" y="216103"/>
              <a:ext cx="3356889" cy="2520000"/>
            </a:xfrm>
            <a:prstGeom prst="rect">
              <a:avLst/>
            </a:prstGeom>
            <a:ln>
              <a:solidFill>
                <a:schemeClr val="tx1"/>
              </a:solidFill>
            </a:ln>
          </xdr:spPr>
        </xdr:pic>
        <xdr:pic>
          <xdr:nvPicPr>
            <xdr:cNvPr id="28" name="Picture 27">
              <a:extLst>
                <a:ext uri="{FF2B5EF4-FFF2-40B4-BE49-F238E27FC236}">
                  <a16:creationId xmlns:a16="http://schemas.microsoft.com/office/drawing/2014/main" id="{966CF9B1-A27D-F8D4-A585-C84C56D7564E}"/>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xfrm>
              <a:off x="3540033" y="216103"/>
              <a:ext cx="3356889" cy="2520000"/>
            </a:xfrm>
            <a:prstGeom prst="rect">
              <a:avLst/>
            </a:prstGeom>
            <a:ln>
              <a:solidFill>
                <a:schemeClr val="tx1"/>
              </a:solidFill>
            </a:ln>
          </xdr:spPr>
        </xdr:pic>
      </xdr:grpSp>
      <xdr:grpSp>
        <xdr:nvGrpSpPr>
          <xdr:cNvPr id="18" name="Group 17">
            <a:extLst>
              <a:ext uri="{FF2B5EF4-FFF2-40B4-BE49-F238E27FC236}">
                <a16:creationId xmlns:a16="http://schemas.microsoft.com/office/drawing/2014/main" id="{1259B93A-29F0-7669-DF96-A11CFAFEE362}"/>
              </a:ext>
            </a:extLst>
          </xdr:cNvPr>
          <xdr:cNvGrpSpPr/>
        </xdr:nvGrpSpPr>
        <xdr:grpSpPr>
          <a:xfrm>
            <a:off x="734429" y="2911135"/>
            <a:ext cx="5428065" cy="2520000"/>
            <a:chOff x="705393" y="2911135"/>
            <a:chExt cx="5428065" cy="2520000"/>
          </a:xfrm>
        </xdr:grpSpPr>
        <xdr:pic>
          <xdr:nvPicPr>
            <xdr:cNvPr id="19" name="Picture 18">
              <a:extLst>
                <a:ext uri="{FF2B5EF4-FFF2-40B4-BE49-F238E27FC236}">
                  <a16:creationId xmlns:a16="http://schemas.microsoft.com/office/drawing/2014/main" id="{2B71D742-1B24-68B8-1A4A-C20DBD531B8A}"/>
                </a:ext>
              </a:extLst>
            </xdr:cNvPr>
            <xdr:cNvPicPr>
              <a:picLocks noChangeAspect="1"/>
            </xdr:cNvPicPr>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xfrm>
              <a:off x="4245427" y="2911135"/>
              <a:ext cx="1888031" cy="2520000"/>
            </a:xfrm>
            <a:prstGeom prst="rect">
              <a:avLst/>
            </a:prstGeom>
            <a:ln>
              <a:solidFill>
                <a:schemeClr val="tx1"/>
              </a:solidFill>
            </a:ln>
          </xdr:spPr>
        </xdr:pic>
        <xdr:pic>
          <xdr:nvPicPr>
            <xdr:cNvPr id="21" name="Picture 20">
              <a:extLst>
                <a:ext uri="{FF2B5EF4-FFF2-40B4-BE49-F238E27FC236}">
                  <a16:creationId xmlns:a16="http://schemas.microsoft.com/office/drawing/2014/main" id="{B9AFF384-CA01-396A-81A5-CA2902A61B7F}"/>
                </a:ext>
              </a:extLst>
            </xdr:cNvPr>
            <xdr:cNvPicPr>
              <a:picLocks noChangeAspect="1"/>
            </xdr:cNvPicPr>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xfrm>
              <a:off x="705393" y="2911135"/>
              <a:ext cx="3356889" cy="2520000"/>
            </a:xfrm>
            <a:prstGeom prst="rect">
              <a:avLst/>
            </a:prstGeom>
            <a:ln>
              <a:solidFill>
                <a:schemeClr val="tx1"/>
              </a:solidFill>
            </a:ln>
          </xdr:spPr>
        </xdr:pic>
      </xdr:grpSp>
    </xdr:grpSp>
    <xdr:clientData/>
  </xdr:twoCellAnchor>
  <xdr:twoCellAnchor>
    <xdr:from>
      <xdr:col>0</xdr:col>
      <xdr:colOff>257175</xdr:colOff>
      <xdr:row>598</xdr:row>
      <xdr:rowOff>76200</xdr:rowOff>
    </xdr:from>
    <xdr:to>
      <xdr:col>7</xdr:col>
      <xdr:colOff>361950</xdr:colOff>
      <xdr:row>620</xdr:row>
      <xdr:rowOff>43559</xdr:rowOff>
    </xdr:to>
    <xdr:grpSp>
      <xdr:nvGrpSpPr>
        <xdr:cNvPr id="61" name="Group 60">
          <a:extLst>
            <a:ext uri="{FF2B5EF4-FFF2-40B4-BE49-F238E27FC236}">
              <a16:creationId xmlns:a16="http://schemas.microsoft.com/office/drawing/2014/main" id="{C5F96DDD-F65E-4C31-8C89-8FFCC2BE9E63}"/>
            </a:ext>
          </a:extLst>
        </xdr:cNvPr>
        <xdr:cNvGrpSpPr/>
      </xdr:nvGrpSpPr>
      <xdr:grpSpPr>
        <a:xfrm>
          <a:off x="257175" y="120576975"/>
          <a:ext cx="5686425" cy="4358384"/>
          <a:chOff x="122694" y="600566"/>
          <a:chExt cx="6461781" cy="4701284"/>
        </a:xfrm>
      </xdr:grpSpPr>
      <xdr:pic>
        <xdr:nvPicPr>
          <xdr:cNvPr id="62" name="Picture 61">
            <a:extLst>
              <a:ext uri="{FF2B5EF4-FFF2-40B4-BE49-F238E27FC236}">
                <a16:creationId xmlns:a16="http://schemas.microsoft.com/office/drawing/2014/main" id="{D2BE0919-D72F-4D88-9248-EDFA11E94543}"/>
              </a:ext>
            </a:extLst>
          </xdr:cNvPr>
          <xdr:cNvPicPr>
            <a:picLocks noChangeAspect="1"/>
          </xdr:cNvPicPr>
        </xdr:nvPicPr>
        <xdr:blipFill>
          <a:blip xmlns:r="http://schemas.openxmlformats.org/officeDocument/2006/relationships" r:embed="rId31" cstate="screen">
            <a:extLst>
              <a:ext uri="{28A0092B-C50C-407E-A947-70E740481C1C}">
                <a14:useLocalDpi xmlns:a14="http://schemas.microsoft.com/office/drawing/2010/main"/>
              </a:ext>
            </a:extLst>
          </a:blip>
          <a:stretch>
            <a:fillRect/>
          </a:stretch>
        </xdr:blipFill>
        <xdr:spPr>
          <a:xfrm>
            <a:off x="3429000" y="600566"/>
            <a:ext cx="3155475" cy="2368800"/>
          </a:xfrm>
          <a:prstGeom prst="rect">
            <a:avLst/>
          </a:prstGeom>
          <a:ln>
            <a:solidFill>
              <a:schemeClr val="tx1"/>
            </a:solidFill>
          </a:ln>
        </xdr:spPr>
      </xdr:pic>
      <xdr:pic>
        <xdr:nvPicPr>
          <xdr:cNvPr id="63" name="Picture 62">
            <a:extLst>
              <a:ext uri="{FF2B5EF4-FFF2-40B4-BE49-F238E27FC236}">
                <a16:creationId xmlns:a16="http://schemas.microsoft.com/office/drawing/2014/main" id="{B83ADF41-BA32-4120-9BEB-47052026D560}"/>
              </a:ext>
            </a:extLst>
          </xdr:cNvPr>
          <xdr:cNvPicPr>
            <a:picLocks noChangeAspect="1"/>
          </xdr:cNvPicPr>
        </xdr:nvPicPr>
        <xdr:blipFill>
          <a:blip xmlns:r="http://schemas.openxmlformats.org/officeDocument/2006/relationships" r:embed="rId32" cstate="screen">
            <a:extLst>
              <a:ext uri="{28A0092B-C50C-407E-A947-70E740481C1C}">
                <a14:useLocalDpi xmlns:a14="http://schemas.microsoft.com/office/drawing/2010/main"/>
              </a:ext>
            </a:extLst>
          </a:blip>
          <a:stretch>
            <a:fillRect/>
          </a:stretch>
        </xdr:blipFill>
        <xdr:spPr>
          <a:xfrm>
            <a:off x="128016" y="600566"/>
            <a:ext cx="3155476" cy="2368800"/>
          </a:xfrm>
          <a:prstGeom prst="rect">
            <a:avLst/>
          </a:prstGeom>
          <a:ln>
            <a:solidFill>
              <a:schemeClr val="tx1"/>
            </a:solidFill>
          </a:ln>
        </xdr:spPr>
      </xdr:pic>
      <xdr:pic>
        <xdr:nvPicPr>
          <xdr:cNvPr id="64" name="Picture 63">
            <a:extLst>
              <a:ext uri="{FF2B5EF4-FFF2-40B4-BE49-F238E27FC236}">
                <a16:creationId xmlns:a16="http://schemas.microsoft.com/office/drawing/2014/main" id="{97C389E7-25F1-492D-ACDF-C43EF0B85C96}"/>
              </a:ext>
            </a:extLst>
          </xdr:cNvPr>
          <xdr:cNvPicPr>
            <a:picLocks noChangeAspect="1"/>
          </xdr:cNvPicPr>
        </xdr:nvPicPr>
        <xdr:blipFill>
          <a:blip xmlns:r="http://schemas.openxmlformats.org/officeDocument/2006/relationships" r:embed="rId33" cstate="screen">
            <a:extLst>
              <a:ext uri="{28A0092B-C50C-407E-A947-70E740481C1C}">
                <a14:useLocalDpi xmlns:a14="http://schemas.microsoft.com/office/drawing/2010/main"/>
              </a:ext>
            </a:extLst>
          </a:blip>
          <a:stretch>
            <a:fillRect/>
          </a:stretch>
        </xdr:blipFill>
        <xdr:spPr>
          <a:xfrm>
            <a:off x="3173939" y="3141850"/>
            <a:ext cx="1618312" cy="2160000"/>
          </a:xfrm>
          <a:prstGeom prst="rect">
            <a:avLst/>
          </a:prstGeom>
          <a:ln>
            <a:solidFill>
              <a:schemeClr val="tx1"/>
            </a:solidFill>
          </a:ln>
        </xdr:spPr>
      </xdr:pic>
      <xdr:pic>
        <xdr:nvPicPr>
          <xdr:cNvPr id="65" name="Picture 64">
            <a:extLst>
              <a:ext uri="{FF2B5EF4-FFF2-40B4-BE49-F238E27FC236}">
                <a16:creationId xmlns:a16="http://schemas.microsoft.com/office/drawing/2014/main" id="{CC00CA5C-4E52-40D7-AB4D-D6A9E44628A0}"/>
              </a:ext>
            </a:extLst>
          </xdr:cNvPr>
          <xdr:cNvPicPr>
            <a:picLocks noChangeAspect="1"/>
          </xdr:cNvPicPr>
        </xdr:nvPicPr>
        <xdr:blipFill>
          <a:blip xmlns:r="http://schemas.openxmlformats.org/officeDocument/2006/relationships" r:embed="rId34" cstate="screen">
            <a:extLst>
              <a:ext uri="{28A0092B-C50C-407E-A947-70E740481C1C}">
                <a14:useLocalDpi xmlns:a14="http://schemas.microsoft.com/office/drawing/2010/main"/>
              </a:ext>
            </a:extLst>
          </a:blip>
          <a:stretch>
            <a:fillRect/>
          </a:stretch>
        </xdr:blipFill>
        <xdr:spPr>
          <a:xfrm>
            <a:off x="4966163" y="3141850"/>
            <a:ext cx="1618312" cy="2160000"/>
          </a:xfrm>
          <a:prstGeom prst="rect">
            <a:avLst/>
          </a:prstGeom>
          <a:ln>
            <a:solidFill>
              <a:schemeClr val="tx1"/>
            </a:solidFill>
          </a:ln>
        </xdr:spPr>
      </xdr:pic>
      <xdr:pic>
        <xdr:nvPicPr>
          <xdr:cNvPr id="66" name="Picture 65">
            <a:extLst>
              <a:ext uri="{FF2B5EF4-FFF2-40B4-BE49-F238E27FC236}">
                <a16:creationId xmlns:a16="http://schemas.microsoft.com/office/drawing/2014/main" id="{734DFCDA-DA53-4A82-AAD0-21AAF82F3B5E}"/>
              </a:ext>
            </a:extLst>
          </xdr:cNvPr>
          <xdr:cNvPicPr>
            <a:picLocks noChangeAspect="1"/>
          </xdr:cNvPicPr>
        </xdr:nvPicPr>
        <xdr:blipFill>
          <a:blip xmlns:r="http://schemas.openxmlformats.org/officeDocument/2006/relationships" r:embed="rId35" cstate="screen">
            <a:extLst>
              <a:ext uri="{28A0092B-C50C-407E-A947-70E740481C1C}">
                <a14:useLocalDpi xmlns:a14="http://schemas.microsoft.com/office/drawing/2010/main"/>
              </a:ext>
            </a:extLst>
          </a:blip>
          <a:stretch>
            <a:fillRect/>
          </a:stretch>
        </xdr:blipFill>
        <xdr:spPr>
          <a:xfrm>
            <a:off x="122694" y="3141850"/>
            <a:ext cx="2877333" cy="21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313765</xdr:colOff>
      <xdr:row>7</xdr:row>
      <xdr:rowOff>33617</xdr:rowOff>
    </xdr:from>
    <xdr:to>
      <xdr:col>6</xdr:col>
      <xdr:colOff>318331</xdr:colOff>
      <xdr:row>26</xdr:row>
      <xdr:rowOff>14117</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896471" y="1378323"/>
          <a:ext cx="6403125" cy="36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BWeLqEvyknSFtXqn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683"/>
  <sheetViews>
    <sheetView tabSelected="1" view="pageBreakPreview" topLeftCell="A33" zoomScaleNormal="100" zoomScaleSheetLayoutView="100" zoomScalePageLayoutView="85" workbookViewId="0">
      <selection activeCell="C40" sqref="C40:H40"/>
    </sheetView>
  </sheetViews>
  <sheetFormatPr defaultColWidth="9.140625" defaultRowHeight="15.75" x14ac:dyDescent="0.25"/>
  <cols>
    <col min="1" max="1" width="11.42578125" style="37" customWidth="1"/>
    <col min="2" max="2" width="12" style="37" customWidth="1"/>
    <col min="3" max="3" width="12.7109375" style="37" customWidth="1"/>
    <col min="4" max="4" width="13.7109375" style="37" customWidth="1"/>
    <col min="5" max="5" width="11.7109375" style="37" customWidth="1"/>
    <col min="6" max="6" width="11.140625" style="37" customWidth="1"/>
    <col min="7" max="8" width="11" style="37" customWidth="1"/>
    <col min="9" max="9" width="17.42578125" style="18" customWidth="1"/>
    <col min="10" max="10" width="11.42578125" style="18" customWidth="1"/>
    <col min="11" max="11" width="10.5703125" style="18" bestFit="1" customWidth="1"/>
    <col min="12" max="12" width="13.85546875" style="18" bestFit="1" customWidth="1"/>
    <col min="13" max="13" width="11.85546875" style="18" customWidth="1"/>
    <col min="14" max="14" width="12.5703125" style="18" customWidth="1"/>
    <col min="15" max="15" width="12.140625" style="18" customWidth="1"/>
    <col min="16" max="16" width="11.7109375" style="18" customWidth="1"/>
    <col min="17" max="18" width="9.140625" style="18"/>
    <col min="19" max="19" width="10.85546875" style="18" bestFit="1" customWidth="1"/>
    <col min="20" max="20" width="10.7109375" style="18" customWidth="1"/>
    <col min="21" max="247" width="9.140625" style="18"/>
    <col min="248" max="248" width="8.7109375" style="18" customWidth="1"/>
    <col min="249" max="249" width="9.85546875" style="18" customWidth="1"/>
    <col min="250" max="250" width="14.42578125" style="18" customWidth="1"/>
    <col min="251" max="251" width="7.28515625" style="18" customWidth="1"/>
    <col min="252" max="252" width="5.5703125" style="18" customWidth="1"/>
    <col min="253" max="253" width="9" style="18" customWidth="1"/>
    <col min="254" max="255" width="9.85546875" style="18" customWidth="1"/>
    <col min="256" max="256" width="11.140625" style="18" customWidth="1"/>
    <col min="257" max="257" width="2.85546875" style="18" customWidth="1"/>
    <col min="258" max="258" width="3.5703125" style="18" customWidth="1"/>
    <col min="259" max="503" width="9.140625" style="18"/>
    <col min="504" max="504" width="8.7109375" style="18" customWidth="1"/>
    <col min="505" max="505" width="9.85546875" style="18" customWidth="1"/>
    <col min="506" max="506" width="14.42578125" style="18" customWidth="1"/>
    <col min="507" max="507" width="7.28515625" style="18" customWidth="1"/>
    <col min="508" max="508" width="5.5703125" style="18" customWidth="1"/>
    <col min="509" max="509" width="9" style="18" customWidth="1"/>
    <col min="510" max="511" width="9.85546875" style="18" customWidth="1"/>
    <col min="512" max="512" width="11.140625" style="18" customWidth="1"/>
    <col min="513" max="513" width="2.85546875" style="18" customWidth="1"/>
    <col min="514" max="514" width="3.5703125" style="18" customWidth="1"/>
    <col min="515" max="759" width="9.140625" style="18"/>
    <col min="760" max="760" width="8.7109375" style="18" customWidth="1"/>
    <col min="761" max="761" width="9.85546875" style="18" customWidth="1"/>
    <col min="762" max="762" width="14.42578125" style="18" customWidth="1"/>
    <col min="763" max="763" width="7.28515625" style="18" customWidth="1"/>
    <col min="764" max="764" width="5.5703125" style="18" customWidth="1"/>
    <col min="765" max="765" width="9" style="18" customWidth="1"/>
    <col min="766" max="767" width="9.85546875" style="18" customWidth="1"/>
    <col min="768" max="768" width="11.140625" style="18" customWidth="1"/>
    <col min="769" max="769" width="2.85546875" style="18" customWidth="1"/>
    <col min="770" max="770" width="3.5703125" style="18" customWidth="1"/>
    <col min="771" max="1015" width="9.140625" style="18"/>
    <col min="1016" max="1016" width="8.7109375" style="18" customWidth="1"/>
    <col min="1017" max="1017" width="9.85546875" style="18" customWidth="1"/>
    <col min="1018" max="1018" width="14.42578125" style="18" customWidth="1"/>
    <col min="1019" max="1019" width="7.28515625" style="18" customWidth="1"/>
    <col min="1020" max="1020" width="5.5703125" style="18" customWidth="1"/>
    <col min="1021" max="1021" width="9" style="18" customWidth="1"/>
    <col min="1022" max="1023" width="9.85546875" style="18" customWidth="1"/>
    <col min="1024" max="1024" width="11.140625" style="18" customWidth="1"/>
    <col min="1025" max="1025" width="2.85546875" style="18" customWidth="1"/>
    <col min="1026" max="1026" width="3.5703125" style="18" customWidth="1"/>
    <col min="1027" max="1271" width="9.140625" style="18"/>
    <col min="1272" max="1272" width="8.7109375" style="18" customWidth="1"/>
    <col min="1273" max="1273" width="9.85546875" style="18" customWidth="1"/>
    <col min="1274" max="1274" width="14.42578125" style="18" customWidth="1"/>
    <col min="1275" max="1275" width="7.28515625" style="18" customWidth="1"/>
    <col min="1276" max="1276" width="5.5703125" style="18" customWidth="1"/>
    <col min="1277" max="1277" width="9" style="18" customWidth="1"/>
    <col min="1278" max="1279" width="9.85546875" style="18" customWidth="1"/>
    <col min="1280" max="1280" width="11.140625" style="18" customWidth="1"/>
    <col min="1281" max="1281" width="2.85546875" style="18" customWidth="1"/>
    <col min="1282" max="1282" width="3.5703125" style="18" customWidth="1"/>
    <col min="1283" max="1527" width="9.140625" style="18"/>
    <col min="1528" max="1528" width="8.7109375" style="18" customWidth="1"/>
    <col min="1529" max="1529" width="9.85546875" style="18" customWidth="1"/>
    <col min="1530" max="1530" width="14.42578125" style="18" customWidth="1"/>
    <col min="1531" max="1531" width="7.28515625" style="18" customWidth="1"/>
    <col min="1532" max="1532" width="5.5703125" style="18" customWidth="1"/>
    <col min="1533" max="1533" width="9" style="18" customWidth="1"/>
    <col min="1534" max="1535" width="9.85546875" style="18" customWidth="1"/>
    <col min="1536" max="1536" width="11.140625" style="18" customWidth="1"/>
    <col min="1537" max="1537" width="2.85546875" style="18" customWidth="1"/>
    <col min="1538" max="1538" width="3.5703125" style="18" customWidth="1"/>
    <col min="1539" max="1783" width="9.140625" style="18"/>
    <col min="1784" max="1784" width="8.7109375" style="18" customWidth="1"/>
    <col min="1785" max="1785" width="9.85546875" style="18" customWidth="1"/>
    <col min="1786" max="1786" width="14.42578125" style="18" customWidth="1"/>
    <col min="1787" max="1787" width="7.28515625" style="18" customWidth="1"/>
    <col min="1788" max="1788" width="5.5703125" style="18" customWidth="1"/>
    <col min="1789" max="1789" width="9" style="18" customWidth="1"/>
    <col min="1790" max="1791" width="9.85546875" style="18" customWidth="1"/>
    <col min="1792" max="1792" width="11.140625" style="18" customWidth="1"/>
    <col min="1793" max="1793" width="2.85546875" style="18" customWidth="1"/>
    <col min="1794" max="1794" width="3.5703125" style="18" customWidth="1"/>
    <col min="1795" max="2039" width="9.140625" style="18"/>
    <col min="2040" max="2040" width="8.7109375" style="18" customWidth="1"/>
    <col min="2041" max="2041" width="9.85546875" style="18" customWidth="1"/>
    <col min="2042" max="2042" width="14.42578125" style="18" customWidth="1"/>
    <col min="2043" max="2043" width="7.28515625" style="18" customWidth="1"/>
    <col min="2044" max="2044" width="5.5703125" style="18" customWidth="1"/>
    <col min="2045" max="2045" width="9" style="18" customWidth="1"/>
    <col min="2046" max="2047" width="9.85546875" style="18" customWidth="1"/>
    <col min="2048" max="2048" width="11.140625" style="18" customWidth="1"/>
    <col min="2049" max="2049" width="2.85546875" style="18" customWidth="1"/>
    <col min="2050" max="2050" width="3.5703125" style="18" customWidth="1"/>
    <col min="2051" max="2295" width="9.140625" style="18"/>
    <col min="2296" max="2296" width="8.7109375" style="18" customWidth="1"/>
    <col min="2297" max="2297" width="9.85546875" style="18" customWidth="1"/>
    <col min="2298" max="2298" width="14.42578125" style="18" customWidth="1"/>
    <col min="2299" max="2299" width="7.28515625" style="18" customWidth="1"/>
    <col min="2300" max="2300" width="5.5703125" style="18" customWidth="1"/>
    <col min="2301" max="2301" width="9" style="18" customWidth="1"/>
    <col min="2302" max="2303" width="9.85546875" style="18" customWidth="1"/>
    <col min="2304" max="2304" width="11.140625" style="18" customWidth="1"/>
    <col min="2305" max="2305" width="2.85546875" style="18" customWidth="1"/>
    <col min="2306" max="2306" width="3.5703125" style="18" customWidth="1"/>
    <col min="2307" max="2551" width="9.140625" style="18"/>
    <col min="2552" max="2552" width="8.7109375" style="18" customWidth="1"/>
    <col min="2553" max="2553" width="9.85546875" style="18" customWidth="1"/>
    <col min="2554" max="2554" width="14.42578125" style="18" customWidth="1"/>
    <col min="2555" max="2555" width="7.28515625" style="18" customWidth="1"/>
    <col min="2556" max="2556" width="5.5703125" style="18" customWidth="1"/>
    <col min="2557" max="2557" width="9" style="18" customWidth="1"/>
    <col min="2558" max="2559" width="9.85546875" style="18" customWidth="1"/>
    <col min="2560" max="2560" width="11.140625" style="18" customWidth="1"/>
    <col min="2561" max="2561" width="2.85546875" style="18" customWidth="1"/>
    <col min="2562" max="2562" width="3.5703125" style="18" customWidth="1"/>
    <col min="2563" max="2807" width="9.140625" style="18"/>
    <col min="2808" max="2808" width="8.7109375" style="18" customWidth="1"/>
    <col min="2809" max="2809" width="9.85546875" style="18" customWidth="1"/>
    <col min="2810" max="2810" width="14.42578125" style="18" customWidth="1"/>
    <col min="2811" max="2811" width="7.28515625" style="18" customWidth="1"/>
    <col min="2812" max="2812" width="5.5703125" style="18" customWidth="1"/>
    <col min="2813" max="2813" width="9" style="18" customWidth="1"/>
    <col min="2814" max="2815" width="9.85546875" style="18" customWidth="1"/>
    <col min="2816" max="2816" width="11.140625" style="18" customWidth="1"/>
    <col min="2817" max="2817" width="2.85546875" style="18" customWidth="1"/>
    <col min="2818" max="2818" width="3.5703125" style="18" customWidth="1"/>
    <col min="2819" max="3063" width="9.140625" style="18"/>
    <col min="3064" max="3064" width="8.7109375" style="18" customWidth="1"/>
    <col min="3065" max="3065" width="9.85546875" style="18" customWidth="1"/>
    <col min="3066" max="3066" width="14.42578125" style="18" customWidth="1"/>
    <col min="3067" max="3067" width="7.28515625" style="18" customWidth="1"/>
    <col min="3068" max="3068" width="5.5703125" style="18" customWidth="1"/>
    <col min="3069" max="3069" width="9" style="18" customWidth="1"/>
    <col min="3070" max="3071" width="9.85546875" style="18" customWidth="1"/>
    <col min="3072" max="3072" width="11.140625" style="18" customWidth="1"/>
    <col min="3073" max="3073" width="2.85546875" style="18" customWidth="1"/>
    <col min="3074" max="3074" width="3.5703125" style="18" customWidth="1"/>
    <col min="3075" max="3319" width="9.140625" style="18"/>
    <col min="3320" max="3320" width="8.7109375" style="18" customWidth="1"/>
    <col min="3321" max="3321" width="9.85546875" style="18" customWidth="1"/>
    <col min="3322" max="3322" width="14.42578125" style="18" customWidth="1"/>
    <col min="3323" max="3323" width="7.28515625" style="18" customWidth="1"/>
    <col min="3324" max="3324" width="5.5703125" style="18" customWidth="1"/>
    <col min="3325" max="3325" width="9" style="18" customWidth="1"/>
    <col min="3326" max="3327" width="9.85546875" style="18" customWidth="1"/>
    <col min="3328" max="3328" width="11.140625" style="18" customWidth="1"/>
    <col min="3329" max="3329" width="2.85546875" style="18" customWidth="1"/>
    <col min="3330" max="3330" width="3.5703125" style="18" customWidth="1"/>
    <col min="3331" max="3575" width="9.140625" style="18"/>
    <col min="3576" max="3576" width="8.7109375" style="18" customWidth="1"/>
    <col min="3577" max="3577" width="9.85546875" style="18" customWidth="1"/>
    <col min="3578" max="3578" width="14.42578125" style="18" customWidth="1"/>
    <col min="3579" max="3579" width="7.28515625" style="18" customWidth="1"/>
    <col min="3580" max="3580" width="5.5703125" style="18" customWidth="1"/>
    <col min="3581" max="3581" width="9" style="18" customWidth="1"/>
    <col min="3582" max="3583" width="9.85546875" style="18" customWidth="1"/>
    <col min="3584" max="3584" width="11.140625" style="18" customWidth="1"/>
    <col min="3585" max="3585" width="2.85546875" style="18" customWidth="1"/>
    <col min="3586" max="3586" width="3.5703125" style="18" customWidth="1"/>
    <col min="3587" max="3831" width="9.140625" style="18"/>
    <col min="3832" max="3832" width="8.7109375" style="18" customWidth="1"/>
    <col min="3833" max="3833" width="9.85546875" style="18" customWidth="1"/>
    <col min="3834" max="3834" width="14.42578125" style="18" customWidth="1"/>
    <col min="3835" max="3835" width="7.28515625" style="18" customWidth="1"/>
    <col min="3836" max="3836" width="5.5703125" style="18" customWidth="1"/>
    <col min="3837" max="3837" width="9" style="18" customWidth="1"/>
    <col min="3838" max="3839" width="9.85546875" style="18" customWidth="1"/>
    <col min="3840" max="3840" width="11.140625" style="18" customWidth="1"/>
    <col min="3841" max="3841" width="2.85546875" style="18" customWidth="1"/>
    <col min="3842" max="3842" width="3.5703125" style="18" customWidth="1"/>
    <col min="3843" max="4087" width="9.140625" style="18"/>
    <col min="4088" max="4088" width="8.7109375" style="18" customWidth="1"/>
    <col min="4089" max="4089" width="9.85546875" style="18" customWidth="1"/>
    <col min="4090" max="4090" width="14.42578125" style="18" customWidth="1"/>
    <col min="4091" max="4091" width="7.28515625" style="18" customWidth="1"/>
    <col min="4092" max="4092" width="5.5703125" style="18" customWidth="1"/>
    <col min="4093" max="4093" width="9" style="18" customWidth="1"/>
    <col min="4094" max="4095" width="9.85546875" style="18" customWidth="1"/>
    <col min="4096" max="4096" width="11.140625" style="18" customWidth="1"/>
    <col min="4097" max="4097" width="2.85546875" style="18" customWidth="1"/>
    <col min="4098" max="4098" width="3.5703125" style="18" customWidth="1"/>
    <col min="4099" max="4343" width="9.140625" style="18"/>
    <col min="4344" max="4344" width="8.7109375" style="18" customWidth="1"/>
    <col min="4345" max="4345" width="9.85546875" style="18" customWidth="1"/>
    <col min="4346" max="4346" width="14.42578125" style="18" customWidth="1"/>
    <col min="4347" max="4347" width="7.28515625" style="18" customWidth="1"/>
    <col min="4348" max="4348" width="5.5703125" style="18" customWidth="1"/>
    <col min="4349" max="4349" width="9" style="18" customWidth="1"/>
    <col min="4350" max="4351" width="9.85546875" style="18" customWidth="1"/>
    <col min="4352" max="4352" width="11.140625" style="18" customWidth="1"/>
    <col min="4353" max="4353" width="2.85546875" style="18" customWidth="1"/>
    <col min="4354" max="4354" width="3.5703125" style="18" customWidth="1"/>
    <col min="4355" max="4599" width="9.140625" style="18"/>
    <col min="4600" max="4600" width="8.7109375" style="18" customWidth="1"/>
    <col min="4601" max="4601" width="9.85546875" style="18" customWidth="1"/>
    <col min="4602" max="4602" width="14.42578125" style="18" customWidth="1"/>
    <col min="4603" max="4603" width="7.28515625" style="18" customWidth="1"/>
    <col min="4604" max="4604" width="5.5703125" style="18" customWidth="1"/>
    <col min="4605" max="4605" width="9" style="18" customWidth="1"/>
    <col min="4606" max="4607" width="9.85546875" style="18" customWidth="1"/>
    <col min="4608" max="4608" width="11.140625" style="18" customWidth="1"/>
    <col min="4609" max="4609" width="2.85546875" style="18" customWidth="1"/>
    <col min="4610" max="4610" width="3.5703125" style="18" customWidth="1"/>
    <col min="4611" max="4855" width="9.140625" style="18"/>
    <col min="4856" max="4856" width="8.7109375" style="18" customWidth="1"/>
    <col min="4857" max="4857" width="9.85546875" style="18" customWidth="1"/>
    <col min="4858" max="4858" width="14.42578125" style="18" customWidth="1"/>
    <col min="4859" max="4859" width="7.28515625" style="18" customWidth="1"/>
    <col min="4860" max="4860" width="5.5703125" style="18" customWidth="1"/>
    <col min="4861" max="4861" width="9" style="18" customWidth="1"/>
    <col min="4862" max="4863" width="9.85546875" style="18" customWidth="1"/>
    <col min="4864" max="4864" width="11.140625" style="18" customWidth="1"/>
    <col min="4865" max="4865" width="2.85546875" style="18" customWidth="1"/>
    <col min="4866" max="4866" width="3.5703125" style="18" customWidth="1"/>
    <col min="4867" max="5111" width="9.140625" style="18"/>
    <col min="5112" max="5112" width="8.7109375" style="18" customWidth="1"/>
    <col min="5113" max="5113" width="9.85546875" style="18" customWidth="1"/>
    <col min="5114" max="5114" width="14.42578125" style="18" customWidth="1"/>
    <col min="5115" max="5115" width="7.28515625" style="18" customWidth="1"/>
    <col min="5116" max="5116" width="5.5703125" style="18" customWidth="1"/>
    <col min="5117" max="5117" width="9" style="18" customWidth="1"/>
    <col min="5118" max="5119" width="9.85546875" style="18" customWidth="1"/>
    <col min="5120" max="5120" width="11.140625" style="18" customWidth="1"/>
    <col min="5121" max="5121" width="2.85546875" style="18" customWidth="1"/>
    <col min="5122" max="5122" width="3.5703125" style="18" customWidth="1"/>
    <col min="5123" max="5367" width="9.140625" style="18"/>
    <col min="5368" max="5368" width="8.7109375" style="18" customWidth="1"/>
    <col min="5369" max="5369" width="9.85546875" style="18" customWidth="1"/>
    <col min="5370" max="5370" width="14.42578125" style="18" customWidth="1"/>
    <col min="5371" max="5371" width="7.28515625" style="18" customWidth="1"/>
    <col min="5372" max="5372" width="5.5703125" style="18" customWidth="1"/>
    <col min="5373" max="5373" width="9" style="18" customWidth="1"/>
    <col min="5374" max="5375" width="9.85546875" style="18" customWidth="1"/>
    <col min="5376" max="5376" width="11.140625" style="18" customWidth="1"/>
    <col min="5377" max="5377" width="2.85546875" style="18" customWidth="1"/>
    <col min="5378" max="5378" width="3.5703125" style="18" customWidth="1"/>
    <col min="5379" max="5623" width="9.140625" style="18"/>
    <col min="5624" max="5624" width="8.7109375" style="18" customWidth="1"/>
    <col min="5625" max="5625" width="9.85546875" style="18" customWidth="1"/>
    <col min="5626" max="5626" width="14.42578125" style="18" customWidth="1"/>
    <col min="5627" max="5627" width="7.28515625" style="18" customWidth="1"/>
    <col min="5628" max="5628" width="5.5703125" style="18" customWidth="1"/>
    <col min="5629" max="5629" width="9" style="18" customWidth="1"/>
    <col min="5630" max="5631" width="9.85546875" style="18" customWidth="1"/>
    <col min="5632" max="5632" width="11.140625" style="18" customWidth="1"/>
    <col min="5633" max="5633" width="2.85546875" style="18" customWidth="1"/>
    <col min="5634" max="5634" width="3.5703125" style="18" customWidth="1"/>
    <col min="5635" max="5879" width="9.140625" style="18"/>
    <col min="5880" max="5880" width="8.7109375" style="18" customWidth="1"/>
    <col min="5881" max="5881" width="9.85546875" style="18" customWidth="1"/>
    <col min="5882" max="5882" width="14.42578125" style="18" customWidth="1"/>
    <col min="5883" max="5883" width="7.28515625" style="18" customWidth="1"/>
    <col min="5884" max="5884" width="5.5703125" style="18" customWidth="1"/>
    <col min="5885" max="5885" width="9" style="18" customWidth="1"/>
    <col min="5886" max="5887" width="9.85546875" style="18" customWidth="1"/>
    <col min="5888" max="5888" width="11.140625" style="18" customWidth="1"/>
    <col min="5889" max="5889" width="2.85546875" style="18" customWidth="1"/>
    <col min="5890" max="5890" width="3.5703125" style="18" customWidth="1"/>
    <col min="5891" max="6135" width="9.140625" style="18"/>
    <col min="6136" max="6136" width="8.7109375" style="18" customWidth="1"/>
    <col min="6137" max="6137" width="9.85546875" style="18" customWidth="1"/>
    <col min="6138" max="6138" width="14.42578125" style="18" customWidth="1"/>
    <col min="6139" max="6139" width="7.28515625" style="18" customWidth="1"/>
    <col min="6140" max="6140" width="5.5703125" style="18" customWidth="1"/>
    <col min="6141" max="6141" width="9" style="18" customWidth="1"/>
    <col min="6142" max="6143" width="9.85546875" style="18" customWidth="1"/>
    <col min="6144" max="6144" width="11.140625" style="18" customWidth="1"/>
    <col min="6145" max="6145" width="2.85546875" style="18" customWidth="1"/>
    <col min="6146" max="6146" width="3.5703125" style="18" customWidth="1"/>
    <col min="6147" max="6391" width="9.140625" style="18"/>
    <col min="6392" max="6392" width="8.7109375" style="18" customWidth="1"/>
    <col min="6393" max="6393" width="9.85546875" style="18" customWidth="1"/>
    <col min="6394" max="6394" width="14.42578125" style="18" customWidth="1"/>
    <col min="6395" max="6395" width="7.28515625" style="18" customWidth="1"/>
    <col min="6396" max="6396" width="5.5703125" style="18" customWidth="1"/>
    <col min="6397" max="6397" width="9" style="18" customWidth="1"/>
    <col min="6398" max="6399" width="9.85546875" style="18" customWidth="1"/>
    <col min="6400" max="6400" width="11.140625" style="18" customWidth="1"/>
    <col min="6401" max="6401" width="2.85546875" style="18" customWidth="1"/>
    <col min="6402" max="6402" width="3.5703125" style="18" customWidth="1"/>
    <col min="6403" max="6647" width="9.140625" style="18"/>
    <col min="6648" max="6648" width="8.7109375" style="18" customWidth="1"/>
    <col min="6649" max="6649" width="9.85546875" style="18" customWidth="1"/>
    <col min="6650" max="6650" width="14.42578125" style="18" customWidth="1"/>
    <col min="6651" max="6651" width="7.28515625" style="18" customWidth="1"/>
    <col min="6652" max="6652" width="5.5703125" style="18" customWidth="1"/>
    <col min="6653" max="6653" width="9" style="18" customWidth="1"/>
    <col min="6654" max="6655" width="9.85546875" style="18" customWidth="1"/>
    <col min="6656" max="6656" width="11.140625" style="18" customWidth="1"/>
    <col min="6657" max="6657" width="2.85546875" style="18" customWidth="1"/>
    <col min="6658" max="6658" width="3.5703125" style="18" customWidth="1"/>
    <col min="6659" max="6903" width="9.140625" style="18"/>
    <col min="6904" max="6904" width="8.7109375" style="18" customWidth="1"/>
    <col min="6905" max="6905" width="9.85546875" style="18" customWidth="1"/>
    <col min="6906" max="6906" width="14.42578125" style="18" customWidth="1"/>
    <col min="6907" max="6907" width="7.28515625" style="18" customWidth="1"/>
    <col min="6908" max="6908" width="5.5703125" style="18" customWidth="1"/>
    <col min="6909" max="6909" width="9" style="18" customWidth="1"/>
    <col min="6910" max="6911" width="9.85546875" style="18" customWidth="1"/>
    <col min="6912" max="6912" width="11.140625" style="18" customWidth="1"/>
    <col min="6913" max="6913" width="2.85546875" style="18" customWidth="1"/>
    <col min="6914" max="6914" width="3.5703125" style="18" customWidth="1"/>
    <col min="6915" max="7159" width="9.140625" style="18"/>
    <col min="7160" max="7160" width="8.7109375" style="18" customWidth="1"/>
    <col min="7161" max="7161" width="9.85546875" style="18" customWidth="1"/>
    <col min="7162" max="7162" width="14.42578125" style="18" customWidth="1"/>
    <col min="7163" max="7163" width="7.28515625" style="18" customWidth="1"/>
    <col min="7164" max="7164" width="5.5703125" style="18" customWidth="1"/>
    <col min="7165" max="7165" width="9" style="18" customWidth="1"/>
    <col min="7166" max="7167" width="9.85546875" style="18" customWidth="1"/>
    <col min="7168" max="7168" width="11.140625" style="18" customWidth="1"/>
    <col min="7169" max="7169" width="2.85546875" style="18" customWidth="1"/>
    <col min="7170" max="7170" width="3.5703125" style="18" customWidth="1"/>
    <col min="7171" max="7415" width="9.140625" style="18"/>
    <col min="7416" max="7416" width="8.7109375" style="18" customWidth="1"/>
    <col min="7417" max="7417" width="9.85546875" style="18" customWidth="1"/>
    <col min="7418" max="7418" width="14.42578125" style="18" customWidth="1"/>
    <col min="7419" max="7419" width="7.28515625" style="18" customWidth="1"/>
    <col min="7420" max="7420" width="5.5703125" style="18" customWidth="1"/>
    <col min="7421" max="7421" width="9" style="18" customWidth="1"/>
    <col min="7422" max="7423" width="9.85546875" style="18" customWidth="1"/>
    <col min="7424" max="7424" width="11.140625" style="18" customWidth="1"/>
    <col min="7425" max="7425" width="2.85546875" style="18" customWidth="1"/>
    <col min="7426" max="7426" width="3.5703125" style="18" customWidth="1"/>
    <col min="7427" max="7671" width="9.140625" style="18"/>
    <col min="7672" max="7672" width="8.7109375" style="18" customWidth="1"/>
    <col min="7673" max="7673" width="9.85546875" style="18" customWidth="1"/>
    <col min="7674" max="7674" width="14.42578125" style="18" customWidth="1"/>
    <col min="7675" max="7675" width="7.28515625" style="18" customWidth="1"/>
    <col min="7676" max="7676" width="5.5703125" style="18" customWidth="1"/>
    <col min="7677" max="7677" width="9" style="18" customWidth="1"/>
    <col min="7678" max="7679" width="9.85546875" style="18" customWidth="1"/>
    <col min="7680" max="7680" width="11.140625" style="18" customWidth="1"/>
    <col min="7681" max="7681" width="2.85546875" style="18" customWidth="1"/>
    <col min="7682" max="7682" width="3.5703125" style="18" customWidth="1"/>
    <col min="7683" max="7927" width="9.140625" style="18"/>
    <col min="7928" max="7928" width="8.7109375" style="18" customWidth="1"/>
    <col min="7929" max="7929" width="9.85546875" style="18" customWidth="1"/>
    <col min="7930" max="7930" width="14.42578125" style="18" customWidth="1"/>
    <col min="7931" max="7931" width="7.28515625" style="18" customWidth="1"/>
    <col min="7932" max="7932" width="5.5703125" style="18" customWidth="1"/>
    <col min="7933" max="7933" width="9" style="18" customWidth="1"/>
    <col min="7934" max="7935" width="9.85546875" style="18" customWidth="1"/>
    <col min="7936" max="7936" width="11.140625" style="18" customWidth="1"/>
    <col min="7937" max="7937" width="2.85546875" style="18" customWidth="1"/>
    <col min="7938" max="7938" width="3.5703125" style="18" customWidth="1"/>
    <col min="7939" max="8183" width="9.140625" style="18"/>
    <col min="8184" max="8184" width="8.7109375" style="18" customWidth="1"/>
    <col min="8185" max="8185" width="9.85546875" style="18" customWidth="1"/>
    <col min="8186" max="8186" width="14.42578125" style="18" customWidth="1"/>
    <col min="8187" max="8187" width="7.28515625" style="18" customWidth="1"/>
    <col min="8188" max="8188" width="5.5703125" style="18" customWidth="1"/>
    <col min="8189" max="8189" width="9" style="18" customWidth="1"/>
    <col min="8190" max="8191" width="9.85546875" style="18" customWidth="1"/>
    <col min="8192" max="8192" width="11.140625" style="18" customWidth="1"/>
    <col min="8193" max="8193" width="2.85546875" style="18" customWidth="1"/>
    <col min="8194" max="8194" width="3.5703125" style="18" customWidth="1"/>
    <col min="8195" max="8439" width="9.140625" style="18"/>
    <col min="8440" max="8440" width="8.7109375" style="18" customWidth="1"/>
    <col min="8441" max="8441" width="9.85546875" style="18" customWidth="1"/>
    <col min="8442" max="8442" width="14.42578125" style="18" customWidth="1"/>
    <col min="8443" max="8443" width="7.28515625" style="18" customWidth="1"/>
    <col min="8444" max="8444" width="5.5703125" style="18" customWidth="1"/>
    <col min="8445" max="8445" width="9" style="18" customWidth="1"/>
    <col min="8446" max="8447" width="9.85546875" style="18" customWidth="1"/>
    <col min="8448" max="8448" width="11.140625" style="18" customWidth="1"/>
    <col min="8449" max="8449" width="2.85546875" style="18" customWidth="1"/>
    <col min="8450" max="8450" width="3.5703125" style="18" customWidth="1"/>
    <col min="8451" max="8695" width="9.140625" style="18"/>
    <col min="8696" max="8696" width="8.7109375" style="18" customWidth="1"/>
    <col min="8697" max="8697" width="9.85546875" style="18" customWidth="1"/>
    <col min="8698" max="8698" width="14.42578125" style="18" customWidth="1"/>
    <col min="8699" max="8699" width="7.28515625" style="18" customWidth="1"/>
    <col min="8700" max="8700" width="5.5703125" style="18" customWidth="1"/>
    <col min="8701" max="8701" width="9" style="18" customWidth="1"/>
    <col min="8702" max="8703" width="9.85546875" style="18" customWidth="1"/>
    <col min="8704" max="8704" width="11.140625" style="18" customWidth="1"/>
    <col min="8705" max="8705" width="2.85546875" style="18" customWidth="1"/>
    <col min="8706" max="8706" width="3.5703125" style="18" customWidth="1"/>
    <col min="8707" max="8951" width="9.140625" style="18"/>
    <col min="8952" max="8952" width="8.7109375" style="18" customWidth="1"/>
    <col min="8953" max="8953" width="9.85546875" style="18" customWidth="1"/>
    <col min="8954" max="8954" width="14.42578125" style="18" customWidth="1"/>
    <col min="8955" max="8955" width="7.28515625" style="18" customWidth="1"/>
    <col min="8956" max="8956" width="5.5703125" style="18" customWidth="1"/>
    <col min="8957" max="8957" width="9" style="18" customWidth="1"/>
    <col min="8958" max="8959" width="9.85546875" style="18" customWidth="1"/>
    <col min="8960" max="8960" width="11.140625" style="18" customWidth="1"/>
    <col min="8961" max="8961" width="2.85546875" style="18" customWidth="1"/>
    <col min="8962" max="8962" width="3.5703125" style="18" customWidth="1"/>
    <col min="8963" max="9207" width="9.140625" style="18"/>
    <col min="9208" max="9208" width="8.7109375" style="18" customWidth="1"/>
    <col min="9209" max="9209" width="9.85546875" style="18" customWidth="1"/>
    <col min="9210" max="9210" width="14.42578125" style="18" customWidth="1"/>
    <col min="9211" max="9211" width="7.28515625" style="18" customWidth="1"/>
    <col min="9212" max="9212" width="5.5703125" style="18" customWidth="1"/>
    <col min="9213" max="9213" width="9" style="18" customWidth="1"/>
    <col min="9214" max="9215" width="9.85546875" style="18" customWidth="1"/>
    <col min="9216" max="9216" width="11.140625" style="18" customWidth="1"/>
    <col min="9217" max="9217" width="2.85546875" style="18" customWidth="1"/>
    <col min="9218" max="9218" width="3.5703125" style="18" customWidth="1"/>
    <col min="9219" max="9463" width="9.140625" style="18"/>
    <col min="9464" max="9464" width="8.7109375" style="18" customWidth="1"/>
    <col min="9465" max="9465" width="9.85546875" style="18" customWidth="1"/>
    <col min="9466" max="9466" width="14.42578125" style="18" customWidth="1"/>
    <col min="9467" max="9467" width="7.28515625" style="18" customWidth="1"/>
    <col min="9468" max="9468" width="5.5703125" style="18" customWidth="1"/>
    <col min="9469" max="9469" width="9" style="18" customWidth="1"/>
    <col min="9470" max="9471" width="9.85546875" style="18" customWidth="1"/>
    <col min="9472" max="9472" width="11.140625" style="18" customWidth="1"/>
    <col min="9473" max="9473" width="2.85546875" style="18" customWidth="1"/>
    <col min="9474" max="9474" width="3.5703125" style="18" customWidth="1"/>
    <col min="9475" max="9719" width="9.140625" style="18"/>
    <col min="9720" max="9720" width="8.7109375" style="18" customWidth="1"/>
    <col min="9721" max="9721" width="9.85546875" style="18" customWidth="1"/>
    <col min="9722" max="9722" width="14.42578125" style="18" customWidth="1"/>
    <col min="9723" max="9723" width="7.28515625" style="18" customWidth="1"/>
    <col min="9724" max="9724" width="5.5703125" style="18" customWidth="1"/>
    <col min="9725" max="9725" width="9" style="18" customWidth="1"/>
    <col min="9726" max="9727" width="9.85546875" style="18" customWidth="1"/>
    <col min="9728" max="9728" width="11.140625" style="18" customWidth="1"/>
    <col min="9729" max="9729" width="2.85546875" style="18" customWidth="1"/>
    <col min="9730" max="9730" width="3.5703125" style="18" customWidth="1"/>
    <col min="9731" max="9975" width="9.140625" style="18"/>
    <col min="9976" max="9976" width="8.7109375" style="18" customWidth="1"/>
    <col min="9977" max="9977" width="9.85546875" style="18" customWidth="1"/>
    <col min="9978" max="9978" width="14.42578125" style="18" customWidth="1"/>
    <col min="9979" max="9979" width="7.28515625" style="18" customWidth="1"/>
    <col min="9980" max="9980" width="5.5703125" style="18" customWidth="1"/>
    <col min="9981" max="9981" width="9" style="18" customWidth="1"/>
    <col min="9982" max="9983" width="9.85546875" style="18" customWidth="1"/>
    <col min="9984" max="9984" width="11.140625" style="18" customWidth="1"/>
    <col min="9985" max="9985" width="2.85546875" style="18" customWidth="1"/>
    <col min="9986" max="9986" width="3.5703125" style="18" customWidth="1"/>
    <col min="9987" max="10231" width="9.140625" style="18"/>
    <col min="10232" max="10232" width="8.7109375" style="18" customWidth="1"/>
    <col min="10233" max="10233" width="9.85546875" style="18" customWidth="1"/>
    <col min="10234" max="10234" width="14.42578125" style="18" customWidth="1"/>
    <col min="10235" max="10235" width="7.28515625" style="18" customWidth="1"/>
    <col min="10236" max="10236" width="5.5703125" style="18" customWidth="1"/>
    <col min="10237" max="10237" width="9" style="18" customWidth="1"/>
    <col min="10238" max="10239" width="9.85546875" style="18" customWidth="1"/>
    <col min="10240" max="10240" width="11.140625" style="18" customWidth="1"/>
    <col min="10241" max="10241" width="2.85546875" style="18" customWidth="1"/>
    <col min="10242" max="10242" width="3.5703125" style="18" customWidth="1"/>
    <col min="10243" max="10487" width="9.140625" style="18"/>
    <col min="10488" max="10488" width="8.7109375" style="18" customWidth="1"/>
    <col min="10489" max="10489" width="9.85546875" style="18" customWidth="1"/>
    <col min="10490" max="10490" width="14.42578125" style="18" customWidth="1"/>
    <col min="10491" max="10491" width="7.28515625" style="18" customWidth="1"/>
    <col min="10492" max="10492" width="5.5703125" style="18" customWidth="1"/>
    <col min="10493" max="10493" width="9" style="18" customWidth="1"/>
    <col min="10494" max="10495" width="9.85546875" style="18" customWidth="1"/>
    <col min="10496" max="10496" width="11.140625" style="18" customWidth="1"/>
    <col min="10497" max="10497" width="2.85546875" style="18" customWidth="1"/>
    <col min="10498" max="10498" width="3.5703125" style="18" customWidth="1"/>
    <col min="10499" max="10743" width="9.140625" style="18"/>
    <col min="10744" max="10744" width="8.7109375" style="18" customWidth="1"/>
    <col min="10745" max="10745" width="9.85546875" style="18" customWidth="1"/>
    <col min="10746" max="10746" width="14.42578125" style="18" customWidth="1"/>
    <col min="10747" max="10747" width="7.28515625" style="18" customWidth="1"/>
    <col min="10748" max="10748" width="5.5703125" style="18" customWidth="1"/>
    <col min="10749" max="10749" width="9" style="18" customWidth="1"/>
    <col min="10750" max="10751" width="9.85546875" style="18" customWidth="1"/>
    <col min="10752" max="10752" width="11.140625" style="18" customWidth="1"/>
    <col min="10753" max="10753" width="2.85546875" style="18" customWidth="1"/>
    <col min="10754" max="10754" width="3.5703125" style="18" customWidth="1"/>
    <col min="10755" max="10999" width="9.140625" style="18"/>
    <col min="11000" max="11000" width="8.7109375" style="18" customWidth="1"/>
    <col min="11001" max="11001" width="9.85546875" style="18" customWidth="1"/>
    <col min="11002" max="11002" width="14.42578125" style="18" customWidth="1"/>
    <col min="11003" max="11003" width="7.28515625" style="18" customWidth="1"/>
    <col min="11004" max="11004" width="5.5703125" style="18" customWidth="1"/>
    <col min="11005" max="11005" width="9" style="18" customWidth="1"/>
    <col min="11006" max="11007" width="9.85546875" style="18" customWidth="1"/>
    <col min="11008" max="11008" width="11.140625" style="18" customWidth="1"/>
    <col min="11009" max="11009" width="2.85546875" style="18" customWidth="1"/>
    <col min="11010" max="11010" width="3.5703125" style="18" customWidth="1"/>
    <col min="11011" max="11255" width="9.140625" style="18"/>
    <col min="11256" max="11256" width="8.7109375" style="18" customWidth="1"/>
    <col min="11257" max="11257" width="9.85546875" style="18" customWidth="1"/>
    <col min="11258" max="11258" width="14.42578125" style="18" customWidth="1"/>
    <col min="11259" max="11259" width="7.28515625" style="18" customWidth="1"/>
    <col min="11260" max="11260" width="5.5703125" style="18" customWidth="1"/>
    <col min="11261" max="11261" width="9" style="18" customWidth="1"/>
    <col min="11262" max="11263" width="9.85546875" style="18" customWidth="1"/>
    <col min="11264" max="11264" width="11.140625" style="18" customWidth="1"/>
    <col min="11265" max="11265" width="2.85546875" style="18" customWidth="1"/>
    <col min="11266" max="11266" width="3.5703125" style="18" customWidth="1"/>
    <col min="11267" max="11511" width="9.140625" style="18"/>
    <col min="11512" max="11512" width="8.7109375" style="18" customWidth="1"/>
    <col min="11513" max="11513" width="9.85546875" style="18" customWidth="1"/>
    <col min="11514" max="11514" width="14.42578125" style="18" customWidth="1"/>
    <col min="11515" max="11515" width="7.28515625" style="18" customWidth="1"/>
    <col min="11516" max="11516" width="5.5703125" style="18" customWidth="1"/>
    <col min="11517" max="11517" width="9" style="18" customWidth="1"/>
    <col min="11518" max="11519" width="9.85546875" style="18" customWidth="1"/>
    <col min="11520" max="11520" width="11.140625" style="18" customWidth="1"/>
    <col min="11521" max="11521" width="2.85546875" style="18" customWidth="1"/>
    <col min="11522" max="11522" width="3.5703125" style="18" customWidth="1"/>
    <col min="11523" max="11767" width="9.140625" style="18"/>
    <col min="11768" max="11768" width="8.7109375" style="18" customWidth="1"/>
    <col min="11769" max="11769" width="9.85546875" style="18" customWidth="1"/>
    <col min="11770" max="11770" width="14.42578125" style="18" customWidth="1"/>
    <col min="11771" max="11771" width="7.28515625" style="18" customWidth="1"/>
    <col min="11772" max="11772" width="5.5703125" style="18" customWidth="1"/>
    <col min="11773" max="11773" width="9" style="18" customWidth="1"/>
    <col min="11774" max="11775" width="9.85546875" style="18" customWidth="1"/>
    <col min="11776" max="11776" width="11.140625" style="18" customWidth="1"/>
    <col min="11777" max="11777" width="2.85546875" style="18" customWidth="1"/>
    <col min="11778" max="11778" width="3.5703125" style="18" customWidth="1"/>
    <col min="11779" max="12023" width="9.140625" style="18"/>
    <col min="12024" max="12024" width="8.7109375" style="18" customWidth="1"/>
    <col min="12025" max="12025" width="9.85546875" style="18" customWidth="1"/>
    <col min="12026" max="12026" width="14.42578125" style="18" customWidth="1"/>
    <col min="12027" max="12027" width="7.28515625" style="18" customWidth="1"/>
    <col min="12028" max="12028" width="5.5703125" style="18" customWidth="1"/>
    <col min="12029" max="12029" width="9" style="18" customWidth="1"/>
    <col min="12030" max="12031" width="9.85546875" style="18" customWidth="1"/>
    <col min="12032" max="12032" width="11.140625" style="18" customWidth="1"/>
    <col min="12033" max="12033" width="2.85546875" style="18" customWidth="1"/>
    <col min="12034" max="12034" width="3.5703125" style="18" customWidth="1"/>
    <col min="12035" max="12279" width="9.140625" style="18"/>
    <col min="12280" max="12280" width="8.7109375" style="18" customWidth="1"/>
    <col min="12281" max="12281" width="9.85546875" style="18" customWidth="1"/>
    <col min="12282" max="12282" width="14.42578125" style="18" customWidth="1"/>
    <col min="12283" max="12283" width="7.28515625" style="18" customWidth="1"/>
    <col min="12284" max="12284" width="5.5703125" style="18" customWidth="1"/>
    <col min="12285" max="12285" width="9" style="18" customWidth="1"/>
    <col min="12286" max="12287" width="9.85546875" style="18" customWidth="1"/>
    <col min="12288" max="12288" width="11.140625" style="18" customWidth="1"/>
    <col min="12289" max="12289" width="2.85546875" style="18" customWidth="1"/>
    <col min="12290" max="12290" width="3.5703125" style="18" customWidth="1"/>
    <col min="12291" max="12535" width="9.140625" style="18"/>
    <col min="12536" max="12536" width="8.7109375" style="18" customWidth="1"/>
    <col min="12537" max="12537" width="9.85546875" style="18" customWidth="1"/>
    <col min="12538" max="12538" width="14.42578125" style="18" customWidth="1"/>
    <col min="12539" max="12539" width="7.28515625" style="18" customWidth="1"/>
    <col min="12540" max="12540" width="5.5703125" style="18" customWidth="1"/>
    <col min="12541" max="12541" width="9" style="18" customWidth="1"/>
    <col min="12542" max="12543" width="9.85546875" style="18" customWidth="1"/>
    <col min="12544" max="12544" width="11.140625" style="18" customWidth="1"/>
    <col min="12545" max="12545" width="2.85546875" style="18" customWidth="1"/>
    <col min="12546" max="12546" width="3.5703125" style="18" customWidth="1"/>
    <col min="12547" max="12791" width="9.140625" style="18"/>
    <col min="12792" max="12792" width="8.7109375" style="18" customWidth="1"/>
    <col min="12793" max="12793" width="9.85546875" style="18" customWidth="1"/>
    <col min="12794" max="12794" width="14.42578125" style="18" customWidth="1"/>
    <col min="12795" max="12795" width="7.28515625" style="18" customWidth="1"/>
    <col min="12796" max="12796" width="5.5703125" style="18" customWidth="1"/>
    <col min="12797" max="12797" width="9" style="18" customWidth="1"/>
    <col min="12798" max="12799" width="9.85546875" style="18" customWidth="1"/>
    <col min="12800" max="12800" width="11.140625" style="18" customWidth="1"/>
    <col min="12801" max="12801" width="2.85546875" style="18" customWidth="1"/>
    <col min="12802" max="12802" width="3.5703125" style="18" customWidth="1"/>
    <col min="12803" max="13047" width="9.140625" style="18"/>
    <col min="13048" max="13048" width="8.7109375" style="18" customWidth="1"/>
    <col min="13049" max="13049" width="9.85546875" style="18" customWidth="1"/>
    <col min="13050" max="13050" width="14.42578125" style="18" customWidth="1"/>
    <col min="13051" max="13051" width="7.28515625" style="18" customWidth="1"/>
    <col min="13052" max="13052" width="5.5703125" style="18" customWidth="1"/>
    <col min="13053" max="13053" width="9" style="18" customWidth="1"/>
    <col min="13054" max="13055" width="9.85546875" style="18" customWidth="1"/>
    <col min="13056" max="13056" width="11.140625" style="18" customWidth="1"/>
    <col min="13057" max="13057" width="2.85546875" style="18" customWidth="1"/>
    <col min="13058" max="13058" width="3.5703125" style="18" customWidth="1"/>
    <col min="13059" max="13303" width="9.140625" style="18"/>
    <col min="13304" max="13304" width="8.7109375" style="18" customWidth="1"/>
    <col min="13305" max="13305" width="9.85546875" style="18" customWidth="1"/>
    <col min="13306" max="13306" width="14.42578125" style="18" customWidth="1"/>
    <col min="13307" max="13307" width="7.28515625" style="18" customWidth="1"/>
    <col min="13308" max="13308" width="5.5703125" style="18" customWidth="1"/>
    <col min="13309" max="13309" width="9" style="18" customWidth="1"/>
    <col min="13310" max="13311" width="9.85546875" style="18" customWidth="1"/>
    <col min="13312" max="13312" width="11.140625" style="18" customWidth="1"/>
    <col min="13313" max="13313" width="2.85546875" style="18" customWidth="1"/>
    <col min="13314" max="13314" width="3.5703125" style="18" customWidth="1"/>
    <col min="13315" max="13559" width="9.140625" style="18"/>
    <col min="13560" max="13560" width="8.7109375" style="18" customWidth="1"/>
    <col min="13561" max="13561" width="9.85546875" style="18" customWidth="1"/>
    <col min="13562" max="13562" width="14.42578125" style="18" customWidth="1"/>
    <col min="13563" max="13563" width="7.28515625" style="18" customWidth="1"/>
    <col min="13564" max="13564" width="5.5703125" style="18" customWidth="1"/>
    <col min="13565" max="13565" width="9" style="18" customWidth="1"/>
    <col min="13566" max="13567" width="9.85546875" style="18" customWidth="1"/>
    <col min="13568" max="13568" width="11.140625" style="18" customWidth="1"/>
    <col min="13569" max="13569" width="2.85546875" style="18" customWidth="1"/>
    <col min="13570" max="13570" width="3.5703125" style="18" customWidth="1"/>
    <col min="13571" max="13815" width="9.140625" style="18"/>
    <col min="13816" max="13816" width="8.7109375" style="18" customWidth="1"/>
    <col min="13817" max="13817" width="9.85546875" style="18" customWidth="1"/>
    <col min="13818" max="13818" width="14.42578125" style="18" customWidth="1"/>
    <col min="13819" max="13819" width="7.28515625" style="18" customWidth="1"/>
    <col min="13820" max="13820" width="5.5703125" style="18" customWidth="1"/>
    <col min="13821" max="13821" width="9" style="18" customWidth="1"/>
    <col min="13822" max="13823" width="9.85546875" style="18" customWidth="1"/>
    <col min="13824" max="13824" width="11.140625" style="18" customWidth="1"/>
    <col min="13825" max="13825" width="2.85546875" style="18" customWidth="1"/>
    <col min="13826" max="13826" width="3.5703125" style="18" customWidth="1"/>
    <col min="13827" max="14071" width="9.140625" style="18"/>
    <col min="14072" max="14072" width="8.7109375" style="18" customWidth="1"/>
    <col min="14073" max="14073" width="9.85546875" style="18" customWidth="1"/>
    <col min="14074" max="14074" width="14.42578125" style="18" customWidth="1"/>
    <col min="14075" max="14075" width="7.28515625" style="18" customWidth="1"/>
    <col min="14076" max="14076" width="5.5703125" style="18" customWidth="1"/>
    <col min="14077" max="14077" width="9" style="18" customWidth="1"/>
    <col min="14078" max="14079" width="9.85546875" style="18" customWidth="1"/>
    <col min="14080" max="14080" width="11.140625" style="18" customWidth="1"/>
    <col min="14081" max="14081" width="2.85546875" style="18" customWidth="1"/>
    <col min="14082" max="14082" width="3.5703125" style="18" customWidth="1"/>
    <col min="14083" max="14327" width="9.140625" style="18"/>
    <col min="14328" max="14328" width="8.7109375" style="18" customWidth="1"/>
    <col min="14329" max="14329" width="9.85546875" style="18" customWidth="1"/>
    <col min="14330" max="14330" width="14.42578125" style="18" customWidth="1"/>
    <col min="14331" max="14331" width="7.28515625" style="18" customWidth="1"/>
    <col min="14332" max="14332" width="5.5703125" style="18" customWidth="1"/>
    <col min="14333" max="14333" width="9" style="18" customWidth="1"/>
    <col min="14334" max="14335" width="9.85546875" style="18" customWidth="1"/>
    <col min="14336" max="14336" width="11.140625" style="18" customWidth="1"/>
    <col min="14337" max="14337" width="2.85546875" style="18" customWidth="1"/>
    <col min="14338" max="14338" width="3.5703125" style="18" customWidth="1"/>
    <col min="14339" max="14583" width="9.140625" style="18"/>
    <col min="14584" max="14584" width="8.7109375" style="18" customWidth="1"/>
    <col min="14585" max="14585" width="9.85546875" style="18" customWidth="1"/>
    <col min="14586" max="14586" width="14.42578125" style="18" customWidth="1"/>
    <col min="14587" max="14587" width="7.28515625" style="18" customWidth="1"/>
    <col min="14588" max="14588" width="5.5703125" style="18" customWidth="1"/>
    <col min="14589" max="14589" width="9" style="18" customWidth="1"/>
    <col min="14590" max="14591" width="9.85546875" style="18" customWidth="1"/>
    <col min="14592" max="14592" width="11.140625" style="18" customWidth="1"/>
    <col min="14593" max="14593" width="2.85546875" style="18" customWidth="1"/>
    <col min="14594" max="14594" width="3.5703125" style="18" customWidth="1"/>
    <col min="14595" max="14839" width="9.140625" style="18"/>
    <col min="14840" max="14840" width="8.7109375" style="18" customWidth="1"/>
    <col min="14841" max="14841" width="9.85546875" style="18" customWidth="1"/>
    <col min="14842" max="14842" width="14.42578125" style="18" customWidth="1"/>
    <col min="14843" max="14843" width="7.28515625" style="18" customWidth="1"/>
    <col min="14844" max="14844" width="5.5703125" style="18" customWidth="1"/>
    <col min="14845" max="14845" width="9" style="18" customWidth="1"/>
    <col min="14846" max="14847" width="9.85546875" style="18" customWidth="1"/>
    <col min="14848" max="14848" width="11.140625" style="18" customWidth="1"/>
    <col min="14849" max="14849" width="2.85546875" style="18" customWidth="1"/>
    <col min="14850" max="14850" width="3.5703125" style="18" customWidth="1"/>
    <col min="14851" max="15095" width="9.140625" style="18"/>
    <col min="15096" max="15096" width="8.7109375" style="18" customWidth="1"/>
    <col min="15097" max="15097" width="9.85546875" style="18" customWidth="1"/>
    <col min="15098" max="15098" width="14.42578125" style="18" customWidth="1"/>
    <col min="15099" max="15099" width="7.28515625" style="18" customWidth="1"/>
    <col min="15100" max="15100" width="5.5703125" style="18" customWidth="1"/>
    <col min="15101" max="15101" width="9" style="18" customWidth="1"/>
    <col min="15102" max="15103" width="9.85546875" style="18" customWidth="1"/>
    <col min="15104" max="15104" width="11.140625" style="18" customWidth="1"/>
    <col min="15105" max="15105" width="2.85546875" style="18" customWidth="1"/>
    <col min="15106" max="15106" width="3.5703125" style="18" customWidth="1"/>
    <col min="15107" max="15351" width="9.140625" style="18"/>
    <col min="15352" max="15352" width="8.7109375" style="18" customWidth="1"/>
    <col min="15353" max="15353" width="9.85546875" style="18" customWidth="1"/>
    <col min="15354" max="15354" width="14.42578125" style="18" customWidth="1"/>
    <col min="15355" max="15355" width="7.28515625" style="18" customWidth="1"/>
    <col min="15356" max="15356" width="5.5703125" style="18" customWidth="1"/>
    <col min="15357" max="15357" width="9" style="18" customWidth="1"/>
    <col min="15358" max="15359" width="9.85546875" style="18" customWidth="1"/>
    <col min="15360" max="15360" width="11.140625" style="18" customWidth="1"/>
    <col min="15361" max="15361" width="2.85546875" style="18" customWidth="1"/>
    <col min="15362" max="15362" width="3.5703125" style="18" customWidth="1"/>
    <col min="15363" max="15607" width="9.140625" style="18"/>
    <col min="15608" max="15608" width="8.7109375" style="18" customWidth="1"/>
    <col min="15609" max="15609" width="9.85546875" style="18" customWidth="1"/>
    <col min="15610" max="15610" width="14.42578125" style="18" customWidth="1"/>
    <col min="15611" max="15611" width="7.28515625" style="18" customWidth="1"/>
    <col min="15612" max="15612" width="5.5703125" style="18" customWidth="1"/>
    <col min="15613" max="15613" width="9" style="18" customWidth="1"/>
    <col min="15614" max="15615" width="9.85546875" style="18" customWidth="1"/>
    <col min="15616" max="15616" width="11.140625" style="18" customWidth="1"/>
    <col min="15617" max="15617" width="2.85546875" style="18" customWidth="1"/>
    <col min="15618" max="15618" width="3.5703125" style="18" customWidth="1"/>
    <col min="15619" max="15863" width="9.140625" style="18"/>
    <col min="15864" max="15864" width="8.7109375" style="18" customWidth="1"/>
    <col min="15865" max="15865" width="9.85546875" style="18" customWidth="1"/>
    <col min="15866" max="15866" width="14.42578125" style="18" customWidth="1"/>
    <col min="15867" max="15867" width="7.28515625" style="18" customWidth="1"/>
    <col min="15868" max="15868" width="5.5703125" style="18" customWidth="1"/>
    <col min="15869" max="15869" width="9" style="18" customWidth="1"/>
    <col min="15870" max="15871" width="9.85546875" style="18" customWidth="1"/>
    <col min="15872" max="15872" width="11.140625" style="18" customWidth="1"/>
    <col min="15873" max="15873" width="2.85546875" style="18" customWidth="1"/>
    <col min="15874" max="15874" width="3.5703125" style="18" customWidth="1"/>
    <col min="15875" max="16119" width="9.140625" style="18"/>
    <col min="16120" max="16120" width="8.7109375" style="18" customWidth="1"/>
    <col min="16121" max="16121" width="9.85546875" style="18" customWidth="1"/>
    <col min="16122" max="16122" width="14.42578125" style="18" customWidth="1"/>
    <col min="16123" max="16123" width="7.28515625" style="18" customWidth="1"/>
    <col min="16124" max="16124" width="5.5703125" style="18" customWidth="1"/>
    <col min="16125" max="16125" width="9" style="18" customWidth="1"/>
    <col min="16126" max="16127" width="9.85546875" style="18" customWidth="1"/>
    <col min="16128" max="16128" width="11.140625" style="18" customWidth="1"/>
    <col min="16129" max="16129" width="2.85546875" style="18" customWidth="1"/>
    <col min="16130" max="16130" width="3.5703125" style="18" customWidth="1"/>
    <col min="16131" max="16384" width="9.140625" style="18"/>
  </cols>
  <sheetData>
    <row r="1" spans="1:26" ht="46.5" customHeight="1" x14ac:dyDescent="0.35">
      <c r="A1" s="186" t="s">
        <v>166</v>
      </c>
      <c r="B1" s="186"/>
      <c r="C1" s="186"/>
      <c r="D1" s="186"/>
      <c r="E1" s="186"/>
      <c r="F1" s="186"/>
      <c r="G1" s="186"/>
      <c r="H1" s="186"/>
      <c r="J1" s="76" t="s">
        <v>444</v>
      </c>
    </row>
    <row r="2" spans="1:26" ht="16.5" customHeight="1" x14ac:dyDescent="0.25">
      <c r="A2" s="187" t="s">
        <v>0</v>
      </c>
      <c r="B2" s="187"/>
      <c r="C2" s="187"/>
      <c r="D2" s="187"/>
      <c r="E2" s="187"/>
      <c r="F2" s="187"/>
      <c r="G2" s="187"/>
      <c r="H2" s="187"/>
    </row>
    <row r="3" spans="1:26" x14ac:dyDescent="0.25">
      <c r="A3" s="143" t="s">
        <v>1</v>
      </c>
      <c r="B3" s="143"/>
      <c r="C3" s="143"/>
      <c r="D3" s="143"/>
      <c r="E3" s="143" t="str">
        <f ca="1">TEXT(TODAY(),"DD/MM/YYYY")</f>
        <v>12/08/2025</v>
      </c>
      <c r="F3" s="143"/>
      <c r="G3" s="143"/>
      <c r="H3" s="143"/>
      <c r="K3" s="50" t="s">
        <v>238</v>
      </c>
      <c r="L3" s="48" t="s">
        <v>236</v>
      </c>
      <c r="M3" s="48" t="s">
        <v>241</v>
      </c>
      <c r="N3" s="48" t="s">
        <v>239</v>
      </c>
      <c r="O3" s="48" t="s">
        <v>344</v>
      </c>
      <c r="P3" s="48" t="s">
        <v>242</v>
      </c>
    </row>
    <row r="4" spans="1:26" ht="15" customHeight="1" x14ac:dyDescent="0.25">
      <c r="A4" s="143" t="s">
        <v>235</v>
      </c>
      <c r="B4" s="143"/>
      <c r="C4" s="143"/>
      <c r="D4" s="143"/>
      <c r="E4" s="189" t="s">
        <v>236</v>
      </c>
      <c r="F4" s="189"/>
      <c r="G4" s="189"/>
      <c r="H4" s="189"/>
      <c r="K4" s="47" t="s">
        <v>237</v>
      </c>
      <c r="L4" s="48" t="s">
        <v>173</v>
      </c>
      <c r="M4" s="48" t="s">
        <v>246</v>
      </c>
      <c r="N4" s="48" t="s">
        <v>248</v>
      </c>
      <c r="O4" s="48" t="s">
        <v>345</v>
      </c>
      <c r="P4" s="48"/>
    </row>
    <row r="5" spans="1:26" ht="15" customHeight="1" x14ac:dyDescent="0.25">
      <c r="A5" s="143" t="s">
        <v>2</v>
      </c>
      <c r="B5" s="143"/>
      <c r="C5" s="143"/>
      <c r="D5" s="143"/>
      <c r="E5" s="189" t="s">
        <v>243</v>
      </c>
      <c r="F5" s="189"/>
      <c r="G5" s="189"/>
      <c r="H5" s="189"/>
      <c r="K5" s="47"/>
      <c r="L5" s="48" t="s">
        <v>243</v>
      </c>
      <c r="M5" s="48" t="s">
        <v>247</v>
      </c>
      <c r="N5" s="48" t="s">
        <v>249</v>
      </c>
      <c r="O5" s="48" t="s">
        <v>346</v>
      </c>
      <c r="P5" s="48"/>
    </row>
    <row r="6" spans="1:26" x14ac:dyDescent="0.25">
      <c r="A6" s="143" t="s">
        <v>3</v>
      </c>
      <c r="B6" s="143"/>
      <c r="C6" s="143"/>
      <c r="D6" s="143"/>
      <c r="E6" s="190">
        <v>45880</v>
      </c>
      <c r="F6" s="143"/>
      <c r="G6" s="143"/>
      <c r="H6" s="143"/>
      <c r="K6" s="47"/>
      <c r="L6" s="48" t="s">
        <v>244</v>
      </c>
      <c r="M6" s="48"/>
      <c r="N6" s="48"/>
      <c r="O6" s="48" t="s">
        <v>347</v>
      </c>
      <c r="P6" s="48"/>
    </row>
    <row r="7" spans="1:26" ht="16.5" customHeight="1" x14ac:dyDescent="0.25">
      <c r="A7" s="143" t="s">
        <v>4</v>
      </c>
      <c r="B7" s="143"/>
      <c r="C7" s="143"/>
      <c r="D7" s="143"/>
      <c r="E7" s="143" t="s">
        <v>352</v>
      </c>
      <c r="F7" s="143"/>
      <c r="G7" s="143"/>
      <c r="H7" s="143"/>
      <c r="K7" s="47"/>
      <c r="L7" s="48" t="s">
        <v>245</v>
      </c>
      <c r="M7" s="48"/>
      <c r="N7" s="48"/>
      <c r="O7" s="48" t="s">
        <v>347</v>
      </c>
      <c r="P7" s="48"/>
    </row>
    <row r="8" spans="1:26" ht="15" customHeight="1" x14ac:dyDescent="0.25">
      <c r="A8" s="143" t="s">
        <v>5</v>
      </c>
      <c r="B8" s="143"/>
      <c r="C8" s="143"/>
      <c r="D8" s="143"/>
      <c r="E8" s="143" t="str">
        <f>E7</f>
        <v>Shoden Developers Private Limited</v>
      </c>
      <c r="F8" s="143"/>
      <c r="G8" s="143"/>
      <c r="H8" s="143"/>
      <c r="K8" s="47"/>
      <c r="L8" s="48"/>
      <c r="M8" s="48"/>
      <c r="N8" s="48"/>
      <c r="O8" s="48" t="s">
        <v>348</v>
      </c>
      <c r="P8" s="48"/>
    </row>
    <row r="9" spans="1:26" x14ac:dyDescent="0.25">
      <c r="A9" s="143" t="s">
        <v>6</v>
      </c>
      <c r="B9" s="143"/>
      <c r="C9" s="143"/>
      <c r="D9" s="143"/>
      <c r="E9" s="188" t="s">
        <v>354</v>
      </c>
      <c r="F9" s="188"/>
      <c r="G9" s="188"/>
      <c r="H9" s="188"/>
      <c r="K9" s="47"/>
      <c r="L9" s="48"/>
      <c r="M9" s="48"/>
      <c r="N9" s="48"/>
      <c r="O9" s="48" t="s">
        <v>349</v>
      </c>
      <c r="P9" s="48"/>
    </row>
    <row r="10" spans="1:26" x14ac:dyDescent="0.25">
      <c r="A10" s="143" t="s">
        <v>169</v>
      </c>
      <c r="B10" s="143"/>
      <c r="C10" s="143"/>
      <c r="D10" s="143"/>
      <c r="E10" s="143" t="s">
        <v>355</v>
      </c>
      <c r="F10" s="143"/>
      <c r="G10" s="143"/>
      <c r="H10" s="143"/>
      <c r="K10" s="47"/>
      <c r="L10" s="48"/>
      <c r="M10" s="48"/>
      <c r="N10" s="48"/>
      <c r="O10" s="48" t="s">
        <v>350</v>
      </c>
      <c r="P10" s="48"/>
    </row>
    <row r="11" spans="1:26" x14ac:dyDescent="0.25">
      <c r="A11" s="143" t="s">
        <v>170</v>
      </c>
      <c r="B11" s="143"/>
      <c r="C11" s="143"/>
      <c r="D11" s="143"/>
      <c r="E11" s="143" t="s">
        <v>480</v>
      </c>
      <c r="F11" s="143"/>
      <c r="G11" s="143"/>
      <c r="H11" s="143"/>
      <c r="O11" s="48" t="s">
        <v>351</v>
      </c>
    </row>
    <row r="12" spans="1:26" ht="32.25" customHeight="1" x14ac:dyDescent="0.25">
      <c r="A12" s="143" t="s">
        <v>7</v>
      </c>
      <c r="B12" s="143"/>
      <c r="C12" s="143"/>
      <c r="D12" s="143"/>
      <c r="E12" s="191" t="s">
        <v>356</v>
      </c>
      <c r="F12" s="191"/>
      <c r="G12" s="191"/>
      <c r="H12" s="191"/>
    </row>
    <row r="13" spans="1:26" x14ac:dyDescent="0.25">
      <c r="A13" s="143" t="s">
        <v>174</v>
      </c>
      <c r="B13" s="143"/>
      <c r="C13" s="143"/>
      <c r="D13" s="143"/>
      <c r="E13" s="143" t="s">
        <v>28</v>
      </c>
      <c r="F13" s="143"/>
      <c r="G13" s="143"/>
      <c r="H13" s="143"/>
      <c r="S13" s="48" t="s">
        <v>182</v>
      </c>
      <c r="T13" s="48" t="s">
        <v>191</v>
      </c>
      <c r="U13" s="48" t="s">
        <v>175</v>
      </c>
      <c r="V13" s="48" t="s">
        <v>196</v>
      </c>
      <c r="W13" s="48" t="s">
        <v>214</v>
      </c>
      <c r="X13"/>
      <c r="Y13" t="s">
        <v>196</v>
      </c>
      <c r="Z13" t="e">
        <f ca="1">OFFSET($S$13,1,MATCH($G20,$S$13:$W$13,0)-1,15,1)</f>
        <v>#VALUE!</v>
      </c>
    </row>
    <row r="14" spans="1:26" x14ac:dyDescent="0.25">
      <c r="A14" s="132" t="s">
        <v>281</v>
      </c>
      <c r="B14" s="132"/>
      <c r="C14" s="132"/>
      <c r="D14" s="132"/>
      <c r="E14" s="191" t="s">
        <v>465</v>
      </c>
      <c r="F14" s="191"/>
      <c r="G14" s="191"/>
      <c r="H14" s="191"/>
      <c r="S14" s="48" t="s">
        <v>182</v>
      </c>
      <c r="T14" s="48" t="s">
        <v>189</v>
      </c>
      <c r="U14" s="48" t="s">
        <v>211</v>
      </c>
      <c r="V14" s="48" t="s">
        <v>197</v>
      </c>
      <c r="W14" s="48" t="s">
        <v>215</v>
      </c>
      <c r="X14"/>
      <c r="Y14"/>
      <c r="Z14"/>
    </row>
    <row r="15" spans="1:26" x14ac:dyDescent="0.25">
      <c r="A15" s="132" t="s">
        <v>8</v>
      </c>
      <c r="B15" s="132"/>
      <c r="C15" s="132"/>
      <c r="D15" s="132"/>
      <c r="E15" s="192" t="s">
        <v>353</v>
      </c>
      <c r="F15" s="189"/>
      <c r="G15" s="189"/>
      <c r="H15" s="189"/>
      <c r="I15" s="135" t="e">
        <f ca="1">OFFSET($D$5,1,MATCH($J13,$D$5:$H$5,0)-1,15,1)</f>
        <v>#N/A</v>
      </c>
      <c r="J15" s="136"/>
      <c r="K15" s="136"/>
      <c r="L15" s="136"/>
      <c r="M15" s="136"/>
      <c r="N15" s="136"/>
      <c r="O15" s="136"/>
      <c r="P15" s="136"/>
      <c r="S15" s="48" t="s">
        <v>183</v>
      </c>
      <c r="T15" s="48" t="s">
        <v>190</v>
      </c>
      <c r="U15" s="48" t="s">
        <v>212</v>
      </c>
      <c r="V15" s="48" t="s">
        <v>198</v>
      </c>
      <c r="W15" s="48" t="s">
        <v>228</v>
      </c>
      <c r="X15"/>
      <c r="Y15"/>
      <c r="Z15"/>
    </row>
    <row r="16" spans="1:26" ht="93.75" customHeight="1" x14ac:dyDescent="0.25">
      <c r="A16" s="124" t="s">
        <v>9</v>
      </c>
      <c r="B16" s="124"/>
      <c r="C16" s="124" t="str">
        <f>CONCATENATE((IF(OR(E9="",E9="NA"),"",E9)),", ",(IF(OR(A17="",A17="NA"),"",A17)),".",(IF(OR(C17="",C17="NA"),"",C17)),", near ",(IF(OR(C22="",C22="NA"),"",C22)),", ",(IF(OR(C19="",C19="NA"),"",C19)),", ",(IF(OR(C18="",C18="NA"),"",C18)),", ",(IF(OR(G19="",G19="NA"),"",G19)),", ",(IF(OR(C20="",C20="NA"),"",C20)),", ",(IF(OR(C21="",C21="NA"),"",C21)),", ",(IF(OR(G20="",G20="NA"),"",G20))," - ",(IF(OR(G21="",G21="NA"),"",G21)),".")</f>
        <v>Hiranandani Westgate Phase 1, Plot No.138/2/15, 214/6, 8, 9A, 9B, 215/1, 2, 3A, 3B, 216/1, 2, 218/1, 2, 3, 4, 5, 6, 7, 219/1, 2, 3A, 3B, 4, 5, 6, 7, 220/1/A, 1/B, 2, 3, 4A, 4B, 5, 6, 221/1, 2, 222/1/A, 2B, 2C, 3, 4, 5, 6, 7, 8, 231/2/2/A, 2/2/C, 2/2/D, 2/2/B, 3/A, 3/B, 4, 6A, 6B, 232/1, 2, 3, 4, 232/5A &amp; 5B, 285, 286, 288, near Vijay Residency the Residency CHS, Cosmos Park Road, , Kavesar, Thane West, Thane, Thane - 4000615.</v>
      </c>
      <c r="D16" s="124"/>
      <c r="E16" s="124"/>
      <c r="F16" s="124"/>
      <c r="G16" s="124"/>
      <c r="H16" s="124"/>
      <c r="S16" s="48" t="s">
        <v>184</v>
      </c>
      <c r="T16" s="48" t="s">
        <v>192</v>
      </c>
      <c r="U16" s="48" t="s">
        <v>213</v>
      </c>
      <c r="V16" s="48" t="s">
        <v>199</v>
      </c>
      <c r="W16" s="48" t="s">
        <v>216</v>
      </c>
      <c r="X16"/>
      <c r="Y16"/>
      <c r="Z16"/>
    </row>
    <row r="17" spans="1:26" ht="63.75" customHeight="1" x14ac:dyDescent="0.25">
      <c r="A17" s="191" t="s">
        <v>357</v>
      </c>
      <c r="B17" s="191"/>
      <c r="C17" s="191" t="s">
        <v>358</v>
      </c>
      <c r="D17" s="191"/>
      <c r="E17" s="191"/>
      <c r="F17" s="191"/>
      <c r="G17" s="191"/>
      <c r="H17" s="191"/>
      <c r="S17" s="48" t="s">
        <v>185</v>
      </c>
      <c r="T17" s="48" t="s">
        <v>193</v>
      </c>
      <c r="U17" s="48" t="s">
        <v>175</v>
      </c>
      <c r="V17" s="48" t="s">
        <v>200</v>
      </c>
      <c r="W17" s="48" t="s">
        <v>217</v>
      </c>
      <c r="X17"/>
      <c r="Y17"/>
      <c r="Z17"/>
    </row>
    <row r="18" spans="1:26" ht="15.75" customHeight="1" x14ac:dyDescent="0.25">
      <c r="A18" s="191" t="s">
        <v>164</v>
      </c>
      <c r="B18" s="191"/>
      <c r="C18" s="191" t="s">
        <v>28</v>
      </c>
      <c r="D18" s="191"/>
      <c r="E18" s="191"/>
      <c r="F18" s="191"/>
      <c r="G18" s="191"/>
      <c r="H18" s="191"/>
      <c r="S18" s="48" t="s">
        <v>186</v>
      </c>
      <c r="T18" s="48" t="s">
        <v>191</v>
      </c>
      <c r="U18" s="48"/>
      <c r="V18" s="48" t="s">
        <v>201</v>
      </c>
      <c r="W18" s="48" t="s">
        <v>218</v>
      </c>
      <c r="X18"/>
      <c r="Y18"/>
      <c r="Z18"/>
    </row>
    <row r="19" spans="1:26" ht="15.75" customHeight="1" x14ac:dyDescent="0.25">
      <c r="A19" s="124" t="s">
        <v>10</v>
      </c>
      <c r="B19" s="124"/>
      <c r="C19" s="143" t="s">
        <v>363</v>
      </c>
      <c r="D19" s="143"/>
      <c r="E19" s="124" t="s">
        <v>70</v>
      </c>
      <c r="F19" s="124"/>
      <c r="G19" s="191" t="s">
        <v>359</v>
      </c>
      <c r="H19" s="191"/>
      <c r="S19" s="48" t="s">
        <v>187</v>
      </c>
      <c r="T19" s="48" t="s">
        <v>194</v>
      </c>
      <c r="U19" s="48"/>
      <c r="V19" s="48" t="s">
        <v>202</v>
      </c>
      <c r="W19" s="48" t="s">
        <v>219</v>
      </c>
      <c r="X19"/>
      <c r="Y19"/>
      <c r="Z19"/>
    </row>
    <row r="20" spans="1:26" x14ac:dyDescent="0.25">
      <c r="A20" s="132" t="s">
        <v>12</v>
      </c>
      <c r="B20" s="132"/>
      <c r="C20" s="191" t="s">
        <v>362</v>
      </c>
      <c r="D20" s="191"/>
      <c r="E20" s="124" t="s">
        <v>11</v>
      </c>
      <c r="F20" s="124"/>
      <c r="G20" s="193" t="s">
        <v>182</v>
      </c>
      <c r="H20" s="193"/>
      <c r="S20" s="48" t="s">
        <v>188</v>
      </c>
      <c r="T20" s="48" t="s">
        <v>195</v>
      </c>
      <c r="U20" s="48"/>
      <c r="V20" s="48" t="s">
        <v>203</v>
      </c>
      <c r="W20" s="48" t="s">
        <v>220</v>
      </c>
      <c r="X20"/>
      <c r="Y20"/>
      <c r="Z20"/>
    </row>
    <row r="21" spans="1:26" x14ac:dyDescent="0.25">
      <c r="A21" s="132" t="s">
        <v>71</v>
      </c>
      <c r="B21" s="132"/>
      <c r="C21" s="192" t="s">
        <v>182</v>
      </c>
      <c r="D21" s="192"/>
      <c r="E21" s="124" t="s">
        <v>13</v>
      </c>
      <c r="F21" s="124"/>
      <c r="G21" s="191">
        <v>4000615</v>
      </c>
      <c r="H21" s="191"/>
      <c r="S21" s="48"/>
      <c r="T21" s="48"/>
      <c r="U21" s="48"/>
      <c r="V21" s="48" t="s">
        <v>204</v>
      </c>
      <c r="W21" s="48" t="s">
        <v>221</v>
      </c>
      <c r="X21"/>
      <c r="Y21"/>
      <c r="Z21"/>
    </row>
    <row r="22" spans="1:26" ht="32.25" customHeight="1" x14ac:dyDescent="0.25">
      <c r="A22" s="132" t="s">
        <v>120</v>
      </c>
      <c r="B22" s="132"/>
      <c r="C22" s="191" t="s">
        <v>364</v>
      </c>
      <c r="D22" s="191"/>
      <c r="E22" s="124" t="s">
        <v>14</v>
      </c>
      <c r="F22" s="124"/>
      <c r="G22" s="192" t="s">
        <v>443</v>
      </c>
      <c r="H22" s="192"/>
      <c r="S22" s="48"/>
      <c r="T22" s="48"/>
      <c r="U22" s="48"/>
      <c r="V22" s="48" t="s">
        <v>205</v>
      </c>
      <c r="W22" s="48" t="s">
        <v>222</v>
      </c>
      <c r="X22"/>
      <c r="Y22"/>
      <c r="Z22"/>
    </row>
    <row r="23" spans="1:26" ht="15" customHeight="1" x14ac:dyDescent="0.25">
      <c r="A23" s="124" t="s">
        <v>73</v>
      </c>
      <c r="B23" s="124"/>
      <c r="C23" s="124"/>
      <c r="D23" s="124"/>
      <c r="E23" s="143" t="s">
        <v>15</v>
      </c>
      <c r="F23" s="143"/>
      <c r="G23" s="143"/>
      <c r="H23" s="143"/>
      <c r="S23" s="48"/>
      <c r="T23" s="48"/>
      <c r="U23" s="48"/>
      <c r="V23" s="48" t="s">
        <v>206</v>
      </c>
      <c r="W23" s="48" t="s">
        <v>223</v>
      </c>
      <c r="X23"/>
      <c r="Y23"/>
      <c r="Z23"/>
    </row>
    <row r="24" spans="1:26" ht="18.75" customHeight="1" x14ac:dyDescent="0.25">
      <c r="A24" s="124"/>
      <c r="B24" s="124"/>
      <c r="C24" s="124"/>
      <c r="D24" s="124"/>
      <c r="E24" s="143"/>
      <c r="F24" s="143"/>
      <c r="G24" s="143"/>
      <c r="H24" s="143"/>
      <c r="S24" s="48"/>
      <c r="T24" s="48"/>
      <c r="U24" s="48"/>
      <c r="V24" s="48" t="s">
        <v>207</v>
      </c>
      <c r="W24" s="48" t="s">
        <v>224</v>
      </c>
      <c r="X24"/>
      <c r="Y24"/>
      <c r="Z24"/>
    </row>
    <row r="25" spans="1:26" ht="15" customHeight="1" x14ac:dyDescent="0.25">
      <c r="A25" s="124" t="s">
        <v>16</v>
      </c>
      <c r="B25" s="124"/>
      <c r="C25" s="124"/>
      <c r="D25" s="124"/>
      <c r="E25" s="191" t="s">
        <v>17</v>
      </c>
      <c r="F25" s="191"/>
      <c r="G25" s="191"/>
      <c r="H25" s="191"/>
      <c r="S25" s="48"/>
      <c r="T25" s="48"/>
      <c r="U25" s="48"/>
      <c r="V25" s="48" t="s">
        <v>208</v>
      </c>
      <c r="W25" s="48" t="s">
        <v>225</v>
      </c>
      <c r="X25"/>
      <c r="Y25"/>
      <c r="Z25"/>
    </row>
    <row r="26" spans="1:26" ht="15" customHeight="1" x14ac:dyDescent="0.25">
      <c r="A26" s="132" t="s">
        <v>18</v>
      </c>
      <c r="B26" s="132"/>
      <c r="C26" s="132"/>
      <c r="D26" s="132"/>
      <c r="E26" s="191" t="str">
        <f>IF(AND(G20="Mumbai"),"Upper Class","Middle Class")</f>
        <v>Middle Class</v>
      </c>
      <c r="F26" s="191"/>
      <c r="G26" s="191"/>
      <c r="H26" s="191"/>
      <c r="S26" s="48"/>
      <c r="T26" s="48"/>
      <c r="U26" s="48"/>
      <c r="V26" s="48" t="s">
        <v>209</v>
      </c>
      <c r="W26" s="48" t="s">
        <v>226</v>
      </c>
      <c r="X26"/>
      <c r="Y26"/>
      <c r="Z26"/>
    </row>
    <row r="27" spans="1:26" x14ac:dyDescent="0.25">
      <c r="A27" s="132" t="s">
        <v>19</v>
      </c>
      <c r="B27" s="132"/>
      <c r="C27" s="132"/>
      <c r="D27" s="132"/>
      <c r="E27" s="191" t="s">
        <v>20</v>
      </c>
      <c r="F27" s="191"/>
      <c r="G27" s="191"/>
      <c r="H27" s="191"/>
      <c r="S27" s="48"/>
      <c r="T27" s="48"/>
      <c r="U27" s="48"/>
      <c r="V27" s="48" t="s">
        <v>210</v>
      </c>
      <c r="W27" s="48" t="s">
        <v>227</v>
      </c>
      <c r="X27"/>
      <c r="Y27"/>
      <c r="Z27"/>
    </row>
    <row r="28" spans="1:26" ht="15.75" customHeight="1" x14ac:dyDescent="0.25">
      <c r="A28" s="132" t="s">
        <v>21</v>
      </c>
      <c r="B28" s="132"/>
      <c r="C28" s="132"/>
      <c r="D28" s="132"/>
      <c r="E28" s="191" t="str">
        <f>IF(AND(G20="Mumbai"),"Developed","Developing")</f>
        <v>Developing</v>
      </c>
      <c r="F28" s="191"/>
      <c r="G28" s="191"/>
      <c r="H28" s="191"/>
    </row>
    <row r="29" spans="1:26" x14ac:dyDescent="0.25">
      <c r="A29" s="132" t="s">
        <v>22</v>
      </c>
      <c r="B29" s="132"/>
      <c r="C29" s="132"/>
      <c r="D29" s="132"/>
      <c r="E29" s="191" t="s">
        <v>23</v>
      </c>
      <c r="F29" s="191"/>
      <c r="G29" s="191"/>
      <c r="H29" s="191"/>
    </row>
    <row r="30" spans="1:26" ht="15.75" customHeight="1" x14ac:dyDescent="0.25">
      <c r="A30" s="132" t="s">
        <v>78</v>
      </c>
      <c r="B30" s="132"/>
      <c r="C30" s="132"/>
      <c r="D30" s="132"/>
      <c r="E30" s="191" t="s">
        <v>79</v>
      </c>
      <c r="F30" s="191"/>
      <c r="G30" s="191"/>
      <c r="H30" s="191"/>
    </row>
    <row r="31" spans="1:26" ht="15" customHeight="1" x14ac:dyDescent="0.25">
      <c r="A31" s="132" t="s">
        <v>30</v>
      </c>
      <c r="B31" s="132"/>
      <c r="C31" s="132"/>
      <c r="D31" s="132"/>
      <c r="E31" s="191"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91"/>
      <c r="G31" s="191"/>
      <c r="H31" s="191"/>
    </row>
    <row r="32" spans="1:26" ht="15.75" customHeight="1" x14ac:dyDescent="0.25">
      <c r="A32" s="132" t="s">
        <v>89</v>
      </c>
      <c r="B32" s="132"/>
      <c r="C32" s="132"/>
      <c r="D32" s="132"/>
      <c r="E32" s="191" t="s">
        <v>31</v>
      </c>
      <c r="F32" s="191"/>
      <c r="G32" s="191"/>
      <c r="H32" s="191"/>
    </row>
    <row r="33" spans="1:19" s="19" customFormat="1" x14ac:dyDescent="0.25">
      <c r="A33" s="201" t="s">
        <v>90</v>
      </c>
      <c r="B33" s="201"/>
      <c r="C33" s="194" t="s">
        <v>176</v>
      </c>
      <c r="D33" s="195"/>
      <c r="E33" s="196"/>
      <c r="F33" s="194" t="s">
        <v>29</v>
      </c>
      <c r="G33" s="195"/>
      <c r="H33" s="196"/>
      <c r="S33" s="19" t="e">
        <f ca="1">OFFSET($S$13,1,MATCH($G20,$S$13:$W$13,0)-1,15,1)</f>
        <v>#VALUE!</v>
      </c>
    </row>
    <row r="34" spans="1:19" s="19" customFormat="1" x14ac:dyDescent="0.25">
      <c r="A34" s="200" t="s">
        <v>24</v>
      </c>
      <c r="B34" s="200" t="s">
        <v>28</v>
      </c>
      <c r="C34" s="197" t="s">
        <v>366</v>
      </c>
      <c r="D34" s="198"/>
      <c r="E34" s="199"/>
      <c r="F34" s="197" t="s">
        <v>442</v>
      </c>
      <c r="G34" s="198"/>
      <c r="H34" s="199"/>
    </row>
    <row r="35" spans="1:19" x14ac:dyDescent="0.25">
      <c r="A35" s="200" t="s">
        <v>25</v>
      </c>
      <c r="B35" s="200" t="s">
        <v>28</v>
      </c>
      <c r="C35" s="197" t="s">
        <v>366</v>
      </c>
      <c r="D35" s="198"/>
      <c r="E35" s="199"/>
      <c r="F35" s="197" t="s">
        <v>441</v>
      </c>
      <c r="G35" s="198"/>
      <c r="H35" s="199"/>
    </row>
    <row r="36" spans="1:19" s="19" customFormat="1" x14ac:dyDescent="0.25">
      <c r="A36" s="200" t="s">
        <v>27</v>
      </c>
      <c r="B36" s="200" t="s">
        <v>28</v>
      </c>
      <c r="C36" s="197" t="s">
        <v>365</v>
      </c>
      <c r="D36" s="198"/>
      <c r="E36" s="199"/>
      <c r="F36" s="197" t="s">
        <v>438</v>
      </c>
      <c r="G36" s="198"/>
      <c r="H36" s="199"/>
    </row>
    <row r="37" spans="1:19" x14ac:dyDescent="0.25">
      <c r="A37" s="200" t="s">
        <v>26</v>
      </c>
      <c r="B37" s="200" t="s">
        <v>28</v>
      </c>
      <c r="C37" s="197" t="s">
        <v>439</v>
      </c>
      <c r="D37" s="198"/>
      <c r="E37" s="199"/>
      <c r="F37" s="197" t="s">
        <v>440</v>
      </c>
      <c r="G37" s="198"/>
      <c r="H37" s="199"/>
    </row>
    <row r="38" spans="1:19" x14ac:dyDescent="0.25">
      <c r="A38" s="132" t="s">
        <v>282</v>
      </c>
      <c r="B38" s="132"/>
      <c r="C38" s="132"/>
      <c r="D38" s="132"/>
      <c r="E38" s="132"/>
      <c r="F38" s="132"/>
      <c r="G38" s="132"/>
      <c r="H38" s="132"/>
    </row>
    <row r="39" spans="1:19" ht="15.75" customHeight="1" x14ac:dyDescent="0.25">
      <c r="A39" s="132" t="s">
        <v>167</v>
      </c>
      <c r="B39" s="132"/>
      <c r="C39" s="174" t="s">
        <v>360</v>
      </c>
      <c r="D39" s="174"/>
      <c r="E39" s="174"/>
      <c r="F39" s="174"/>
      <c r="G39" s="174"/>
      <c r="H39" s="174"/>
    </row>
    <row r="40" spans="1:19" x14ac:dyDescent="0.25">
      <c r="A40" s="132" t="s">
        <v>163</v>
      </c>
      <c r="B40" s="132"/>
      <c r="C40" s="229" t="s">
        <v>361</v>
      </c>
      <c r="D40" s="191"/>
      <c r="E40" s="191"/>
      <c r="F40" s="191"/>
      <c r="G40" s="191"/>
      <c r="H40" s="191"/>
    </row>
    <row r="41" spans="1:19" x14ac:dyDescent="0.25">
      <c r="A41" s="174" t="s">
        <v>32</v>
      </c>
      <c r="B41" s="174"/>
      <c r="C41" s="174"/>
      <c r="D41" s="174"/>
      <c r="E41" s="174"/>
      <c r="F41" s="174"/>
      <c r="G41" s="174"/>
      <c r="H41" s="174"/>
    </row>
    <row r="42" spans="1:19" x14ac:dyDescent="0.25">
      <c r="A42" s="132" t="s">
        <v>33</v>
      </c>
      <c r="B42" s="132"/>
      <c r="C42" s="132"/>
      <c r="D42" s="132"/>
      <c r="E42" s="209">
        <v>88856.63</v>
      </c>
      <c r="F42" s="209"/>
      <c r="G42" s="209"/>
      <c r="H42" s="209"/>
    </row>
    <row r="43" spans="1:19" x14ac:dyDescent="0.25">
      <c r="A43" s="132" t="s">
        <v>34</v>
      </c>
      <c r="B43" s="132"/>
      <c r="C43" s="132"/>
      <c r="D43" s="132"/>
      <c r="E43" s="204">
        <f>97742.29/E42</f>
        <v>1.0999999662377471</v>
      </c>
      <c r="F43" s="204"/>
      <c r="G43" s="204"/>
      <c r="H43" s="204"/>
    </row>
    <row r="44" spans="1:19" x14ac:dyDescent="0.25">
      <c r="A44" s="132" t="s">
        <v>35</v>
      </c>
      <c r="B44" s="132"/>
      <c r="C44" s="132"/>
      <c r="D44" s="132"/>
      <c r="E44" s="204">
        <f>E46/E42-E43</f>
        <v>1.6880668330545507</v>
      </c>
      <c r="F44" s="204"/>
      <c r="G44" s="204"/>
      <c r="H44" s="204"/>
    </row>
    <row r="45" spans="1:19" x14ac:dyDescent="0.25">
      <c r="A45" s="132" t="s">
        <v>36</v>
      </c>
      <c r="B45" s="132"/>
      <c r="C45" s="132"/>
      <c r="D45" s="132"/>
      <c r="E45" s="204">
        <f>E43+E44</f>
        <v>2.7880667992922978</v>
      </c>
      <c r="F45" s="204"/>
      <c r="G45" s="204"/>
      <c r="H45" s="204"/>
    </row>
    <row r="46" spans="1:19" x14ac:dyDescent="0.25">
      <c r="A46" s="132" t="s">
        <v>88</v>
      </c>
      <c r="B46" s="132"/>
      <c r="C46" s="132"/>
      <c r="D46" s="132"/>
      <c r="E46" s="205">
        <v>247738.22</v>
      </c>
      <c r="F46" s="205"/>
      <c r="G46" s="205"/>
      <c r="H46" s="205"/>
    </row>
    <row r="47" spans="1:19" x14ac:dyDescent="0.25">
      <c r="A47" s="143" t="s">
        <v>37</v>
      </c>
      <c r="B47" s="143"/>
      <c r="C47" s="143"/>
      <c r="D47" s="143"/>
      <c r="E47" s="143" t="s">
        <v>367</v>
      </c>
      <c r="F47" s="143"/>
      <c r="G47" s="143"/>
      <c r="H47" s="143"/>
    </row>
    <row r="48" spans="1:19" x14ac:dyDescent="0.25">
      <c r="A48" s="174" t="s">
        <v>38</v>
      </c>
      <c r="B48" s="174"/>
      <c r="C48" s="174"/>
      <c r="D48" s="174"/>
      <c r="E48" s="174"/>
      <c r="F48" s="174"/>
      <c r="G48" s="174"/>
      <c r="H48" s="174"/>
    </row>
    <row r="49" spans="1:24" ht="33.75" customHeight="1" x14ac:dyDescent="0.25">
      <c r="A49" s="150" t="s">
        <v>152</v>
      </c>
      <c r="B49" s="152"/>
      <c r="C49" s="231" t="s">
        <v>262</v>
      </c>
      <c r="D49" s="232"/>
      <c r="E49" s="232"/>
      <c r="F49" s="232"/>
      <c r="G49" s="232"/>
      <c r="H49" s="233"/>
      <c r="R49" t="s">
        <v>255</v>
      </c>
      <c r="S49" s="51" t="s">
        <v>175</v>
      </c>
      <c r="T49" s="51" t="s">
        <v>182</v>
      </c>
      <c r="U49" s="51" t="s">
        <v>196</v>
      </c>
      <c r="V49" s="51" t="s">
        <v>191</v>
      </c>
    </row>
    <row r="50" spans="1:24" ht="33.75" customHeight="1" x14ac:dyDescent="0.25">
      <c r="A50" s="150" t="s">
        <v>39</v>
      </c>
      <c r="B50" s="152"/>
      <c r="C50" s="211" t="s">
        <v>464</v>
      </c>
      <c r="D50" s="212"/>
      <c r="E50" s="213"/>
      <c r="F50" s="17" t="s">
        <v>40</v>
      </c>
      <c r="G50" s="153">
        <v>45412</v>
      </c>
      <c r="H50" s="152"/>
      <c r="R50"/>
      <c r="S50" s="51" t="s">
        <v>256</v>
      </c>
      <c r="T50" s="51" t="s">
        <v>261</v>
      </c>
      <c r="U50" s="51" t="s">
        <v>272</v>
      </c>
      <c r="V50" s="51" t="s">
        <v>277</v>
      </c>
    </row>
    <row r="51" spans="1:24" ht="33.75" customHeight="1" x14ac:dyDescent="0.25">
      <c r="A51" s="150" t="s">
        <v>41</v>
      </c>
      <c r="B51" s="152"/>
      <c r="C51" s="150" t="str">
        <f>C50</f>
        <v>S06/0401/23/TMCB/TD-DP/TPS/0131/P/C/2024 Auto DCR</v>
      </c>
      <c r="D51" s="151"/>
      <c r="E51" s="152"/>
      <c r="F51" s="17" t="s">
        <v>40</v>
      </c>
      <c r="G51" s="153">
        <f>G50</f>
        <v>45412</v>
      </c>
      <c r="H51" s="218"/>
      <c r="R51"/>
      <c r="S51" s="51" t="s">
        <v>257</v>
      </c>
      <c r="T51" s="51" t="s">
        <v>262</v>
      </c>
      <c r="U51" s="51" t="s">
        <v>270</v>
      </c>
      <c r="V51" s="51" t="s">
        <v>278</v>
      </c>
    </row>
    <row r="52" spans="1:24" s="20" customFormat="1" ht="15.75" customHeight="1" x14ac:dyDescent="0.25">
      <c r="A52" s="219" t="s">
        <v>156</v>
      </c>
      <c r="B52" s="220"/>
      <c r="C52" s="150" t="s">
        <v>463</v>
      </c>
      <c r="D52" s="151"/>
      <c r="E52" s="152"/>
      <c r="F52" s="17" t="s">
        <v>40</v>
      </c>
      <c r="G52" s="153">
        <v>45484</v>
      </c>
      <c r="H52" s="218"/>
      <c r="R52"/>
      <c r="S52" s="51" t="s">
        <v>258</v>
      </c>
      <c r="T52" s="51" t="s">
        <v>263</v>
      </c>
      <c r="U52" s="51" t="s">
        <v>260</v>
      </c>
      <c r="V52" s="51" t="s">
        <v>279</v>
      </c>
    </row>
    <row r="53" spans="1:24" s="20" customFormat="1" ht="64.5" customHeight="1" x14ac:dyDescent="0.25">
      <c r="A53" s="221"/>
      <c r="B53" s="222"/>
      <c r="C53" s="150" t="s">
        <v>368</v>
      </c>
      <c r="D53" s="151"/>
      <c r="E53" s="151"/>
      <c r="F53" s="151"/>
      <c r="G53" s="151"/>
      <c r="H53" s="152"/>
      <c r="R53"/>
      <c r="S53" s="51" t="s">
        <v>259</v>
      </c>
      <c r="T53" s="51" t="s">
        <v>266</v>
      </c>
      <c r="U53" s="51" t="s">
        <v>273</v>
      </c>
      <c r="V53" s="68"/>
    </row>
    <row r="54" spans="1:24" s="20" customFormat="1" x14ac:dyDescent="0.25">
      <c r="A54" s="146" t="s">
        <v>283</v>
      </c>
      <c r="B54" s="147"/>
      <c r="C54" s="150" t="s">
        <v>468</v>
      </c>
      <c r="D54" s="151"/>
      <c r="E54" s="152"/>
      <c r="F54" s="17" t="s">
        <v>40</v>
      </c>
      <c r="G54" s="153">
        <v>45407</v>
      </c>
      <c r="H54" s="152"/>
      <c r="R54"/>
      <c r="S54" s="51" t="s">
        <v>258</v>
      </c>
      <c r="T54" s="51" t="s">
        <v>263</v>
      </c>
      <c r="U54" s="51" t="s">
        <v>260</v>
      </c>
      <c r="V54" s="51" t="s">
        <v>279</v>
      </c>
    </row>
    <row r="55" spans="1:24" s="20" customFormat="1" ht="97.5" customHeight="1" x14ac:dyDescent="0.25">
      <c r="A55" s="148"/>
      <c r="B55" s="149"/>
      <c r="C55" s="254" t="s">
        <v>469</v>
      </c>
      <c r="D55" s="255"/>
      <c r="E55" s="255"/>
      <c r="F55" s="255"/>
      <c r="G55" s="255"/>
      <c r="H55" s="256"/>
      <c r="R55"/>
      <c r="S55" s="51" t="s">
        <v>260</v>
      </c>
      <c r="T55" s="51" t="s">
        <v>264</v>
      </c>
      <c r="U55" s="51" t="s">
        <v>274</v>
      </c>
      <c r="V55" s="69"/>
      <c r="W55" s="18"/>
      <c r="X55" s="18"/>
    </row>
    <row r="56" spans="1:24" s="20" customFormat="1" ht="17.25" customHeight="1" x14ac:dyDescent="0.25">
      <c r="A56" s="154" t="s">
        <v>284</v>
      </c>
      <c r="B56" s="155"/>
      <c r="C56" s="150" t="s">
        <v>458</v>
      </c>
      <c r="D56" s="151"/>
      <c r="E56" s="152"/>
      <c r="F56" s="17" t="s">
        <v>40</v>
      </c>
      <c r="G56" s="153">
        <v>45523</v>
      </c>
      <c r="H56" s="152"/>
      <c r="R56"/>
      <c r="S56" s="69"/>
      <c r="T56" s="51" t="s">
        <v>265</v>
      </c>
      <c r="U56" s="51" t="s">
        <v>275</v>
      </c>
      <c r="V56" s="69"/>
      <c r="W56" s="18"/>
      <c r="X56" s="18"/>
    </row>
    <row r="57" spans="1:24" s="20" customFormat="1" ht="174.75" customHeight="1" x14ac:dyDescent="0.25">
      <c r="A57" s="156"/>
      <c r="B57" s="157"/>
      <c r="C57" s="150" t="s">
        <v>461</v>
      </c>
      <c r="D57" s="151"/>
      <c r="E57" s="151"/>
      <c r="F57" s="151"/>
      <c r="G57" s="151"/>
      <c r="H57" s="152"/>
      <c r="I57" s="20" t="s">
        <v>459</v>
      </c>
      <c r="R57"/>
      <c r="S57" s="69"/>
      <c r="T57" s="51" t="s">
        <v>267</v>
      </c>
      <c r="U57" s="51" t="s">
        <v>276</v>
      </c>
      <c r="V57" s="69"/>
      <c r="W57" s="18"/>
      <c r="X57" s="18"/>
    </row>
    <row r="58" spans="1:24" s="20" customFormat="1" ht="15.75" hidden="1" customHeight="1" x14ac:dyDescent="0.25">
      <c r="A58" s="214" t="s">
        <v>285</v>
      </c>
      <c r="B58" s="215"/>
      <c r="C58" s="150" t="str">
        <f>C57</f>
        <v>Survey No. 138/2/15, 214/6, 8, 9A, 9B, 215/1, 2, 3A, 3B, 216/1, 2, 218/1, 2, 3, 4, 5, 6, 7, 219/1, 2, 3A, 3B, 4, 5, 6, 7, 220/1/A, 1/B, 2, 3, 4A, 4B, 5, 6, 221/1, 2, 222/1/A, 2B, 2C, 3, 4, 5, 6, 7, 8, 231/2/2/A, 2/2/C, 2/2/D, 2/2/B, 3/A, 3/B, 4, 6A, 6B, 232/1, 2, 3, 4, 232/5A &amp; 5B, 285, 286, 288.
Net Plot Area = 88856.63 Sq.m
Building No. 1 (Type A) = 2B + LG + UG + 1st to 55th Floor(188M Height)
Building No. 2 (Type B) = 2B + LG + UG + 1st to 51st Floor(166.25M Height)
Building No. 3 (Type B) = 2B + LG + UG + 1st to 51st Floor(166.25M Height)
Building No. 4 (Type C1) = 2B + LG + UG + 1st to 47tht Floor(148.10M Height)
Building No. 5 (Type C1) = 2B + LG + UG + 1st to 47tht Floor(148.10M Height)
Building No. 6 (Type C2) = 2B + LG + UG + 1st to 47tht Floor(148.30M Height)</v>
      </c>
      <c r="D58" s="151"/>
      <c r="E58" s="152"/>
      <c r="F58" s="17" t="s">
        <v>40</v>
      </c>
      <c r="G58" s="150">
        <f>G57</f>
        <v>0</v>
      </c>
      <c r="H58" s="152"/>
      <c r="R58"/>
      <c r="S58" s="69"/>
      <c r="T58" s="51" t="s">
        <v>268</v>
      </c>
      <c r="U58" s="69" t="s">
        <v>299</v>
      </c>
      <c r="V58" s="69"/>
      <c r="W58" s="18"/>
      <c r="X58" s="18"/>
    </row>
    <row r="59" spans="1:24" s="20" customFormat="1" ht="33.75" hidden="1" customHeight="1" x14ac:dyDescent="0.25">
      <c r="A59" s="216"/>
      <c r="B59" s="217"/>
      <c r="C59" s="150"/>
      <c r="D59" s="151"/>
      <c r="E59" s="151"/>
      <c r="F59" s="151"/>
      <c r="G59" s="151"/>
      <c r="H59" s="152"/>
      <c r="R59"/>
      <c r="S59" s="69"/>
      <c r="T59" s="51" t="s">
        <v>269</v>
      </c>
      <c r="U59" s="69"/>
      <c r="V59" s="69"/>
      <c r="W59" s="18"/>
      <c r="X59" s="18"/>
    </row>
    <row r="60" spans="1:24" x14ac:dyDescent="0.25">
      <c r="A60" s="138" t="s">
        <v>42</v>
      </c>
      <c r="B60" s="139"/>
      <c r="C60" s="138" t="s">
        <v>102</v>
      </c>
      <c r="D60" s="140"/>
      <c r="E60" s="139"/>
      <c r="F60" s="40" t="s">
        <v>40</v>
      </c>
      <c r="G60" s="144" t="s">
        <v>28</v>
      </c>
      <c r="H60" s="145"/>
      <c r="R60"/>
      <c r="S60" s="69"/>
      <c r="T60" s="51" t="s">
        <v>271</v>
      </c>
      <c r="U60" s="69"/>
      <c r="V60" s="69"/>
    </row>
    <row r="61" spans="1:24" x14ac:dyDescent="0.25">
      <c r="A61" s="185" t="s">
        <v>44</v>
      </c>
      <c r="B61" s="185"/>
      <c r="C61" s="185"/>
      <c r="D61" s="185"/>
      <c r="E61" s="185"/>
      <c r="F61" s="185"/>
      <c r="G61" s="185"/>
      <c r="H61" s="185"/>
      <c r="S61" s="69"/>
      <c r="T61" s="51" t="s">
        <v>280</v>
      </c>
      <c r="U61" s="69"/>
      <c r="V61" s="69"/>
    </row>
    <row r="62" spans="1:24" ht="45.75" customHeight="1" x14ac:dyDescent="0.25">
      <c r="A62" s="124" t="s">
        <v>462</v>
      </c>
      <c r="B62" s="124"/>
      <c r="C62" s="124"/>
      <c r="D62" s="132">
        <f>42846.12+38450.04+38486.9+29573.31+29621.68+31122.16</f>
        <v>210100.21</v>
      </c>
      <c r="E62" s="132"/>
      <c r="F62" s="132"/>
      <c r="G62" s="132"/>
      <c r="H62" s="132"/>
      <c r="R62"/>
    </row>
    <row r="63" spans="1:24" x14ac:dyDescent="0.25">
      <c r="A63" s="191" t="s">
        <v>45</v>
      </c>
      <c r="B63" s="143"/>
      <c r="C63" s="143"/>
      <c r="D63" s="143" t="s">
        <v>457</v>
      </c>
      <c r="E63" s="143"/>
      <c r="F63" s="143"/>
      <c r="G63" s="143"/>
      <c r="H63" s="143"/>
      <c r="I63" s="21"/>
      <c r="R63"/>
    </row>
    <row r="64" spans="1:24" ht="63.75" customHeight="1" x14ac:dyDescent="0.25">
      <c r="A64" s="154" t="s">
        <v>46</v>
      </c>
      <c r="B64" s="208"/>
      <c r="C64" s="155"/>
      <c r="D64" s="206" t="s">
        <v>370</v>
      </c>
      <c r="E64" s="207"/>
      <c r="F64" s="207"/>
      <c r="G64" s="207"/>
      <c r="H64" s="207"/>
      <c r="R64"/>
    </row>
    <row r="65" spans="1:19" ht="15.75" customHeight="1" x14ac:dyDescent="0.25">
      <c r="A65" s="154" t="s">
        <v>86</v>
      </c>
      <c r="B65" s="208"/>
      <c r="C65" s="155"/>
      <c r="D65" s="267" t="s">
        <v>371</v>
      </c>
      <c r="E65" s="268"/>
      <c r="F65" s="268"/>
      <c r="G65" s="268"/>
      <c r="H65" s="269"/>
      <c r="R65"/>
    </row>
    <row r="66" spans="1:19" ht="15.75" customHeight="1" x14ac:dyDescent="0.25">
      <c r="A66" s="262"/>
      <c r="B66" s="263"/>
      <c r="C66" s="264"/>
      <c r="D66" s="223" t="s">
        <v>372</v>
      </c>
      <c r="E66" s="224"/>
      <c r="F66" s="224"/>
      <c r="G66" s="224"/>
      <c r="H66" s="225"/>
      <c r="R66"/>
    </row>
    <row r="67" spans="1:19" ht="15.75" hidden="1" customHeight="1" x14ac:dyDescent="0.25">
      <c r="A67" s="262"/>
      <c r="B67" s="263"/>
      <c r="C67" s="264"/>
      <c r="D67" s="226" t="s">
        <v>171</v>
      </c>
      <c r="E67" s="227"/>
      <c r="F67" s="227"/>
      <c r="G67" s="227"/>
      <c r="H67" s="228"/>
      <c r="S67"/>
    </row>
    <row r="68" spans="1:19" ht="15.75" customHeight="1" x14ac:dyDescent="0.25">
      <c r="A68" s="262"/>
      <c r="B68" s="263"/>
      <c r="C68" s="264"/>
      <c r="D68" s="223" t="s">
        <v>373</v>
      </c>
      <c r="E68" s="224"/>
      <c r="F68" s="224"/>
      <c r="G68" s="224"/>
      <c r="H68" s="225"/>
      <c r="S68"/>
    </row>
    <row r="69" spans="1:19" ht="15.75" customHeight="1" x14ac:dyDescent="0.25">
      <c r="A69" s="156"/>
      <c r="B69" s="265"/>
      <c r="C69" s="265"/>
      <c r="D69" s="226" t="s">
        <v>374</v>
      </c>
      <c r="E69" s="227"/>
      <c r="F69" s="227"/>
      <c r="G69" s="227"/>
      <c r="H69" s="227"/>
      <c r="S69"/>
    </row>
    <row r="70" spans="1:19" ht="15.75" customHeight="1" x14ac:dyDescent="0.25">
      <c r="A70" s="132" t="s">
        <v>43</v>
      </c>
      <c r="B70" s="132"/>
      <c r="C70" s="132"/>
      <c r="D70" s="210" t="s">
        <v>369</v>
      </c>
      <c r="E70" s="210"/>
      <c r="F70" s="210"/>
      <c r="G70" s="210"/>
      <c r="H70" s="210"/>
      <c r="J70" s="22"/>
      <c r="K70" s="21"/>
      <c r="N70" s="21"/>
      <c r="S70"/>
    </row>
    <row r="71" spans="1:19" ht="15.75" customHeight="1" x14ac:dyDescent="0.25">
      <c r="A71" s="132" t="s">
        <v>84</v>
      </c>
      <c r="B71" s="132"/>
      <c r="C71" s="132"/>
      <c r="D71" s="266" t="str">
        <f>(IF(G60="NA","60 Years After Completion",IF(G60&lt;&gt;"NA",""&amp;60-ROUNDDOWN((E3-G60)/360,0)&amp;" Years"," ")))</f>
        <v>60 Years After Completion</v>
      </c>
      <c r="E71" s="266"/>
      <c r="F71" s="266"/>
      <c r="G71" s="266"/>
      <c r="H71" s="266"/>
      <c r="N71" s="21"/>
      <c r="S71"/>
    </row>
    <row r="72" spans="1:19" ht="15.75" customHeight="1" x14ac:dyDescent="0.25">
      <c r="A72" s="132" t="s">
        <v>85</v>
      </c>
      <c r="B72" s="132"/>
      <c r="C72" s="132"/>
      <c r="D72" s="124" t="s">
        <v>23</v>
      </c>
      <c r="E72" s="124"/>
      <c r="F72" s="124"/>
      <c r="G72" s="124"/>
      <c r="H72" s="124"/>
      <c r="J72" s="23"/>
      <c r="K72" s="23"/>
      <c r="S72"/>
    </row>
    <row r="73" spans="1:19" ht="32.25" customHeight="1" x14ac:dyDescent="0.25">
      <c r="A73" s="189" t="s">
        <v>445</v>
      </c>
      <c r="B73" s="189"/>
      <c r="C73" s="189"/>
      <c r="D73" s="191" t="s">
        <v>375</v>
      </c>
      <c r="E73" s="124"/>
      <c r="F73" s="124"/>
      <c r="G73" s="124"/>
      <c r="H73" s="124"/>
      <c r="I73" s="18" t="s">
        <v>376</v>
      </c>
      <c r="K73" s="72" t="s">
        <v>377</v>
      </c>
      <c r="S73"/>
    </row>
    <row r="74" spans="1:19" x14ac:dyDescent="0.25">
      <c r="A74" s="124" t="s">
        <v>148</v>
      </c>
      <c r="B74" s="124"/>
      <c r="C74" s="124"/>
      <c r="D74" s="124" t="s">
        <v>28</v>
      </c>
      <c r="E74" s="124"/>
      <c r="F74" s="124"/>
      <c r="G74" s="124"/>
      <c r="H74" s="124"/>
      <c r="I74" s="24"/>
      <c r="J74" s="24"/>
      <c r="K74" s="24"/>
      <c r="L74" s="24"/>
      <c r="M74" s="24"/>
      <c r="N74" s="24"/>
    </row>
    <row r="75" spans="1:19" ht="15.75" customHeight="1" x14ac:dyDescent="0.25">
      <c r="A75" s="203" t="s">
        <v>83</v>
      </c>
      <c r="B75" s="203"/>
      <c r="C75" s="203"/>
      <c r="D75" s="125" t="str">
        <f ca="1">(IF(G81&gt;95%,"Nothing",IF(G81&gt;0%,"Cement, Aggregate, Steel, etc",IF(G81=0%,"Work not yet Started"))))</f>
        <v>Cement, Aggregate, Steel, etc</v>
      </c>
      <c r="E75" s="125"/>
      <c r="F75" s="125"/>
      <c r="G75" s="125"/>
      <c r="H75" s="125"/>
      <c r="J75" s="23"/>
      <c r="S75"/>
    </row>
    <row r="76" spans="1:19" ht="33.75" customHeight="1" thickBot="1" x14ac:dyDescent="0.3">
      <c r="A76" s="202" t="s">
        <v>115</v>
      </c>
      <c r="B76" s="202"/>
      <c r="C76" s="202"/>
      <c r="D76" s="125" t="str">
        <f ca="1">(IF(D75="Nothing","Yes",IF(D75="Cement, Aggregate, Steel, etc","Under Construction",IF(D75="Work not yet Started","Work not yet Started"))))</f>
        <v>Under Construction</v>
      </c>
      <c r="E76" s="125"/>
      <c r="F76" s="125" t="str">
        <f ca="1">(IF(D75="Nothing","Yes",IF(D75="Cement, Aggregate, Steel, etc","Under Construction",IF(D75="Work not yet Started","Work not yet Started"))))</f>
        <v>Under Construction</v>
      </c>
      <c r="G76" s="125"/>
      <c r="H76" s="125"/>
      <c r="S76"/>
    </row>
    <row r="77" spans="1:19" ht="15.75" customHeight="1" x14ac:dyDescent="0.25">
      <c r="A77" s="240" t="s">
        <v>138</v>
      </c>
      <c r="B77" s="241"/>
      <c r="C77" s="242" t="str">
        <f>D65</f>
        <v>Somerset = 2B + LG + UG + 3P + 4th to 55th Floor</v>
      </c>
      <c r="D77" s="243"/>
      <c r="E77" s="243"/>
      <c r="F77" s="243"/>
      <c r="G77" s="243"/>
      <c r="H77" s="244"/>
      <c r="I77" s="42" t="str">
        <f ca="1">IF(D90=100%,"All work Completed. Possession granted to the Building.",IF(D89=100%,"All work Completed, Waiting for OC",I78&amp;""&amp;I79&amp;""&amp;J78&amp;""&amp;J77&amp;" "&amp;J79))</f>
        <v xml:space="preserve">Excavation, Plinth Completed </v>
      </c>
      <c r="J77" s="43" t="str">
        <f ca="1">(IF(C83=(D78+F78+H78),"",IF(C83&gt;0,", RCC upto "&amp;C83&amp;" Slab","")))&amp;(IF(C84=H78,"",IF(C84&gt;0,", Brickwork upto "&amp;C84&amp;" Floor","")))&amp;(IF(C85=H78,"",IF(C85&gt;0,", Internal Plaster upto "&amp;C85&amp;" Floor","")))&amp;(IF(C86=H78,"",IF(C86&gt;0,", External Plaster upto "&amp;C86&amp;" Floor","")))&amp;(IF(C87=H78,"",IF(C87&gt;0,", Flooring upto "&amp;C87&amp;" Floor","")))&amp;(IF(C88=H78,"",IF(C88&gt;0,", Painting upto "&amp;C88&amp;" Floor","")))&amp;(IF(C89=H78,"",IF(C89&gt;0,", Finishing upto "&amp;C89&amp;" Floor","")))&amp;(IF(C90=H78,"",IF(C90&gt;0,", Possession upto "&amp;C90&amp;" Floor","")))</f>
        <v/>
      </c>
      <c r="S77"/>
    </row>
    <row r="78" spans="1:19" x14ac:dyDescent="0.25">
      <c r="A78" s="15" t="s">
        <v>140</v>
      </c>
      <c r="B78" s="46">
        <f>IF(AND(ISNUMBER(SEARCH("1B",C77))),1,IF(AND(ISNUMBER(SEARCH("2B",C77))),2,IF(AND(ISNUMBER(SEARCH("3B",C77))),3,IF(AND(ISNUMBER(SEARCH("4B",C77))),4,IF(ISNUMBER(SEARCH("5B",C77)),5,0)))))</f>
        <v>2</v>
      </c>
      <c r="C78" s="46" t="s">
        <v>69</v>
      </c>
      <c r="D78" s="46">
        <v>2</v>
      </c>
      <c r="E78" s="46" t="s">
        <v>68</v>
      </c>
      <c r="F78" s="46">
        <v>0</v>
      </c>
      <c r="G78" s="46" t="s">
        <v>77</v>
      </c>
      <c r="H78" s="16">
        <f ca="1">--TRIM(RIGHT(SUBSTITUTE(LEFT(C77,_xlfn.AGGREGATE(16,6,FIND({0,1,2,3,4,5,6,7,8,9},C77,ROW(INDIRECT("1:"&amp;LEN(C77)))),1))," ",REPT(" ",LEN(C77))),LEN(C77)))</f>
        <v>55</v>
      </c>
      <c r="I78" s="44" t="str">
        <f ca="1">IF(D81=100%,"Excavation","")&amp;IF(D82=100%,", Plinth","")&amp;IF(D83=100%,", RCC Slab","")&amp;IF(D84=100%,", Brickwork","")&amp;IF(D85=100%,", Internal Plaster","")&amp;IF(D86=100%,", External Plaster","")&amp;IF(D87=100%,", Flooring","")&amp;IF(D88=100%,", Painting","")&amp;IF(D89=100%,", Building common Amenities","")</f>
        <v>Excavation, Plinth</v>
      </c>
      <c r="J78" s="45" t="str">
        <f ca="1">(IF(C81=0,"Work not yet Started.",IF(D81=25%,"Piling work in process",IF(D81=50%,"Excavation work in process",IF(D81=100%,"","0")))))&amp;(IF(C82=0%,"",IF(C82=J83,", Footing work is process",IF(C82=J84,", Footing work Completed",IF(C82=J85,", 1st Basement Completed",IF(C82=J86,", 1st &amp; 2nd Basement Completed",IF(C82=J87,", 1st to 3rd Basement Completed",IF(C82=J88,", 1st to 4th Basement Completed",IF(C82=J89,", Plinth work is process",IF(C82=J90,"","0"))))))))))</f>
        <v/>
      </c>
      <c r="S78"/>
    </row>
    <row r="79" spans="1:19" x14ac:dyDescent="0.25">
      <c r="A79" s="245" t="s">
        <v>87</v>
      </c>
      <c r="B79" s="188"/>
      <c r="C79" s="246" t="str">
        <f ca="1">I77</f>
        <v xml:space="preserve">Excavation, Plinth Completed </v>
      </c>
      <c r="D79" s="246"/>
      <c r="E79" s="246"/>
      <c r="F79" s="246"/>
      <c r="G79" s="246"/>
      <c r="H79" s="247"/>
      <c r="I79" s="44" t="str">
        <f ca="1">IF(I78&lt;&gt;""," Completed","")</f>
        <v xml:space="preserve"> Completed</v>
      </c>
      <c r="J79" s="45" t="str">
        <f ca="1">IF(J77&lt;&gt;"","Completed","")</f>
        <v/>
      </c>
      <c r="S79"/>
    </row>
    <row r="80" spans="1:19" ht="15.75" customHeight="1" x14ac:dyDescent="0.25">
      <c r="A80" s="126" t="s">
        <v>47</v>
      </c>
      <c r="B80" s="127"/>
      <c r="C80" s="77" t="s">
        <v>137</v>
      </c>
      <c r="D80" s="77" t="s">
        <v>80</v>
      </c>
      <c r="E80" s="127" t="s">
        <v>82</v>
      </c>
      <c r="F80" s="127"/>
      <c r="G80" s="127" t="s">
        <v>81</v>
      </c>
      <c r="H80" s="128"/>
      <c r="I80" s="13" t="s">
        <v>139</v>
      </c>
      <c r="J80" s="25">
        <f ca="1">H78*25%</f>
        <v>13.75</v>
      </c>
      <c r="S80"/>
    </row>
    <row r="81" spans="1:19" x14ac:dyDescent="0.25">
      <c r="A81" s="126" t="s">
        <v>126</v>
      </c>
      <c r="B81" s="127"/>
      <c r="C81" s="84">
        <f ca="1">J82</f>
        <v>55</v>
      </c>
      <c r="D81" s="78">
        <f ca="1">((100/H78)*C81)/100</f>
        <v>1</v>
      </c>
      <c r="E81" s="234">
        <f ca="1">(((C82/H78*10)+(40/(D78+F78+H78)*C83)+(7.5/(H78)*C84)+(7.5/(H78)*C85)+(10/H78*C86)+(10/H78*C87)+(5/H78*C88)+(5/H78*C89)+(5/H78*C90))/100)</f>
        <v>0.1</v>
      </c>
      <c r="F81" s="235"/>
      <c r="G81" s="234">
        <f ca="1">((((C81/H78)*20)+((C82/H78)*25)+(30/(H78+F78+D78)*C83)+(5/H78*C84)+(5/H78*C85)+(5/H78*C86)+(5/H78*C87)+(0/H78*C88)+(0/H78*C89)+(5/H78*C90))/100)</f>
        <v>0.45</v>
      </c>
      <c r="H81" s="257"/>
      <c r="I81" s="13" t="s">
        <v>97</v>
      </c>
      <c r="J81" s="26">
        <f ca="1">H78*50%</f>
        <v>27.5</v>
      </c>
    </row>
    <row r="82" spans="1:19" x14ac:dyDescent="0.25">
      <c r="A82" s="126" t="s">
        <v>48</v>
      </c>
      <c r="B82" s="127"/>
      <c r="C82" s="84">
        <f ca="1">J90</f>
        <v>55</v>
      </c>
      <c r="D82" s="78">
        <f ca="1">((100/H78)*C82)/100</f>
        <v>1</v>
      </c>
      <c r="E82" s="236"/>
      <c r="F82" s="237"/>
      <c r="G82" s="236"/>
      <c r="H82" s="258"/>
      <c r="I82" s="13" t="s">
        <v>98</v>
      </c>
      <c r="J82" s="26">
        <f ca="1">H78</f>
        <v>55</v>
      </c>
      <c r="S82"/>
    </row>
    <row r="83" spans="1:19" ht="15.75" customHeight="1" x14ac:dyDescent="0.25">
      <c r="A83" s="126" t="s">
        <v>127</v>
      </c>
      <c r="B83" s="127"/>
      <c r="C83" s="77">
        <v>0</v>
      </c>
      <c r="D83" s="78">
        <f ca="1">((100/(D78+F78+H78))*C83)/100</f>
        <v>0</v>
      </c>
      <c r="E83" s="236"/>
      <c r="F83" s="237"/>
      <c r="G83" s="236"/>
      <c r="H83" s="258"/>
      <c r="I83" s="13" t="s">
        <v>99</v>
      </c>
      <c r="J83" s="27">
        <f ca="1">(IF(B78&gt;1,(H78/(B78+2)),H78/4))</f>
        <v>13.75</v>
      </c>
      <c r="S83"/>
    </row>
    <row r="84" spans="1:19" ht="15.75" customHeight="1" x14ac:dyDescent="0.25">
      <c r="A84" s="126" t="s">
        <v>134</v>
      </c>
      <c r="B84" s="127" t="s">
        <v>128</v>
      </c>
      <c r="C84" s="77">
        <v>0</v>
      </c>
      <c r="D84" s="78">
        <f ca="1">((100/H78)*C84)/100</f>
        <v>0</v>
      </c>
      <c r="E84" s="236"/>
      <c r="F84" s="237"/>
      <c r="G84" s="236"/>
      <c r="H84" s="258"/>
      <c r="I84" s="13" t="s">
        <v>100</v>
      </c>
      <c r="J84" s="27">
        <f ca="1">(IF(B78&gt;1,(H78/(B78+2)+J83),H78/4+J83))</f>
        <v>27.5</v>
      </c>
    </row>
    <row r="85" spans="1:19" ht="15.75" customHeight="1" x14ac:dyDescent="0.25">
      <c r="A85" s="126" t="s">
        <v>135</v>
      </c>
      <c r="B85" s="127" t="s">
        <v>128</v>
      </c>
      <c r="C85" s="77">
        <v>0</v>
      </c>
      <c r="D85" s="78">
        <f ca="1">((100/H78)*C85)/100</f>
        <v>0</v>
      </c>
      <c r="E85" s="236"/>
      <c r="F85" s="237"/>
      <c r="G85" s="236"/>
      <c r="H85" s="258"/>
      <c r="I85" s="13" t="s">
        <v>146</v>
      </c>
      <c r="J85" s="27">
        <f ca="1">(IF(B78&gt;1,(H78/(B78+2)+J84),0))</f>
        <v>41.25</v>
      </c>
    </row>
    <row r="86" spans="1:19" ht="15" customHeight="1" x14ac:dyDescent="0.25">
      <c r="A86" s="126" t="s">
        <v>133</v>
      </c>
      <c r="B86" s="127" t="s">
        <v>130</v>
      </c>
      <c r="C86" s="77">
        <v>0</v>
      </c>
      <c r="D86" s="78">
        <f ca="1">((100/(H78))*C86)/100</f>
        <v>0</v>
      </c>
      <c r="E86" s="236"/>
      <c r="F86" s="237"/>
      <c r="G86" s="236"/>
      <c r="H86" s="258"/>
      <c r="I86" s="13" t="s">
        <v>141</v>
      </c>
      <c r="J86" s="27">
        <f>(IF(B78&gt;2,(H78/(B78+2)+J85),0))</f>
        <v>0</v>
      </c>
    </row>
    <row r="87" spans="1:19" ht="15.75" customHeight="1" x14ac:dyDescent="0.25">
      <c r="A87" s="126" t="s">
        <v>129</v>
      </c>
      <c r="B87" s="127" t="s">
        <v>129</v>
      </c>
      <c r="C87" s="77">
        <v>0</v>
      </c>
      <c r="D87" s="78">
        <f ca="1">((100/H78)*C87)/100</f>
        <v>0</v>
      </c>
      <c r="E87" s="236"/>
      <c r="F87" s="237"/>
      <c r="G87" s="236"/>
      <c r="H87" s="258"/>
      <c r="I87" s="13" t="s">
        <v>142</v>
      </c>
      <c r="J87" s="28">
        <f>(IF(B78&gt;3,(H78/(B78+2)+J86),0))</f>
        <v>0</v>
      </c>
    </row>
    <row r="88" spans="1:19" ht="15.75" customHeight="1" x14ac:dyDescent="0.25">
      <c r="A88" s="126" t="s">
        <v>136</v>
      </c>
      <c r="B88" s="127"/>
      <c r="C88" s="77">
        <v>0</v>
      </c>
      <c r="D88" s="78">
        <f ca="1">((100/H78)*C88)/100</f>
        <v>0</v>
      </c>
      <c r="E88" s="236"/>
      <c r="F88" s="237"/>
      <c r="G88" s="236"/>
      <c r="H88" s="258"/>
      <c r="I88" s="13" t="s">
        <v>143</v>
      </c>
      <c r="J88" s="27">
        <f>(IF(B78&gt;4,(H78/(B78+2)+J87),0))</f>
        <v>0</v>
      </c>
    </row>
    <row r="89" spans="1:19" ht="15.75" customHeight="1" x14ac:dyDescent="0.25">
      <c r="A89" s="126" t="s">
        <v>131</v>
      </c>
      <c r="B89" s="127" t="s">
        <v>131</v>
      </c>
      <c r="C89" s="77">
        <v>0</v>
      </c>
      <c r="D89" s="78">
        <f ca="1">((100/(H78))*C89)/100</f>
        <v>0</v>
      </c>
      <c r="E89" s="236"/>
      <c r="F89" s="237"/>
      <c r="G89" s="236"/>
      <c r="H89" s="258"/>
      <c r="I89" s="13" t="s">
        <v>147</v>
      </c>
      <c r="J89" s="27">
        <f>(IF(B78=1,(H78/(B78+3)+J84),IF(B78=0,(H78/4+J84),IF(B78&gt;1,0))))</f>
        <v>0</v>
      </c>
    </row>
    <row r="90" spans="1:19" ht="16.5" thickBot="1" x14ac:dyDescent="0.3">
      <c r="A90" s="129" t="s">
        <v>132</v>
      </c>
      <c r="B90" s="130"/>
      <c r="C90" s="79">
        <v>0</v>
      </c>
      <c r="D90" s="80">
        <f ca="1">((100/(H78))*C90)/100</f>
        <v>0</v>
      </c>
      <c r="E90" s="238"/>
      <c r="F90" s="239"/>
      <c r="G90" s="238"/>
      <c r="H90" s="259"/>
      <c r="I90" s="14" t="s">
        <v>101</v>
      </c>
      <c r="J90" s="29">
        <f ca="1">(IF(B78&gt;1.5,(H78/(B78+2)+J84+MAX(0,J85-J84)+MAX(0,J86-J85)+MAX(0,J87-J86)+MAX(0,J88-J87)+MAX(0,J89-J88)),IF(B78=1,(H78/(B78+3)+J89),IF(B78=0,H78/4+J89))))</f>
        <v>55</v>
      </c>
    </row>
    <row r="91" spans="1:19" ht="15.75" customHeight="1" x14ac:dyDescent="0.25">
      <c r="A91" s="240" t="s">
        <v>138</v>
      </c>
      <c r="B91" s="241"/>
      <c r="C91" s="242" t="str">
        <f>D66</f>
        <v>Belvedere A  &amp; B = 2B + LG + UG + 3P + 4th to 55th Floor</v>
      </c>
      <c r="D91" s="243"/>
      <c r="E91" s="243"/>
      <c r="F91" s="243"/>
      <c r="G91" s="243"/>
      <c r="H91" s="244"/>
      <c r="I91" s="42" t="str">
        <f ca="1">IF(D104=100%,"All work Completed. Possession granted to the Building.",IF(D103=100%,"All work Completed, Waiting for OC",I92&amp;""&amp;I93&amp;""&amp;J92&amp;""&amp;J91&amp;" "&amp;J93))</f>
        <v xml:space="preserve">Excavation, Plinth Completed </v>
      </c>
      <c r="J91" s="43" t="str">
        <f ca="1">(IF(C97=(D92+F92+H92),"",IF(C97&gt;0,", RCC upto "&amp;C97&amp;" Slab","")))&amp;(IF(C98=H92,"",IF(C98&gt;0,", Brickwork upto "&amp;C98&amp;" Floor","")))&amp;(IF(C99=H92,"",IF(C99&gt;0,", Internal Plaster upto "&amp;C99&amp;" Floor","")))&amp;(IF(C100=H92,"",IF(C100&gt;0,", External Plaster upto "&amp;C100&amp;" Floor","")))&amp;(IF(C101=H92,"",IF(C101&gt;0,", Flooring upto "&amp;C101&amp;" Floor","")))&amp;(IF(C102=H92,"",IF(C102&gt;0,", Painting upto "&amp;C102&amp;" Floor","")))&amp;(IF(C103=H92,"",IF(C103&gt;0,", Finishing upto "&amp;C103&amp;" Floor","")))&amp;(IF(C104=H92,"",IF(C104&gt;0,", Possession upto "&amp;C104&amp;" Floor","")))</f>
        <v/>
      </c>
      <c r="S91"/>
    </row>
    <row r="92" spans="1:19" x14ac:dyDescent="0.25">
      <c r="A92" s="15" t="s">
        <v>140</v>
      </c>
      <c r="B92" s="46">
        <f>IF(AND(ISNUMBER(SEARCH("1B",C91))),1,IF(AND(ISNUMBER(SEARCH("2B",C91))),2,IF(AND(ISNUMBER(SEARCH("3B",C91))),3,IF(AND(ISNUMBER(SEARCH("4B",C91))),4,IF(ISNUMBER(SEARCH("5B",C91)),5,0)))))</f>
        <v>2</v>
      </c>
      <c r="C92" s="46" t="s">
        <v>69</v>
      </c>
      <c r="D92" s="46">
        <v>2</v>
      </c>
      <c r="E92" s="46" t="s">
        <v>68</v>
      </c>
      <c r="F92" s="46">
        <v>0</v>
      </c>
      <c r="G92" s="46" t="s">
        <v>77</v>
      </c>
      <c r="H92" s="16">
        <f ca="1">--TRIM(RIGHT(SUBSTITUTE(LEFT(C91,_xlfn.AGGREGATE(16,6,FIND({0,1,2,3,4,5,6,7,8,9},C91,ROW(INDIRECT("1:"&amp;LEN(C91)))),1))," ",REPT(" ",LEN(C91))),LEN(C91)))</f>
        <v>55</v>
      </c>
      <c r="I92" s="44" t="str">
        <f ca="1">IF(D95=100%,"Excavation","")&amp;IF(D96=100%,", Plinth","")&amp;IF(D97=100%,", RCC Slab","")&amp;IF(D98=100%,", Brickwork","")&amp;IF(D99=100%,", Internal Plaster","")&amp;IF(D100=100%,", External Plaster","")&amp;IF(D101=100%,", Flooring","")&amp;IF(D102=100%,", Painting","")&amp;IF(D103=100%,", Building common Amenities","")</f>
        <v>Excavation, Plinth</v>
      </c>
      <c r="J92" s="45" t="str">
        <f ca="1">(IF(C95=0,"Work not yet Started.",IF(D95=25%,"Piling work in process",IF(D95=50%,"Excavation work in process",IF(D95=100%,"","0")))))&amp;(IF(C96=0%,"",IF(C96=J97,", Footing work is process",IF(C96=J98,", Footing work Completed",IF(C96=J99,", 1st Basement Completed",IF(C96=J100,", 1st &amp; 2nd Basement Completed",IF(C96=J101,", 1st to 3rd Basement Completed",IF(C96=J102,", 1st to 4th Basement Completed",IF(C96=J103,", Plinth work is process",IF(C96=J104,"","0"))))))))))</f>
        <v/>
      </c>
      <c r="S92"/>
    </row>
    <row r="93" spans="1:19" x14ac:dyDescent="0.25">
      <c r="A93" s="245" t="s">
        <v>87</v>
      </c>
      <c r="B93" s="188"/>
      <c r="C93" s="246" t="str">
        <f ca="1">I91</f>
        <v xml:space="preserve">Excavation, Plinth Completed </v>
      </c>
      <c r="D93" s="246"/>
      <c r="E93" s="246"/>
      <c r="F93" s="246"/>
      <c r="G93" s="246"/>
      <c r="H93" s="247"/>
      <c r="I93" s="44" t="str">
        <f ca="1">IF(I92&lt;&gt;""," Completed","")</f>
        <v xml:space="preserve"> Completed</v>
      </c>
      <c r="J93" s="45" t="str">
        <f ca="1">IF(J91&lt;&gt;"","Completed","")</f>
        <v/>
      </c>
      <c r="S93"/>
    </row>
    <row r="94" spans="1:19" ht="15.75" customHeight="1" x14ac:dyDescent="0.25">
      <c r="A94" s="126" t="s">
        <v>47</v>
      </c>
      <c r="B94" s="127"/>
      <c r="C94" s="77" t="s">
        <v>137</v>
      </c>
      <c r="D94" s="77" t="s">
        <v>80</v>
      </c>
      <c r="E94" s="127" t="s">
        <v>82</v>
      </c>
      <c r="F94" s="127"/>
      <c r="G94" s="127" t="s">
        <v>81</v>
      </c>
      <c r="H94" s="128"/>
      <c r="I94" s="13" t="s">
        <v>139</v>
      </c>
      <c r="J94" s="25">
        <f ca="1">H92*25%</f>
        <v>13.75</v>
      </c>
      <c r="S94"/>
    </row>
    <row r="95" spans="1:19" x14ac:dyDescent="0.25">
      <c r="A95" s="126" t="s">
        <v>126</v>
      </c>
      <c r="B95" s="127"/>
      <c r="C95" s="84">
        <f ca="1">J96</f>
        <v>55</v>
      </c>
      <c r="D95" s="78">
        <f ca="1">((100/H92)*C95)/100</f>
        <v>1</v>
      </c>
      <c r="E95" s="234">
        <f ca="1">(((C96/H92*10)+(40/(D92+F92+H92)*C97)+(7.5/(H92)*C98)+(7.5/(H92)*C99)+(10/H92*C100)+(10/H92*C101)+(5/H92*C102)+(5/H92*C103)+(5/H92*C104))/100)</f>
        <v>0.1</v>
      </c>
      <c r="F95" s="235"/>
      <c r="G95" s="234">
        <f ca="1">((((C95/H92)*20)+((C96/H92)*25)+(30/(H92+F92+D92)*C97)+(5/H92*C98)+(5/H92*C99)+(5/H92*C100)+(5/H92*C101)+(0/H92*C102)+(0/H92*C103)+(5/H92*C104))/100)</f>
        <v>0.45</v>
      </c>
      <c r="H95" s="257"/>
      <c r="I95" s="13" t="s">
        <v>97</v>
      </c>
      <c r="J95" s="26">
        <f ca="1">H92*50%</f>
        <v>27.5</v>
      </c>
    </row>
    <row r="96" spans="1:19" x14ac:dyDescent="0.25">
      <c r="A96" s="126" t="s">
        <v>48</v>
      </c>
      <c r="B96" s="127"/>
      <c r="C96" s="84">
        <f ca="1">J104</f>
        <v>55</v>
      </c>
      <c r="D96" s="78">
        <f ca="1">((100/H92)*C96)/100</f>
        <v>1</v>
      </c>
      <c r="E96" s="236"/>
      <c r="F96" s="237"/>
      <c r="G96" s="236"/>
      <c r="H96" s="258"/>
      <c r="I96" s="13" t="s">
        <v>98</v>
      </c>
      <c r="J96" s="26">
        <f ca="1">H92</f>
        <v>55</v>
      </c>
      <c r="S96"/>
    </row>
    <row r="97" spans="1:19" ht="15.75" customHeight="1" x14ac:dyDescent="0.25">
      <c r="A97" s="126" t="s">
        <v>127</v>
      </c>
      <c r="B97" s="127"/>
      <c r="C97" s="77">
        <v>0</v>
      </c>
      <c r="D97" s="78">
        <f ca="1">((100/(D92+F92+H92))*C97)/100</f>
        <v>0</v>
      </c>
      <c r="E97" s="236"/>
      <c r="F97" s="237"/>
      <c r="G97" s="236"/>
      <c r="H97" s="258"/>
      <c r="I97" s="13" t="s">
        <v>99</v>
      </c>
      <c r="J97" s="27">
        <f ca="1">(IF(B92&gt;1,(H92/(B92+2)),H92/4))</f>
        <v>13.75</v>
      </c>
      <c r="S97"/>
    </row>
    <row r="98" spans="1:19" ht="15.75" customHeight="1" x14ac:dyDescent="0.25">
      <c r="A98" s="126" t="s">
        <v>134</v>
      </c>
      <c r="B98" s="127" t="s">
        <v>128</v>
      </c>
      <c r="C98" s="77">
        <v>0</v>
      </c>
      <c r="D98" s="78">
        <f ca="1">((100/H92)*C98)/100</f>
        <v>0</v>
      </c>
      <c r="E98" s="236"/>
      <c r="F98" s="237"/>
      <c r="G98" s="236"/>
      <c r="H98" s="258"/>
      <c r="I98" s="13" t="s">
        <v>100</v>
      </c>
      <c r="J98" s="27">
        <f ca="1">(IF(B92&gt;1,(H92/(B92+2)+J97),H92/4+J97))</f>
        <v>27.5</v>
      </c>
    </row>
    <row r="99" spans="1:19" ht="15.75" customHeight="1" x14ac:dyDescent="0.25">
      <c r="A99" s="126" t="s">
        <v>135</v>
      </c>
      <c r="B99" s="127" t="s">
        <v>128</v>
      </c>
      <c r="C99" s="77">
        <v>0</v>
      </c>
      <c r="D99" s="78">
        <f ca="1">((100/H92)*C99)/100</f>
        <v>0</v>
      </c>
      <c r="E99" s="236"/>
      <c r="F99" s="237"/>
      <c r="G99" s="236"/>
      <c r="H99" s="258"/>
      <c r="I99" s="13" t="s">
        <v>146</v>
      </c>
      <c r="J99" s="27">
        <f ca="1">(IF(B92&gt;1,(H92/(B92+2)+J98),0))</f>
        <v>41.25</v>
      </c>
    </row>
    <row r="100" spans="1:19" ht="15" customHeight="1" x14ac:dyDescent="0.25">
      <c r="A100" s="126" t="s">
        <v>133</v>
      </c>
      <c r="B100" s="127" t="s">
        <v>130</v>
      </c>
      <c r="C100" s="77">
        <v>0</v>
      </c>
      <c r="D100" s="78">
        <f ca="1">((100/(H92))*C100)/100</f>
        <v>0</v>
      </c>
      <c r="E100" s="236"/>
      <c r="F100" s="237"/>
      <c r="G100" s="236"/>
      <c r="H100" s="258"/>
      <c r="I100" s="13" t="s">
        <v>141</v>
      </c>
      <c r="J100" s="27">
        <f>(IF(B92&gt;2,(H92/(B92+2)+J99),0))</f>
        <v>0</v>
      </c>
    </row>
    <row r="101" spans="1:19" ht="15.75" customHeight="1" x14ac:dyDescent="0.25">
      <c r="A101" s="126" t="s">
        <v>129</v>
      </c>
      <c r="B101" s="127" t="s">
        <v>129</v>
      </c>
      <c r="C101" s="77">
        <v>0</v>
      </c>
      <c r="D101" s="78">
        <f ca="1">((100/H92)*C101)/100</f>
        <v>0</v>
      </c>
      <c r="E101" s="236"/>
      <c r="F101" s="237"/>
      <c r="G101" s="236"/>
      <c r="H101" s="258"/>
      <c r="I101" s="13" t="s">
        <v>142</v>
      </c>
      <c r="J101" s="28">
        <f>(IF(B92&gt;3,(H92/(B92+2)+J100),0))</f>
        <v>0</v>
      </c>
    </row>
    <row r="102" spans="1:19" ht="15.75" customHeight="1" x14ac:dyDescent="0.25">
      <c r="A102" s="126" t="s">
        <v>136</v>
      </c>
      <c r="B102" s="127"/>
      <c r="C102" s="77">
        <v>0</v>
      </c>
      <c r="D102" s="78">
        <f ca="1">((100/H92)*C102)/100</f>
        <v>0</v>
      </c>
      <c r="E102" s="236"/>
      <c r="F102" s="237"/>
      <c r="G102" s="236"/>
      <c r="H102" s="258"/>
      <c r="I102" s="13" t="s">
        <v>143</v>
      </c>
      <c r="J102" s="27">
        <f>(IF(B92&gt;4,(H92/(B92+2)+J101),0))</f>
        <v>0</v>
      </c>
    </row>
    <row r="103" spans="1:19" ht="15.75" customHeight="1" x14ac:dyDescent="0.25">
      <c r="A103" s="126" t="s">
        <v>131</v>
      </c>
      <c r="B103" s="127" t="s">
        <v>131</v>
      </c>
      <c r="C103" s="77">
        <v>0</v>
      </c>
      <c r="D103" s="78">
        <f ca="1">((100/(H92))*C103)/100</f>
        <v>0</v>
      </c>
      <c r="E103" s="236"/>
      <c r="F103" s="237"/>
      <c r="G103" s="236"/>
      <c r="H103" s="258"/>
      <c r="I103" s="13" t="s">
        <v>147</v>
      </c>
      <c r="J103" s="27">
        <f>(IF(B92=1,(H92/(B92+3)+J98),IF(B92=0,(H92/4+J98),IF(B92&gt;1,0))))</f>
        <v>0</v>
      </c>
    </row>
    <row r="104" spans="1:19" ht="16.5" thickBot="1" x14ac:dyDescent="0.3">
      <c r="A104" s="129" t="s">
        <v>132</v>
      </c>
      <c r="B104" s="130"/>
      <c r="C104" s="79">
        <v>0</v>
      </c>
      <c r="D104" s="80">
        <f ca="1">((100/(H92))*C104)/100</f>
        <v>0</v>
      </c>
      <c r="E104" s="238"/>
      <c r="F104" s="239"/>
      <c r="G104" s="238"/>
      <c r="H104" s="259"/>
      <c r="I104" s="14" t="s">
        <v>101</v>
      </c>
      <c r="J104" s="29">
        <f ca="1">(IF(B92&gt;1.5,(H92/(B92+2)+J98+MAX(0,J99-J98)+MAX(0,J100-J99)+MAX(0,J101-J100)+MAX(0,J102-J101)+MAX(0,J103-J102)),IF(B92=1,(H92/(B92+3)+J103),IF(B92=0,H92/4+J103))))</f>
        <v>55</v>
      </c>
    </row>
    <row r="105" spans="1:19" ht="15.75" customHeight="1" x14ac:dyDescent="0.25">
      <c r="A105" s="240" t="s">
        <v>138</v>
      </c>
      <c r="B105" s="241"/>
      <c r="C105" s="242" t="str">
        <f>D68</f>
        <v>Florencia A  &amp; B = 2B + LG + UG + 3P + 4th to 55th Floor</v>
      </c>
      <c r="D105" s="243"/>
      <c r="E105" s="243"/>
      <c r="F105" s="243"/>
      <c r="G105" s="243"/>
      <c r="H105" s="244"/>
      <c r="I105" s="42" t="str">
        <f ca="1">IF(D118=100%,"All work Completed. Possession granted to the Building.",IF(D117=100%,"All work Completed, Waiting for OC",I106&amp;""&amp;I107&amp;""&amp;J106&amp;""&amp;J105&amp;" "&amp;J107))</f>
        <v xml:space="preserve">Excavation, Plinth Completed </v>
      </c>
      <c r="J105" s="43" t="str">
        <f ca="1">(IF(C111=(D106+F106+H106),"",IF(C111&gt;0,", RCC upto "&amp;C111&amp;" Slab","")))&amp;(IF(C112=H106,"",IF(C112&gt;0,", Brickwork upto "&amp;C112&amp;" Floor","")))&amp;(IF(C113=H106,"",IF(C113&gt;0,", Internal Plaster upto "&amp;C113&amp;" Floor","")))&amp;(IF(C114=H106,"",IF(C114&gt;0,", External Plaster upto "&amp;C114&amp;" Floor","")))&amp;(IF(C115=H106,"",IF(C115&gt;0,", Flooring upto "&amp;C115&amp;" Floor","")))&amp;(IF(C116=H106,"",IF(C116&gt;0,", Painting upto "&amp;C116&amp;" Floor","")))&amp;(IF(C117=H106,"",IF(C117&gt;0,", Finishing upto "&amp;C117&amp;" Floor","")))&amp;(IF(C118=H106,"",IF(C118&gt;0,", Possession upto "&amp;C118&amp;" Floor","")))</f>
        <v/>
      </c>
      <c r="S105"/>
    </row>
    <row r="106" spans="1:19" x14ac:dyDescent="0.25">
      <c r="A106" s="15" t="s">
        <v>140</v>
      </c>
      <c r="B106" s="46">
        <f>IF(AND(ISNUMBER(SEARCH("1B",C105))),1,IF(AND(ISNUMBER(SEARCH("2B",C105))),2,IF(AND(ISNUMBER(SEARCH("3B",C105))),3,IF(AND(ISNUMBER(SEARCH("4B",C105))),4,IF(ISNUMBER(SEARCH("5B",C105)),5,0)))))</f>
        <v>2</v>
      </c>
      <c r="C106" s="46" t="s">
        <v>69</v>
      </c>
      <c r="D106" s="46">
        <v>2</v>
      </c>
      <c r="E106" s="46" t="s">
        <v>68</v>
      </c>
      <c r="F106" s="46">
        <v>0</v>
      </c>
      <c r="G106" s="46" t="s">
        <v>77</v>
      </c>
      <c r="H106" s="16">
        <f ca="1">--TRIM(RIGHT(SUBSTITUTE(LEFT(C105,_xlfn.AGGREGATE(16,6,FIND({0,1,2,3,4,5,6,7,8,9},C105,ROW(INDIRECT("1:"&amp;LEN(C105)))),1))," ",REPT(" ",LEN(C105))),LEN(C105)))</f>
        <v>55</v>
      </c>
      <c r="I106" s="44" t="str">
        <f ca="1">IF(D109=100%,"Excavation","")&amp;IF(D110=100%,", Plinth","")&amp;IF(D111=100%,", RCC Slab","")&amp;IF(D112=100%,", Brickwork","")&amp;IF(D113=100%,", Internal Plaster","")&amp;IF(D114=100%,", External Plaster","")&amp;IF(D115=100%,", Flooring","")&amp;IF(D116=100%,", Painting","")&amp;IF(D117=100%,", Building common Amenities","")</f>
        <v>Excavation, Plinth</v>
      </c>
      <c r="J106" s="45" t="str">
        <f ca="1">(IF(C109=0,"Work not yet Started.",IF(D109=25%,"Piling work in process",IF(D109=50%,"Excavation work in process",IF(D109=100%,"","0")))))&amp;(IF(C110=0%,"",IF(C110=J111,", Footing work is process",IF(C110=J112,", Footing work Completed",IF(C110=J113,", 1st Basement Completed",IF(C110=J114,", 1st &amp; 2nd Basement Completed",IF(C110=J115,", 1st to 3rd Basement Completed",IF(C110=J116,", 1st to 4th Basement Completed",IF(C110=J117,", Plinth work is process",IF(C110=J118,"","0"))))))))))</f>
        <v/>
      </c>
      <c r="S106"/>
    </row>
    <row r="107" spans="1:19" x14ac:dyDescent="0.25">
      <c r="A107" s="245" t="s">
        <v>87</v>
      </c>
      <c r="B107" s="188"/>
      <c r="C107" s="246" t="str">
        <f ca="1">I105</f>
        <v xml:space="preserve">Excavation, Plinth Completed </v>
      </c>
      <c r="D107" s="246"/>
      <c r="E107" s="246"/>
      <c r="F107" s="246"/>
      <c r="G107" s="246"/>
      <c r="H107" s="247"/>
      <c r="I107" s="44" t="str">
        <f ca="1">IF(I106&lt;&gt;""," Completed","")</f>
        <v xml:space="preserve"> Completed</v>
      </c>
      <c r="J107" s="45" t="str">
        <f ca="1">IF(J105&lt;&gt;"","Completed","")</f>
        <v/>
      </c>
      <c r="S107"/>
    </row>
    <row r="108" spans="1:19" ht="15.75" customHeight="1" x14ac:dyDescent="0.25">
      <c r="A108" s="126" t="s">
        <v>47</v>
      </c>
      <c r="B108" s="127"/>
      <c r="C108" s="77" t="s">
        <v>137</v>
      </c>
      <c r="D108" s="77" t="s">
        <v>80</v>
      </c>
      <c r="E108" s="127" t="s">
        <v>82</v>
      </c>
      <c r="F108" s="127"/>
      <c r="G108" s="127" t="s">
        <v>81</v>
      </c>
      <c r="H108" s="128"/>
      <c r="I108" s="13" t="s">
        <v>139</v>
      </c>
      <c r="J108" s="25">
        <f ca="1">H106*25%</f>
        <v>13.75</v>
      </c>
      <c r="S108"/>
    </row>
    <row r="109" spans="1:19" x14ac:dyDescent="0.25">
      <c r="A109" s="126" t="s">
        <v>126</v>
      </c>
      <c r="B109" s="127"/>
      <c r="C109" s="84">
        <f ca="1">J110</f>
        <v>55</v>
      </c>
      <c r="D109" s="78">
        <f ca="1">((100/H106)*C109)/100</f>
        <v>1</v>
      </c>
      <c r="E109" s="234">
        <f ca="1">(((C110/H106*10)+(40/(D106+F106+H106)*C111)+(7.5/(H106)*C112)+(7.5/(H106)*C113)+(10/H106*C114)+(10/H106*C115)+(5/H106*C116)+(5/H106*C117)+(5/H106*C118))/100)</f>
        <v>0.1</v>
      </c>
      <c r="F109" s="235"/>
      <c r="G109" s="234">
        <f ca="1">((((C109/H106)*20)+((C110/H106)*25)+(30/(H106+F106+D106)*C111)+(5/H106*C112)+(5/H106*C113)+(5/H106*C114)+(5/H106*C115)+(0/H106*C116)+(0/H106*C117)+(5/H106*C118))/100)</f>
        <v>0.45</v>
      </c>
      <c r="H109" s="257"/>
      <c r="I109" s="13" t="s">
        <v>97</v>
      </c>
      <c r="J109" s="26">
        <f ca="1">H106*50%</f>
        <v>27.5</v>
      </c>
    </row>
    <row r="110" spans="1:19" x14ac:dyDescent="0.25">
      <c r="A110" s="126" t="s">
        <v>48</v>
      </c>
      <c r="B110" s="127"/>
      <c r="C110" s="84">
        <f ca="1">J118</f>
        <v>55</v>
      </c>
      <c r="D110" s="78">
        <f ca="1">((100/H106)*C110)/100</f>
        <v>1</v>
      </c>
      <c r="E110" s="236"/>
      <c r="F110" s="237"/>
      <c r="G110" s="236"/>
      <c r="H110" s="258"/>
      <c r="I110" s="13" t="s">
        <v>98</v>
      </c>
      <c r="J110" s="26">
        <f ca="1">H106</f>
        <v>55</v>
      </c>
      <c r="S110"/>
    </row>
    <row r="111" spans="1:19" ht="15.75" customHeight="1" x14ac:dyDescent="0.25">
      <c r="A111" s="126" t="s">
        <v>127</v>
      </c>
      <c r="B111" s="127"/>
      <c r="C111" s="77">
        <v>0</v>
      </c>
      <c r="D111" s="78">
        <f ca="1">((100/(D106+F106+H106))*C111)/100</f>
        <v>0</v>
      </c>
      <c r="E111" s="236"/>
      <c r="F111" s="237"/>
      <c r="G111" s="236"/>
      <c r="H111" s="258"/>
      <c r="I111" s="13" t="s">
        <v>99</v>
      </c>
      <c r="J111" s="27">
        <f ca="1">(IF(B106&gt;1,(H106/(B106+2)),H106/4))</f>
        <v>13.75</v>
      </c>
      <c r="S111"/>
    </row>
    <row r="112" spans="1:19" ht="15.75" customHeight="1" x14ac:dyDescent="0.25">
      <c r="A112" s="126" t="s">
        <v>134</v>
      </c>
      <c r="B112" s="127" t="s">
        <v>128</v>
      </c>
      <c r="C112" s="77">
        <v>0</v>
      </c>
      <c r="D112" s="78">
        <f ca="1">((100/H106)*C112)/100</f>
        <v>0</v>
      </c>
      <c r="E112" s="236"/>
      <c r="F112" s="237"/>
      <c r="G112" s="236"/>
      <c r="H112" s="258"/>
      <c r="I112" s="13" t="s">
        <v>100</v>
      </c>
      <c r="J112" s="27">
        <f ca="1">(IF(B106&gt;1,(H106/(B106+2)+J111),H106/4+J111))</f>
        <v>27.5</v>
      </c>
    </row>
    <row r="113" spans="1:19" ht="15.75" customHeight="1" x14ac:dyDescent="0.25">
      <c r="A113" s="126" t="s">
        <v>135</v>
      </c>
      <c r="B113" s="127" t="s">
        <v>128</v>
      </c>
      <c r="C113" s="77">
        <v>0</v>
      </c>
      <c r="D113" s="78">
        <f ca="1">((100/H106)*C113)/100</f>
        <v>0</v>
      </c>
      <c r="E113" s="236"/>
      <c r="F113" s="237"/>
      <c r="G113" s="236"/>
      <c r="H113" s="258"/>
      <c r="I113" s="13" t="s">
        <v>146</v>
      </c>
      <c r="J113" s="27">
        <f ca="1">(IF(B106&gt;1,(H106/(B106+2)+J112),0))</f>
        <v>41.25</v>
      </c>
    </row>
    <row r="114" spans="1:19" ht="15" customHeight="1" x14ac:dyDescent="0.25">
      <c r="A114" s="126" t="s">
        <v>133</v>
      </c>
      <c r="B114" s="127" t="s">
        <v>130</v>
      </c>
      <c r="C114" s="77">
        <v>0</v>
      </c>
      <c r="D114" s="78">
        <f ca="1">((100/(H106))*C114)/100</f>
        <v>0</v>
      </c>
      <c r="E114" s="236"/>
      <c r="F114" s="237"/>
      <c r="G114" s="236"/>
      <c r="H114" s="258"/>
      <c r="I114" s="13" t="s">
        <v>141</v>
      </c>
      <c r="J114" s="27">
        <f>(IF(B106&gt;2,(H106/(B106+2)+J113),0))</f>
        <v>0</v>
      </c>
    </row>
    <row r="115" spans="1:19" ht="15.75" customHeight="1" x14ac:dyDescent="0.25">
      <c r="A115" s="126" t="s">
        <v>129</v>
      </c>
      <c r="B115" s="127" t="s">
        <v>129</v>
      </c>
      <c r="C115" s="77">
        <v>0</v>
      </c>
      <c r="D115" s="78">
        <f ca="1">((100/H106)*C115)/100</f>
        <v>0</v>
      </c>
      <c r="E115" s="236"/>
      <c r="F115" s="237"/>
      <c r="G115" s="236"/>
      <c r="H115" s="258"/>
      <c r="I115" s="13" t="s">
        <v>142</v>
      </c>
      <c r="J115" s="28">
        <f>(IF(B106&gt;3,(H106/(B106+2)+J114),0))</f>
        <v>0</v>
      </c>
    </row>
    <row r="116" spans="1:19" ht="15.75" customHeight="1" x14ac:dyDescent="0.25">
      <c r="A116" s="126" t="s">
        <v>136</v>
      </c>
      <c r="B116" s="127"/>
      <c r="C116" s="77">
        <v>0</v>
      </c>
      <c r="D116" s="78">
        <f ca="1">((100/H106)*C116)/100</f>
        <v>0</v>
      </c>
      <c r="E116" s="236"/>
      <c r="F116" s="237"/>
      <c r="G116" s="236"/>
      <c r="H116" s="258"/>
      <c r="I116" s="13" t="s">
        <v>143</v>
      </c>
      <c r="J116" s="27">
        <f>(IF(B106&gt;4,(H106/(B106+2)+J115),0))</f>
        <v>0</v>
      </c>
    </row>
    <row r="117" spans="1:19" ht="15.75" customHeight="1" x14ac:dyDescent="0.25">
      <c r="A117" s="126" t="s">
        <v>131</v>
      </c>
      <c r="B117" s="127" t="s">
        <v>131</v>
      </c>
      <c r="C117" s="77">
        <v>0</v>
      </c>
      <c r="D117" s="78">
        <f ca="1">((100/(H106))*C117)/100</f>
        <v>0</v>
      </c>
      <c r="E117" s="236"/>
      <c r="F117" s="237"/>
      <c r="G117" s="236"/>
      <c r="H117" s="258"/>
      <c r="I117" s="13" t="s">
        <v>147</v>
      </c>
      <c r="J117" s="27">
        <f>(IF(B106=1,(H106/(B106+3)+J112),IF(B106=0,(H106/4+J112),IF(B106&gt;1,0))))</f>
        <v>0</v>
      </c>
    </row>
    <row r="118" spans="1:19" ht="16.5" thickBot="1" x14ac:dyDescent="0.3">
      <c r="A118" s="129" t="s">
        <v>132</v>
      </c>
      <c r="B118" s="130"/>
      <c r="C118" s="79">
        <v>0</v>
      </c>
      <c r="D118" s="80">
        <f ca="1">((100/(H106))*C118)/100</f>
        <v>0</v>
      </c>
      <c r="E118" s="238"/>
      <c r="F118" s="239"/>
      <c r="G118" s="238"/>
      <c r="H118" s="259"/>
      <c r="I118" s="14" t="s">
        <v>101</v>
      </c>
      <c r="J118" s="29">
        <f ca="1">(IF(B106&gt;1.5,(H106/(B106+2)+J112+MAX(0,J113-J112)+MAX(0,J114-J113)+MAX(0,J115-J114)+MAX(0,J116-J115)+MAX(0,J117-J116)),IF(B106=1,(H106/(B106+3)+J117),IF(B106=0,H106/4+J117))))</f>
        <v>55</v>
      </c>
    </row>
    <row r="119" spans="1:19" ht="15.75" customHeight="1" x14ac:dyDescent="0.25">
      <c r="A119" s="240" t="s">
        <v>138</v>
      </c>
      <c r="B119" s="241"/>
      <c r="C119" s="242" t="str">
        <f>D69</f>
        <v>Amalfi = 2B  + LG + UG + 3P + 4th to 55th Floor</v>
      </c>
      <c r="D119" s="243"/>
      <c r="E119" s="243"/>
      <c r="F119" s="243"/>
      <c r="G119" s="243"/>
      <c r="H119" s="244"/>
      <c r="I119" s="42" t="str">
        <f ca="1">IF(D132=100%,"All work Completed. Possession granted to the Building.",IF(D131=100%,"All work Completed, Waiting for OC",I120&amp;""&amp;I121&amp;""&amp;J120&amp;""&amp;J119&amp;" "&amp;J121))</f>
        <v xml:space="preserve">Excavation, Plinth Completed </v>
      </c>
      <c r="J119" s="43" t="str">
        <f ca="1">(IF(C125=(D120+F120+H120),"",IF(C125&gt;0,", RCC upto "&amp;C125&amp;" Slab","")))&amp;(IF(C126=H120,"",IF(C126&gt;0,", Brickwork upto "&amp;C126&amp;" Floor","")))&amp;(IF(C127=H120,"",IF(C127&gt;0,", Internal Plaster upto "&amp;C127&amp;" Floor","")))&amp;(IF(C128=H120,"",IF(C128&gt;0,", External Plaster upto "&amp;C128&amp;" Floor","")))&amp;(IF(C129=H120,"",IF(C129&gt;0,", Flooring upto "&amp;C129&amp;" Floor","")))&amp;(IF(C130=H120,"",IF(C130&gt;0,", Painting upto "&amp;C130&amp;" Floor","")))&amp;(IF(C131=H120,"",IF(C131&gt;0,", Finishing upto "&amp;C131&amp;" Floor","")))&amp;(IF(C132=H120,"",IF(C132&gt;0,", Possession upto "&amp;C132&amp;" Floor","")))</f>
        <v/>
      </c>
      <c r="S119"/>
    </row>
    <row r="120" spans="1:19" x14ac:dyDescent="0.25">
      <c r="A120" s="15" t="s">
        <v>140</v>
      </c>
      <c r="B120" s="46">
        <f>IF(AND(ISNUMBER(SEARCH("1B",C119))),1,IF(AND(ISNUMBER(SEARCH("2B",C119))),2,IF(AND(ISNUMBER(SEARCH("3B",C119))),3,IF(AND(ISNUMBER(SEARCH("4B",C119))),4,IF(ISNUMBER(SEARCH("5B",C119)),5,0)))))</f>
        <v>2</v>
      </c>
      <c r="C120" s="46" t="s">
        <v>69</v>
      </c>
      <c r="D120" s="46">
        <v>2</v>
      </c>
      <c r="E120" s="46" t="s">
        <v>68</v>
      </c>
      <c r="F120" s="46">
        <v>0</v>
      </c>
      <c r="G120" s="46" t="s">
        <v>77</v>
      </c>
      <c r="H120" s="16">
        <f ca="1">--TRIM(RIGHT(SUBSTITUTE(LEFT(C119,_xlfn.AGGREGATE(16,6,FIND({0,1,2,3,4,5,6,7,8,9},C119,ROW(INDIRECT("1:"&amp;LEN(C119)))),1))," ",REPT(" ",LEN(C119))),LEN(C119)))</f>
        <v>55</v>
      </c>
      <c r="I120" s="44" t="str">
        <f ca="1">IF(D123=100%,"Excavation","")&amp;IF(D124=100%,", Plinth","")&amp;IF(D125=100%,", RCC Slab","")&amp;IF(D126=100%,", Brickwork","")&amp;IF(D127=100%,", Internal Plaster","")&amp;IF(D128=100%,", External Plaster","")&amp;IF(D129=100%,", Flooring","")&amp;IF(D130=100%,", Painting","")&amp;IF(D131=100%,", Building common Amenities","")</f>
        <v>Excavation, Plinth</v>
      </c>
      <c r="J120" s="45" t="str">
        <f ca="1">(IF(C123=0,"Work not yet Started.",IF(D123=25%,"Piling work in process",IF(D123=50%,"Excavation work in process",IF(D123=100%,"","0")))))&amp;(IF(C124=0%,"",IF(C124=J125,", Footing work is process",IF(C124=J126,", Footing work Completed",IF(C124=J127,", 1st Basement Completed",IF(C124=J128,", 1st &amp; 2nd Basement Completed",IF(C124=J129,", 1st to 3rd Basement Completed",IF(C124=J130,", 1st to 4th Basement Completed",IF(C124=J131,", Plinth work is process",IF(C124=J132,"","0"))))))))))</f>
        <v/>
      </c>
      <c r="S120"/>
    </row>
    <row r="121" spans="1:19" x14ac:dyDescent="0.25">
      <c r="A121" s="245" t="s">
        <v>87</v>
      </c>
      <c r="B121" s="188"/>
      <c r="C121" s="246" t="str">
        <f ca="1">I119</f>
        <v xml:space="preserve">Excavation, Plinth Completed </v>
      </c>
      <c r="D121" s="246"/>
      <c r="E121" s="246"/>
      <c r="F121" s="246"/>
      <c r="G121" s="246"/>
      <c r="H121" s="247"/>
      <c r="I121" s="44" t="str">
        <f ca="1">IF(I120&lt;&gt;""," Completed","")</f>
        <v xml:space="preserve"> Completed</v>
      </c>
      <c r="J121" s="45" t="str">
        <f ca="1">IF(J119&lt;&gt;"","Completed","")</f>
        <v/>
      </c>
      <c r="S121"/>
    </row>
    <row r="122" spans="1:19" ht="15.75" customHeight="1" x14ac:dyDescent="0.25">
      <c r="A122" s="126" t="s">
        <v>47</v>
      </c>
      <c r="B122" s="127"/>
      <c r="C122" s="77" t="s">
        <v>137</v>
      </c>
      <c r="D122" s="77" t="s">
        <v>80</v>
      </c>
      <c r="E122" s="127" t="s">
        <v>82</v>
      </c>
      <c r="F122" s="127"/>
      <c r="G122" s="127" t="s">
        <v>81</v>
      </c>
      <c r="H122" s="128"/>
      <c r="I122" s="13" t="s">
        <v>139</v>
      </c>
      <c r="J122" s="25">
        <f ca="1">H120*25%</f>
        <v>13.75</v>
      </c>
      <c r="S122"/>
    </row>
    <row r="123" spans="1:19" x14ac:dyDescent="0.25">
      <c r="A123" s="126" t="s">
        <v>126</v>
      </c>
      <c r="B123" s="127"/>
      <c r="C123" s="84">
        <f ca="1">J124</f>
        <v>55</v>
      </c>
      <c r="D123" s="78">
        <f ca="1">((100/H120)*C123)/100</f>
        <v>1</v>
      </c>
      <c r="E123" s="234">
        <f ca="1">(((C124/H120*10)+(40/(D120+F120+H120)*C125)+(7.5/(H120)*C126)+(7.5/(H120)*C127)+(10/H120*C128)+(10/H120*C129)+(5/H120*C130)+(5/H120*C131)+(5/H120*C132))/100)</f>
        <v>0.1</v>
      </c>
      <c r="F123" s="235"/>
      <c r="G123" s="234">
        <f ca="1">((((C123/H120)*20)+((C124/H120)*25)+(30/(H120+F120+D120)*C125)+(5/H120*C126)+(5/H120*C127)+(5/H120*C128)+(5/H120*C129)+(0/H120*C130)+(0/H120*C131)+(5/H120*C132))/100)</f>
        <v>0.45</v>
      </c>
      <c r="H123" s="257"/>
      <c r="I123" s="13" t="s">
        <v>97</v>
      </c>
      <c r="J123" s="26">
        <f ca="1">H120*50%</f>
        <v>27.5</v>
      </c>
    </row>
    <row r="124" spans="1:19" x14ac:dyDescent="0.25">
      <c r="A124" s="126" t="s">
        <v>48</v>
      </c>
      <c r="B124" s="127"/>
      <c r="C124" s="84">
        <f ca="1">J132</f>
        <v>55</v>
      </c>
      <c r="D124" s="78">
        <f ca="1">((100/H120)*C124)/100</f>
        <v>1</v>
      </c>
      <c r="E124" s="236"/>
      <c r="F124" s="237"/>
      <c r="G124" s="236"/>
      <c r="H124" s="258"/>
      <c r="I124" s="13" t="s">
        <v>98</v>
      </c>
      <c r="J124" s="26">
        <f ca="1">H120</f>
        <v>55</v>
      </c>
      <c r="S124"/>
    </row>
    <row r="125" spans="1:19" ht="15.75" customHeight="1" x14ac:dyDescent="0.25">
      <c r="A125" s="126" t="s">
        <v>127</v>
      </c>
      <c r="B125" s="127"/>
      <c r="C125" s="77">
        <v>0</v>
      </c>
      <c r="D125" s="78">
        <f ca="1">((100/(D120+F120+H120))*C125)/100</f>
        <v>0</v>
      </c>
      <c r="E125" s="236"/>
      <c r="F125" s="237"/>
      <c r="G125" s="236"/>
      <c r="H125" s="258"/>
      <c r="I125" s="13" t="s">
        <v>99</v>
      </c>
      <c r="J125" s="27">
        <f ca="1">(IF(B120&gt;1,(H120/(B120+2)),H120/4))</f>
        <v>13.75</v>
      </c>
      <c r="S125"/>
    </row>
    <row r="126" spans="1:19" ht="15.75" customHeight="1" x14ac:dyDescent="0.25">
      <c r="A126" s="126" t="s">
        <v>134</v>
      </c>
      <c r="B126" s="127" t="s">
        <v>128</v>
      </c>
      <c r="C126" s="77">
        <v>0</v>
      </c>
      <c r="D126" s="78">
        <f ca="1">((100/H120)*C126)/100</f>
        <v>0</v>
      </c>
      <c r="E126" s="236"/>
      <c r="F126" s="237"/>
      <c r="G126" s="236"/>
      <c r="H126" s="258"/>
      <c r="I126" s="13" t="s">
        <v>100</v>
      </c>
      <c r="J126" s="27">
        <f ca="1">(IF(B120&gt;1,(H120/(B120+2)+J125),H120/4+J125))</f>
        <v>27.5</v>
      </c>
    </row>
    <row r="127" spans="1:19" ht="15.75" customHeight="1" x14ac:dyDescent="0.25">
      <c r="A127" s="126" t="s">
        <v>135</v>
      </c>
      <c r="B127" s="127" t="s">
        <v>128</v>
      </c>
      <c r="C127" s="77">
        <v>0</v>
      </c>
      <c r="D127" s="78">
        <f ca="1">((100/H120)*C127)/100</f>
        <v>0</v>
      </c>
      <c r="E127" s="236"/>
      <c r="F127" s="237"/>
      <c r="G127" s="236"/>
      <c r="H127" s="258"/>
      <c r="I127" s="13" t="s">
        <v>146</v>
      </c>
      <c r="J127" s="27">
        <f ca="1">(IF(B120&gt;1,(H120/(B120+2)+J126),0))</f>
        <v>41.25</v>
      </c>
    </row>
    <row r="128" spans="1:19" ht="15" customHeight="1" x14ac:dyDescent="0.25">
      <c r="A128" s="126" t="s">
        <v>133</v>
      </c>
      <c r="B128" s="127" t="s">
        <v>130</v>
      </c>
      <c r="C128" s="77">
        <v>0</v>
      </c>
      <c r="D128" s="78">
        <f ca="1">((100/(H120))*C128)/100</f>
        <v>0</v>
      </c>
      <c r="E128" s="236"/>
      <c r="F128" s="237"/>
      <c r="G128" s="236"/>
      <c r="H128" s="258"/>
      <c r="I128" s="13" t="s">
        <v>141</v>
      </c>
      <c r="J128" s="27">
        <f>(IF(B120&gt;2,(H120/(B120+2)+J127),0))</f>
        <v>0</v>
      </c>
    </row>
    <row r="129" spans="1:22" ht="15.75" customHeight="1" x14ac:dyDescent="0.25">
      <c r="A129" s="126" t="s">
        <v>129</v>
      </c>
      <c r="B129" s="127" t="s">
        <v>129</v>
      </c>
      <c r="C129" s="77">
        <v>0</v>
      </c>
      <c r="D129" s="78">
        <f ca="1">((100/H120)*C129)/100</f>
        <v>0</v>
      </c>
      <c r="E129" s="236"/>
      <c r="F129" s="237"/>
      <c r="G129" s="236"/>
      <c r="H129" s="258"/>
      <c r="I129" s="13" t="s">
        <v>142</v>
      </c>
      <c r="J129" s="28">
        <f>(IF(B120&gt;3,(H120/(B120+2)+J128),0))</f>
        <v>0</v>
      </c>
    </row>
    <row r="130" spans="1:22" ht="15.75" customHeight="1" x14ac:dyDescent="0.25">
      <c r="A130" s="126" t="s">
        <v>136</v>
      </c>
      <c r="B130" s="127"/>
      <c r="C130" s="77">
        <v>0</v>
      </c>
      <c r="D130" s="78">
        <f ca="1">((100/H120)*C130)/100</f>
        <v>0</v>
      </c>
      <c r="E130" s="236"/>
      <c r="F130" s="237"/>
      <c r="G130" s="236"/>
      <c r="H130" s="258"/>
      <c r="I130" s="13" t="s">
        <v>143</v>
      </c>
      <c r="J130" s="27">
        <f>(IF(B120&gt;4,(H120/(B120+2)+J129),0))</f>
        <v>0</v>
      </c>
    </row>
    <row r="131" spans="1:22" ht="15.75" customHeight="1" x14ac:dyDescent="0.25">
      <c r="A131" s="126" t="s">
        <v>131</v>
      </c>
      <c r="B131" s="127" t="s">
        <v>131</v>
      </c>
      <c r="C131" s="77">
        <v>0</v>
      </c>
      <c r="D131" s="78">
        <f ca="1">((100/(H120))*C131)/100</f>
        <v>0</v>
      </c>
      <c r="E131" s="236"/>
      <c r="F131" s="237"/>
      <c r="G131" s="236"/>
      <c r="H131" s="258"/>
      <c r="I131" s="13" t="s">
        <v>147</v>
      </c>
      <c r="J131" s="27">
        <f>(IF(B120=1,(H120/(B120+3)+J126),IF(B120=0,(H120/4+J126),IF(B120&gt;1,0))))</f>
        <v>0</v>
      </c>
    </row>
    <row r="132" spans="1:22" ht="16.5" thickBot="1" x14ac:dyDescent="0.3">
      <c r="A132" s="129" t="s">
        <v>132</v>
      </c>
      <c r="B132" s="130"/>
      <c r="C132" s="79">
        <v>0</v>
      </c>
      <c r="D132" s="80">
        <f ca="1">((100/(H120))*C132)/100</f>
        <v>0</v>
      </c>
      <c r="E132" s="238"/>
      <c r="F132" s="239"/>
      <c r="G132" s="238"/>
      <c r="H132" s="259"/>
      <c r="I132" s="14" t="s">
        <v>101</v>
      </c>
      <c r="J132" s="29">
        <f ca="1">(IF(B120&gt;1.5,(H120/(B120+2)+J126+MAX(0,J127-J126)+MAX(0,J128-J127)+MAX(0,J129-J128)+MAX(0,J130-J129)+MAX(0,J131-J130)),IF(B120=1,(H120/(B120+3)+J131),IF(B120=0,H120/4+J131))))</f>
        <v>55</v>
      </c>
    </row>
    <row r="133" spans="1:22" x14ac:dyDescent="0.25">
      <c r="A133" s="230" t="s">
        <v>158</v>
      </c>
      <c r="B133" s="230"/>
      <c r="C133" s="230"/>
      <c r="D133" s="230"/>
      <c r="E133" s="230"/>
      <c r="F133" s="164" t="s">
        <v>162</v>
      </c>
      <c r="G133" s="164"/>
      <c r="H133" s="164"/>
      <c r="R133" t="s">
        <v>255</v>
      </c>
      <c r="S133" t="s">
        <v>175</v>
      </c>
      <c r="T133" t="s">
        <v>182</v>
      </c>
      <c r="U133" t="s">
        <v>196</v>
      </c>
      <c r="V133" t="s">
        <v>191</v>
      </c>
    </row>
    <row r="134" spans="1:22" x14ac:dyDescent="0.25">
      <c r="A134" s="132" t="s">
        <v>160</v>
      </c>
      <c r="B134" s="132"/>
      <c r="C134" s="132"/>
      <c r="D134" s="132"/>
      <c r="E134" s="132"/>
      <c r="F134" s="131">
        <v>18300</v>
      </c>
      <c r="G134" s="131"/>
      <c r="H134" s="131"/>
      <c r="I134" s="85" t="s">
        <v>476</v>
      </c>
      <c r="J134" s="85" t="s">
        <v>477</v>
      </c>
      <c r="K134" s="85" t="s">
        <v>478</v>
      </c>
      <c r="L134" s="86">
        <v>45709</v>
      </c>
      <c r="R134"/>
      <c r="S134">
        <v>800000</v>
      </c>
      <c r="T134">
        <v>150000</v>
      </c>
      <c r="U134">
        <v>100000</v>
      </c>
      <c r="V134">
        <v>100000</v>
      </c>
    </row>
    <row r="135" spans="1:22" hidden="1" x14ac:dyDescent="0.25">
      <c r="A135" s="132" t="s">
        <v>159</v>
      </c>
      <c r="B135" s="132"/>
      <c r="C135" s="132"/>
      <c r="D135" s="132"/>
      <c r="E135" s="132"/>
      <c r="F135" s="131"/>
      <c r="G135" s="131"/>
      <c r="H135" s="131"/>
      <c r="R135"/>
      <c r="S135">
        <v>900000</v>
      </c>
      <c r="T135">
        <v>200000</v>
      </c>
      <c r="U135">
        <v>150000</v>
      </c>
      <c r="V135">
        <v>150000</v>
      </c>
    </row>
    <row r="136" spans="1:22" hidden="1" x14ac:dyDescent="0.25">
      <c r="A136" s="132" t="s">
        <v>161</v>
      </c>
      <c r="B136" s="132"/>
      <c r="C136" s="132"/>
      <c r="D136" s="132"/>
      <c r="E136" s="132"/>
      <c r="F136" s="131"/>
      <c r="G136" s="131"/>
      <c r="H136" s="131"/>
      <c r="R136"/>
      <c r="S136">
        <v>1000000</v>
      </c>
      <c r="T136">
        <v>250000</v>
      </c>
      <c r="U136">
        <v>200000</v>
      </c>
      <c r="V136">
        <v>200000</v>
      </c>
    </row>
    <row r="137" spans="1:22" s="30" customFormat="1" hidden="1" x14ac:dyDescent="0.25">
      <c r="A137" s="132" t="s">
        <v>177</v>
      </c>
      <c r="B137" s="132"/>
      <c r="C137" s="132"/>
      <c r="D137" s="132"/>
      <c r="E137" s="132"/>
      <c r="F137" s="131"/>
      <c r="G137" s="131"/>
      <c r="H137" s="131"/>
      <c r="R137"/>
      <c r="S137">
        <v>1100000</v>
      </c>
      <c r="T137">
        <v>300000</v>
      </c>
      <c r="U137">
        <v>250000</v>
      </c>
      <c r="V137" s="20">
        <v>250000</v>
      </c>
    </row>
    <row r="138" spans="1:22" s="30" customFormat="1" hidden="1" x14ac:dyDescent="0.25">
      <c r="A138" s="132" t="s">
        <v>91</v>
      </c>
      <c r="B138" s="132"/>
      <c r="C138" s="132"/>
      <c r="D138" s="132"/>
      <c r="E138" s="132"/>
      <c r="F138" s="131"/>
      <c r="G138" s="131"/>
      <c r="H138" s="131"/>
      <c r="R138"/>
      <c r="S138">
        <v>1200000</v>
      </c>
      <c r="T138">
        <v>350000</v>
      </c>
      <c r="U138">
        <v>300000</v>
      </c>
      <c r="V138">
        <v>300000</v>
      </c>
    </row>
    <row r="139" spans="1:22" s="30" customFormat="1" hidden="1" x14ac:dyDescent="0.25">
      <c r="A139" s="132" t="s">
        <v>92</v>
      </c>
      <c r="B139" s="132"/>
      <c r="C139" s="132"/>
      <c r="D139" s="132"/>
      <c r="E139" s="132"/>
      <c r="F139" s="131"/>
      <c r="G139" s="131"/>
      <c r="H139" s="131"/>
      <c r="R139"/>
      <c r="S139">
        <v>1300000</v>
      </c>
      <c r="T139">
        <v>400000</v>
      </c>
      <c r="U139">
        <v>350000</v>
      </c>
      <c r="V139" s="20">
        <v>400000</v>
      </c>
    </row>
    <row r="140" spans="1:22" s="30" customFormat="1" hidden="1" x14ac:dyDescent="0.25">
      <c r="A140" s="132" t="s">
        <v>93</v>
      </c>
      <c r="B140" s="132"/>
      <c r="C140" s="132"/>
      <c r="D140" s="132"/>
      <c r="E140" s="132"/>
      <c r="F140" s="131"/>
      <c r="G140" s="131"/>
      <c r="H140" s="131"/>
      <c r="R140"/>
      <c r="S140">
        <v>1400000</v>
      </c>
      <c r="T140">
        <v>500000</v>
      </c>
      <c r="U140">
        <v>400000</v>
      </c>
      <c r="V140"/>
    </row>
    <row r="141" spans="1:22" s="30" customFormat="1" hidden="1" x14ac:dyDescent="0.25">
      <c r="A141" s="132" t="s">
        <v>94</v>
      </c>
      <c r="B141" s="132"/>
      <c r="C141" s="132"/>
      <c r="D141" s="132"/>
      <c r="E141" s="132"/>
      <c r="F141" s="131"/>
      <c r="G141" s="131"/>
      <c r="H141" s="131"/>
      <c r="R141"/>
      <c r="S141">
        <v>1500000</v>
      </c>
      <c r="T141">
        <v>600000</v>
      </c>
      <c r="U141">
        <v>500000</v>
      </c>
      <c r="V141" s="20"/>
    </row>
    <row r="142" spans="1:22" s="30" customFormat="1" hidden="1" x14ac:dyDescent="0.25">
      <c r="A142" s="132" t="s">
        <v>95</v>
      </c>
      <c r="B142" s="132"/>
      <c r="C142" s="132"/>
      <c r="D142" s="132"/>
      <c r="E142" s="132"/>
      <c r="F142" s="131"/>
      <c r="G142" s="131"/>
      <c r="H142" s="131"/>
      <c r="R142"/>
      <c r="S142">
        <v>1600000</v>
      </c>
      <c r="T142">
        <v>700000</v>
      </c>
      <c r="U142">
        <v>600000</v>
      </c>
      <c r="V142"/>
    </row>
    <row r="143" spans="1:22" s="30" customFormat="1" hidden="1" x14ac:dyDescent="0.25">
      <c r="A143" s="132" t="s">
        <v>96</v>
      </c>
      <c r="B143" s="132"/>
      <c r="C143" s="132"/>
      <c r="D143" s="132"/>
      <c r="E143" s="132"/>
      <c r="F143" s="131"/>
      <c r="G143" s="131"/>
      <c r="H143" s="131"/>
      <c r="R143"/>
      <c r="S143">
        <v>1700000</v>
      </c>
      <c r="T143">
        <v>800000</v>
      </c>
      <c r="U143"/>
      <c r="V143" s="20"/>
    </row>
    <row r="144" spans="1:22" x14ac:dyDescent="0.25">
      <c r="A144" s="132" t="s">
        <v>49</v>
      </c>
      <c r="B144" s="132"/>
      <c r="C144" s="132"/>
      <c r="D144" s="132"/>
      <c r="E144" s="132"/>
      <c r="F144" s="131">
        <v>800000</v>
      </c>
      <c r="G144" s="131"/>
      <c r="H144" s="131"/>
      <c r="R144"/>
      <c r="S144">
        <v>1800000</v>
      </c>
      <c r="T144">
        <v>900000</v>
      </c>
      <c r="U144"/>
    </row>
    <row r="145" spans="1:22" s="31" customFormat="1" x14ac:dyDescent="0.25">
      <c r="A145" s="174" t="s">
        <v>50</v>
      </c>
      <c r="B145" s="174"/>
      <c r="C145" s="174"/>
      <c r="D145" s="174"/>
      <c r="E145" s="174"/>
      <c r="F145" s="131">
        <f>F134*0.8</f>
        <v>14640</v>
      </c>
      <c r="G145" s="131"/>
      <c r="H145" s="131"/>
      <c r="R145" s="18"/>
      <c r="S145" s="18"/>
      <c r="T145">
        <v>1000000</v>
      </c>
      <c r="U145"/>
      <c r="V145" s="18"/>
    </row>
    <row r="146" spans="1:22" s="32" customFormat="1" ht="15.75" hidden="1" customHeight="1" x14ac:dyDescent="0.25">
      <c r="A146" s="173" t="s">
        <v>72</v>
      </c>
      <c r="B146" s="173"/>
      <c r="C146" s="173"/>
      <c r="D146" s="173"/>
      <c r="E146" s="173"/>
      <c r="F146" s="173"/>
      <c r="G146" s="173"/>
      <c r="H146" s="173"/>
      <c r="R146"/>
      <c r="S146" s="18"/>
      <c r="T146"/>
      <c r="U146"/>
      <c r="V146" s="18"/>
    </row>
    <row r="147" spans="1:22" s="32" customFormat="1" ht="15.75" hidden="1" customHeight="1" x14ac:dyDescent="0.25">
      <c r="A147" s="134" t="s">
        <v>51</v>
      </c>
      <c r="B147" s="134"/>
      <c r="C147" s="142" t="s">
        <v>75</v>
      </c>
      <c r="D147" s="142"/>
      <c r="E147" s="133" t="s">
        <v>52</v>
      </c>
      <c r="F147" s="133"/>
      <c r="G147" s="134" t="s">
        <v>53</v>
      </c>
      <c r="H147" s="134"/>
      <c r="R147"/>
      <c r="S147" s="18"/>
      <c r="T147"/>
      <c r="U147" s="18"/>
      <c r="V147" s="18"/>
    </row>
    <row r="148" spans="1:22" s="32" customFormat="1" hidden="1" x14ac:dyDescent="0.25">
      <c r="A148" s="141"/>
      <c r="B148" s="141"/>
      <c r="C148" s="248"/>
      <c r="D148" s="248"/>
      <c r="E148" s="249"/>
      <c r="F148" s="249"/>
      <c r="G148" s="158"/>
      <c r="H148" s="158"/>
      <c r="R148"/>
      <c r="S148" s="18"/>
      <c r="T148"/>
      <c r="U148" s="18"/>
      <c r="V148" s="18"/>
    </row>
    <row r="149" spans="1:22" s="32" customFormat="1" hidden="1" x14ac:dyDescent="0.25">
      <c r="A149" s="141"/>
      <c r="B149" s="141"/>
      <c r="C149" s="248"/>
      <c r="D149" s="248"/>
      <c r="E149" s="249"/>
      <c r="F149" s="249"/>
      <c r="G149" s="158"/>
      <c r="H149" s="158"/>
      <c r="R149"/>
      <c r="S149" s="18"/>
      <c r="T149"/>
      <c r="U149" s="18"/>
      <c r="V149" s="18"/>
    </row>
    <row r="150" spans="1:22" s="32" customFormat="1" hidden="1" x14ac:dyDescent="0.25">
      <c r="A150" s="173" t="s">
        <v>151</v>
      </c>
      <c r="B150" s="173"/>
      <c r="C150" s="142"/>
      <c r="D150" s="142"/>
      <c r="E150" s="133"/>
      <c r="F150" s="133"/>
      <c r="G150" s="134"/>
      <c r="H150" s="134"/>
      <c r="R150"/>
      <c r="S150" s="18"/>
      <c r="T150"/>
      <c r="U150" s="18"/>
      <c r="V150" s="18"/>
    </row>
    <row r="151" spans="1:22" s="32" customFormat="1" x14ac:dyDescent="0.25">
      <c r="A151" s="173" t="s">
        <v>67</v>
      </c>
      <c r="B151" s="173"/>
      <c r="C151" s="173"/>
      <c r="D151" s="173"/>
      <c r="E151" s="173"/>
      <c r="F151" s="173"/>
      <c r="G151" s="173"/>
      <c r="H151" s="173"/>
      <c r="T151"/>
    </row>
    <row r="152" spans="1:22" s="32" customFormat="1" ht="15.75" customHeight="1" x14ac:dyDescent="0.25">
      <c r="A152" s="134" t="s">
        <v>51</v>
      </c>
      <c r="B152" s="134"/>
      <c r="C152" s="142" t="s">
        <v>75</v>
      </c>
      <c r="D152" s="142"/>
      <c r="E152" s="133" t="s">
        <v>52</v>
      </c>
      <c r="F152" s="133"/>
      <c r="G152" s="134" t="s">
        <v>53</v>
      </c>
      <c r="H152" s="134"/>
      <c r="T152"/>
    </row>
    <row r="153" spans="1:22" s="32" customFormat="1" x14ac:dyDescent="0.25">
      <c r="A153" s="141" t="s">
        <v>378</v>
      </c>
      <c r="B153" s="141"/>
      <c r="C153" s="261">
        <f>COUNT(D179:D180)+COUNT(D184:D185)+COUNT(D189:D190)+COUNT(D194:D195)+COUNT(D199:D202)*39+COUNT(D204:D207)*12</f>
        <v>212</v>
      </c>
      <c r="D153" s="261"/>
      <c r="E153" s="261">
        <f>SUM(F179:F180)+SUM(F184:F185)+SUM(F189:F190)+SUM(F194:F195)+SUM(F199:F202)*39+SUM(F204:F207)*12</f>
        <v>359213.19407999999</v>
      </c>
      <c r="F153" s="261"/>
      <c r="G153" s="261">
        <f>SUM(H179:H180)+SUM(H184:H185)+SUM(H189:H190)+SUM(H194:H195)+SUM(H199:H202)*39+SUM(H204:H207)*12</f>
        <v>538937.08508250001</v>
      </c>
      <c r="H153" s="261"/>
      <c r="T153"/>
    </row>
    <row r="154" spans="1:22" s="32" customFormat="1" x14ac:dyDescent="0.25">
      <c r="A154" s="141" t="s">
        <v>391</v>
      </c>
      <c r="B154" s="141"/>
      <c r="C154" s="261">
        <f>COUNT(D213:D214)+COUNT(D220:D221)+COUNT(D227:D229)+COUNT(D234:D236,D239)+COUNT(D241:D246)*11+COUNT(D249:D253)*4+COUNT(D255:D260)*9+COUNT(D263:D267)*3+COUNT(D269:D274)*16+COUNT(D277:D281)*4</f>
        <v>282</v>
      </c>
      <c r="D154" s="261"/>
      <c r="E154" s="261">
        <f>SUM(F213:F214)+SUM(F220:F221)+SUM(F227:F229)+SUM(F234:F236,F239)+SUM(F241:F246)*11+SUM(F249:F253)*4+SUM(F255:F260)*9+SUM(F263:F267)*3+SUM(F269:F274)*16+SUM(F277:F281)*4</f>
        <v>322795.58968799998</v>
      </c>
      <c r="F154" s="261"/>
      <c r="G154" s="261">
        <f>SUM(H213:H214)+SUM(H220:H221)+SUM(H227:H229)+SUM(H234:H236,H239)+SUM(H241:H246)*11+SUM(H249:H253)*4+SUM(H255:H260)*9+SUM(H263:H267)*3+SUM(H269:H274)*16+SUM(H277:H281)*4</f>
        <v>484373.68153199996</v>
      </c>
      <c r="H154" s="261"/>
      <c r="T154"/>
    </row>
    <row r="155" spans="1:22" s="32" customFormat="1" x14ac:dyDescent="0.25">
      <c r="A155" s="141" t="s">
        <v>399</v>
      </c>
      <c r="B155" s="141"/>
      <c r="C155" s="261">
        <f>COUNT(D288:D289)+COUNT(D295:D296)+COUNT(D302:D304)+COUNT(D309:D311,D314)+COUNT(D316:D321)*11+COUNT(D324:D328)*4+COUNT(D330:D335)*9+COUNT(D338:D342)*3+COUNT(D344:D349)*16+COUNT(D352:D356)*4</f>
        <v>282</v>
      </c>
      <c r="D155" s="261"/>
      <c r="E155" s="261">
        <f t="shared" ref="E155" si="0">SUM(F288:F289)+SUM(F295:F296)+SUM(F302:F304)+SUM(F309:F311,F314)+SUM(F316:F321)*11+SUM(F324:F328)*4+SUM(F330:F335)*9+SUM(F338:F342)*3+SUM(F344:F349)*16+SUM(F352:F356)*4</f>
        <v>322795.50357599999</v>
      </c>
      <c r="F155" s="261"/>
      <c r="G155" s="261">
        <f t="shared" ref="G155" si="1">SUM(H288:H289)+SUM(H295:H296)+SUM(H302:H304)+SUM(H309:H311,H314)+SUM(H316:H321)*11+SUM(H324:H328)*4+SUM(H330:H335)*9+SUM(H338:H342)*3+SUM(H344:H349)*16+SUM(H352:H356)*4</f>
        <v>484373.55236399994</v>
      </c>
      <c r="H155" s="261"/>
      <c r="T155"/>
    </row>
    <row r="156" spans="1:22" s="32" customFormat="1" x14ac:dyDescent="0.25">
      <c r="A156" s="141" t="s">
        <v>400</v>
      </c>
      <c r="B156" s="141"/>
      <c r="C156" s="261">
        <f>COUNT(D362:D364,D369)+COUNT(D371:D373,D378)+COUNT(D380:D383,D386:D387)+COUNT(D389:D392,D395:D396)+COUNT(D398:D405)*35+COUNT(D408:D414)*2+COUNT(D417:D423)*6</f>
        <v>356</v>
      </c>
      <c r="D156" s="261"/>
      <c r="E156" s="261">
        <f>SUM(F362:F364,F369)+SUM(F371:F373,F378)+SUM(F380:F383,F386:F387)+SUM(F389:F392,F395:F396)+SUM(F398:F405)*35+SUM(F408:F414)*2+SUM(F417:F423)*6</f>
        <v>232483.88592000003</v>
      </c>
      <c r="F156" s="261"/>
      <c r="G156" s="261">
        <f>SUM(H362:H364,H369)+SUM(H371:H373,H378)+SUM(H380:H383,H386:H387)+SUM(H389:H392,H395:H396)+SUM(H398:H405)*35+SUM(H408:H414)*2+SUM(H417:H423)*6</f>
        <v>348873.83387999999</v>
      </c>
      <c r="H156" s="261"/>
      <c r="T156"/>
    </row>
    <row r="157" spans="1:22" s="32" customFormat="1" x14ac:dyDescent="0.25">
      <c r="A157" s="141" t="s">
        <v>401</v>
      </c>
      <c r="B157" s="141"/>
      <c r="C157" s="261">
        <f>COUNT(D429:D431,D436)+COUNT(D438:D440,D445)+COUNT(D447:D450,D453:D454)+COUNT(D456:D459,D462:D463)+COUNT(D465:D472)*35+COUNT(D475:D481)*8</f>
        <v>356</v>
      </c>
      <c r="D157" s="261"/>
      <c r="E157" s="261">
        <f>SUM(F429:F431,F436)+SUM(F438:F440,F445)+SUM(F447:F450,F453:F454)+SUM(F456:F459,F462:F463)+SUM(F465:F472)*35+SUM(F475:F481)*8</f>
        <v>232943.72400000002</v>
      </c>
      <c r="F157" s="261"/>
      <c r="G157" s="261">
        <f>SUM(H429:H431,H436)+SUM(H438:H440,H445)+SUM(H447:H450,H453:H454)+SUM(H456:H459,H462:H463)+SUM(H465:H472)*35+SUM(H475:H481)*8</f>
        <v>349563.59100000001</v>
      </c>
      <c r="H157" s="261"/>
      <c r="T157"/>
    </row>
    <row r="158" spans="1:22" s="32" customFormat="1" x14ac:dyDescent="0.25">
      <c r="A158" s="141" t="s">
        <v>402</v>
      </c>
      <c r="B158" s="141"/>
      <c r="C158" s="261">
        <f>COUNT(D488:D490,D495)+COUNT(D497:D499,D504)+COUNT(D506:D509,D512:D513)+COUNT(D515:D518,D521:D522)+COUNT(D524:D531)*35+COUNT(D534:D540)*8</f>
        <v>356</v>
      </c>
      <c r="D158" s="261"/>
      <c r="E158" s="261">
        <f t="shared" ref="E158" si="2">SUM(F488:F490,F495)+SUM(F497:F499,F504)+SUM(F506:F509,F512:F513)+SUM(F515:F518,F521:F522)+SUM(F524:F531)*35+SUM(F534:F540)*8</f>
        <v>249840.42688799999</v>
      </c>
      <c r="F158" s="261"/>
      <c r="G158" s="261">
        <f t="shared" ref="G158" si="3">SUM(H488:H490,H495)+SUM(H497:H499,H504)+SUM(H506:H509,H512:H513)+SUM(H515:H518,H521:H522)+SUM(H524:H531)*35+SUM(H534:H540)*8</f>
        <v>374924.79133199999</v>
      </c>
      <c r="H158" s="261"/>
      <c r="T158"/>
    </row>
    <row r="159" spans="1:22" s="32" customFormat="1" ht="16.5" thickBot="1" x14ac:dyDescent="0.3">
      <c r="A159" s="260" t="s">
        <v>151</v>
      </c>
      <c r="B159" s="260"/>
      <c r="C159" s="159">
        <f>SUM(C153:C158)</f>
        <v>1844</v>
      </c>
      <c r="D159" s="160"/>
      <c r="E159" s="159">
        <f>SUM(E153:E158)</f>
        <v>1720072.324152</v>
      </c>
      <c r="F159" s="160"/>
      <c r="G159" s="159">
        <f>SUM(G153:G158)</f>
        <v>2581046.5351904999</v>
      </c>
      <c r="H159" s="160"/>
      <c r="T159"/>
    </row>
    <row r="160" spans="1:22" s="32" customFormat="1" ht="16.5" thickBot="1" x14ac:dyDescent="0.3">
      <c r="A160" s="178" t="s">
        <v>168</v>
      </c>
      <c r="B160" s="179"/>
      <c r="C160" s="180">
        <f>C150+C159</f>
        <v>1844</v>
      </c>
      <c r="D160" s="180"/>
      <c r="E160" s="181">
        <f>E150+E159</f>
        <v>1720072.324152</v>
      </c>
      <c r="F160" s="181"/>
      <c r="G160" s="252">
        <f>G150+G159</f>
        <v>2581046.5351904999</v>
      </c>
      <c r="H160" s="253"/>
      <c r="T160"/>
    </row>
    <row r="161" spans="1:20" s="31" customFormat="1" x14ac:dyDescent="0.25">
      <c r="A161" s="164" t="s">
        <v>54</v>
      </c>
      <c r="B161" s="164"/>
      <c r="C161" s="164"/>
      <c r="D161" s="164"/>
      <c r="E161" s="164"/>
      <c r="F161" s="164"/>
      <c r="G161" s="164"/>
      <c r="H161" s="164"/>
      <c r="T161" s="32"/>
    </row>
    <row r="162" spans="1:20" x14ac:dyDescent="0.25">
      <c r="A162" s="137" t="s">
        <v>446</v>
      </c>
      <c r="B162" s="137"/>
      <c r="C162" s="137"/>
      <c r="D162" s="137"/>
      <c r="E162" s="137"/>
      <c r="F162" s="137"/>
      <c r="G162" s="137"/>
      <c r="H162" s="137"/>
      <c r="T162" s="32"/>
    </row>
    <row r="163" spans="1:20" ht="47.25" hidden="1" customHeight="1" x14ac:dyDescent="0.25">
      <c r="A163" s="167" t="s">
        <v>118</v>
      </c>
      <c r="B163" s="167" t="s">
        <v>178</v>
      </c>
      <c r="C163" s="167" t="s">
        <v>55</v>
      </c>
      <c r="D163" s="270" t="s">
        <v>234</v>
      </c>
      <c r="E163" s="250" t="s">
        <v>157</v>
      </c>
      <c r="F163" s="167" t="s">
        <v>56</v>
      </c>
      <c r="G163" s="250" t="s">
        <v>57</v>
      </c>
      <c r="H163" s="58" t="s">
        <v>149</v>
      </c>
      <c r="T163" s="32"/>
    </row>
    <row r="164" spans="1:20" s="34" customFormat="1" hidden="1" x14ac:dyDescent="0.25">
      <c r="A164" s="168"/>
      <c r="B164" s="168"/>
      <c r="C164" s="168"/>
      <c r="D164" s="271"/>
      <c r="E164" s="251"/>
      <c r="F164" s="168"/>
      <c r="G164" s="251"/>
      <c r="H164" s="49">
        <v>0.45</v>
      </c>
      <c r="T164" s="32"/>
    </row>
    <row r="165" spans="1:20" s="34" customFormat="1" hidden="1" x14ac:dyDescent="0.25">
      <c r="A165" s="107" t="s">
        <v>116</v>
      </c>
      <c r="B165" s="108"/>
      <c r="C165" s="108"/>
      <c r="D165" s="108"/>
      <c r="E165" s="108"/>
      <c r="F165" s="108"/>
      <c r="G165" s="108"/>
      <c r="H165" s="109"/>
      <c r="J165" s="33"/>
      <c r="T165" s="32"/>
    </row>
    <row r="166" spans="1:20" s="34" customFormat="1" ht="15.75" hidden="1" customHeight="1" x14ac:dyDescent="0.25">
      <c r="A166" s="110">
        <v>1</v>
      </c>
      <c r="B166" s="111"/>
      <c r="C166" s="39"/>
      <c r="D166" s="39">
        <v>0</v>
      </c>
      <c r="E166" s="39">
        <v>0</v>
      </c>
      <c r="F166" s="39">
        <f>D166+(IF(E166&lt;201,E166,IF(E166&lt;301,E166/2,E166/3)))</f>
        <v>0</v>
      </c>
      <c r="G166" s="39">
        <v>0</v>
      </c>
      <c r="H166" s="39">
        <f>(F166+(IF(G166&lt;101,G166,IF(G166&lt;201,G166/2,IF(G166&lt;=301,G166/3,G166/4)))))*(($H$164)+1)</f>
        <v>0</v>
      </c>
      <c r="I166" s="33"/>
      <c r="L166" s="112"/>
      <c r="M166" s="112"/>
      <c r="N166" s="33"/>
      <c r="T166" s="32"/>
    </row>
    <row r="167" spans="1:20" s="34" customFormat="1" ht="15.75" hidden="1" customHeight="1" x14ac:dyDescent="0.25">
      <c r="A167" s="110">
        <f>A166+1</f>
        <v>2</v>
      </c>
      <c r="B167" s="111"/>
      <c r="C167" s="39"/>
      <c r="D167" s="39"/>
      <c r="E167" s="39">
        <v>0</v>
      </c>
      <c r="F167" s="39">
        <f t="shared" ref="F167:F169" si="4">D167+(IF(E167&lt;201,E167,IF(E167&lt;301,E167/2,E167/3)))</f>
        <v>0</v>
      </c>
      <c r="G167" s="39">
        <v>0</v>
      </c>
      <c r="H167" s="39">
        <f t="shared" ref="H167:H169" si="5">(F167+(IF(G167&lt;101,G167,IF(G167&lt;201,G167/2,IF(G167&lt;=301,G167/3,G167/4)))))*(($H$164)+1)</f>
        <v>0</v>
      </c>
      <c r="I167" s="33"/>
      <c r="L167" s="112"/>
      <c r="M167" s="112"/>
      <c r="N167" s="33"/>
      <c r="T167" s="31"/>
    </row>
    <row r="168" spans="1:20" s="34" customFormat="1" ht="15.75" hidden="1" customHeight="1" x14ac:dyDescent="0.25">
      <c r="A168" s="110">
        <f>A167+1</f>
        <v>3</v>
      </c>
      <c r="B168" s="111"/>
      <c r="C168" s="39"/>
      <c r="D168" s="39"/>
      <c r="E168" s="39">
        <v>0</v>
      </c>
      <c r="F168" s="39">
        <f t="shared" si="4"/>
        <v>0</v>
      </c>
      <c r="G168" s="39">
        <v>0</v>
      </c>
      <c r="H168" s="39">
        <f t="shared" si="5"/>
        <v>0</v>
      </c>
      <c r="I168" s="33"/>
      <c r="L168" s="112"/>
      <c r="M168" s="112"/>
      <c r="N168" s="33"/>
      <c r="T168" s="18"/>
    </row>
    <row r="169" spans="1:20" s="34" customFormat="1" ht="15.75" hidden="1" customHeight="1" x14ac:dyDescent="0.25">
      <c r="A169" s="110">
        <f>A168+1</f>
        <v>4</v>
      </c>
      <c r="B169" s="111"/>
      <c r="C169" s="39"/>
      <c r="D169" s="39"/>
      <c r="E169" s="39">
        <v>0</v>
      </c>
      <c r="F169" s="39">
        <f t="shared" si="4"/>
        <v>0</v>
      </c>
      <c r="G169" s="39">
        <v>0</v>
      </c>
      <c r="H169" s="39">
        <f t="shared" si="5"/>
        <v>0</v>
      </c>
      <c r="I169" s="33"/>
      <c r="L169" s="112"/>
      <c r="M169" s="112"/>
      <c r="N169" s="33"/>
      <c r="T169" s="18"/>
    </row>
    <row r="170" spans="1:20" s="34" customFormat="1" hidden="1" x14ac:dyDescent="0.25">
      <c r="A170" s="110"/>
      <c r="B170" s="120"/>
      <c r="C170" s="120"/>
      <c r="D170" s="120"/>
      <c r="E170" s="120"/>
      <c r="F170" s="120"/>
      <c r="G170" s="120"/>
      <c r="H170" s="111"/>
      <c r="I170" s="33"/>
      <c r="N170" s="33"/>
    </row>
    <row r="171" spans="1:20" ht="47.25" customHeight="1" x14ac:dyDescent="0.25">
      <c r="A171" s="165" t="s">
        <v>119</v>
      </c>
      <c r="B171" s="167" t="s">
        <v>179</v>
      </c>
      <c r="C171" s="167" t="s">
        <v>55</v>
      </c>
      <c r="D171" s="183" t="s">
        <v>234</v>
      </c>
      <c r="E171" s="167" t="s">
        <v>398</v>
      </c>
      <c r="F171" s="167" t="s">
        <v>56</v>
      </c>
      <c r="G171" s="250" t="s">
        <v>466</v>
      </c>
      <c r="H171" s="57" t="s">
        <v>149</v>
      </c>
      <c r="I171" s="33"/>
      <c r="K171" s="39">
        <v>10.763999999999999</v>
      </c>
      <c r="T171" s="34"/>
    </row>
    <row r="172" spans="1:20" s="34" customFormat="1" x14ac:dyDescent="0.25">
      <c r="A172" s="166"/>
      <c r="B172" s="168"/>
      <c r="C172" s="168"/>
      <c r="D172" s="184"/>
      <c r="E172" s="168"/>
      <c r="F172" s="168"/>
      <c r="G172" s="251"/>
      <c r="H172" s="83">
        <v>0.5</v>
      </c>
      <c r="I172" s="33"/>
    </row>
    <row r="173" spans="1:20" s="34" customFormat="1" x14ac:dyDescent="0.25">
      <c r="A173" s="107" t="s">
        <v>456</v>
      </c>
      <c r="B173" s="108"/>
      <c r="C173" s="108"/>
      <c r="D173" s="108"/>
      <c r="E173" s="108"/>
      <c r="F173" s="108"/>
      <c r="G173" s="108"/>
      <c r="H173" s="109"/>
      <c r="J173" s="33"/>
    </row>
    <row r="174" spans="1:20" s="34" customFormat="1" x14ac:dyDescent="0.25">
      <c r="A174" s="107" t="s">
        <v>378</v>
      </c>
      <c r="B174" s="108"/>
      <c r="C174" s="108"/>
      <c r="D174" s="108"/>
      <c r="E174" s="108"/>
      <c r="F174" s="108"/>
      <c r="G174" s="108"/>
      <c r="H174" s="109"/>
      <c r="J174" s="33"/>
    </row>
    <row r="175" spans="1:20" s="34" customFormat="1" x14ac:dyDescent="0.25">
      <c r="A175" s="107" t="s">
        <v>379</v>
      </c>
      <c r="B175" s="108"/>
      <c r="C175" s="108"/>
      <c r="D175" s="108"/>
      <c r="E175" s="108"/>
      <c r="F175" s="108"/>
      <c r="G175" s="108"/>
      <c r="H175" s="109"/>
      <c r="J175" s="33"/>
    </row>
    <row r="176" spans="1:20" s="34" customFormat="1" ht="30.75" customHeight="1" x14ac:dyDescent="0.25">
      <c r="A176" s="107" t="s">
        <v>380</v>
      </c>
      <c r="B176" s="108"/>
      <c r="C176" s="108"/>
      <c r="D176" s="108"/>
      <c r="E176" s="108"/>
      <c r="F176" s="108"/>
      <c r="G176" s="108"/>
      <c r="H176" s="109"/>
      <c r="J176" s="33"/>
    </row>
    <row r="177" spans="1:20" s="34" customFormat="1" x14ac:dyDescent="0.25">
      <c r="A177" s="107" t="s">
        <v>381</v>
      </c>
      <c r="B177" s="108"/>
      <c r="C177" s="108"/>
      <c r="D177" s="108"/>
      <c r="E177" s="108"/>
      <c r="F177" s="108"/>
      <c r="G177" s="108"/>
      <c r="H177" s="109"/>
      <c r="J177" s="33"/>
    </row>
    <row r="178" spans="1:20" s="34" customFormat="1" x14ac:dyDescent="0.25">
      <c r="A178" s="107" t="s">
        <v>382</v>
      </c>
      <c r="B178" s="108"/>
      <c r="C178" s="108"/>
      <c r="D178" s="108"/>
      <c r="E178" s="108"/>
      <c r="F178" s="108"/>
      <c r="G178" s="108"/>
      <c r="H178" s="109"/>
      <c r="I178" s="74">
        <v>1</v>
      </c>
      <c r="J178" s="33"/>
    </row>
    <row r="179" spans="1:20" s="34" customFormat="1" ht="15.75" customHeight="1" x14ac:dyDescent="0.25">
      <c r="A179" s="110">
        <v>1</v>
      </c>
      <c r="B179" s="111"/>
      <c r="C179" s="39" t="s">
        <v>383</v>
      </c>
      <c r="D179" s="39">
        <f>(154.44)*10.764</f>
        <v>1662.3921599999999</v>
      </c>
      <c r="E179" s="39">
        <f>(9.19)*10.764</f>
        <v>98.921159999999986</v>
      </c>
      <c r="F179" s="39">
        <f>D179+E179</f>
        <v>1761.3133199999997</v>
      </c>
      <c r="G179" s="39">
        <f>(7.925*5.5)*10.764</f>
        <v>469.17584999999997</v>
      </c>
      <c r="H179" s="39">
        <f>F179*(($H$172)+1)+(IF(G179&lt;101,G179,IF(G179&lt;201,G179/2,IF(G179&lt;=301,G179/3,G179/4))))</f>
        <v>2759.2639424999998</v>
      </c>
      <c r="I179" s="33">
        <f>7.925*4.575+2.75+2.6+3.85*4.875+4.152*3.35+3.35*3.85+3.35*4.275+1.625*(1.625+1.85+1.525)+1.45*1.8+1.375*1.63+1.35*1.55+0.8*(1.36+1.435+1.435)+1.735*0.9+(3.65+2.91)*1.075+1.535*1.425+0.95*2.515+2.625*1.72+1.2*0.9+2.95*1.05+2.925*1.075</f>
        <v>144.98332499999998</v>
      </c>
      <c r="J179" s="73">
        <f>5.025*1.825</f>
        <v>9.1706250000000011</v>
      </c>
      <c r="L179" s="112"/>
      <c r="M179" s="112"/>
      <c r="N179" s="33"/>
    </row>
    <row r="180" spans="1:20" s="34" customFormat="1" ht="15.75" customHeight="1" x14ac:dyDescent="0.25">
      <c r="A180" s="110">
        <f>A179+1</f>
        <v>2</v>
      </c>
      <c r="B180" s="111"/>
      <c r="C180" s="39" t="s">
        <v>383</v>
      </c>
      <c r="D180" s="39">
        <f>(154.44)*10.764</f>
        <v>1662.3921599999999</v>
      </c>
      <c r="E180" s="39">
        <f>(9.19)*10.764</f>
        <v>98.921159999999986</v>
      </c>
      <c r="F180" s="39">
        <f>D180+E180</f>
        <v>1761.3133199999997</v>
      </c>
      <c r="G180" s="39">
        <v>0</v>
      </c>
      <c r="H180" s="39">
        <f>F180*(($H$172)+1)+(IF(G180&lt;101,G180,IF(G180&lt;201,G180/2,IF(G180&lt;=301,G180/3,G180/4))))</f>
        <v>2641.9699799999999</v>
      </c>
      <c r="I180" s="33">
        <f>7.925*4.575+2.75*2.6+3.65*4.875+4.125*3.35+3.35*3.65+3.35*4.275+1.35*1.55+1.825*1.85+1.45*1.8+1.525*(1.625+1.825)+1.375*1.63+1.535*1.426+(2.91+3.75)*1.075+0.95*2.515+1.735*0.9+(1.435+1.36+1.435)+2.96*1.05+2.925*1.075+2.625*1.72+1.2*0.9</f>
        <v>146.52590999999995</v>
      </c>
      <c r="L180" s="112"/>
      <c r="M180" s="112"/>
      <c r="N180" s="33"/>
    </row>
    <row r="181" spans="1:20" s="34" customFormat="1" ht="15.75" customHeight="1" x14ac:dyDescent="0.25">
      <c r="A181" s="110">
        <f>A180+1</f>
        <v>3</v>
      </c>
      <c r="B181" s="111"/>
      <c r="C181" s="98" t="s">
        <v>385</v>
      </c>
      <c r="D181" s="99"/>
      <c r="E181" s="99"/>
      <c r="F181" s="99"/>
      <c r="G181" s="100"/>
      <c r="H181" s="39">
        <f>F181*(($H$172)+1)+(IF(G181&lt;101,G181,IF(G181&lt;201,G181/2,IF(G181&lt;=301,G181/3,G181/4))))</f>
        <v>0</v>
      </c>
      <c r="I181" s="33"/>
      <c r="L181" s="112"/>
      <c r="M181" s="112"/>
      <c r="N181" s="33"/>
    </row>
    <row r="182" spans="1:20" s="34" customFormat="1" ht="15.75" customHeight="1" x14ac:dyDescent="0.25">
      <c r="A182" s="110">
        <f>A181+1</f>
        <v>4</v>
      </c>
      <c r="B182" s="111"/>
      <c r="C182" s="101"/>
      <c r="D182" s="102"/>
      <c r="E182" s="102"/>
      <c r="F182" s="102"/>
      <c r="G182" s="103"/>
      <c r="H182" s="39">
        <f>F182*(($H$172)+1)+(IF(G182&lt;101,G182,IF(G182&lt;201,G182/2,IF(G182&lt;=301,G182/3,G182/4))))</f>
        <v>0</v>
      </c>
      <c r="I182" s="33"/>
      <c r="L182" s="112"/>
      <c r="M182" s="112"/>
      <c r="N182" s="33"/>
      <c r="T182" s="18"/>
    </row>
    <row r="183" spans="1:20" s="34" customFormat="1" x14ac:dyDescent="0.25">
      <c r="A183" s="107" t="s">
        <v>117</v>
      </c>
      <c r="B183" s="108"/>
      <c r="C183" s="108"/>
      <c r="D183" s="108"/>
      <c r="E183" s="108"/>
      <c r="F183" s="108"/>
      <c r="G183" s="108"/>
      <c r="H183" s="109"/>
      <c r="I183" s="74">
        <v>1</v>
      </c>
      <c r="J183" s="33"/>
    </row>
    <row r="184" spans="1:20" s="34" customFormat="1" ht="15.75" customHeight="1" x14ac:dyDescent="0.25">
      <c r="A184" s="110">
        <v>1</v>
      </c>
      <c r="B184" s="111"/>
      <c r="C184" s="39" t="s">
        <v>383</v>
      </c>
      <c r="D184" s="39">
        <f>(154.44)*10.764</f>
        <v>1662.3921599999999</v>
      </c>
      <c r="E184" s="39">
        <f>(9.19)*10.764</f>
        <v>98.921159999999986</v>
      </c>
      <c r="F184" s="39">
        <f>D184+E184</f>
        <v>1761.3133199999997</v>
      </c>
      <c r="G184" s="39">
        <v>0</v>
      </c>
      <c r="H184" s="39">
        <f>F184*(($H$172)+1)+(IF(G184&lt;101,G184,IF(G184&lt;201,G184/2,IF(G184&lt;=301,G184/3,G184/4))))</f>
        <v>2641.9699799999999</v>
      </c>
      <c r="I184" s="33"/>
      <c r="L184" s="112"/>
      <c r="M184" s="112"/>
      <c r="N184" s="33"/>
    </row>
    <row r="185" spans="1:20" s="34" customFormat="1" ht="15.75" customHeight="1" x14ac:dyDescent="0.25">
      <c r="A185" s="110">
        <f>A184+1</f>
        <v>2</v>
      </c>
      <c r="B185" s="111"/>
      <c r="C185" s="39" t="s">
        <v>383</v>
      </c>
      <c r="D185" s="39">
        <f>(154.44)*10.764</f>
        <v>1662.3921599999999</v>
      </c>
      <c r="E185" s="39">
        <f>(9.19)*10.764</f>
        <v>98.921159999999986</v>
      </c>
      <c r="F185" s="39">
        <f>D185+E185</f>
        <v>1761.3133199999997</v>
      </c>
      <c r="G185" s="39">
        <v>0</v>
      </c>
      <c r="H185" s="39">
        <f>F185*(($H$172)+1)+(IF(G185&lt;101,G185,IF(G185&lt;201,G185/2,IF(G185&lt;=301,G185/3,G185/4))))</f>
        <v>2641.9699799999999</v>
      </c>
      <c r="I185" s="33"/>
      <c r="L185" s="112"/>
      <c r="M185" s="112"/>
      <c r="N185" s="33"/>
    </row>
    <row r="186" spans="1:20" s="34" customFormat="1" ht="15.75" customHeight="1" x14ac:dyDescent="0.25">
      <c r="A186" s="110">
        <f>A185+1</f>
        <v>3</v>
      </c>
      <c r="B186" s="111"/>
      <c r="C186" s="98" t="s">
        <v>385</v>
      </c>
      <c r="D186" s="99"/>
      <c r="E186" s="99"/>
      <c r="F186" s="99"/>
      <c r="G186" s="100"/>
      <c r="H186" s="39" t="s">
        <v>384</v>
      </c>
      <c r="I186" s="33"/>
      <c r="L186" s="112"/>
      <c r="M186" s="112"/>
      <c r="N186" s="33"/>
    </row>
    <row r="187" spans="1:20" s="34" customFormat="1" ht="15.75" customHeight="1" x14ac:dyDescent="0.25">
      <c r="A187" s="110">
        <f>A186+1</f>
        <v>4</v>
      </c>
      <c r="B187" s="111"/>
      <c r="C187" s="101"/>
      <c r="D187" s="102"/>
      <c r="E187" s="102"/>
      <c r="F187" s="102"/>
      <c r="G187" s="103"/>
      <c r="H187" s="39">
        <f>F187*(($H$172)+1)+(IF(G187&lt;101,G187,IF(G187&lt;201,G187/2,IF(G187&lt;=301,G187/3,G187/4))))</f>
        <v>0</v>
      </c>
      <c r="I187" s="33"/>
      <c r="L187" s="112"/>
      <c r="M187" s="112"/>
      <c r="N187" s="33"/>
      <c r="T187" s="18"/>
    </row>
    <row r="188" spans="1:20" s="34" customFormat="1" x14ac:dyDescent="0.25">
      <c r="A188" s="107" t="s">
        <v>386</v>
      </c>
      <c r="B188" s="108"/>
      <c r="C188" s="108"/>
      <c r="D188" s="108"/>
      <c r="E188" s="108"/>
      <c r="F188" s="108"/>
      <c r="G188" s="108"/>
      <c r="H188" s="109"/>
      <c r="I188" s="74">
        <v>1</v>
      </c>
      <c r="J188" s="33"/>
    </row>
    <row r="189" spans="1:20" s="34" customFormat="1" ht="15.75" customHeight="1" x14ac:dyDescent="0.25">
      <c r="A189" s="110">
        <v>1</v>
      </c>
      <c r="B189" s="111"/>
      <c r="C189" s="39" t="s">
        <v>383</v>
      </c>
      <c r="D189" s="39">
        <f>(154.44)*10.764</f>
        <v>1662.3921599999999</v>
      </c>
      <c r="E189" s="39">
        <f>(9.19)*10.764</f>
        <v>98.921159999999986</v>
      </c>
      <c r="F189" s="39">
        <f>D189+E189</f>
        <v>1761.3133199999997</v>
      </c>
      <c r="G189" s="39">
        <v>0</v>
      </c>
      <c r="H189" s="39">
        <f>F189*(($H$172)+1)+(IF(G189&lt;101,G189,IF(G189&lt;201,G189/2,IF(G189&lt;=301,G189/3,G189/4))))</f>
        <v>2641.9699799999999</v>
      </c>
      <c r="I189" s="33"/>
      <c r="L189" s="112"/>
      <c r="M189" s="112"/>
      <c r="N189" s="33"/>
    </row>
    <row r="190" spans="1:20" s="34" customFormat="1" ht="15.75" customHeight="1" x14ac:dyDescent="0.25">
      <c r="A190" s="110">
        <f>A189+1</f>
        <v>2</v>
      </c>
      <c r="B190" s="111"/>
      <c r="C190" s="39" t="s">
        <v>383</v>
      </c>
      <c r="D190" s="39">
        <f>(154.44)*10.764</f>
        <v>1662.3921599999999</v>
      </c>
      <c r="E190" s="39">
        <f>(9.19)*10.764</f>
        <v>98.921159999999986</v>
      </c>
      <c r="F190" s="39">
        <f>D190+E190</f>
        <v>1761.3133199999997</v>
      </c>
      <c r="G190" s="39">
        <v>0</v>
      </c>
      <c r="H190" s="39">
        <f>F190*(($H$172)+1)+(IF(G190&lt;101,G190,IF(G190&lt;201,G190/2,IF(G190&lt;=301,G190/3,G190/4))))</f>
        <v>2641.9699799999999</v>
      </c>
      <c r="I190" s="33"/>
      <c r="L190" s="112"/>
      <c r="M190" s="112"/>
      <c r="N190" s="33"/>
    </row>
    <row r="191" spans="1:20" s="34" customFormat="1" ht="15.75" customHeight="1" x14ac:dyDescent="0.25">
      <c r="A191" s="110">
        <f>A190+1</f>
        <v>3</v>
      </c>
      <c r="B191" s="111"/>
      <c r="C191" s="110" t="s">
        <v>387</v>
      </c>
      <c r="D191" s="120"/>
      <c r="E191" s="120"/>
      <c r="F191" s="120"/>
      <c r="G191" s="111"/>
      <c r="H191" s="39">
        <f>F191*(($H$172)+1)+(IF(G191&lt;101,G191,IF(G191&lt;201,G191/2,IF(G191&lt;=301,G191/3,G191/4))))</f>
        <v>0</v>
      </c>
      <c r="I191" s="33"/>
      <c r="L191" s="112"/>
      <c r="M191" s="112"/>
      <c r="N191" s="33"/>
    </row>
    <row r="192" spans="1:20" s="34" customFormat="1" ht="15.75" customHeight="1" x14ac:dyDescent="0.25">
      <c r="A192" s="110">
        <f>A191+1</f>
        <v>4</v>
      </c>
      <c r="B192" s="111"/>
      <c r="C192" s="110" t="s">
        <v>388</v>
      </c>
      <c r="D192" s="120"/>
      <c r="E192" s="120"/>
      <c r="F192" s="120"/>
      <c r="G192" s="111"/>
      <c r="H192" s="39">
        <f>F192*(($H$172)+1)+(IF(G192&lt;101,G192,IF(G192&lt;201,G192/2,IF(G192&lt;=301,G192/3,G192/4))))</f>
        <v>0</v>
      </c>
      <c r="I192" s="33"/>
      <c r="L192" s="112"/>
      <c r="M192" s="112"/>
      <c r="N192" s="33"/>
      <c r="T192" s="18"/>
    </row>
    <row r="193" spans="1:20" s="34" customFormat="1" x14ac:dyDescent="0.25">
      <c r="A193" s="107" t="s">
        <v>389</v>
      </c>
      <c r="B193" s="108"/>
      <c r="C193" s="108"/>
      <c r="D193" s="108"/>
      <c r="E193" s="108"/>
      <c r="F193" s="108"/>
      <c r="G193" s="108"/>
      <c r="H193" s="109"/>
      <c r="I193" s="74">
        <v>1</v>
      </c>
      <c r="J193" s="33"/>
    </row>
    <row r="194" spans="1:20" s="34" customFormat="1" ht="15.75" customHeight="1" x14ac:dyDescent="0.25">
      <c r="A194" s="110">
        <v>1</v>
      </c>
      <c r="B194" s="111"/>
      <c r="C194" s="39" t="s">
        <v>383</v>
      </c>
      <c r="D194" s="39">
        <f>(154.44)*10.764</f>
        <v>1662.3921599999999</v>
      </c>
      <c r="E194" s="39">
        <f>(9.19)*10.764</f>
        <v>98.921159999999986</v>
      </c>
      <c r="F194" s="39">
        <f>D194+E194</f>
        <v>1761.3133199999997</v>
      </c>
      <c r="G194" s="39">
        <v>0</v>
      </c>
      <c r="H194" s="39">
        <f>F194*(($H$172)+1)+(IF(G194&lt;101,G194,IF(G194&lt;201,G194/2,IF(G194&lt;=301,G194/3,G194/4))))</f>
        <v>2641.9699799999999</v>
      </c>
      <c r="I194" s="33"/>
      <c r="L194" s="112"/>
      <c r="M194" s="112"/>
      <c r="N194" s="33"/>
    </row>
    <row r="195" spans="1:20" s="34" customFormat="1" ht="15.75" customHeight="1" x14ac:dyDescent="0.25">
      <c r="A195" s="110">
        <f>A194+1</f>
        <v>2</v>
      </c>
      <c r="B195" s="111"/>
      <c r="C195" s="39" t="s">
        <v>383</v>
      </c>
      <c r="D195" s="39">
        <f>(154.44)*10.764</f>
        <v>1662.3921599999999</v>
      </c>
      <c r="E195" s="39">
        <f>(9.19)*10.764</f>
        <v>98.921159999999986</v>
      </c>
      <c r="F195" s="39">
        <f>D195+E195</f>
        <v>1761.3133199999997</v>
      </c>
      <c r="G195" s="39">
        <v>0</v>
      </c>
      <c r="H195" s="39">
        <f>F195*(($H$172)+1)+(IF(G195&lt;101,G195,IF(G195&lt;201,G195/2,IF(G195&lt;=301,G195/3,G195/4))))</f>
        <v>2641.9699799999999</v>
      </c>
      <c r="I195" s="33"/>
      <c r="L195" s="112"/>
      <c r="M195" s="112"/>
      <c r="N195" s="33"/>
    </row>
    <row r="196" spans="1:20" s="34" customFormat="1" ht="15.75" customHeight="1" x14ac:dyDescent="0.25">
      <c r="A196" s="110">
        <f>A195+1</f>
        <v>3</v>
      </c>
      <c r="B196" s="111"/>
      <c r="C196" s="98" t="s">
        <v>390</v>
      </c>
      <c r="D196" s="99"/>
      <c r="E196" s="99"/>
      <c r="F196" s="99"/>
      <c r="G196" s="100"/>
      <c r="H196" s="39">
        <f>F196*(($H$172)+1)+(IF(G196&lt;101,G196,IF(G196&lt;201,G196/2,IF(G196&lt;=301,G196/3,G196/4))))</f>
        <v>0</v>
      </c>
      <c r="I196" s="33"/>
      <c r="L196" s="112"/>
      <c r="M196" s="112"/>
      <c r="N196" s="33"/>
    </row>
    <row r="197" spans="1:20" s="34" customFormat="1" ht="15.75" customHeight="1" x14ac:dyDescent="0.25">
      <c r="A197" s="110">
        <f>A196+1</f>
        <v>4</v>
      </c>
      <c r="B197" s="111"/>
      <c r="C197" s="101"/>
      <c r="D197" s="102"/>
      <c r="E197" s="102"/>
      <c r="F197" s="102"/>
      <c r="G197" s="103"/>
      <c r="H197" s="39">
        <f>F197*(($H$172)+1)+(IF(G197&lt;101,G197,IF(G197&lt;201,G197/2,IF(G197&lt;=301,G197/3,G197/4))))</f>
        <v>0</v>
      </c>
      <c r="I197" s="33"/>
      <c r="L197" s="112"/>
      <c r="M197" s="112"/>
      <c r="N197" s="33"/>
      <c r="T197" s="18"/>
    </row>
    <row r="198" spans="1:20" s="34" customFormat="1" ht="51" customHeight="1" x14ac:dyDescent="0.25">
      <c r="A198" s="107" t="s">
        <v>471</v>
      </c>
      <c r="B198" s="108"/>
      <c r="C198" s="108"/>
      <c r="D198" s="108"/>
      <c r="E198" s="108"/>
      <c r="F198" s="108"/>
      <c r="G198" s="108"/>
      <c r="H198" s="109"/>
      <c r="J198" s="33">
        <f>2+3*11+4</f>
        <v>39</v>
      </c>
    </row>
    <row r="199" spans="1:20" s="34" customFormat="1" ht="15.75" customHeight="1" x14ac:dyDescent="0.25">
      <c r="A199" s="110">
        <v>1</v>
      </c>
      <c r="B199" s="111"/>
      <c r="C199" s="39" t="s">
        <v>383</v>
      </c>
      <c r="D199" s="39">
        <f>(154.44)*10.764</f>
        <v>1662.3921599999999</v>
      </c>
      <c r="E199" s="39">
        <f>(9.19)*10.764</f>
        <v>98.921159999999986</v>
      </c>
      <c r="F199" s="39">
        <f>D199+E199</f>
        <v>1761.3133199999997</v>
      </c>
      <c r="G199" s="39">
        <v>0</v>
      </c>
      <c r="H199" s="39">
        <f>F199*(($H$172)+1)+(IF(G199&lt;101,G199,IF(G199&lt;201,G199/2,IF(G199&lt;=301,G199/3,G199/4))))</f>
        <v>2641.9699799999999</v>
      </c>
      <c r="I199" s="33"/>
      <c r="L199" s="112"/>
      <c r="M199" s="112"/>
      <c r="N199" s="33"/>
    </row>
    <row r="200" spans="1:20" s="34" customFormat="1" ht="15.75" customHeight="1" x14ac:dyDescent="0.25">
      <c r="A200" s="110">
        <f>A199+1</f>
        <v>2</v>
      </c>
      <c r="B200" s="111"/>
      <c r="C200" s="39" t="s">
        <v>383</v>
      </c>
      <c r="D200" s="39">
        <f>(154.44)*10.764</f>
        <v>1662.3921599999999</v>
      </c>
      <c r="E200" s="39">
        <f>(9.19)*10.764</f>
        <v>98.921159999999986</v>
      </c>
      <c r="F200" s="39">
        <f>D200+E200</f>
        <v>1761.3133199999997</v>
      </c>
      <c r="G200" s="39">
        <v>0</v>
      </c>
      <c r="H200" s="39">
        <f>F200*(($H$172)+1)+(IF(G200&lt;101,G200,IF(G200&lt;201,G200/2,IF(G200&lt;=301,G200/3,G200/4))))</f>
        <v>2641.9699799999999</v>
      </c>
      <c r="I200" s="33"/>
      <c r="J200" s="34">
        <f>52100000/F200</f>
        <v>29580.199847690932</v>
      </c>
      <c r="L200" s="112"/>
      <c r="M200" s="112"/>
      <c r="N200" s="33"/>
    </row>
    <row r="201" spans="1:20" s="34" customFormat="1" ht="15.75" customHeight="1" x14ac:dyDescent="0.25">
      <c r="A201" s="110">
        <f>A200+1</f>
        <v>3</v>
      </c>
      <c r="B201" s="111"/>
      <c r="C201" s="39" t="s">
        <v>383</v>
      </c>
      <c r="D201" s="39">
        <f>(142.62)*10.764</f>
        <v>1535.1616799999999</v>
      </c>
      <c r="E201" s="39">
        <f>(8.09)*10.764</f>
        <v>87.080759999999998</v>
      </c>
      <c r="F201" s="39">
        <f>D201+E201</f>
        <v>1622.24244</v>
      </c>
      <c r="G201" s="39">
        <v>0</v>
      </c>
      <c r="H201" s="39">
        <f>F201*(($H$172)+1)+(IF(G201&lt;101,G201,IF(G201&lt;201,G201/2,IF(G201&lt;=301,G201/3,G201/4))))</f>
        <v>2433.36366</v>
      </c>
      <c r="I201" s="33"/>
      <c r="J201" s="34">
        <f>49100000/F201</f>
        <v>30266.746072800313</v>
      </c>
      <c r="L201" s="112"/>
      <c r="M201" s="112"/>
      <c r="N201" s="33"/>
    </row>
    <row r="202" spans="1:20" s="34" customFormat="1" ht="15.75" customHeight="1" x14ac:dyDescent="0.25">
      <c r="A202" s="110">
        <f>A201+1</f>
        <v>4</v>
      </c>
      <c r="B202" s="111"/>
      <c r="C202" s="39" t="s">
        <v>383</v>
      </c>
      <c r="D202" s="39">
        <f>(142.62)*10.764</f>
        <v>1535.1616799999999</v>
      </c>
      <c r="E202" s="39">
        <f>(8.09)*10.764</f>
        <v>87.080759999999998</v>
      </c>
      <c r="F202" s="39">
        <f>D202+E202</f>
        <v>1622.24244</v>
      </c>
      <c r="G202" s="39">
        <v>0</v>
      </c>
      <c r="H202" s="39">
        <f>F202*(($H$172)+1)+(IF(G202&lt;101,G202,IF(G202&lt;201,G202/2,IF(G202&lt;=301,G202/3,G202/4))))</f>
        <v>2433.36366</v>
      </c>
      <c r="I202" s="33">
        <f>7.3*4.125+2.75*3.85+3.35*3.65+3.65*4.575+3.95*(3.35+3.35)+1.375*1.63+1.45*1.625+1.825*1.85+(1.525+1.525)*1.625+(1.36+1.435+1.435)*0.8+1.735*0.9+(3.5+2.41)*1.075+1.525*1.425+0.95*2.515+2.925*0.925+2.625*1.72+1.2*0.9</f>
        <v>133.18299999999999</v>
      </c>
      <c r="J202" s="73">
        <f>4.425*1.825</f>
        <v>8.0756249999999987</v>
      </c>
      <c r="L202" s="112"/>
      <c r="M202" s="112"/>
      <c r="N202" s="33"/>
      <c r="T202" s="18"/>
    </row>
    <row r="203" spans="1:20" s="34" customFormat="1" ht="34.5" customHeight="1" x14ac:dyDescent="0.25">
      <c r="A203" s="107" t="s">
        <v>472</v>
      </c>
      <c r="B203" s="108"/>
      <c r="C203" s="108"/>
      <c r="D203" s="108"/>
      <c r="E203" s="108"/>
      <c r="F203" s="108"/>
      <c r="G203" s="108"/>
      <c r="H203" s="109"/>
      <c r="J203" s="33">
        <f>12</f>
        <v>12</v>
      </c>
    </row>
    <row r="204" spans="1:20" s="34" customFormat="1" ht="15.75" customHeight="1" x14ac:dyDescent="0.25">
      <c r="A204" s="110">
        <v>1</v>
      </c>
      <c r="B204" s="111"/>
      <c r="C204" s="39" t="s">
        <v>383</v>
      </c>
      <c r="D204" s="39">
        <f>(154.44)*10.764</f>
        <v>1662.3921599999999</v>
      </c>
      <c r="E204" s="39">
        <f>(9.19)*10.764</f>
        <v>98.921159999999986</v>
      </c>
      <c r="F204" s="39">
        <f>D204+E204</f>
        <v>1761.3133199999997</v>
      </c>
      <c r="G204" s="39">
        <v>0</v>
      </c>
      <c r="H204" s="39">
        <f>F204*(($H$172)+1)+(IF(G204&lt;101,G204,IF(G204&lt;201,G204/2,IF(G204&lt;=301,G204/3,G204/4))))</f>
        <v>2641.9699799999999</v>
      </c>
      <c r="I204" s="33"/>
      <c r="L204" s="112"/>
      <c r="M204" s="112"/>
      <c r="N204" s="33"/>
    </row>
    <row r="205" spans="1:20" s="34" customFormat="1" ht="15.75" customHeight="1" x14ac:dyDescent="0.25">
      <c r="A205" s="110">
        <f>A204+1</f>
        <v>2</v>
      </c>
      <c r="B205" s="111"/>
      <c r="C205" s="39" t="s">
        <v>383</v>
      </c>
      <c r="D205" s="39">
        <f>(154.44)*10.764</f>
        <v>1662.3921599999999</v>
      </c>
      <c r="E205" s="39">
        <f>(9.19)*10.764</f>
        <v>98.921159999999986</v>
      </c>
      <c r="F205" s="39">
        <f>D205+E205</f>
        <v>1761.3133199999997</v>
      </c>
      <c r="G205" s="39">
        <v>0</v>
      </c>
      <c r="H205" s="39">
        <f>F205*(($H$172)+1)+(IF(G205&lt;101,G205,IF(G205&lt;201,G205/2,IF(G205&lt;=301,G205/3,G205/4))))</f>
        <v>2641.9699799999999</v>
      </c>
      <c r="I205" s="33"/>
      <c r="L205" s="112"/>
      <c r="M205" s="112"/>
      <c r="N205" s="33"/>
    </row>
    <row r="206" spans="1:20" s="34" customFormat="1" ht="15.75" customHeight="1" x14ac:dyDescent="0.25">
      <c r="A206" s="110">
        <f>A205+1</f>
        <v>3</v>
      </c>
      <c r="B206" s="111"/>
      <c r="C206" s="39" t="s">
        <v>383</v>
      </c>
      <c r="D206" s="39">
        <f>(142.62)*10.764</f>
        <v>1535.1616799999999</v>
      </c>
      <c r="E206" s="39">
        <f>(8.09)*10.764</f>
        <v>87.080759999999998</v>
      </c>
      <c r="F206" s="39">
        <f>D206+E206</f>
        <v>1622.24244</v>
      </c>
      <c r="G206" s="39">
        <v>0</v>
      </c>
      <c r="H206" s="39">
        <f>F206*(($H$172)+1)+(IF(G206&lt;101,G206,IF(G206&lt;201,G206/2,IF(G206&lt;=301,G206/3,G206/4))))</f>
        <v>2433.36366</v>
      </c>
      <c r="I206" s="33"/>
      <c r="L206" s="112"/>
      <c r="M206" s="112"/>
      <c r="N206" s="33"/>
    </row>
    <row r="207" spans="1:20" s="34" customFormat="1" ht="15.75" customHeight="1" x14ac:dyDescent="0.25">
      <c r="A207" s="110">
        <f>A206+1</f>
        <v>4</v>
      </c>
      <c r="B207" s="111"/>
      <c r="C207" s="39" t="s">
        <v>383</v>
      </c>
      <c r="D207" s="39">
        <f>(142.62)*10.764</f>
        <v>1535.1616799999999</v>
      </c>
      <c r="E207" s="39">
        <f>(8.09)*10.764</f>
        <v>87.080759999999998</v>
      </c>
      <c r="F207" s="39">
        <f>D207+E207</f>
        <v>1622.24244</v>
      </c>
      <c r="G207" s="39">
        <v>0</v>
      </c>
      <c r="H207" s="39">
        <f>F207*(($H$172)+1)+(IF(G207&lt;101,G207,IF(G207&lt;201,G207/2,IF(G207&lt;=301,G207/3,G207/4))))</f>
        <v>2433.36366</v>
      </c>
      <c r="I207" s="33"/>
      <c r="L207" s="112"/>
      <c r="M207" s="112"/>
      <c r="N207" s="33"/>
      <c r="T207" s="18"/>
    </row>
    <row r="208" spans="1:20" s="34" customFormat="1" x14ac:dyDescent="0.25">
      <c r="A208" s="107" t="s">
        <v>391</v>
      </c>
      <c r="B208" s="108"/>
      <c r="C208" s="108"/>
      <c r="D208" s="108"/>
      <c r="E208" s="108"/>
      <c r="F208" s="108"/>
      <c r="G208" s="108"/>
      <c r="H208" s="109"/>
      <c r="J208" s="33"/>
    </row>
    <row r="209" spans="1:20" s="34" customFormat="1" x14ac:dyDescent="0.25">
      <c r="A209" s="107" t="s">
        <v>379</v>
      </c>
      <c r="B209" s="108"/>
      <c r="C209" s="108"/>
      <c r="D209" s="108"/>
      <c r="E209" s="108"/>
      <c r="F209" s="108"/>
      <c r="G209" s="108"/>
      <c r="H209" s="109"/>
      <c r="J209" s="33"/>
    </row>
    <row r="210" spans="1:20" s="34" customFormat="1" ht="30" customHeight="1" x14ac:dyDescent="0.25">
      <c r="A210" s="107" t="s">
        <v>392</v>
      </c>
      <c r="B210" s="108"/>
      <c r="C210" s="108"/>
      <c r="D210" s="108"/>
      <c r="E210" s="108"/>
      <c r="F210" s="108"/>
      <c r="G210" s="108"/>
      <c r="H210" s="109"/>
      <c r="J210" s="33"/>
      <c r="M210" s="34">
        <f>2*2+3*2+11*6+4*5+9*6+3*5+16*6+4*5</f>
        <v>281</v>
      </c>
    </row>
    <row r="211" spans="1:20" s="34" customFormat="1" x14ac:dyDescent="0.25">
      <c r="A211" s="107" t="s">
        <v>393</v>
      </c>
      <c r="B211" s="108"/>
      <c r="C211" s="108"/>
      <c r="D211" s="108"/>
      <c r="E211" s="108"/>
      <c r="F211" s="108"/>
      <c r="G211" s="108"/>
      <c r="H211" s="109"/>
      <c r="J211" s="33"/>
    </row>
    <row r="212" spans="1:20" s="34" customFormat="1" x14ac:dyDescent="0.25">
      <c r="A212" s="107" t="s">
        <v>382</v>
      </c>
      <c r="B212" s="108"/>
      <c r="C212" s="108"/>
      <c r="D212" s="108"/>
      <c r="E212" s="108"/>
      <c r="F212" s="108"/>
      <c r="G212" s="108"/>
      <c r="H212" s="109"/>
      <c r="I212" s="74">
        <f>1</f>
        <v>1</v>
      </c>
      <c r="J212" s="33"/>
    </row>
    <row r="213" spans="1:20" s="34" customFormat="1" ht="15.75" customHeight="1" x14ac:dyDescent="0.25">
      <c r="A213" s="110">
        <v>1</v>
      </c>
      <c r="B213" s="111"/>
      <c r="C213" s="39" t="s">
        <v>394</v>
      </c>
      <c r="D213" s="39">
        <f>(88.185)*10.764</f>
        <v>949.22334000000001</v>
      </c>
      <c r="E213" s="39">
        <f>(2.623)*10.764</f>
        <v>28.233972000000001</v>
      </c>
      <c r="F213" s="39">
        <f>D213+E213</f>
        <v>977.457312</v>
      </c>
      <c r="G213" s="39">
        <f>(3.35*5)*10.764</f>
        <v>180.297</v>
      </c>
      <c r="H213" s="39">
        <f>F213*(($H$172)+1)+(IF(G213&lt;101,G213,IF(G213&lt;201,G213/2,IF(G213&lt;=301,G213/3,G213/4))))</f>
        <v>1556.334468</v>
      </c>
      <c r="I213" s="33"/>
      <c r="L213" s="112"/>
      <c r="M213" s="112"/>
      <c r="N213" s="33"/>
    </row>
    <row r="214" spans="1:20" s="34" customFormat="1" ht="15.75" customHeight="1" x14ac:dyDescent="0.25">
      <c r="A214" s="110">
        <f>A213+1</f>
        <v>2</v>
      </c>
      <c r="B214" s="111"/>
      <c r="C214" s="39" t="s">
        <v>394</v>
      </c>
      <c r="D214" s="39">
        <f>(88.185)*10.764</f>
        <v>949.22334000000001</v>
      </c>
      <c r="E214" s="39">
        <f>(2.623)*10.764</f>
        <v>28.233972000000001</v>
      </c>
      <c r="F214" s="39">
        <f>D214+E214</f>
        <v>977.457312</v>
      </c>
      <c r="G214" s="39">
        <f>(3.35*5)*10.764</f>
        <v>180.297</v>
      </c>
      <c r="H214" s="39">
        <f>F214*(($H$172)+1)+(IF(G214&lt;101,G214,IF(G214&lt;201,G214/2,IF(G214&lt;=301,G214/3,G214/4))))</f>
        <v>1556.334468</v>
      </c>
      <c r="I214" s="33"/>
      <c r="L214" s="112"/>
      <c r="M214" s="112"/>
      <c r="N214" s="33"/>
    </row>
    <row r="215" spans="1:20" s="34" customFormat="1" ht="15.75" customHeight="1" x14ac:dyDescent="0.25">
      <c r="A215" s="110">
        <f>A214+1</f>
        <v>3</v>
      </c>
      <c r="B215" s="111"/>
      <c r="C215" s="110" t="s">
        <v>395</v>
      </c>
      <c r="D215" s="120"/>
      <c r="E215" s="120"/>
      <c r="F215" s="120"/>
      <c r="G215" s="111"/>
      <c r="H215" s="39" t="s">
        <v>384</v>
      </c>
      <c r="I215" s="33"/>
      <c r="L215" s="112"/>
      <c r="M215" s="112"/>
      <c r="N215" s="33"/>
    </row>
    <row r="216" spans="1:20" s="34" customFormat="1" ht="15.75" customHeight="1" x14ac:dyDescent="0.25">
      <c r="A216" s="110">
        <f t="shared" ref="A216:A218" si="6">A215+1</f>
        <v>4</v>
      </c>
      <c r="B216" s="111"/>
      <c r="C216" s="98" t="s">
        <v>385</v>
      </c>
      <c r="D216" s="99"/>
      <c r="E216" s="99"/>
      <c r="F216" s="99"/>
      <c r="G216" s="99"/>
      <c r="H216" s="114" t="s">
        <v>384</v>
      </c>
      <c r="I216" s="33"/>
      <c r="L216" s="112"/>
      <c r="M216" s="112"/>
      <c r="N216" s="33"/>
      <c r="T216" s="18"/>
    </row>
    <row r="217" spans="1:20" s="34" customFormat="1" ht="15.75" customHeight="1" x14ac:dyDescent="0.25">
      <c r="A217" s="110">
        <f t="shared" si="6"/>
        <v>5</v>
      </c>
      <c r="B217" s="111"/>
      <c r="C217" s="117"/>
      <c r="D217" s="118"/>
      <c r="E217" s="118"/>
      <c r="F217" s="118"/>
      <c r="G217" s="118"/>
      <c r="H217" s="116"/>
      <c r="I217" s="33"/>
      <c r="L217" s="112"/>
      <c r="M217" s="112"/>
      <c r="N217" s="33"/>
      <c r="T217" s="18"/>
    </row>
    <row r="218" spans="1:20" s="34" customFormat="1" ht="15.75" customHeight="1" x14ac:dyDescent="0.25">
      <c r="A218" s="110">
        <f t="shared" si="6"/>
        <v>6</v>
      </c>
      <c r="B218" s="111"/>
      <c r="C218" s="101"/>
      <c r="D218" s="102"/>
      <c r="E218" s="102"/>
      <c r="F218" s="102"/>
      <c r="G218" s="102"/>
      <c r="H218" s="115"/>
      <c r="I218" s="33"/>
      <c r="L218" s="112"/>
      <c r="M218" s="112"/>
      <c r="N218" s="33"/>
      <c r="T218" s="18"/>
    </row>
    <row r="219" spans="1:20" s="34" customFormat="1" x14ac:dyDescent="0.25">
      <c r="A219" s="107" t="s">
        <v>447</v>
      </c>
      <c r="B219" s="108"/>
      <c r="C219" s="108"/>
      <c r="D219" s="108"/>
      <c r="E219" s="108"/>
      <c r="F219" s="108"/>
      <c r="G219" s="108"/>
      <c r="H219" s="109"/>
      <c r="I219" s="74">
        <v>1</v>
      </c>
      <c r="J219" s="33"/>
    </row>
    <row r="220" spans="1:20" s="34" customFormat="1" ht="15.75" customHeight="1" x14ac:dyDescent="0.25">
      <c r="A220" s="110">
        <v>1</v>
      </c>
      <c r="B220" s="111"/>
      <c r="C220" s="39" t="s">
        <v>394</v>
      </c>
      <c r="D220" s="39">
        <f>(88.185)*10.764</f>
        <v>949.22334000000001</v>
      </c>
      <c r="E220" s="39">
        <f>(2.623)*10.764</f>
        <v>28.233972000000001</v>
      </c>
      <c r="F220" s="39">
        <f>D220+E220</f>
        <v>977.457312</v>
      </c>
      <c r="G220" s="39">
        <v>0</v>
      </c>
      <c r="H220" s="39">
        <f>F220*(($H$172)+1)+(IF(G220&lt;101,G220,IF(G220&lt;201,G220/2,IF(G220&lt;=301,G220/3,G220/4))))</f>
        <v>1466.185968</v>
      </c>
      <c r="I220" s="33"/>
      <c r="L220" s="112"/>
      <c r="M220" s="112"/>
      <c r="N220" s="33"/>
    </row>
    <row r="221" spans="1:20" s="34" customFormat="1" ht="15.75" customHeight="1" x14ac:dyDescent="0.25">
      <c r="A221" s="110">
        <f>A220+1</f>
        <v>2</v>
      </c>
      <c r="B221" s="111"/>
      <c r="C221" s="39" t="s">
        <v>394</v>
      </c>
      <c r="D221" s="39">
        <f>(88.185)*10.764</f>
        <v>949.22334000000001</v>
      </c>
      <c r="E221" s="39">
        <f>(2.623)*10.764</f>
        <v>28.233972000000001</v>
      </c>
      <c r="F221" s="39">
        <f>D221+E221</f>
        <v>977.457312</v>
      </c>
      <c r="G221" s="39">
        <v>0</v>
      </c>
      <c r="H221" s="39">
        <f>F221*(($H$172)+1)+(IF(G221&lt;101,G221,IF(G221&lt;201,G221/2,IF(G221&lt;=301,G221/3,G221/4))))</f>
        <v>1466.185968</v>
      </c>
      <c r="I221" s="33">
        <f>3.35*6.81+2.275*3.05+1.9*1.825+3.05*(3.05+4.275)+3.65*3+1.375*2.365+1.525*2.425+1.56*1.375+(3.05+1.765)*1.01+1.188*1.815+2.44*0.9+0.8*1.256+0.202*3.5</f>
        <v>86.533169999999998</v>
      </c>
      <c r="J221" s="73">
        <f>2.125*1.225</f>
        <v>2.6031250000000004</v>
      </c>
      <c r="L221" s="112"/>
      <c r="M221" s="112"/>
      <c r="N221" s="33"/>
    </row>
    <row r="222" spans="1:20" s="34" customFormat="1" ht="15.75" customHeight="1" x14ac:dyDescent="0.25">
      <c r="A222" s="110">
        <f t="shared" ref="A222:A225" si="7">A221+1</f>
        <v>3</v>
      </c>
      <c r="B222" s="111"/>
      <c r="C222" s="113" t="s">
        <v>451</v>
      </c>
      <c r="D222" s="113"/>
      <c r="E222" s="113"/>
      <c r="F222" s="113"/>
      <c r="G222" s="113"/>
      <c r="H222" s="114" t="s">
        <v>384</v>
      </c>
      <c r="I222" s="33"/>
      <c r="L222" s="112"/>
      <c r="M222" s="112"/>
      <c r="N222" s="33"/>
      <c r="T222" s="18"/>
    </row>
    <row r="223" spans="1:20" s="34" customFormat="1" ht="15.75" customHeight="1" x14ac:dyDescent="0.25">
      <c r="A223" s="110">
        <f t="shared" si="7"/>
        <v>4</v>
      </c>
      <c r="B223" s="111"/>
      <c r="C223" s="113"/>
      <c r="D223" s="113"/>
      <c r="E223" s="113"/>
      <c r="F223" s="113"/>
      <c r="G223" s="113"/>
      <c r="H223" s="116"/>
      <c r="I223" s="33"/>
      <c r="L223" s="112"/>
      <c r="M223" s="112"/>
      <c r="N223" s="33"/>
      <c r="T223" s="18"/>
    </row>
    <row r="224" spans="1:20" s="34" customFormat="1" ht="15.75" customHeight="1" x14ac:dyDescent="0.25">
      <c r="A224" s="110">
        <f t="shared" si="7"/>
        <v>5</v>
      </c>
      <c r="B224" s="111"/>
      <c r="C224" s="113"/>
      <c r="D224" s="113"/>
      <c r="E224" s="113"/>
      <c r="F224" s="113"/>
      <c r="G224" s="113"/>
      <c r="H224" s="116"/>
      <c r="I224" s="33"/>
      <c r="L224" s="112"/>
      <c r="M224" s="112"/>
      <c r="N224" s="33"/>
      <c r="T224" s="18"/>
    </row>
    <row r="225" spans="1:20" s="34" customFormat="1" ht="15.75" customHeight="1" x14ac:dyDescent="0.25">
      <c r="A225" s="110">
        <f t="shared" si="7"/>
        <v>6</v>
      </c>
      <c r="B225" s="111"/>
      <c r="C225" s="113"/>
      <c r="D225" s="113"/>
      <c r="E225" s="113"/>
      <c r="F225" s="113"/>
      <c r="G225" s="113"/>
      <c r="H225" s="115"/>
      <c r="I225" s="33"/>
      <c r="L225" s="112"/>
      <c r="M225" s="112"/>
      <c r="N225" s="33"/>
      <c r="T225" s="18"/>
    </row>
    <row r="226" spans="1:20" s="34" customFormat="1" x14ac:dyDescent="0.25">
      <c r="A226" s="107" t="s">
        <v>448</v>
      </c>
      <c r="B226" s="108"/>
      <c r="C226" s="108"/>
      <c r="D226" s="108"/>
      <c r="E226" s="108"/>
      <c r="F226" s="108"/>
      <c r="G226" s="108"/>
      <c r="H226" s="109"/>
      <c r="I226" s="74">
        <v>1</v>
      </c>
      <c r="J226" s="33"/>
    </row>
    <row r="227" spans="1:20" s="34" customFormat="1" ht="15.75" customHeight="1" x14ac:dyDescent="0.25">
      <c r="A227" s="110">
        <v>1</v>
      </c>
      <c r="B227" s="111"/>
      <c r="C227" s="39" t="s">
        <v>394</v>
      </c>
      <c r="D227" s="39">
        <f>(88.185)*10.764</f>
        <v>949.22334000000001</v>
      </c>
      <c r="E227" s="39">
        <f>(2.623)*10.764</f>
        <v>28.233972000000001</v>
      </c>
      <c r="F227" s="39">
        <f>D227+E227</f>
        <v>977.457312</v>
      </c>
      <c r="G227" s="39">
        <v>0</v>
      </c>
      <c r="H227" s="39">
        <f>F227*(($H$172)+1)+(IF(G227&lt;101,G227,IF(G227&lt;201,G227/2,IF(G227&lt;=301,G227/3,G227/4))))</f>
        <v>1466.185968</v>
      </c>
      <c r="I227" s="33"/>
      <c r="L227" s="112"/>
      <c r="M227" s="112"/>
      <c r="N227" s="33"/>
    </row>
    <row r="228" spans="1:20" s="34" customFormat="1" ht="15.75" customHeight="1" x14ac:dyDescent="0.25">
      <c r="A228" s="110">
        <f>A227+1</f>
        <v>2</v>
      </c>
      <c r="B228" s="111"/>
      <c r="C228" s="39" t="s">
        <v>394</v>
      </c>
      <c r="D228" s="39">
        <f>(88.185)*10.764</f>
        <v>949.22334000000001</v>
      </c>
      <c r="E228" s="39">
        <f>(2.623)*10.764</f>
        <v>28.233972000000001</v>
      </c>
      <c r="F228" s="39">
        <f>D228+E228</f>
        <v>977.457312</v>
      </c>
      <c r="G228" s="39">
        <v>0</v>
      </c>
      <c r="H228" s="39">
        <f>F228*(($H$172)+1)+(IF(G228&lt;101,G228,IF(G228&lt;201,G228/2,IF(G228&lt;=301,G228/3,G228/4))))</f>
        <v>1466.185968</v>
      </c>
      <c r="I228" s="33"/>
      <c r="L228" s="112"/>
      <c r="M228" s="112"/>
      <c r="N228" s="33"/>
    </row>
    <row r="229" spans="1:20" s="34" customFormat="1" ht="15.75" customHeight="1" x14ac:dyDescent="0.25">
      <c r="A229" s="110">
        <f>A228+1</f>
        <v>3</v>
      </c>
      <c r="B229" s="111"/>
      <c r="C229" s="39" t="s">
        <v>394</v>
      </c>
      <c r="D229" s="39">
        <f>(111.163)*10.764</f>
        <v>1196.5585319999998</v>
      </c>
      <c r="E229" s="39">
        <f>(7.341)*10.764</f>
        <v>79.018523999999999</v>
      </c>
      <c r="F229" s="39">
        <f>D229+E229</f>
        <v>1275.5770559999999</v>
      </c>
      <c r="G229" s="39">
        <v>0</v>
      </c>
      <c r="H229" s="39">
        <f>F229*(($H$172)+1)+(IF(G229&lt;101,G229,IF(G229&lt;201,G229/2,IF(G229&lt;=301,G229/3,G229/4))))</f>
        <v>1913.3655839999997</v>
      </c>
      <c r="I229" s="33">
        <f>3.65*8.275+2.75*3.2+0.875*1.335+1.465*1.135+3.35*(3.65+4.575+3.95)+1.525*(2.425+1.62+1.621)+1.615*1.525+5.05*1.2+1.775*1.16+(1.435+1.435)*0.8</f>
        <v>104.139425</v>
      </c>
      <c r="J229" s="73">
        <f>5.325*1.375</f>
        <v>7.3218750000000004</v>
      </c>
      <c r="L229" s="112"/>
      <c r="M229" s="112"/>
      <c r="N229" s="33"/>
    </row>
    <row r="230" spans="1:20" s="34" customFormat="1" ht="15.75" customHeight="1" x14ac:dyDescent="0.25">
      <c r="A230" s="110">
        <f t="shared" ref="A230:A232" si="8">A229+1</f>
        <v>4</v>
      </c>
      <c r="B230" s="111"/>
      <c r="C230" s="98" t="s">
        <v>449</v>
      </c>
      <c r="D230" s="99"/>
      <c r="E230" s="99"/>
      <c r="F230" s="99"/>
      <c r="G230" s="100"/>
      <c r="H230" s="114" t="s">
        <v>384</v>
      </c>
      <c r="I230" s="33"/>
      <c r="L230" s="112"/>
      <c r="M230" s="112"/>
      <c r="N230" s="33"/>
      <c r="T230" s="18"/>
    </row>
    <row r="231" spans="1:20" s="34" customFormat="1" ht="15.75" customHeight="1" x14ac:dyDescent="0.25">
      <c r="A231" s="110">
        <f t="shared" si="8"/>
        <v>5</v>
      </c>
      <c r="B231" s="111"/>
      <c r="C231" s="101"/>
      <c r="D231" s="102"/>
      <c r="E231" s="102"/>
      <c r="F231" s="102"/>
      <c r="G231" s="103"/>
      <c r="H231" s="115"/>
      <c r="I231" s="33"/>
      <c r="L231" s="112"/>
      <c r="M231" s="112"/>
      <c r="N231" s="33"/>
      <c r="T231" s="18"/>
    </row>
    <row r="232" spans="1:20" s="34" customFormat="1" ht="15.75" customHeight="1" x14ac:dyDescent="0.25">
      <c r="A232" s="110">
        <f t="shared" si="8"/>
        <v>6</v>
      </c>
      <c r="B232" s="111"/>
      <c r="C232" s="110" t="s">
        <v>385</v>
      </c>
      <c r="D232" s="120"/>
      <c r="E232" s="120"/>
      <c r="F232" s="120"/>
      <c r="G232" s="120"/>
      <c r="H232" s="39" t="s">
        <v>384</v>
      </c>
      <c r="I232" s="33"/>
      <c r="L232" s="112"/>
      <c r="M232" s="112"/>
      <c r="N232" s="33"/>
      <c r="T232" s="18"/>
    </row>
    <row r="233" spans="1:20" s="34" customFormat="1" x14ac:dyDescent="0.25">
      <c r="A233" s="107" t="s">
        <v>389</v>
      </c>
      <c r="B233" s="108"/>
      <c r="C233" s="108"/>
      <c r="D233" s="108"/>
      <c r="E233" s="108"/>
      <c r="F233" s="108"/>
      <c r="G233" s="108"/>
      <c r="H233" s="109"/>
      <c r="I233" s="74">
        <v>1</v>
      </c>
      <c r="J233" s="33"/>
    </row>
    <row r="234" spans="1:20" s="34" customFormat="1" ht="15.75" customHeight="1" x14ac:dyDescent="0.25">
      <c r="A234" s="110">
        <v>1</v>
      </c>
      <c r="B234" s="111"/>
      <c r="C234" s="39" t="s">
        <v>394</v>
      </c>
      <c r="D234" s="39">
        <f>(88.185)*10.764</f>
        <v>949.22334000000001</v>
      </c>
      <c r="E234" s="39">
        <f>(2.623)*10.764</f>
        <v>28.233972000000001</v>
      </c>
      <c r="F234" s="39">
        <f>D234+E234</f>
        <v>977.457312</v>
      </c>
      <c r="G234" s="39">
        <v>0</v>
      </c>
      <c r="H234" s="39">
        <f>F234*(($H$172)+1)+(IF(G234&lt;101,G234,IF(G234&lt;201,G234/2,IF(G234&lt;=301,G234/3,G234/4))))</f>
        <v>1466.185968</v>
      </c>
      <c r="I234" s="33"/>
      <c r="L234" s="112"/>
      <c r="M234" s="112"/>
      <c r="N234" s="33"/>
    </row>
    <row r="235" spans="1:20" s="34" customFormat="1" ht="15.75" customHeight="1" x14ac:dyDescent="0.25">
      <c r="A235" s="110">
        <f>A234+1</f>
        <v>2</v>
      </c>
      <c r="B235" s="111"/>
      <c r="C235" s="39" t="s">
        <v>394</v>
      </c>
      <c r="D235" s="39">
        <f>(88.185)*10.764</f>
        <v>949.22334000000001</v>
      </c>
      <c r="E235" s="39">
        <f>(2.623)*10.764</f>
        <v>28.233972000000001</v>
      </c>
      <c r="F235" s="39">
        <f>D235+E235</f>
        <v>977.457312</v>
      </c>
      <c r="G235" s="39">
        <v>0</v>
      </c>
      <c r="H235" s="39">
        <f>F235*(($H$172)+1)+(IF(G235&lt;101,G235,IF(G235&lt;201,G235/2,IF(G235&lt;=301,G235/3,G235/4))))</f>
        <v>1466.185968</v>
      </c>
      <c r="I235" s="33"/>
      <c r="L235" s="112"/>
      <c r="M235" s="112"/>
      <c r="N235" s="33"/>
    </row>
    <row r="236" spans="1:20" s="34" customFormat="1" ht="15.75" customHeight="1" x14ac:dyDescent="0.25">
      <c r="A236" s="110">
        <f>A235+1</f>
        <v>3</v>
      </c>
      <c r="B236" s="111"/>
      <c r="C236" s="39" t="s">
        <v>394</v>
      </c>
      <c r="D236" s="39">
        <f>(111.163)*10.764</f>
        <v>1196.5585319999998</v>
      </c>
      <c r="E236" s="39">
        <f>(7.341)*10.764</f>
        <v>79.018523999999999</v>
      </c>
      <c r="F236" s="39">
        <f>D236+E236</f>
        <v>1275.5770559999999</v>
      </c>
      <c r="G236" s="39">
        <v>0</v>
      </c>
      <c r="H236" s="39">
        <f>F236*(($H$172)+1)+(IF(G236&lt;101,G236,IF(G236&lt;201,G236/2,IF(G236&lt;=301,G236/3,G236/4))))</f>
        <v>1913.3655839999997</v>
      </c>
      <c r="I236" s="33"/>
      <c r="L236" s="112"/>
      <c r="M236" s="112"/>
      <c r="N236" s="33"/>
    </row>
    <row r="237" spans="1:20" s="34" customFormat="1" ht="15.75" customHeight="1" x14ac:dyDescent="0.25">
      <c r="A237" s="110">
        <f>A236+1</f>
        <v>4</v>
      </c>
      <c r="B237" s="111"/>
      <c r="C237" s="98" t="s">
        <v>450</v>
      </c>
      <c r="D237" s="99"/>
      <c r="E237" s="99"/>
      <c r="F237" s="99"/>
      <c r="G237" s="100"/>
      <c r="H237" s="114" t="s">
        <v>384</v>
      </c>
      <c r="I237" s="33"/>
      <c r="L237" s="112"/>
      <c r="M237" s="112"/>
      <c r="N237" s="33"/>
      <c r="T237" s="18"/>
    </row>
    <row r="238" spans="1:20" s="34" customFormat="1" ht="15.75" customHeight="1" x14ac:dyDescent="0.25">
      <c r="A238" s="110">
        <f t="shared" ref="A238:A239" si="9">A237+1</f>
        <v>5</v>
      </c>
      <c r="B238" s="111"/>
      <c r="C238" s="101"/>
      <c r="D238" s="102"/>
      <c r="E238" s="102"/>
      <c r="F238" s="102"/>
      <c r="G238" s="103"/>
      <c r="H238" s="115"/>
      <c r="I238" s="33"/>
      <c r="L238" s="112"/>
      <c r="M238" s="112"/>
      <c r="N238" s="33"/>
      <c r="T238" s="18"/>
    </row>
    <row r="239" spans="1:20" s="34" customFormat="1" ht="15.75" customHeight="1" x14ac:dyDescent="0.25">
      <c r="A239" s="110">
        <f t="shared" si="9"/>
        <v>6</v>
      </c>
      <c r="B239" s="111"/>
      <c r="C239" s="39" t="s">
        <v>394</v>
      </c>
      <c r="D239" s="39">
        <f>(111.163)*10.764</f>
        <v>1196.5585319999998</v>
      </c>
      <c r="E239" s="39">
        <f>(7.341)*10.764</f>
        <v>79.018523999999999</v>
      </c>
      <c r="F239" s="39">
        <f t="shared" ref="F239" si="10">D239+E239</f>
        <v>1275.5770559999999</v>
      </c>
      <c r="G239" s="39">
        <v>0</v>
      </c>
      <c r="H239" s="39">
        <f t="shared" ref="H239" si="11">F239*(($H$172)+1)+(IF(G239&lt;101,G239,IF(G239&lt;201,G239/2,IF(G239&lt;=301,G239/3,G239/4))))</f>
        <v>1913.3655839999997</v>
      </c>
      <c r="I239" s="33"/>
      <c r="L239" s="112"/>
      <c r="M239" s="112"/>
      <c r="N239" s="33"/>
      <c r="T239" s="18"/>
    </row>
    <row r="240" spans="1:20" s="34" customFormat="1" x14ac:dyDescent="0.25">
      <c r="A240" s="107" t="s">
        <v>397</v>
      </c>
      <c r="B240" s="108"/>
      <c r="C240" s="108"/>
      <c r="D240" s="108"/>
      <c r="E240" s="108"/>
      <c r="F240" s="108"/>
      <c r="G240" s="108"/>
      <c r="H240" s="109"/>
      <c r="I240" s="74">
        <f>1+4+3+3</f>
        <v>11</v>
      </c>
      <c r="J240" s="33"/>
    </row>
    <row r="241" spans="1:20" s="34" customFormat="1" ht="15.75" customHeight="1" x14ac:dyDescent="0.25">
      <c r="A241" s="110">
        <v>1</v>
      </c>
      <c r="B241" s="111"/>
      <c r="C241" s="39" t="s">
        <v>394</v>
      </c>
      <c r="D241" s="39">
        <f>(88.4)*10.764</f>
        <v>951.5376</v>
      </c>
      <c r="E241" s="39">
        <f>(2.623)*10.764</f>
        <v>28.233972000000001</v>
      </c>
      <c r="F241" s="39">
        <f t="shared" ref="F241:F246" si="12">D241+E241</f>
        <v>979.77157199999999</v>
      </c>
      <c r="G241" s="39">
        <v>0</v>
      </c>
      <c r="H241" s="39">
        <f t="shared" ref="H241:H246" si="13">F241*(($H$172)+1)+(IF(G241&lt;101,G241,IF(G241&lt;201,G241/2,IF(G241&lt;=301,G241/3,G241/4))))</f>
        <v>1469.6573579999999</v>
      </c>
      <c r="I241" s="33">
        <f>3.35*6.81+2.275*3.08+1.9*1.82+3.05*(3.05+4.275+3.65)+1.375*2.365+1.625*2.425+1.55*1.375+1.188*1.815+(3.25+1.765)*1.01+0.202*3.5+2.44*0.9+0.6*1.265</f>
        <v>86.959369999999979</v>
      </c>
      <c r="J241" s="73">
        <f>2.125*1.225</f>
        <v>2.6031250000000004</v>
      </c>
      <c r="L241" s="112"/>
      <c r="M241" s="112"/>
      <c r="N241" s="33"/>
    </row>
    <row r="242" spans="1:20" s="34" customFormat="1" ht="15.75" customHeight="1" x14ac:dyDescent="0.25">
      <c r="A242" s="110">
        <f>A241+1</f>
        <v>2</v>
      </c>
      <c r="B242" s="111"/>
      <c r="C242" s="39" t="s">
        <v>394</v>
      </c>
      <c r="D242" s="39">
        <f>(88.4)*10.764</f>
        <v>951.5376</v>
      </c>
      <c r="E242" s="39">
        <f>(2.623)*10.764</f>
        <v>28.233972000000001</v>
      </c>
      <c r="F242" s="39">
        <f t="shared" si="12"/>
        <v>979.77157199999999</v>
      </c>
      <c r="G242" s="39">
        <v>0</v>
      </c>
      <c r="H242" s="39">
        <f t="shared" si="13"/>
        <v>1469.6573579999999</v>
      </c>
      <c r="I242" s="33"/>
      <c r="L242" s="112"/>
      <c r="M242" s="112"/>
      <c r="N242" s="33"/>
    </row>
    <row r="243" spans="1:20" s="34" customFormat="1" ht="15.75" customHeight="1" x14ac:dyDescent="0.25">
      <c r="A243" s="110">
        <f>A242+1</f>
        <v>3</v>
      </c>
      <c r="B243" s="111"/>
      <c r="C243" s="39" t="s">
        <v>394</v>
      </c>
      <c r="D243" s="39">
        <f>(111.163)*10.764</f>
        <v>1196.5585319999998</v>
      </c>
      <c r="E243" s="39">
        <f>(7.341)*10.764</f>
        <v>79.018523999999999</v>
      </c>
      <c r="F243" s="39">
        <f t="shared" si="12"/>
        <v>1275.5770559999999</v>
      </c>
      <c r="G243" s="39">
        <v>0</v>
      </c>
      <c r="H243" s="39">
        <f t="shared" si="13"/>
        <v>1913.3655839999997</v>
      </c>
      <c r="I243" s="33"/>
      <c r="L243" s="112"/>
      <c r="M243" s="112"/>
      <c r="N243" s="33"/>
    </row>
    <row r="244" spans="1:20" s="34" customFormat="1" ht="15.75" customHeight="1" x14ac:dyDescent="0.25">
      <c r="A244" s="110">
        <f>A243+1</f>
        <v>4</v>
      </c>
      <c r="B244" s="111"/>
      <c r="C244" s="39" t="s">
        <v>394</v>
      </c>
      <c r="D244" s="39">
        <f>(94.515)*10.764</f>
        <v>1017.3594599999999</v>
      </c>
      <c r="E244" s="39">
        <f>(6.723)*10.764</f>
        <v>72.366371999999998</v>
      </c>
      <c r="F244" s="39">
        <f t="shared" si="12"/>
        <v>1089.7258319999999</v>
      </c>
      <c r="G244" s="39">
        <v>0</v>
      </c>
      <c r="H244" s="39">
        <f t="shared" si="13"/>
        <v>1634.5887479999997</v>
      </c>
      <c r="I244" s="33">
        <f>3.35*6.775+2.275*3.1+1.725*1.95+3.55*(3.05+3.95)+3.95*3.05+2.425*(1.525+1.525+1.84)+1.2*1.815+0.215*3.25+3.35*1+1.175*1.84</f>
        <v>90.257000000000005</v>
      </c>
      <c r="J244" s="73">
        <f>4.875*1.375</f>
        <v>6.703125</v>
      </c>
      <c r="L244" s="112"/>
      <c r="M244" s="112"/>
      <c r="N244" s="33"/>
      <c r="T244" s="18"/>
    </row>
    <row r="245" spans="1:20" s="34" customFormat="1" ht="15.75" customHeight="1" x14ac:dyDescent="0.25">
      <c r="A245" s="110">
        <f>A244+1</f>
        <v>5</v>
      </c>
      <c r="B245" s="111"/>
      <c r="C245" s="39" t="s">
        <v>394</v>
      </c>
      <c r="D245" s="39">
        <f>(94.515)*10.764</f>
        <v>1017.3594599999999</v>
      </c>
      <c r="E245" s="39">
        <f>(6.723)*10.764</f>
        <v>72.366371999999998</v>
      </c>
      <c r="F245" s="39">
        <f t="shared" si="12"/>
        <v>1089.7258319999999</v>
      </c>
      <c r="G245" s="39">
        <v>0</v>
      </c>
      <c r="H245" s="39">
        <f t="shared" si="13"/>
        <v>1634.5887479999997</v>
      </c>
      <c r="I245" s="33"/>
      <c r="L245" s="112"/>
      <c r="M245" s="112"/>
      <c r="N245" s="33"/>
    </row>
    <row r="246" spans="1:20" s="34" customFormat="1" ht="15.75" customHeight="1" x14ac:dyDescent="0.25">
      <c r="A246" s="110">
        <f>A245+1</f>
        <v>6</v>
      </c>
      <c r="B246" s="111"/>
      <c r="C246" s="39" t="s">
        <v>394</v>
      </c>
      <c r="D246" s="39">
        <f>(111.163)*10.764</f>
        <v>1196.5585319999998</v>
      </c>
      <c r="E246" s="39">
        <f>(7.341)*10.764</f>
        <v>79.018523999999999</v>
      </c>
      <c r="F246" s="39">
        <f t="shared" si="12"/>
        <v>1275.5770559999999</v>
      </c>
      <c r="G246" s="39">
        <v>0</v>
      </c>
      <c r="H246" s="39">
        <f t="shared" si="13"/>
        <v>1913.3655839999997</v>
      </c>
      <c r="I246" s="33"/>
      <c r="L246" s="112"/>
      <c r="M246" s="112"/>
      <c r="N246" s="33"/>
      <c r="T246" s="18"/>
    </row>
    <row r="247" spans="1:20" s="34" customFormat="1" x14ac:dyDescent="0.25">
      <c r="A247" s="107" t="s">
        <v>403</v>
      </c>
      <c r="B247" s="108"/>
      <c r="C247" s="108"/>
      <c r="D247" s="108"/>
      <c r="E247" s="108"/>
      <c r="F247" s="108"/>
      <c r="G247" s="108"/>
      <c r="H247" s="109"/>
      <c r="I247" s="74">
        <f>4</f>
        <v>4</v>
      </c>
      <c r="J247" s="33"/>
    </row>
    <row r="248" spans="1:20" s="34" customFormat="1" ht="15.75" customHeight="1" x14ac:dyDescent="0.25">
      <c r="A248" s="110">
        <v>1</v>
      </c>
      <c r="B248" s="111"/>
      <c r="C248" s="110" t="s">
        <v>404</v>
      </c>
      <c r="D248" s="120"/>
      <c r="E248" s="120"/>
      <c r="F248" s="120"/>
      <c r="G248" s="111"/>
      <c r="H248" s="39" t="s">
        <v>384</v>
      </c>
      <c r="I248" s="33"/>
      <c r="L248" s="112"/>
      <c r="M248" s="112"/>
      <c r="N248" s="33"/>
    </row>
    <row r="249" spans="1:20" s="34" customFormat="1" ht="15.75" customHeight="1" x14ac:dyDescent="0.25">
      <c r="A249" s="110">
        <f>A248+1</f>
        <v>2</v>
      </c>
      <c r="B249" s="111"/>
      <c r="C249" s="39" t="s">
        <v>405</v>
      </c>
      <c r="D249" s="39">
        <f>(141.081)*10.764</f>
        <v>1518.5958839999998</v>
      </c>
      <c r="E249" s="39">
        <f>(5.245)*10.764</f>
        <v>56.457180000000001</v>
      </c>
      <c r="F249" s="39">
        <f>D249+E249</f>
        <v>1575.0530639999999</v>
      </c>
      <c r="G249" s="39">
        <v>0</v>
      </c>
      <c r="H249" s="39">
        <f>F249*(($H$172)+1)+(IF(G249&lt;101,G249,IF(G249&lt;201,G249/2,IF(G249&lt;=301,G249/3,G249/4))))</f>
        <v>2362.579596</v>
      </c>
      <c r="I249" s="33"/>
      <c r="L249" s="112"/>
      <c r="M249" s="112"/>
      <c r="N249" s="33"/>
    </row>
    <row r="250" spans="1:20" s="34" customFormat="1" ht="15.75" customHeight="1" x14ac:dyDescent="0.25">
      <c r="A250" s="110">
        <f>A249+1</f>
        <v>3</v>
      </c>
      <c r="B250" s="111"/>
      <c r="C250" s="39" t="s">
        <v>394</v>
      </c>
      <c r="D250" s="39">
        <f>(111.163)*10.764</f>
        <v>1196.5585319999998</v>
      </c>
      <c r="E250" s="39">
        <f>(7.341)*10.764</f>
        <v>79.018523999999999</v>
      </c>
      <c r="F250" s="39">
        <f>D250+E250</f>
        <v>1275.5770559999999</v>
      </c>
      <c r="G250" s="39">
        <v>0</v>
      </c>
      <c r="H250" s="39">
        <f>F250*(($H$172)+1)+(IF(G250&lt;101,G250,IF(G250&lt;201,G250/2,IF(G250&lt;=301,G250/3,G250/4))))</f>
        <v>1913.3655839999997</v>
      </c>
      <c r="I250" s="33"/>
      <c r="L250" s="112"/>
      <c r="M250" s="112"/>
      <c r="N250" s="33"/>
    </row>
    <row r="251" spans="1:20" s="34" customFormat="1" ht="15.75" customHeight="1" x14ac:dyDescent="0.25">
      <c r="A251" s="110">
        <f>A250+1</f>
        <v>4</v>
      </c>
      <c r="B251" s="111"/>
      <c r="C251" s="39" t="s">
        <v>394</v>
      </c>
      <c r="D251" s="39">
        <f t="shared" ref="D251:D252" si="14">(94.515)*10.764</f>
        <v>1017.3594599999999</v>
      </c>
      <c r="E251" s="39">
        <f t="shared" ref="E251:E252" si="15">(6.723)*10.764</f>
        <v>72.366371999999998</v>
      </c>
      <c r="F251" s="39">
        <f>D251+E251</f>
        <v>1089.7258319999999</v>
      </c>
      <c r="G251" s="39">
        <v>0</v>
      </c>
      <c r="H251" s="39">
        <f>F251*(($H$172)+1)+(IF(G251&lt;101,G251,IF(G251&lt;201,G251/2,IF(G251&lt;=301,G251/3,G251/4))))</f>
        <v>1634.5887479999997</v>
      </c>
      <c r="I251" s="33"/>
      <c r="L251" s="112"/>
      <c r="M251" s="112"/>
      <c r="N251" s="33"/>
      <c r="T251" s="18"/>
    </row>
    <row r="252" spans="1:20" s="34" customFormat="1" ht="15.75" customHeight="1" x14ac:dyDescent="0.25">
      <c r="A252" s="110">
        <f>A251+1</f>
        <v>5</v>
      </c>
      <c r="B252" s="111"/>
      <c r="C252" s="39" t="s">
        <v>394</v>
      </c>
      <c r="D252" s="39">
        <f t="shared" si="14"/>
        <v>1017.3594599999999</v>
      </c>
      <c r="E252" s="39">
        <f t="shared" si="15"/>
        <v>72.366371999999998</v>
      </c>
      <c r="F252" s="39">
        <f>D252+E252</f>
        <v>1089.7258319999999</v>
      </c>
      <c r="G252" s="39">
        <v>0</v>
      </c>
      <c r="H252" s="39">
        <f>F252*(($H$172)+1)+(IF(G252&lt;101,G252,IF(G252&lt;201,G252/2,IF(G252&lt;=301,G252/3,G252/4))))</f>
        <v>1634.5887479999997</v>
      </c>
      <c r="I252" s="33"/>
      <c r="L252" s="112"/>
      <c r="M252" s="112"/>
      <c r="N252" s="33"/>
    </row>
    <row r="253" spans="1:20" s="34" customFormat="1" ht="15.75" customHeight="1" x14ac:dyDescent="0.25">
      <c r="A253" s="110">
        <f>A252+1</f>
        <v>6</v>
      </c>
      <c r="B253" s="111"/>
      <c r="C253" s="39" t="s">
        <v>394</v>
      </c>
      <c r="D253" s="39">
        <f>(111.163)*10.764</f>
        <v>1196.5585319999998</v>
      </c>
      <c r="E253" s="39">
        <f>(7.341)*10.764</f>
        <v>79.018523999999999</v>
      </c>
      <c r="F253" s="39">
        <f>D253+E253</f>
        <v>1275.5770559999999</v>
      </c>
      <c r="G253" s="39">
        <v>0</v>
      </c>
      <c r="H253" s="39">
        <f>F253*(($H$172)+1)+(IF(G253&lt;101,G253,IF(G253&lt;201,G253/2,IF(G253&lt;=301,G253/3,G253/4))))</f>
        <v>1913.3655839999997</v>
      </c>
      <c r="I253" s="33"/>
      <c r="L253" s="112"/>
      <c r="M253" s="112"/>
      <c r="N253" s="33"/>
      <c r="T253" s="18"/>
    </row>
    <row r="254" spans="1:20" s="34" customFormat="1" x14ac:dyDescent="0.25">
      <c r="A254" s="107" t="s">
        <v>406</v>
      </c>
      <c r="B254" s="108"/>
      <c r="C254" s="108"/>
      <c r="D254" s="108"/>
      <c r="E254" s="108"/>
      <c r="F254" s="108"/>
      <c r="G254" s="108"/>
      <c r="H254" s="109"/>
      <c r="I254" s="74">
        <f>3+3+3</f>
        <v>9</v>
      </c>
      <c r="J254" s="33"/>
    </row>
    <row r="255" spans="1:20" s="34" customFormat="1" ht="15.75" customHeight="1" x14ac:dyDescent="0.25">
      <c r="A255" s="110">
        <v>1</v>
      </c>
      <c r="B255" s="111"/>
      <c r="C255" s="39" t="s">
        <v>394</v>
      </c>
      <c r="D255" s="39">
        <f>(88.661)*10.764</f>
        <v>954.34700399999997</v>
      </c>
      <c r="E255" s="39">
        <f>(2.623)*10.764</f>
        <v>28.233972000000001</v>
      </c>
      <c r="F255" s="39">
        <f t="shared" ref="F255:F260" si="16">D255+E255</f>
        <v>982.58097599999996</v>
      </c>
      <c r="G255" s="39">
        <v>0</v>
      </c>
      <c r="H255" s="39">
        <f t="shared" ref="H255:H260" si="17">F255*(($H$172)+1)+(IF(G255&lt;101,G255,IF(G255&lt;201,G255/2,IF(G255&lt;=301,G255/3,G255/4))))</f>
        <v>1473.8714639999998</v>
      </c>
      <c r="I255" s="33"/>
      <c r="L255" s="112"/>
      <c r="M255" s="112"/>
      <c r="N255" s="33"/>
    </row>
    <row r="256" spans="1:20" s="34" customFormat="1" ht="15.75" customHeight="1" x14ac:dyDescent="0.25">
      <c r="A256" s="110">
        <f>A255+1</f>
        <v>2</v>
      </c>
      <c r="B256" s="111"/>
      <c r="C256" s="39" t="s">
        <v>394</v>
      </c>
      <c r="D256" s="39">
        <f>(88.661)*10.764</f>
        <v>954.34700399999997</v>
      </c>
      <c r="E256" s="39">
        <f>(2.623)*10.764</f>
        <v>28.233972000000001</v>
      </c>
      <c r="F256" s="39">
        <f t="shared" si="16"/>
        <v>982.58097599999996</v>
      </c>
      <c r="G256" s="39">
        <v>0</v>
      </c>
      <c r="H256" s="39">
        <f t="shared" si="17"/>
        <v>1473.8714639999998</v>
      </c>
      <c r="I256" s="33"/>
      <c r="L256" s="112"/>
      <c r="M256" s="112"/>
      <c r="N256" s="33"/>
    </row>
    <row r="257" spans="1:20" s="34" customFormat="1" ht="15.75" customHeight="1" x14ac:dyDescent="0.25">
      <c r="A257" s="110">
        <f>A256+1</f>
        <v>3</v>
      </c>
      <c r="B257" s="111"/>
      <c r="C257" s="39" t="s">
        <v>394</v>
      </c>
      <c r="D257" s="39">
        <f>(111.764)*10.764</f>
        <v>1203.0276959999999</v>
      </c>
      <c r="E257" s="39">
        <f>(7.341)*10.764</f>
        <v>79.018523999999999</v>
      </c>
      <c r="F257" s="39">
        <f t="shared" si="16"/>
        <v>1282.0462199999999</v>
      </c>
      <c r="G257" s="39">
        <v>0</v>
      </c>
      <c r="H257" s="39">
        <f t="shared" si="17"/>
        <v>1923.0693299999998</v>
      </c>
      <c r="I257" s="33">
        <f>3.7*8.275+2.75*3.2+0.875*1.365+1.455*1.135+3.4*(3.65+4.575)+3.35*3.95+1.575*(2.425+1.825+1.825)+4.98*1.2+1.775*1.16+1.656*1.525+(1.485+1.485)*0.8</f>
        <v>105.96532500000001</v>
      </c>
      <c r="J257" s="73">
        <f>5.325*1.375</f>
        <v>7.3218750000000004</v>
      </c>
      <c r="L257" s="112"/>
      <c r="M257" s="112"/>
      <c r="N257" s="33"/>
    </row>
    <row r="258" spans="1:20" s="34" customFormat="1" ht="15.75" customHeight="1" x14ac:dyDescent="0.25">
      <c r="A258" s="110">
        <f>A257+1</f>
        <v>4</v>
      </c>
      <c r="B258" s="111"/>
      <c r="C258" s="39" t="s">
        <v>394</v>
      </c>
      <c r="D258" s="39">
        <f>(94.985)*10.764</f>
        <v>1022.4185399999999</v>
      </c>
      <c r="E258" s="39">
        <f>(6.723)*10.764</f>
        <v>72.366371999999998</v>
      </c>
      <c r="F258" s="39">
        <f t="shared" si="16"/>
        <v>1094.7849119999998</v>
      </c>
      <c r="G258" s="39">
        <v>0</v>
      </c>
      <c r="H258" s="39">
        <f t="shared" si="17"/>
        <v>1642.1773679999997</v>
      </c>
      <c r="I258" s="33">
        <f>3.35*6.775+2.275*3.1+1.725*1.95+3.1*3.35+3.45*3.95+3.95*3.1+2.425*(1.525+1.525+1.84)+1.225*0.84+4.5*1+0.215*3.25+1.2*1.815</f>
        <v>89.634</v>
      </c>
      <c r="J258" s="73">
        <f>4.875*1.375</f>
        <v>6.703125</v>
      </c>
      <c r="L258" s="112"/>
      <c r="M258" s="112"/>
      <c r="N258" s="33"/>
      <c r="T258" s="18"/>
    </row>
    <row r="259" spans="1:20" s="34" customFormat="1" ht="15.75" customHeight="1" x14ac:dyDescent="0.25">
      <c r="A259" s="110">
        <f>A258+1</f>
        <v>5</v>
      </c>
      <c r="B259" s="111"/>
      <c r="C259" s="39" t="s">
        <v>394</v>
      </c>
      <c r="D259" s="39">
        <f>(94.985)*10.764</f>
        <v>1022.4185399999999</v>
      </c>
      <c r="E259" s="39">
        <f>(6.723)*10.764</f>
        <v>72.366371999999998</v>
      </c>
      <c r="F259" s="39">
        <f t="shared" si="16"/>
        <v>1094.7849119999998</v>
      </c>
      <c r="G259" s="39">
        <v>0</v>
      </c>
      <c r="H259" s="39">
        <f t="shared" si="17"/>
        <v>1642.1773679999997</v>
      </c>
      <c r="I259" s="33"/>
      <c r="L259" s="112"/>
      <c r="M259" s="112"/>
      <c r="N259" s="33"/>
    </row>
    <row r="260" spans="1:20" s="34" customFormat="1" ht="15.75" customHeight="1" x14ac:dyDescent="0.25">
      <c r="A260" s="110">
        <f>A259+1</f>
        <v>6</v>
      </c>
      <c r="B260" s="111"/>
      <c r="C260" s="39" t="s">
        <v>394</v>
      </c>
      <c r="D260" s="39">
        <f>(111.764)*10.764</f>
        <v>1203.0276959999999</v>
      </c>
      <c r="E260" s="39">
        <f>(7.341)*10.764</f>
        <v>79.018523999999999</v>
      </c>
      <c r="F260" s="39">
        <f t="shared" si="16"/>
        <v>1282.0462199999999</v>
      </c>
      <c r="G260" s="39">
        <v>0</v>
      </c>
      <c r="H260" s="39">
        <f t="shared" si="17"/>
        <v>1923.0693299999998</v>
      </c>
      <c r="I260" s="33"/>
      <c r="L260" s="112"/>
      <c r="M260" s="112"/>
      <c r="N260" s="33"/>
      <c r="T260" s="18"/>
    </row>
    <row r="261" spans="1:20" s="34" customFormat="1" x14ac:dyDescent="0.25">
      <c r="A261" s="107" t="s">
        <v>407</v>
      </c>
      <c r="B261" s="108"/>
      <c r="C261" s="108"/>
      <c r="D261" s="108"/>
      <c r="E261" s="108"/>
      <c r="F261" s="108"/>
      <c r="G261" s="108"/>
      <c r="H261" s="109"/>
      <c r="I261" s="74">
        <f>3</f>
        <v>3</v>
      </c>
      <c r="J261" s="33"/>
    </row>
    <row r="262" spans="1:20" s="34" customFormat="1" ht="15.75" customHeight="1" x14ac:dyDescent="0.25">
      <c r="A262" s="110">
        <v>1</v>
      </c>
      <c r="B262" s="111"/>
      <c r="C262" s="110" t="s">
        <v>404</v>
      </c>
      <c r="D262" s="120"/>
      <c r="E262" s="120"/>
      <c r="F262" s="120"/>
      <c r="G262" s="111"/>
      <c r="H262" s="39" t="s">
        <v>384</v>
      </c>
      <c r="I262" s="33"/>
      <c r="L262" s="112"/>
      <c r="M262" s="112"/>
      <c r="N262" s="33"/>
    </row>
    <row r="263" spans="1:20" s="34" customFormat="1" ht="15.75" customHeight="1" x14ac:dyDescent="0.25">
      <c r="A263" s="110">
        <f>A262+1</f>
        <v>2</v>
      </c>
      <c r="B263" s="111"/>
      <c r="C263" s="39" t="s">
        <v>405</v>
      </c>
      <c r="D263" s="39">
        <f>(141.675)*10.764</f>
        <v>1524.9897000000001</v>
      </c>
      <c r="E263" s="39">
        <f>(5.245)*10.764</f>
        <v>56.457180000000001</v>
      </c>
      <c r="F263" s="39">
        <f>D263+E263</f>
        <v>1581.4468800000002</v>
      </c>
      <c r="G263" s="39">
        <v>0</v>
      </c>
      <c r="H263" s="39">
        <f>F263*(($H$172)+1)+(IF(G263&lt;101,G263,IF(G263&lt;201,G263/2,IF(G263&lt;=301,G263/3,G263/4))))</f>
        <v>2372.1703200000002</v>
      </c>
      <c r="I263" s="33"/>
      <c r="L263" s="112"/>
      <c r="M263" s="112"/>
      <c r="N263" s="33"/>
    </row>
    <row r="264" spans="1:20" s="34" customFormat="1" ht="15.75" customHeight="1" x14ac:dyDescent="0.25">
      <c r="A264" s="110">
        <f>A263+1</f>
        <v>3</v>
      </c>
      <c r="B264" s="111"/>
      <c r="C264" s="39" t="s">
        <v>394</v>
      </c>
      <c r="D264" s="39">
        <f>(111.764)*10.764</f>
        <v>1203.0276959999999</v>
      </c>
      <c r="E264" s="39">
        <f>(7.341)*10.764</f>
        <v>79.018523999999999</v>
      </c>
      <c r="F264" s="39">
        <f>D264+E264</f>
        <v>1282.0462199999999</v>
      </c>
      <c r="G264" s="39">
        <v>0</v>
      </c>
      <c r="H264" s="39">
        <f>F264*(($H$172)+1)+(IF(G264&lt;101,G264,IF(G264&lt;201,G264/2,IF(G264&lt;=301,G264/3,G264/4))))</f>
        <v>1923.0693299999998</v>
      </c>
      <c r="I264" s="33"/>
      <c r="L264" s="112"/>
      <c r="M264" s="112"/>
      <c r="N264" s="33"/>
    </row>
    <row r="265" spans="1:20" s="34" customFormat="1" ht="15.75" customHeight="1" x14ac:dyDescent="0.25">
      <c r="A265" s="110">
        <f>A264+1</f>
        <v>4</v>
      </c>
      <c r="B265" s="111"/>
      <c r="C265" s="39" t="s">
        <v>394</v>
      </c>
      <c r="D265" s="39">
        <f>(94.985)*10.764</f>
        <v>1022.4185399999999</v>
      </c>
      <c r="E265" s="39">
        <f>(6.723)*10.764</f>
        <v>72.366371999999998</v>
      </c>
      <c r="F265" s="39">
        <f>D265+E265</f>
        <v>1094.7849119999998</v>
      </c>
      <c r="G265" s="39">
        <v>0</v>
      </c>
      <c r="H265" s="39">
        <f>F265*(($H$172)+1)+(IF(G265&lt;101,G265,IF(G265&lt;201,G265/2,IF(G265&lt;=301,G265/3,G265/4))))</f>
        <v>1642.1773679999997</v>
      </c>
      <c r="I265" s="33"/>
      <c r="L265" s="112"/>
      <c r="M265" s="112"/>
      <c r="N265" s="33"/>
      <c r="T265" s="18"/>
    </row>
    <row r="266" spans="1:20" s="34" customFormat="1" ht="15.75" customHeight="1" x14ac:dyDescent="0.25">
      <c r="A266" s="110">
        <f>A265+1</f>
        <v>5</v>
      </c>
      <c r="B266" s="111"/>
      <c r="C266" s="39" t="s">
        <v>394</v>
      </c>
      <c r="D266" s="39">
        <f>(94.985)*10.764</f>
        <v>1022.4185399999999</v>
      </c>
      <c r="E266" s="39">
        <f>(6.723)*10.764</f>
        <v>72.366371999999998</v>
      </c>
      <c r="F266" s="39">
        <f>D266+E266</f>
        <v>1094.7849119999998</v>
      </c>
      <c r="G266" s="39">
        <v>0</v>
      </c>
      <c r="H266" s="39">
        <f>F266*(($H$172)+1)+(IF(G266&lt;101,G266,IF(G266&lt;201,G266/2,IF(G266&lt;=301,G266/3,G266/4))))</f>
        <v>1642.1773679999997</v>
      </c>
      <c r="I266" s="33"/>
      <c r="L266" s="112"/>
      <c r="M266" s="112"/>
      <c r="N266" s="33"/>
    </row>
    <row r="267" spans="1:20" s="34" customFormat="1" ht="15.75" customHeight="1" x14ac:dyDescent="0.25">
      <c r="A267" s="110">
        <f>A266+1</f>
        <v>6</v>
      </c>
      <c r="B267" s="111"/>
      <c r="C267" s="39" t="s">
        <v>394</v>
      </c>
      <c r="D267" s="39">
        <f>(111.764)*10.764</f>
        <v>1203.0276959999999</v>
      </c>
      <c r="E267" s="39">
        <f>(7.341)*10.764</f>
        <v>79.018523999999999</v>
      </c>
      <c r="F267" s="39">
        <f>D267+E267</f>
        <v>1282.0462199999999</v>
      </c>
      <c r="G267" s="39">
        <v>0</v>
      </c>
      <c r="H267" s="39">
        <f>F267*(($H$172)+1)+(IF(G267&lt;101,G267,IF(G267&lt;201,G267/2,IF(G267&lt;=301,G267/3,G267/4))))</f>
        <v>1923.0693299999998</v>
      </c>
      <c r="I267" s="33"/>
      <c r="L267" s="112"/>
      <c r="M267" s="112"/>
      <c r="N267" s="33"/>
      <c r="T267" s="18"/>
    </row>
    <row r="268" spans="1:20" s="34" customFormat="1" x14ac:dyDescent="0.25">
      <c r="A268" s="107" t="s">
        <v>408</v>
      </c>
      <c r="B268" s="108"/>
      <c r="C268" s="108"/>
      <c r="D268" s="108"/>
      <c r="E268" s="108"/>
      <c r="F268" s="108"/>
      <c r="G268" s="108"/>
      <c r="H268" s="109"/>
      <c r="I268" s="74">
        <f>3+3+3+3+4</f>
        <v>16</v>
      </c>
      <c r="J268" s="33"/>
    </row>
    <row r="269" spans="1:20" s="34" customFormat="1" ht="15.75" customHeight="1" x14ac:dyDescent="0.25">
      <c r="A269" s="110">
        <v>1</v>
      </c>
      <c r="B269" s="111"/>
      <c r="C269" s="39" t="s">
        <v>394</v>
      </c>
      <c r="D269" s="39">
        <f>(88.704)*10.764</f>
        <v>954.80985599999985</v>
      </c>
      <c r="E269" s="39">
        <f>(2.623)*10.764</f>
        <v>28.233972000000001</v>
      </c>
      <c r="F269" s="39">
        <f t="shared" ref="F269:F274" si="18">D269+E269</f>
        <v>983.04382799999985</v>
      </c>
      <c r="G269" s="39">
        <v>0</v>
      </c>
      <c r="H269" s="39">
        <f t="shared" ref="H269:H274" si="19">F269*(($H$172)+1)+(IF(G269&lt;101,G269,IF(G269&lt;201,G269/2,IF(G269&lt;=301,G269/3,G269/4))))</f>
        <v>1474.5657419999998</v>
      </c>
      <c r="I269" s="33"/>
      <c r="L269" s="112"/>
      <c r="M269" s="112"/>
      <c r="N269" s="33"/>
    </row>
    <row r="270" spans="1:20" s="34" customFormat="1" ht="15.75" customHeight="1" x14ac:dyDescent="0.25">
      <c r="A270" s="110">
        <f>A269+1</f>
        <v>2</v>
      </c>
      <c r="B270" s="111"/>
      <c r="C270" s="39" t="s">
        <v>394</v>
      </c>
      <c r="D270" s="39">
        <f>(88.704)*10.764</f>
        <v>954.80985599999985</v>
      </c>
      <c r="E270" s="39">
        <f>(2.623)*10.764</f>
        <v>28.233972000000001</v>
      </c>
      <c r="F270" s="39">
        <f t="shared" si="18"/>
        <v>983.04382799999985</v>
      </c>
      <c r="G270" s="39">
        <v>0</v>
      </c>
      <c r="H270" s="39">
        <f t="shared" si="19"/>
        <v>1474.5657419999998</v>
      </c>
      <c r="I270" s="33"/>
      <c r="L270" s="112"/>
      <c r="M270" s="112"/>
      <c r="N270" s="33"/>
    </row>
    <row r="271" spans="1:20" s="34" customFormat="1" ht="15.75" customHeight="1" x14ac:dyDescent="0.25">
      <c r="A271" s="110">
        <f>A270+1</f>
        <v>3</v>
      </c>
      <c r="B271" s="111"/>
      <c r="C271" s="39" t="s">
        <v>394</v>
      </c>
      <c r="D271" s="39">
        <f>(111.764)*10.764</f>
        <v>1203.0276959999999</v>
      </c>
      <c r="E271" s="39">
        <f>(7.341)*10.764</f>
        <v>79.018523999999999</v>
      </c>
      <c r="F271" s="39">
        <f t="shared" si="18"/>
        <v>1282.0462199999999</v>
      </c>
      <c r="G271" s="39">
        <v>0</v>
      </c>
      <c r="H271" s="39">
        <f t="shared" si="19"/>
        <v>1923.0693299999998</v>
      </c>
      <c r="I271" s="33"/>
      <c r="L271" s="112"/>
      <c r="M271" s="112"/>
      <c r="N271" s="33"/>
    </row>
    <row r="272" spans="1:20" s="34" customFormat="1" ht="15.75" customHeight="1" x14ac:dyDescent="0.25">
      <c r="A272" s="110">
        <f>A271+1</f>
        <v>4</v>
      </c>
      <c r="B272" s="111"/>
      <c r="C272" s="39" t="s">
        <v>394</v>
      </c>
      <c r="D272" s="39">
        <f>(94.985)*10.764</f>
        <v>1022.4185399999999</v>
      </c>
      <c r="E272" s="39">
        <f>(6.723)*10.764</f>
        <v>72.366371999999998</v>
      </c>
      <c r="F272" s="39">
        <f t="shared" si="18"/>
        <v>1094.7849119999998</v>
      </c>
      <c r="G272" s="39">
        <v>0</v>
      </c>
      <c r="H272" s="39">
        <f t="shared" si="19"/>
        <v>1642.1773679999997</v>
      </c>
      <c r="I272" s="33"/>
      <c r="L272" s="112"/>
      <c r="M272" s="112"/>
      <c r="N272" s="33"/>
      <c r="T272" s="18"/>
    </row>
    <row r="273" spans="1:20" s="34" customFormat="1" ht="15.75" customHeight="1" x14ac:dyDescent="0.25">
      <c r="A273" s="110">
        <f>A272+1</f>
        <v>5</v>
      </c>
      <c r="B273" s="111"/>
      <c r="C273" s="39" t="s">
        <v>394</v>
      </c>
      <c r="D273" s="39">
        <f>(94.985)*10.764</f>
        <v>1022.4185399999999</v>
      </c>
      <c r="E273" s="39">
        <f>(6.723)*10.764</f>
        <v>72.366371999999998</v>
      </c>
      <c r="F273" s="39">
        <f t="shared" si="18"/>
        <v>1094.7849119999998</v>
      </c>
      <c r="G273" s="39">
        <v>0</v>
      </c>
      <c r="H273" s="39">
        <f t="shared" si="19"/>
        <v>1642.1773679999997</v>
      </c>
      <c r="I273" s="33"/>
      <c r="L273" s="112"/>
      <c r="M273" s="112"/>
      <c r="N273" s="33"/>
    </row>
    <row r="274" spans="1:20" s="34" customFormat="1" ht="15.75" customHeight="1" x14ac:dyDescent="0.25">
      <c r="A274" s="110">
        <f>A273+1</f>
        <v>6</v>
      </c>
      <c r="B274" s="111"/>
      <c r="C274" s="39" t="s">
        <v>394</v>
      </c>
      <c r="D274" s="39">
        <f>(111.764)*10.764</f>
        <v>1203.0276959999999</v>
      </c>
      <c r="E274" s="39">
        <f>(7.341)*10.764</f>
        <v>79.018523999999999</v>
      </c>
      <c r="F274" s="39">
        <f t="shared" si="18"/>
        <v>1282.0462199999999</v>
      </c>
      <c r="G274" s="39">
        <v>0</v>
      </c>
      <c r="H274" s="39">
        <f t="shared" si="19"/>
        <v>1923.0693299999998</v>
      </c>
      <c r="I274" s="33"/>
      <c r="L274" s="112"/>
      <c r="M274" s="112"/>
      <c r="N274" s="33"/>
      <c r="T274" s="18"/>
    </row>
    <row r="275" spans="1:20" s="34" customFormat="1" x14ac:dyDescent="0.25">
      <c r="A275" s="107" t="s">
        <v>409</v>
      </c>
      <c r="B275" s="108"/>
      <c r="C275" s="108"/>
      <c r="D275" s="108"/>
      <c r="E275" s="108"/>
      <c r="F275" s="108"/>
      <c r="G275" s="108"/>
      <c r="H275" s="109"/>
      <c r="I275" s="74">
        <f>4</f>
        <v>4</v>
      </c>
      <c r="J275" s="33"/>
    </row>
    <row r="276" spans="1:20" s="34" customFormat="1" ht="15.75" customHeight="1" x14ac:dyDescent="0.25">
      <c r="A276" s="110">
        <v>1</v>
      </c>
      <c r="B276" s="111"/>
      <c r="C276" s="110" t="s">
        <v>404</v>
      </c>
      <c r="D276" s="120"/>
      <c r="E276" s="120"/>
      <c r="F276" s="120"/>
      <c r="G276" s="111"/>
      <c r="H276" s="39" t="s">
        <v>384</v>
      </c>
      <c r="I276" s="33"/>
      <c r="L276" s="112"/>
      <c r="M276" s="112"/>
      <c r="N276" s="33"/>
    </row>
    <row r="277" spans="1:20" s="34" customFormat="1" ht="15.75" customHeight="1" x14ac:dyDescent="0.25">
      <c r="A277" s="110">
        <f>A276+1</f>
        <v>2</v>
      </c>
      <c r="B277" s="111"/>
      <c r="C277" s="39" t="s">
        <v>405</v>
      </c>
      <c r="D277" s="39">
        <f>(141.762)*10.764</f>
        <v>1525.926168</v>
      </c>
      <c r="E277" s="39">
        <f>(5.245)*10.764</f>
        <v>56.457180000000001</v>
      </c>
      <c r="F277" s="39">
        <f>D277+E277</f>
        <v>1582.3833480000001</v>
      </c>
      <c r="G277" s="39">
        <v>0</v>
      </c>
      <c r="H277" s="39">
        <f>F277*(($H$172)+1)+(IF(G277&lt;101,G277,IF(G277&lt;201,G277/2,IF(G277&lt;=301,G277/3,G277/4))))</f>
        <v>2373.575022</v>
      </c>
      <c r="I277" s="33"/>
      <c r="L277" s="112"/>
      <c r="M277" s="112"/>
      <c r="N277" s="33"/>
    </row>
    <row r="278" spans="1:20" s="34" customFormat="1" ht="15.75" customHeight="1" x14ac:dyDescent="0.25">
      <c r="A278" s="110">
        <f>A277+1</f>
        <v>3</v>
      </c>
      <c r="B278" s="111"/>
      <c r="C278" s="39" t="s">
        <v>394</v>
      </c>
      <c r="D278" s="39">
        <f>(111.764)*10.764</f>
        <v>1203.0276959999999</v>
      </c>
      <c r="E278" s="39">
        <f>(7.341)*10.764</f>
        <v>79.018523999999999</v>
      </c>
      <c r="F278" s="39">
        <f>D278+E278</f>
        <v>1282.0462199999999</v>
      </c>
      <c r="G278" s="39">
        <v>0</v>
      </c>
      <c r="H278" s="39">
        <f>F278*(($H$172)+1)+(IF(G278&lt;101,G278,IF(G278&lt;201,G278/2,IF(G278&lt;=301,G278/3,G278/4))))</f>
        <v>1923.0693299999998</v>
      </c>
      <c r="I278" s="33"/>
      <c r="L278" s="112"/>
      <c r="M278" s="112"/>
      <c r="N278" s="33"/>
    </row>
    <row r="279" spans="1:20" s="34" customFormat="1" ht="15.75" customHeight="1" x14ac:dyDescent="0.25">
      <c r="A279" s="110">
        <f>A278+1</f>
        <v>4</v>
      </c>
      <c r="B279" s="111"/>
      <c r="C279" s="39" t="s">
        <v>394</v>
      </c>
      <c r="D279" s="39">
        <f>(94.985)*10.764</f>
        <v>1022.4185399999999</v>
      </c>
      <c r="E279" s="39">
        <f>(6.723)*10.764</f>
        <v>72.366371999999998</v>
      </c>
      <c r="F279" s="39">
        <f>D279+E279</f>
        <v>1094.7849119999998</v>
      </c>
      <c r="G279" s="39">
        <v>0</v>
      </c>
      <c r="H279" s="39">
        <f>F279*(($H$172)+1)+(IF(G279&lt;101,G279,IF(G279&lt;201,G279/2,IF(G279&lt;=301,G279/3,G279/4))))</f>
        <v>1642.1773679999997</v>
      </c>
      <c r="I279" s="33"/>
      <c r="L279" s="112"/>
      <c r="M279" s="112"/>
      <c r="N279" s="33"/>
      <c r="T279" s="18"/>
    </row>
    <row r="280" spans="1:20" s="34" customFormat="1" ht="15.75" customHeight="1" x14ac:dyDescent="0.25">
      <c r="A280" s="110">
        <f>A279+1</f>
        <v>5</v>
      </c>
      <c r="B280" s="111"/>
      <c r="C280" s="39" t="s">
        <v>394</v>
      </c>
      <c r="D280" s="39">
        <f>(94.985)*10.764</f>
        <v>1022.4185399999999</v>
      </c>
      <c r="E280" s="39">
        <f>(6.723)*10.764</f>
        <v>72.366371999999998</v>
      </c>
      <c r="F280" s="39">
        <f>D280+E280</f>
        <v>1094.7849119999998</v>
      </c>
      <c r="G280" s="39">
        <v>0</v>
      </c>
      <c r="H280" s="39">
        <f>F280*(($H$172)+1)+(IF(G280&lt;101,G280,IF(G280&lt;201,G280/2,IF(G280&lt;=301,G280/3,G280/4))))</f>
        <v>1642.1773679999997</v>
      </c>
      <c r="I280" s="33"/>
      <c r="L280" s="112"/>
      <c r="M280" s="112"/>
      <c r="N280" s="33"/>
    </row>
    <row r="281" spans="1:20" s="34" customFormat="1" ht="15.75" customHeight="1" x14ac:dyDescent="0.25">
      <c r="A281" s="110">
        <f>A280+1</f>
        <v>6</v>
      </c>
      <c r="B281" s="111"/>
      <c r="C281" s="39" t="s">
        <v>394</v>
      </c>
      <c r="D281" s="39">
        <f>(111.764)*10.764</f>
        <v>1203.0276959999999</v>
      </c>
      <c r="E281" s="39">
        <f>(7.341)*10.764</f>
        <v>79.018523999999999</v>
      </c>
      <c r="F281" s="39">
        <f>D281+E281</f>
        <v>1282.0462199999999</v>
      </c>
      <c r="G281" s="39">
        <v>0</v>
      </c>
      <c r="H281" s="39">
        <f>F281*(($H$172)+1)+(IF(G281&lt;101,G281,IF(G281&lt;201,G281/2,IF(G281&lt;=301,G281/3,G281/4))))</f>
        <v>1923.0693299999998</v>
      </c>
      <c r="I281" s="33"/>
      <c r="L281" s="112"/>
      <c r="M281" s="112"/>
      <c r="N281" s="33"/>
      <c r="T281" s="18"/>
    </row>
    <row r="282" spans="1:20" s="34" customFormat="1" x14ac:dyDescent="0.25">
      <c r="A282" s="107" t="s">
        <v>452</v>
      </c>
      <c r="B282" s="108"/>
      <c r="C282" s="108"/>
      <c r="D282" s="108"/>
      <c r="E282" s="108"/>
      <c r="F282" s="108"/>
      <c r="G282" s="108"/>
      <c r="H282" s="109"/>
      <c r="I282" s="74"/>
      <c r="J282" s="33"/>
    </row>
    <row r="283" spans="1:20" s="34" customFormat="1" x14ac:dyDescent="0.25">
      <c r="A283" s="107" t="s">
        <v>399</v>
      </c>
      <c r="B283" s="108"/>
      <c r="C283" s="108"/>
      <c r="D283" s="108"/>
      <c r="E283" s="108"/>
      <c r="F283" s="108"/>
      <c r="G283" s="108"/>
      <c r="H283" s="109"/>
      <c r="I283" s="74"/>
      <c r="J283" s="33"/>
    </row>
    <row r="284" spans="1:20" s="34" customFormat="1" x14ac:dyDescent="0.25">
      <c r="A284" s="107" t="s">
        <v>379</v>
      </c>
      <c r="B284" s="108"/>
      <c r="C284" s="108"/>
      <c r="D284" s="108"/>
      <c r="E284" s="108"/>
      <c r="F284" s="108"/>
      <c r="G284" s="108"/>
      <c r="H284" s="109"/>
      <c r="I284" s="74"/>
      <c r="J284" s="33"/>
    </row>
    <row r="285" spans="1:20" s="34" customFormat="1" ht="32.25" customHeight="1" x14ac:dyDescent="0.25">
      <c r="A285" s="107" t="s">
        <v>410</v>
      </c>
      <c r="B285" s="108"/>
      <c r="C285" s="108"/>
      <c r="D285" s="108"/>
      <c r="E285" s="108"/>
      <c r="F285" s="108"/>
      <c r="G285" s="108"/>
      <c r="H285" s="109"/>
      <c r="I285" s="74"/>
      <c r="J285" s="33"/>
    </row>
    <row r="286" spans="1:20" s="34" customFormat="1" x14ac:dyDescent="0.25">
      <c r="A286" s="107" t="s">
        <v>411</v>
      </c>
      <c r="B286" s="108"/>
      <c r="C286" s="108"/>
      <c r="D286" s="108"/>
      <c r="E286" s="108"/>
      <c r="F286" s="108"/>
      <c r="G286" s="108"/>
      <c r="H286" s="109"/>
      <c r="I286" s="74"/>
      <c r="J286" s="33"/>
    </row>
    <row r="287" spans="1:20" s="34" customFormat="1" x14ac:dyDescent="0.25">
      <c r="A287" s="107" t="s">
        <v>412</v>
      </c>
      <c r="B287" s="108"/>
      <c r="C287" s="108"/>
      <c r="D287" s="108"/>
      <c r="E287" s="108"/>
      <c r="F287" s="108"/>
      <c r="G287" s="108"/>
      <c r="H287" s="109"/>
      <c r="I287" s="74">
        <v>1</v>
      </c>
      <c r="J287" s="33"/>
    </row>
    <row r="288" spans="1:20" s="34" customFormat="1" ht="15.75" customHeight="1" x14ac:dyDescent="0.25">
      <c r="A288" s="110">
        <v>1</v>
      </c>
      <c r="B288" s="111"/>
      <c r="C288" s="39" t="s">
        <v>394</v>
      </c>
      <c r="D288" s="39">
        <f>(88.185)*10.764</f>
        <v>949.22334000000001</v>
      </c>
      <c r="E288" s="39">
        <f>(2.623)*10.764</f>
        <v>28.233972000000001</v>
      </c>
      <c r="F288" s="39">
        <f>D288+E288</f>
        <v>977.457312</v>
      </c>
      <c r="G288" s="39">
        <f>(3.35*5)*10.764</f>
        <v>180.297</v>
      </c>
      <c r="H288" s="39">
        <f>F288*(($H$172)+1)+(IF(G288&lt;101,G288,IF(G288&lt;201,G288/2,IF(G288&lt;=301,G288/3,G288/4))))</f>
        <v>1556.334468</v>
      </c>
      <c r="I288" s="33"/>
      <c r="L288" s="112"/>
      <c r="M288" s="112"/>
      <c r="N288" s="33"/>
    </row>
    <row r="289" spans="1:20" s="34" customFormat="1" ht="15.75" customHeight="1" x14ac:dyDescent="0.25">
      <c r="A289" s="110">
        <f>A288+1</f>
        <v>2</v>
      </c>
      <c r="B289" s="111"/>
      <c r="C289" s="39" t="s">
        <v>394</v>
      </c>
      <c r="D289" s="39">
        <f>(88.185)*10.764</f>
        <v>949.22334000000001</v>
      </c>
      <c r="E289" s="39">
        <f>(2.623)*10.764</f>
        <v>28.233972000000001</v>
      </c>
      <c r="F289" s="39">
        <f>D289+E289</f>
        <v>977.457312</v>
      </c>
      <c r="G289" s="39">
        <f>(3.35*5)*10.764</f>
        <v>180.297</v>
      </c>
      <c r="H289" s="39">
        <f>F289*(($H$172)+1)+(IF(G289&lt;101,G289,IF(G289&lt;201,G289/2,IF(G289&lt;=301,G289/3,G289/4))))</f>
        <v>1556.334468</v>
      </c>
      <c r="I289" s="33"/>
      <c r="L289" s="112"/>
      <c r="M289" s="112"/>
      <c r="N289" s="33"/>
    </row>
    <row r="290" spans="1:20" s="34" customFormat="1" ht="15.75" customHeight="1" x14ac:dyDescent="0.25">
      <c r="A290" s="110">
        <f>A289+1</f>
        <v>3</v>
      </c>
      <c r="B290" s="111"/>
      <c r="C290" s="110" t="s">
        <v>395</v>
      </c>
      <c r="D290" s="120"/>
      <c r="E290" s="120"/>
      <c r="F290" s="120"/>
      <c r="G290" s="111"/>
      <c r="H290" s="39" t="s">
        <v>384</v>
      </c>
      <c r="I290" s="33"/>
      <c r="L290" s="112"/>
      <c r="M290" s="112"/>
      <c r="N290" s="33"/>
    </row>
    <row r="291" spans="1:20" s="34" customFormat="1" ht="15.75" customHeight="1" x14ac:dyDescent="0.25">
      <c r="A291" s="110">
        <f t="shared" ref="A291:A293" si="20">A290+1</f>
        <v>4</v>
      </c>
      <c r="B291" s="111"/>
      <c r="C291" s="98" t="s">
        <v>385</v>
      </c>
      <c r="D291" s="99"/>
      <c r="E291" s="99"/>
      <c r="F291" s="99"/>
      <c r="G291" s="99"/>
      <c r="H291" s="114" t="s">
        <v>384</v>
      </c>
      <c r="I291" s="33"/>
      <c r="L291" s="112"/>
      <c r="M291" s="112"/>
      <c r="N291" s="33"/>
      <c r="T291" s="18"/>
    </row>
    <row r="292" spans="1:20" s="34" customFormat="1" ht="15.75" customHeight="1" x14ac:dyDescent="0.25">
      <c r="A292" s="110">
        <f t="shared" si="20"/>
        <v>5</v>
      </c>
      <c r="B292" s="111"/>
      <c r="C292" s="117"/>
      <c r="D292" s="118"/>
      <c r="E292" s="118"/>
      <c r="F292" s="118"/>
      <c r="G292" s="118"/>
      <c r="H292" s="116"/>
      <c r="I292" s="33"/>
      <c r="L292" s="112"/>
      <c r="M292" s="112"/>
      <c r="N292" s="33"/>
      <c r="T292" s="18"/>
    </row>
    <row r="293" spans="1:20" s="34" customFormat="1" ht="15.75" customHeight="1" x14ac:dyDescent="0.25">
      <c r="A293" s="110">
        <f t="shared" si="20"/>
        <v>6</v>
      </c>
      <c r="B293" s="111"/>
      <c r="C293" s="101"/>
      <c r="D293" s="102"/>
      <c r="E293" s="102"/>
      <c r="F293" s="102"/>
      <c r="G293" s="102"/>
      <c r="H293" s="115"/>
      <c r="I293" s="33"/>
      <c r="L293" s="112"/>
      <c r="M293" s="112"/>
      <c r="N293" s="33"/>
      <c r="T293" s="18"/>
    </row>
    <row r="294" spans="1:20" s="34" customFormat="1" x14ac:dyDescent="0.25">
      <c r="A294" s="107" t="s">
        <v>117</v>
      </c>
      <c r="B294" s="108"/>
      <c r="C294" s="108"/>
      <c r="D294" s="108"/>
      <c r="E294" s="108"/>
      <c r="F294" s="108"/>
      <c r="G294" s="108"/>
      <c r="H294" s="109"/>
      <c r="I294" s="74">
        <v>1</v>
      </c>
      <c r="J294" s="33"/>
    </row>
    <row r="295" spans="1:20" s="34" customFormat="1" ht="15.75" customHeight="1" x14ac:dyDescent="0.25">
      <c r="A295" s="110">
        <v>1</v>
      </c>
      <c r="B295" s="111"/>
      <c r="C295" s="39" t="s">
        <v>394</v>
      </c>
      <c r="D295" s="39">
        <f>(88.185)*10.764</f>
        <v>949.22334000000001</v>
      </c>
      <c r="E295" s="39">
        <f>(2.623)*10.764</f>
        <v>28.233972000000001</v>
      </c>
      <c r="F295" s="39">
        <f>D295+E295</f>
        <v>977.457312</v>
      </c>
      <c r="G295" s="39">
        <v>0</v>
      </c>
      <c r="H295" s="39">
        <f>F295*(($H$172)+1)+(IF(G295&lt;101,G295,IF(G295&lt;201,G295/2,IF(G295&lt;=301,G295/3,G295/4))))</f>
        <v>1466.185968</v>
      </c>
      <c r="I295" s="33"/>
      <c r="L295" s="112"/>
      <c r="M295" s="112"/>
      <c r="N295" s="33"/>
    </row>
    <row r="296" spans="1:20" s="34" customFormat="1" ht="15.75" customHeight="1" x14ac:dyDescent="0.25">
      <c r="A296" s="110">
        <f>A295+1</f>
        <v>2</v>
      </c>
      <c r="B296" s="111"/>
      <c r="C296" s="39" t="s">
        <v>394</v>
      </c>
      <c r="D296" s="39">
        <f>(88.185)*10.764</f>
        <v>949.22334000000001</v>
      </c>
      <c r="E296" s="39">
        <f>(2.623)*10.764</f>
        <v>28.233972000000001</v>
      </c>
      <c r="F296" s="39">
        <f>D296+E296</f>
        <v>977.457312</v>
      </c>
      <c r="G296" s="39">
        <v>0</v>
      </c>
      <c r="H296" s="39">
        <f>F296*(($H$172)+1)+(IF(G296&lt;101,G296,IF(G296&lt;201,G296/2,IF(G296&lt;=301,G296/3,G296/4))))</f>
        <v>1466.185968</v>
      </c>
      <c r="I296" s="33"/>
      <c r="L296" s="112"/>
      <c r="M296" s="112"/>
      <c r="N296" s="33"/>
    </row>
    <row r="297" spans="1:20" s="34" customFormat="1" ht="15.75" customHeight="1" x14ac:dyDescent="0.25">
      <c r="A297" s="110">
        <f t="shared" ref="A297:A300" si="21">A296+1</f>
        <v>3</v>
      </c>
      <c r="B297" s="111"/>
      <c r="C297" s="113" t="s">
        <v>451</v>
      </c>
      <c r="D297" s="113"/>
      <c r="E297" s="113"/>
      <c r="F297" s="113"/>
      <c r="G297" s="113"/>
      <c r="H297" s="113" t="s">
        <v>384</v>
      </c>
      <c r="I297" s="33"/>
      <c r="L297" s="112"/>
      <c r="M297" s="112"/>
      <c r="N297" s="33"/>
      <c r="T297" s="18"/>
    </row>
    <row r="298" spans="1:20" s="34" customFormat="1" ht="15.75" customHeight="1" x14ac:dyDescent="0.25">
      <c r="A298" s="110">
        <f t="shared" si="21"/>
        <v>4</v>
      </c>
      <c r="B298" s="111"/>
      <c r="C298" s="113"/>
      <c r="D298" s="113"/>
      <c r="E298" s="113"/>
      <c r="F298" s="113"/>
      <c r="G298" s="113"/>
      <c r="H298" s="113"/>
      <c r="I298" s="33"/>
      <c r="L298" s="112"/>
      <c r="M298" s="112"/>
      <c r="N298" s="33"/>
      <c r="T298" s="18"/>
    </row>
    <row r="299" spans="1:20" s="34" customFormat="1" ht="15.75" customHeight="1" x14ac:dyDescent="0.25">
      <c r="A299" s="110">
        <f t="shared" si="21"/>
        <v>5</v>
      </c>
      <c r="B299" s="111"/>
      <c r="C299" s="113"/>
      <c r="D299" s="113"/>
      <c r="E299" s="113"/>
      <c r="F299" s="113"/>
      <c r="G299" s="113"/>
      <c r="H299" s="113"/>
      <c r="I299" s="33"/>
      <c r="L299" s="112"/>
      <c r="M299" s="112"/>
      <c r="N299" s="33"/>
      <c r="T299" s="18"/>
    </row>
    <row r="300" spans="1:20" s="34" customFormat="1" ht="15.75" customHeight="1" x14ac:dyDescent="0.25">
      <c r="A300" s="110">
        <f t="shared" si="21"/>
        <v>6</v>
      </c>
      <c r="B300" s="111"/>
      <c r="C300" s="113"/>
      <c r="D300" s="113"/>
      <c r="E300" s="113"/>
      <c r="F300" s="113"/>
      <c r="G300" s="113"/>
      <c r="H300" s="113"/>
      <c r="I300" s="33"/>
      <c r="L300" s="112"/>
      <c r="M300" s="112"/>
      <c r="N300" s="33"/>
      <c r="T300" s="18"/>
    </row>
    <row r="301" spans="1:20" s="34" customFormat="1" x14ac:dyDescent="0.25">
      <c r="A301" s="107" t="s">
        <v>396</v>
      </c>
      <c r="B301" s="108"/>
      <c r="C301" s="108"/>
      <c r="D301" s="108"/>
      <c r="E301" s="108"/>
      <c r="F301" s="108"/>
      <c r="G301" s="108"/>
      <c r="H301" s="109"/>
      <c r="I301" s="74">
        <v>1</v>
      </c>
      <c r="J301" s="33"/>
    </row>
    <row r="302" spans="1:20" s="34" customFormat="1" ht="15.75" customHeight="1" x14ac:dyDescent="0.25">
      <c r="A302" s="110">
        <v>1</v>
      </c>
      <c r="B302" s="111"/>
      <c r="C302" s="39" t="s">
        <v>394</v>
      </c>
      <c r="D302" s="39">
        <f>(88.185)*10.764</f>
        <v>949.22334000000001</v>
      </c>
      <c r="E302" s="39">
        <f>(2.623)*10.764</f>
        <v>28.233972000000001</v>
      </c>
      <c r="F302" s="39">
        <f>D302+E302</f>
        <v>977.457312</v>
      </c>
      <c r="G302" s="39">
        <v>0</v>
      </c>
      <c r="H302" s="39">
        <f>F302*(($H$172)+1)+(IF(G302&lt;101,G302,IF(G302&lt;201,G302/2,IF(G302&lt;=301,G302/3,G302/4))))</f>
        <v>1466.185968</v>
      </c>
      <c r="I302" s="33"/>
      <c r="L302" s="112"/>
      <c r="M302" s="112"/>
      <c r="N302" s="33"/>
    </row>
    <row r="303" spans="1:20" s="34" customFormat="1" ht="15.75" customHeight="1" x14ac:dyDescent="0.25">
      <c r="A303" s="110">
        <f>A302+1</f>
        <v>2</v>
      </c>
      <c r="B303" s="111"/>
      <c r="C303" s="39" t="s">
        <v>394</v>
      </c>
      <c r="D303" s="39">
        <f>(88.185)*10.764</f>
        <v>949.22334000000001</v>
      </c>
      <c r="E303" s="39">
        <f>(2.623)*10.764</f>
        <v>28.233972000000001</v>
      </c>
      <c r="F303" s="39">
        <f>D303+E303</f>
        <v>977.457312</v>
      </c>
      <c r="G303" s="39">
        <v>0</v>
      </c>
      <c r="H303" s="39">
        <f>F303*(($H$172)+1)+(IF(G303&lt;101,G303,IF(G303&lt;201,G303/2,IF(G303&lt;=301,G303/3,G303/4))))</f>
        <v>1466.185968</v>
      </c>
      <c r="I303" s="33"/>
      <c r="L303" s="112"/>
      <c r="M303" s="112"/>
      <c r="N303" s="33"/>
    </row>
    <row r="304" spans="1:20" s="34" customFormat="1" ht="15.75" customHeight="1" x14ac:dyDescent="0.25">
      <c r="A304" s="110">
        <f>A303+1</f>
        <v>3</v>
      </c>
      <c r="B304" s="111"/>
      <c r="C304" s="39" t="s">
        <v>394</v>
      </c>
      <c r="D304" s="39">
        <f>(111.163)*10.764</f>
        <v>1196.5585319999998</v>
      </c>
      <c r="E304" s="39">
        <f>(7.341)*10.764</f>
        <v>79.018523999999999</v>
      </c>
      <c r="F304" s="39">
        <f>D304+E304</f>
        <v>1275.5770559999999</v>
      </c>
      <c r="G304" s="39">
        <v>0</v>
      </c>
      <c r="H304" s="39">
        <f>F304*(($H$172)+1)+(IF(G304&lt;101,G304,IF(G304&lt;201,G304/2,IF(G304&lt;=301,G304/3,G304/4))))</f>
        <v>1913.3655839999997</v>
      </c>
      <c r="I304" s="33"/>
      <c r="L304" s="112"/>
      <c r="M304" s="112"/>
      <c r="N304" s="33"/>
    </row>
    <row r="305" spans="1:20" s="34" customFormat="1" ht="15.75" customHeight="1" x14ac:dyDescent="0.25">
      <c r="A305" s="110">
        <f t="shared" ref="A305:A307" si="22">A304+1</f>
        <v>4</v>
      </c>
      <c r="B305" s="111"/>
      <c r="C305" s="98" t="s">
        <v>437</v>
      </c>
      <c r="D305" s="99"/>
      <c r="E305" s="99"/>
      <c r="F305" s="99"/>
      <c r="G305" s="100"/>
      <c r="H305" s="114" t="s">
        <v>384</v>
      </c>
      <c r="I305" s="33"/>
      <c r="L305" s="112"/>
      <c r="M305" s="112"/>
      <c r="N305" s="33"/>
    </row>
    <row r="306" spans="1:20" s="34" customFormat="1" ht="15.75" customHeight="1" x14ac:dyDescent="0.25">
      <c r="A306" s="110">
        <f t="shared" si="22"/>
        <v>5</v>
      </c>
      <c r="B306" s="111"/>
      <c r="C306" s="101"/>
      <c r="D306" s="102"/>
      <c r="E306" s="102"/>
      <c r="F306" s="102"/>
      <c r="G306" s="103"/>
      <c r="H306" s="115"/>
      <c r="I306" s="33"/>
      <c r="L306" s="112"/>
      <c r="M306" s="112"/>
      <c r="N306" s="33"/>
    </row>
    <row r="307" spans="1:20" s="34" customFormat="1" ht="15.75" customHeight="1" x14ac:dyDescent="0.25">
      <c r="A307" s="110">
        <f t="shared" si="22"/>
        <v>6</v>
      </c>
      <c r="B307" s="111"/>
      <c r="C307" s="113" t="s">
        <v>453</v>
      </c>
      <c r="D307" s="113"/>
      <c r="E307" s="113"/>
      <c r="F307" s="113"/>
      <c r="G307" s="113"/>
      <c r="H307" s="39" t="s">
        <v>384</v>
      </c>
      <c r="I307" s="33"/>
      <c r="L307" s="112"/>
      <c r="M307" s="112"/>
      <c r="N307" s="33"/>
      <c r="T307" s="18"/>
    </row>
    <row r="308" spans="1:20" s="34" customFormat="1" x14ac:dyDescent="0.25">
      <c r="A308" s="107" t="s">
        <v>389</v>
      </c>
      <c r="B308" s="108"/>
      <c r="C308" s="108"/>
      <c r="D308" s="108"/>
      <c r="E308" s="108"/>
      <c r="F308" s="108"/>
      <c r="G308" s="108"/>
      <c r="H308" s="109"/>
      <c r="I308" s="74">
        <v>1</v>
      </c>
      <c r="J308" s="33"/>
    </row>
    <row r="309" spans="1:20" s="34" customFormat="1" ht="15.75" customHeight="1" x14ac:dyDescent="0.25">
      <c r="A309" s="110">
        <v>1</v>
      </c>
      <c r="B309" s="111"/>
      <c r="C309" s="39" t="s">
        <v>394</v>
      </c>
      <c r="D309" s="39">
        <f>(88.185)*10.764</f>
        <v>949.22334000000001</v>
      </c>
      <c r="E309" s="39">
        <f>(2.623)*10.764</f>
        <v>28.233972000000001</v>
      </c>
      <c r="F309" s="39">
        <f>D309+E309</f>
        <v>977.457312</v>
      </c>
      <c r="G309" s="39">
        <v>0</v>
      </c>
      <c r="H309" s="39">
        <f>F309*(($H$172)+1)+(IF(G309&lt;101,G309,IF(G309&lt;201,G309/2,IF(G309&lt;=301,G309/3,G309/4))))</f>
        <v>1466.185968</v>
      </c>
      <c r="I309" s="33"/>
      <c r="L309" s="112"/>
      <c r="M309" s="112"/>
      <c r="N309" s="33"/>
    </row>
    <row r="310" spans="1:20" s="34" customFormat="1" ht="15.75" customHeight="1" x14ac:dyDescent="0.25">
      <c r="A310" s="110">
        <f>A309+1</f>
        <v>2</v>
      </c>
      <c r="B310" s="111"/>
      <c r="C310" s="39" t="s">
        <v>394</v>
      </c>
      <c r="D310" s="39">
        <f>(88.185)*10.764</f>
        <v>949.22334000000001</v>
      </c>
      <c r="E310" s="39">
        <f>(2.623)*10.764</f>
        <v>28.233972000000001</v>
      </c>
      <c r="F310" s="39">
        <f>D310+E310</f>
        <v>977.457312</v>
      </c>
      <c r="G310" s="39">
        <v>0</v>
      </c>
      <c r="H310" s="39">
        <f>F310*(($H$172)+1)+(IF(G310&lt;101,G310,IF(G310&lt;201,G310/2,IF(G310&lt;=301,G310/3,G310/4))))</f>
        <v>1466.185968</v>
      </c>
      <c r="I310" s="33"/>
      <c r="L310" s="112"/>
      <c r="M310" s="112"/>
      <c r="N310" s="33"/>
    </row>
    <row r="311" spans="1:20" s="34" customFormat="1" ht="15.75" customHeight="1" x14ac:dyDescent="0.25">
      <c r="A311" s="110">
        <f>A310+1</f>
        <v>3</v>
      </c>
      <c r="B311" s="111"/>
      <c r="C311" s="39" t="s">
        <v>394</v>
      </c>
      <c r="D311" s="39">
        <f>(111.163)*10.764</f>
        <v>1196.5585319999998</v>
      </c>
      <c r="E311" s="39">
        <f>(7.341)*10.764</f>
        <v>79.018523999999999</v>
      </c>
      <c r="F311" s="39">
        <f>D311+E311</f>
        <v>1275.5770559999999</v>
      </c>
      <c r="G311" s="39">
        <v>0</v>
      </c>
      <c r="H311" s="39">
        <f>F311*(($H$172)+1)+(IF(G311&lt;101,G311,IF(G311&lt;201,G311/2,IF(G311&lt;=301,G311/3,G311/4))))</f>
        <v>1913.3655839999997</v>
      </c>
      <c r="I311" s="33"/>
      <c r="L311" s="112"/>
      <c r="M311" s="112"/>
      <c r="N311" s="33"/>
    </row>
    <row r="312" spans="1:20" s="34" customFormat="1" ht="15.75" customHeight="1" x14ac:dyDescent="0.25">
      <c r="A312" s="110">
        <f>A311+1</f>
        <v>4</v>
      </c>
      <c r="B312" s="111"/>
      <c r="C312" s="98" t="s">
        <v>413</v>
      </c>
      <c r="D312" s="99"/>
      <c r="E312" s="99"/>
      <c r="F312" s="99"/>
      <c r="G312" s="100"/>
      <c r="H312" s="114" t="s">
        <v>384</v>
      </c>
      <c r="I312" s="33"/>
      <c r="L312" s="112"/>
      <c r="M312" s="112"/>
      <c r="N312" s="33"/>
      <c r="T312" s="18"/>
    </row>
    <row r="313" spans="1:20" s="34" customFormat="1" ht="15.75" customHeight="1" x14ac:dyDescent="0.25">
      <c r="A313" s="110">
        <f>A312+1</f>
        <v>5</v>
      </c>
      <c r="B313" s="111"/>
      <c r="C313" s="101"/>
      <c r="D313" s="102"/>
      <c r="E313" s="102"/>
      <c r="F313" s="102"/>
      <c r="G313" s="103"/>
      <c r="H313" s="115"/>
      <c r="I313" s="33"/>
      <c r="L313" s="112"/>
      <c r="M313" s="112"/>
      <c r="N313" s="33"/>
    </row>
    <row r="314" spans="1:20" s="34" customFormat="1" ht="15.75" customHeight="1" x14ac:dyDescent="0.25">
      <c r="A314" s="110">
        <f>A313+1</f>
        <v>6</v>
      </c>
      <c r="B314" s="111"/>
      <c r="C314" s="39" t="s">
        <v>394</v>
      </c>
      <c r="D314" s="39">
        <f>(111.163)*10.764</f>
        <v>1196.5585319999998</v>
      </c>
      <c r="E314" s="39">
        <f>(7.341)*10.764</f>
        <v>79.018523999999999</v>
      </c>
      <c r="F314" s="39">
        <f>D314+E314</f>
        <v>1275.5770559999999</v>
      </c>
      <c r="G314" s="39">
        <v>0</v>
      </c>
      <c r="H314" s="39">
        <f>F314*(($H$172)+1)+(IF(G314&lt;101,G314,IF(G314&lt;201,G314/2,IF(G314&lt;=301,G314/3,G314/4))))</f>
        <v>1913.3655839999997</v>
      </c>
      <c r="I314" s="33"/>
      <c r="L314" s="112"/>
      <c r="M314" s="112"/>
      <c r="N314" s="33"/>
      <c r="T314" s="18"/>
    </row>
    <row r="315" spans="1:20" s="34" customFormat="1" x14ac:dyDescent="0.25">
      <c r="A315" s="107" t="s">
        <v>397</v>
      </c>
      <c r="B315" s="108"/>
      <c r="C315" s="108"/>
      <c r="D315" s="108"/>
      <c r="E315" s="108"/>
      <c r="F315" s="108"/>
      <c r="G315" s="108"/>
      <c r="H315" s="109"/>
      <c r="I315" s="74">
        <f>1+4+3+3</f>
        <v>11</v>
      </c>
      <c r="J315" s="33"/>
    </row>
    <row r="316" spans="1:20" s="34" customFormat="1" ht="15.75" customHeight="1" x14ac:dyDescent="0.25">
      <c r="A316" s="110">
        <v>1</v>
      </c>
      <c r="B316" s="111"/>
      <c r="C316" s="39" t="s">
        <v>394</v>
      </c>
      <c r="D316" s="39">
        <f>(88.4)*10.764</f>
        <v>951.5376</v>
      </c>
      <c r="E316" s="39">
        <f>(2.623)*10.764</f>
        <v>28.233972000000001</v>
      </c>
      <c r="F316" s="39">
        <f t="shared" ref="F316:F321" si="23">D316+E316</f>
        <v>979.77157199999999</v>
      </c>
      <c r="G316" s="39">
        <v>0</v>
      </c>
      <c r="H316" s="39">
        <f t="shared" ref="H316:H321" si="24">F316*(($H$172)+1)+(IF(G316&lt;101,G316,IF(G316&lt;201,G316/2,IF(G316&lt;=301,G316/3,G316/4))))</f>
        <v>1469.6573579999999</v>
      </c>
      <c r="I316" s="33"/>
      <c r="L316" s="112"/>
      <c r="M316" s="112"/>
      <c r="N316" s="33"/>
    </row>
    <row r="317" spans="1:20" s="34" customFormat="1" ht="15.75" customHeight="1" x14ac:dyDescent="0.25">
      <c r="A317" s="110">
        <f>A316+1</f>
        <v>2</v>
      </c>
      <c r="B317" s="111"/>
      <c r="C317" s="39" t="s">
        <v>394</v>
      </c>
      <c r="D317" s="39">
        <f>(88.4)*10.764</f>
        <v>951.5376</v>
      </c>
      <c r="E317" s="39">
        <f>(2.623)*10.764</f>
        <v>28.233972000000001</v>
      </c>
      <c r="F317" s="39">
        <f t="shared" si="23"/>
        <v>979.77157199999999</v>
      </c>
      <c r="G317" s="39">
        <v>0</v>
      </c>
      <c r="H317" s="39">
        <f t="shared" si="24"/>
        <v>1469.6573579999999</v>
      </c>
      <c r="I317" s="33"/>
      <c r="L317" s="112"/>
      <c r="M317" s="112"/>
      <c r="N317" s="33"/>
    </row>
    <row r="318" spans="1:20" s="34" customFormat="1" ht="15.75" customHeight="1" x14ac:dyDescent="0.25">
      <c r="A318" s="110">
        <f>A317+1</f>
        <v>3</v>
      </c>
      <c r="B318" s="111"/>
      <c r="C318" s="39" t="s">
        <v>394</v>
      </c>
      <c r="D318" s="39">
        <f>(111.163)*10.764</f>
        <v>1196.5585319999998</v>
      </c>
      <c r="E318" s="39">
        <f>(7.341)*10.764</f>
        <v>79.018523999999999</v>
      </c>
      <c r="F318" s="39">
        <f t="shared" si="23"/>
        <v>1275.5770559999999</v>
      </c>
      <c r="G318" s="39">
        <v>0</v>
      </c>
      <c r="H318" s="39">
        <f t="shared" si="24"/>
        <v>1913.3655839999997</v>
      </c>
      <c r="I318" s="33"/>
      <c r="J318" s="34">
        <f>34500000/F318</f>
        <v>27046.582437117781</v>
      </c>
      <c r="L318" s="112"/>
      <c r="M318" s="112"/>
      <c r="N318" s="33"/>
    </row>
    <row r="319" spans="1:20" s="34" customFormat="1" ht="15.75" customHeight="1" x14ac:dyDescent="0.25">
      <c r="A319" s="110">
        <f>A318+1</f>
        <v>4</v>
      </c>
      <c r="B319" s="111"/>
      <c r="C319" s="39" t="s">
        <v>394</v>
      </c>
      <c r="D319" s="39">
        <f>(94.515)*10.764</f>
        <v>1017.3594599999999</v>
      </c>
      <c r="E319" s="39">
        <f>(6.723)*10.764</f>
        <v>72.366371999999998</v>
      </c>
      <c r="F319" s="39">
        <f t="shared" si="23"/>
        <v>1089.7258319999999</v>
      </c>
      <c r="G319" s="39">
        <v>0</v>
      </c>
      <c r="H319" s="39">
        <f t="shared" si="24"/>
        <v>1634.5887479999997</v>
      </c>
      <c r="I319" s="33"/>
      <c r="J319" s="34">
        <f>29700000/F319</f>
        <v>27254.561769441476</v>
      </c>
      <c r="L319" s="112"/>
      <c r="M319" s="112"/>
      <c r="N319" s="33"/>
      <c r="T319" s="18"/>
    </row>
    <row r="320" spans="1:20" s="34" customFormat="1" ht="15.75" customHeight="1" x14ac:dyDescent="0.25">
      <c r="A320" s="110">
        <f>A319+1</f>
        <v>5</v>
      </c>
      <c r="B320" s="111"/>
      <c r="C320" s="39" t="s">
        <v>394</v>
      </c>
      <c r="D320" s="39">
        <f>(94.515)*10.764</f>
        <v>1017.3594599999999</v>
      </c>
      <c r="E320" s="39">
        <f>(6.723)*10.764</f>
        <v>72.366371999999998</v>
      </c>
      <c r="F320" s="39">
        <f t="shared" si="23"/>
        <v>1089.7258319999999</v>
      </c>
      <c r="G320" s="39">
        <v>0</v>
      </c>
      <c r="H320" s="39">
        <f t="shared" si="24"/>
        <v>1634.5887479999997</v>
      </c>
      <c r="I320" s="33"/>
      <c r="L320" s="112"/>
      <c r="M320" s="112"/>
      <c r="N320" s="33"/>
    </row>
    <row r="321" spans="1:20" s="34" customFormat="1" ht="15.75" customHeight="1" x14ac:dyDescent="0.25">
      <c r="A321" s="110">
        <f>A320+1</f>
        <v>6</v>
      </c>
      <c r="B321" s="111"/>
      <c r="C321" s="39" t="s">
        <v>394</v>
      </c>
      <c r="D321" s="39">
        <f>(111.163)*10.764</f>
        <v>1196.5585319999998</v>
      </c>
      <c r="E321" s="39">
        <f>(7.341)*10.764</f>
        <v>79.018523999999999</v>
      </c>
      <c r="F321" s="39">
        <f t="shared" si="23"/>
        <v>1275.5770559999999</v>
      </c>
      <c r="G321" s="39">
        <v>0</v>
      </c>
      <c r="H321" s="39">
        <f t="shared" si="24"/>
        <v>1913.3655839999997</v>
      </c>
      <c r="I321" s="33"/>
      <c r="L321" s="112"/>
      <c r="M321" s="112"/>
      <c r="N321" s="33"/>
      <c r="T321" s="18"/>
    </row>
    <row r="322" spans="1:20" s="34" customFormat="1" x14ac:dyDescent="0.25">
      <c r="A322" s="107" t="s">
        <v>403</v>
      </c>
      <c r="B322" s="108"/>
      <c r="C322" s="108"/>
      <c r="D322" s="108"/>
      <c r="E322" s="108"/>
      <c r="F322" s="108"/>
      <c r="G322" s="108"/>
      <c r="H322" s="109"/>
      <c r="I322" s="74">
        <f>4</f>
        <v>4</v>
      </c>
      <c r="J322" s="33"/>
    </row>
    <row r="323" spans="1:20" s="34" customFormat="1" ht="15.75" customHeight="1" x14ac:dyDescent="0.25">
      <c r="A323" s="110">
        <v>1</v>
      </c>
      <c r="B323" s="111"/>
      <c r="C323" s="110" t="s">
        <v>404</v>
      </c>
      <c r="D323" s="120"/>
      <c r="E323" s="120"/>
      <c r="F323" s="120"/>
      <c r="G323" s="111"/>
      <c r="H323" s="39" t="s">
        <v>384</v>
      </c>
      <c r="I323" s="33"/>
      <c r="L323" s="112"/>
      <c r="M323" s="112"/>
      <c r="N323" s="33"/>
    </row>
    <row r="324" spans="1:20" s="34" customFormat="1" ht="15.75" customHeight="1" x14ac:dyDescent="0.25">
      <c r="A324" s="110">
        <f t="shared" ref="A324:A328" si="25">A323+1</f>
        <v>2</v>
      </c>
      <c r="B324" s="111"/>
      <c r="C324" s="39" t="s">
        <v>405</v>
      </c>
      <c r="D324" s="39">
        <f>(141.081)*10.764</f>
        <v>1518.5958839999998</v>
      </c>
      <c r="E324" s="39">
        <f>(5.245)*10.764</f>
        <v>56.457180000000001</v>
      </c>
      <c r="F324" s="39">
        <f t="shared" ref="F324:F328" si="26">D324+E324</f>
        <v>1575.0530639999999</v>
      </c>
      <c r="G324" s="39">
        <v>0</v>
      </c>
      <c r="H324" s="39">
        <f t="shared" ref="H324:H328" si="27">F324*(($H$172)+1)+(IF(G324&lt;101,G324,IF(G324&lt;201,G324/2,IF(G324&lt;=301,G324/3,G324/4))))</f>
        <v>2362.579596</v>
      </c>
      <c r="I324" s="33"/>
      <c r="L324" s="112"/>
      <c r="M324" s="112"/>
      <c r="N324" s="33"/>
    </row>
    <row r="325" spans="1:20" s="34" customFormat="1" ht="15.75" customHeight="1" x14ac:dyDescent="0.25">
      <c r="A325" s="110">
        <f t="shared" si="25"/>
        <v>3</v>
      </c>
      <c r="B325" s="111"/>
      <c r="C325" s="39" t="s">
        <v>394</v>
      </c>
      <c r="D325" s="39">
        <f>(111.163)*10.764</f>
        <v>1196.5585319999998</v>
      </c>
      <c r="E325" s="39">
        <f>(7.341)*10.764</f>
        <v>79.018523999999999</v>
      </c>
      <c r="F325" s="39">
        <f t="shared" si="26"/>
        <v>1275.5770559999999</v>
      </c>
      <c r="G325" s="39">
        <v>0</v>
      </c>
      <c r="H325" s="39">
        <f t="shared" si="27"/>
        <v>1913.3655839999997</v>
      </c>
      <c r="I325" s="33"/>
      <c r="L325" s="112"/>
      <c r="M325" s="112"/>
      <c r="N325" s="33"/>
    </row>
    <row r="326" spans="1:20" s="34" customFormat="1" ht="15.75" customHeight="1" x14ac:dyDescent="0.25">
      <c r="A326" s="110">
        <f t="shared" si="25"/>
        <v>4</v>
      </c>
      <c r="B326" s="111"/>
      <c r="C326" s="39" t="s">
        <v>394</v>
      </c>
      <c r="D326" s="39">
        <f>(94.515)*10.764</f>
        <v>1017.3594599999999</v>
      </c>
      <c r="E326" s="39">
        <f>(6.722)*10.764</f>
        <v>72.355608000000004</v>
      </c>
      <c r="F326" s="39">
        <f t="shared" si="26"/>
        <v>1089.715068</v>
      </c>
      <c r="G326" s="39">
        <v>0</v>
      </c>
      <c r="H326" s="39">
        <f t="shared" si="27"/>
        <v>1634.572602</v>
      </c>
      <c r="I326" s="33"/>
      <c r="L326" s="112"/>
      <c r="M326" s="112"/>
      <c r="N326" s="33"/>
      <c r="T326" s="18"/>
    </row>
    <row r="327" spans="1:20" s="34" customFormat="1" ht="15.75" customHeight="1" x14ac:dyDescent="0.25">
      <c r="A327" s="110">
        <f t="shared" si="25"/>
        <v>5</v>
      </c>
      <c r="B327" s="111"/>
      <c r="C327" s="39" t="s">
        <v>394</v>
      </c>
      <c r="D327" s="39">
        <f>(94.515)*10.764</f>
        <v>1017.3594599999999</v>
      </c>
      <c r="E327" s="39">
        <f>(6.722)*10.764</f>
        <v>72.355608000000004</v>
      </c>
      <c r="F327" s="39">
        <f t="shared" si="26"/>
        <v>1089.715068</v>
      </c>
      <c r="G327" s="39">
        <v>0</v>
      </c>
      <c r="H327" s="39">
        <f t="shared" si="27"/>
        <v>1634.572602</v>
      </c>
      <c r="I327" s="33"/>
      <c r="L327" s="112"/>
      <c r="M327" s="112"/>
      <c r="N327" s="33"/>
    </row>
    <row r="328" spans="1:20" s="34" customFormat="1" ht="15.75" customHeight="1" x14ac:dyDescent="0.25">
      <c r="A328" s="110">
        <f t="shared" si="25"/>
        <v>6</v>
      </c>
      <c r="B328" s="111"/>
      <c r="C328" s="39" t="s">
        <v>394</v>
      </c>
      <c r="D328" s="39">
        <f>(111.163)*10.764</f>
        <v>1196.5585319999998</v>
      </c>
      <c r="E328" s="39">
        <f>(7.341)*10.764</f>
        <v>79.018523999999999</v>
      </c>
      <c r="F328" s="39">
        <f t="shared" si="26"/>
        <v>1275.5770559999999</v>
      </c>
      <c r="G328" s="39">
        <v>0</v>
      </c>
      <c r="H328" s="39">
        <f t="shared" si="27"/>
        <v>1913.3655839999997</v>
      </c>
      <c r="I328" s="33"/>
      <c r="L328" s="112"/>
      <c r="M328" s="112"/>
      <c r="N328" s="33"/>
      <c r="T328" s="18"/>
    </row>
    <row r="329" spans="1:20" s="34" customFormat="1" x14ac:dyDescent="0.25">
      <c r="A329" s="107" t="s">
        <v>406</v>
      </c>
      <c r="B329" s="108"/>
      <c r="C329" s="108"/>
      <c r="D329" s="108"/>
      <c r="E329" s="108"/>
      <c r="F329" s="108"/>
      <c r="G329" s="108"/>
      <c r="H329" s="109"/>
      <c r="I329" s="74">
        <f>3+3+3</f>
        <v>9</v>
      </c>
      <c r="J329" s="33"/>
    </row>
    <row r="330" spans="1:20" s="34" customFormat="1" ht="15.75" customHeight="1" x14ac:dyDescent="0.25">
      <c r="A330" s="110">
        <v>1</v>
      </c>
      <c r="B330" s="111"/>
      <c r="C330" s="39" t="s">
        <v>394</v>
      </c>
      <c r="D330" s="39">
        <f>(88.661)*10.764</f>
        <v>954.34700399999997</v>
      </c>
      <c r="E330" s="39">
        <f>(2.623)*10.764</f>
        <v>28.233972000000001</v>
      </c>
      <c r="F330" s="39">
        <f t="shared" ref="F330:F335" si="28">D330+E330</f>
        <v>982.58097599999996</v>
      </c>
      <c r="G330" s="39">
        <v>0</v>
      </c>
      <c r="H330" s="39">
        <f t="shared" ref="H330:H335" si="29">F330*(($H$172)+1)+(IF(G330&lt;101,G330,IF(G330&lt;201,G330/2,IF(G330&lt;=301,G330/3,G330/4))))</f>
        <v>1473.8714639999998</v>
      </c>
      <c r="I330" s="33"/>
      <c r="L330" s="112"/>
      <c r="M330" s="112"/>
      <c r="N330" s="33"/>
    </row>
    <row r="331" spans="1:20" s="34" customFormat="1" ht="15.75" customHeight="1" x14ac:dyDescent="0.25">
      <c r="A331" s="110">
        <f t="shared" ref="A331:A335" si="30">A330+1</f>
        <v>2</v>
      </c>
      <c r="B331" s="111"/>
      <c r="C331" s="39" t="s">
        <v>394</v>
      </c>
      <c r="D331" s="39">
        <f>(88.661)*10.764</f>
        <v>954.34700399999997</v>
      </c>
      <c r="E331" s="39">
        <f>(2.623)*10.764</f>
        <v>28.233972000000001</v>
      </c>
      <c r="F331" s="39">
        <f t="shared" si="28"/>
        <v>982.58097599999996</v>
      </c>
      <c r="G331" s="39">
        <v>0</v>
      </c>
      <c r="H331" s="39">
        <f t="shared" si="29"/>
        <v>1473.8714639999998</v>
      </c>
      <c r="I331" s="33"/>
      <c r="L331" s="112"/>
      <c r="M331" s="112"/>
      <c r="N331" s="33"/>
    </row>
    <row r="332" spans="1:20" s="34" customFormat="1" ht="15.75" customHeight="1" x14ac:dyDescent="0.25">
      <c r="A332" s="110">
        <f t="shared" si="30"/>
        <v>3</v>
      </c>
      <c r="B332" s="111"/>
      <c r="C332" s="39" t="s">
        <v>394</v>
      </c>
      <c r="D332" s="39">
        <f>(111.764)*10.764</f>
        <v>1203.0276959999999</v>
      </c>
      <c r="E332" s="39">
        <f>(7.341)*10.764</f>
        <v>79.018523999999999</v>
      </c>
      <c r="F332" s="39">
        <f t="shared" si="28"/>
        <v>1282.0462199999999</v>
      </c>
      <c r="G332" s="39">
        <v>0</v>
      </c>
      <c r="H332" s="39">
        <f t="shared" si="29"/>
        <v>1923.0693299999998</v>
      </c>
      <c r="I332" s="33"/>
      <c r="L332" s="112"/>
      <c r="M332" s="112"/>
      <c r="N332" s="33"/>
    </row>
    <row r="333" spans="1:20" s="34" customFormat="1" ht="15.75" customHeight="1" x14ac:dyDescent="0.25">
      <c r="A333" s="110">
        <f t="shared" si="30"/>
        <v>4</v>
      </c>
      <c r="B333" s="111"/>
      <c r="C333" s="39" t="s">
        <v>394</v>
      </c>
      <c r="D333" s="39">
        <f>(94.985)*10.764</f>
        <v>1022.4185399999999</v>
      </c>
      <c r="E333" s="39">
        <f>(6.723)*10.764</f>
        <v>72.366371999999998</v>
      </c>
      <c r="F333" s="39">
        <f t="shared" si="28"/>
        <v>1094.7849119999998</v>
      </c>
      <c r="G333" s="39">
        <v>0</v>
      </c>
      <c r="H333" s="39">
        <f t="shared" si="29"/>
        <v>1642.1773679999997</v>
      </c>
      <c r="I333" s="33"/>
      <c r="L333" s="112"/>
      <c r="M333" s="112"/>
      <c r="N333" s="33"/>
      <c r="T333" s="18"/>
    </row>
    <row r="334" spans="1:20" s="34" customFormat="1" ht="15.75" customHeight="1" x14ac:dyDescent="0.25">
      <c r="A334" s="110">
        <f t="shared" si="30"/>
        <v>5</v>
      </c>
      <c r="B334" s="111"/>
      <c r="C334" s="39" t="s">
        <v>394</v>
      </c>
      <c r="D334" s="39">
        <f>(94.985)*10.764</f>
        <v>1022.4185399999999</v>
      </c>
      <c r="E334" s="39">
        <f>(6.723)*10.764</f>
        <v>72.366371999999998</v>
      </c>
      <c r="F334" s="39">
        <f t="shared" si="28"/>
        <v>1094.7849119999998</v>
      </c>
      <c r="G334" s="39">
        <v>0</v>
      </c>
      <c r="H334" s="39">
        <f t="shared" si="29"/>
        <v>1642.1773679999997</v>
      </c>
      <c r="I334" s="33"/>
      <c r="L334" s="112"/>
      <c r="M334" s="112"/>
      <c r="N334" s="33"/>
    </row>
    <row r="335" spans="1:20" s="34" customFormat="1" ht="15.75" customHeight="1" x14ac:dyDescent="0.25">
      <c r="A335" s="110">
        <f t="shared" si="30"/>
        <v>6</v>
      </c>
      <c r="B335" s="111"/>
      <c r="C335" s="39" t="s">
        <v>394</v>
      </c>
      <c r="D335" s="39">
        <f>(111.764)*10.764</f>
        <v>1203.0276959999999</v>
      </c>
      <c r="E335" s="39">
        <f>(7.341)*10.764</f>
        <v>79.018523999999999</v>
      </c>
      <c r="F335" s="39">
        <f t="shared" si="28"/>
        <v>1282.0462199999999</v>
      </c>
      <c r="G335" s="39">
        <v>0</v>
      </c>
      <c r="H335" s="39">
        <f t="shared" si="29"/>
        <v>1923.0693299999998</v>
      </c>
      <c r="I335" s="33"/>
      <c r="L335" s="112"/>
      <c r="M335" s="112"/>
      <c r="N335" s="33"/>
      <c r="T335" s="18"/>
    </row>
    <row r="336" spans="1:20" s="34" customFormat="1" x14ac:dyDescent="0.25">
      <c r="A336" s="107" t="s">
        <v>407</v>
      </c>
      <c r="B336" s="108"/>
      <c r="C336" s="108"/>
      <c r="D336" s="108"/>
      <c r="E336" s="108"/>
      <c r="F336" s="108"/>
      <c r="G336" s="108"/>
      <c r="H336" s="109"/>
      <c r="I336" s="74">
        <f>3</f>
        <v>3</v>
      </c>
      <c r="J336" s="33"/>
    </row>
    <row r="337" spans="1:20" s="34" customFormat="1" ht="15.75" customHeight="1" x14ac:dyDescent="0.25">
      <c r="A337" s="110">
        <v>1</v>
      </c>
      <c r="B337" s="111"/>
      <c r="C337" s="110" t="s">
        <v>404</v>
      </c>
      <c r="D337" s="120"/>
      <c r="E337" s="120"/>
      <c r="F337" s="120"/>
      <c r="G337" s="111"/>
      <c r="H337" s="39" t="s">
        <v>384</v>
      </c>
      <c r="I337" s="33"/>
      <c r="L337" s="112"/>
      <c r="M337" s="112"/>
      <c r="N337" s="33"/>
    </row>
    <row r="338" spans="1:20" s="34" customFormat="1" ht="15.75" customHeight="1" x14ac:dyDescent="0.25">
      <c r="A338" s="110">
        <f t="shared" ref="A338:A342" si="31">A337+1</f>
        <v>2</v>
      </c>
      <c r="B338" s="111"/>
      <c r="C338" s="39" t="s">
        <v>405</v>
      </c>
      <c r="D338" s="39">
        <f>(141.675)*10.764</f>
        <v>1524.9897000000001</v>
      </c>
      <c r="E338" s="39">
        <f>(5.245)*10.764</f>
        <v>56.457180000000001</v>
      </c>
      <c r="F338" s="39">
        <f t="shared" ref="F338:F342" si="32">D338+E338</f>
        <v>1581.4468800000002</v>
      </c>
      <c r="G338" s="39">
        <v>0</v>
      </c>
      <c r="H338" s="39">
        <f t="shared" ref="H338:H342" si="33">F338*(($H$172)+1)+(IF(G338&lt;101,G338,IF(G338&lt;201,G338/2,IF(G338&lt;=301,G338/3,G338/4))))</f>
        <v>2372.1703200000002</v>
      </c>
      <c r="I338" s="33"/>
      <c r="L338" s="112"/>
      <c r="M338" s="112"/>
      <c r="N338" s="33"/>
    </row>
    <row r="339" spans="1:20" s="34" customFormat="1" ht="15.75" customHeight="1" x14ac:dyDescent="0.25">
      <c r="A339" s="110">
        <f t="shared" si="31"/>
        <v>3</v>
      </c>
      <c r="B339" s="111"/>
      <c r="C339" s="39" t="s">
        <v>394</v>
      </c>
      <c r="D339" s="39">
        <f>(111.764)*10.764</f>
        <v>1203.0276959999999</v>
      </c>
      <c r="E339" s="39">
        <f>(7.341)*10.764</f>
        <v>79.018523999999999</v>
      </c>
      <c r="F339" s="39">
        <f t="shared" si="32"/>
        <v>1282.0462199999999</v>
      </c>
      <c r="G339" s="39">
        <v>0</v>
      </c>
      <c r="H339" s="39">
        <f t="shared" si="33"/>
        <v>1923.0693299999998</v>
      </c>
      <c r="I339" s="33"/>
      <c r="L339" s="112"/>
      <c r="M339" s="112"/>
      <c r="N339" s="33"/>
    </row>
    <row r="340" spans="1:20" s="34" customFormat="1" ht="15.75" customHeight="1" x14ac:dyDescent="0.25">
      <c r="A340" s="110">
        <f t="shared" si="31"/>
        <v>4</v>
      </c>
      <c r="B340" s="111"/>
      <c r="C340" s="39" t="s">
        <v>394</v>
      </c>
      <c r="D340" s="39">
        <f>(94.985)*10.764</f>
        <v>1022.4185399999999</v>
      </c>
      <c r="E340" s="39">
        <f>(6.723)*10.764</f>
        <v>72.366371999999998</v>
      </c>
      <c r="F340" s="39">
        <f t="shared" si="32"/>
        <v>1094.7849119999998</v>
      </c>
      <c r="G340" s="39">
        <v>0</v>
      </c>
      <c r="H340" s="39">
        <f t="shared" si="33"/>
        <v>1642.1773679999997</v>
      </c>
      <c r="I340" s="33"/>
      <c r="L340" s="112"/>
      <c r="M340" s="112"/>
      <c r="N340" s="33"/>
      <c r="T340" s="18"/>
    </row>
    <row r="341" spans="1:20" s="34" customFormat="1" ht="15.75" customHeight="1" x14ac:dyDescent="0.25">
      <c r="A341" s="110">
        <f t="shared" si="31"/>
        <v>5</v>
      </c>
      <c r="B341" s="111"/>
      <c r="C341" s="39" t="s">
        <v>394</v>
      </c>
      <c r="D341" s="39">
        <f>(94.985)*10.764</f>
        <v>1022.4185399999999</v>
      </c>
      <c r="E341" s="39">
        <f>(6.723)*10.764</f>
        <v>72.366371999999998</v>
      </c>
      <c r="F341" s="39">
        <f t="shared" si="32"/>
        <v>1094.7849119999998</v>
      </c>
      <c r="G341" s="39">
        <v>0</v>
      </c>
      <c r="H341" s="39">
        <f t="shared" si="33"/>
        <v>1642.1773679999997</v>
      </c>
      <c r="I341" s="33"/>
      <c r="L341" s="112"/>
      <c r="M341" s="112"/>
      <c r="N341" s="33"/>
    </row>
    <row r="342" spans="1:20" s="34" customFormat="1" ht="15.75" customHeight="1" x14ac:dyDescent="0.25">
      <c r="A342" s="110">
        <f t="shared" si="31"/>
        <v>6</v>
      </c>
      <c r="B342" s="111"/>
      <c r="C342" s="39" t="s">
        <v>394</v>
      </c>
      <c r="D342" s="39">
        <f>(111.764)*10.764</f>
        <v>1203.0276959999999</v>
      </c>
      <c r="E342" s="39">
        <f>(7.341)*10.764</f>
        <v>79.018523999999999</v>
      </c>
      <c r="F342" s="39">
        <f t="shared" si="32"/>
        <v>1282.0462199999999</v>
      </c>
      <c r="G342" s="39">
        <v>0</v>
      </c>
      <c r="H342" s="39">
        <f t="shared" si="33"/>
        <v>1923.0693299999998</v>
      </c>
      <c r="I342" s="33"/>
      <c r="L342" s="112"/>
      <c r="M342" s="112"/>
      <c r="N342" s="33"/>
      <c r="T342" s="18"/>
    </row>
    <row r="343" spans="1:20" s="34" customFormat="1" x14ac:dyDescent="0.25">
      <c r="A343" s="107" t="s">
        <v>408</v>
      </c>
      <c r="B343" s="108"/>
      <c r="C343" s="108"/>
      <c r="D343" s="108"/>
      <c r="E343" s="108"/>
      <c r="F343" s="108"/>
      <c r="G343" s="108"/>
      <c r="H343" s="109"/>
      <c r="I343" s="74">
        <f>3+3+3+3+4</f>
        <v>16</v>
      </c>
      <c r="J343" s="33"/>
    </row>
    <row r="344" spans="1:20" s="34" customFormat="1" ht="15.75" customHeight="1" x14ac:dyDescent="0.25">
      <c r="A344" s="110">
        <v>1</v>
      </c>
      <c r="B344" s="111"/>
      <c r="C344" s="39" t="s">
        <v>394</v>
      </c>
      <c r="D344" s="39">
        <f>(88.704)*10.764</f>
        <v>954.80985599999985</v>
      </c>
      <c r="E344" s="39">
        <f>(2.623)*10.764</f>
        <v>28.233972000000001</v>
      </c>
      <c r="F344" s="39">
        <f t="shared" ref="F344:F349" si="34">D344+E344</f>
        <v>983.04382799999985</v>
      </c>
      <c r="G344" s="39">
        <v>0</v>
      </c>
      <c r="H344" s="39">
        <f t="shared" ref="H344:H349" si="35">F344*(($H$172)+1)+(IF(G344&lt;101,G344,IF(G344&lt;201,G344/2,IF(G344&lt;=301,G344/3,G344/4))))</f>
        <v>1474.5657419999998</v>
      </c>
      <c r="I344" s="33"/>
      <c r="L344" s="112"/>
      <c r="M344" s="112"/>
      <c r="N344" s="33"/>
    </row>
    <row r="345" spans="1:20" s="34" customFormat="1" ht="15.75" customHeight="1" x14ac:dyDescent="0.25">
      <c r="A345" s="110">
        <f t="shared" ref="A345:A349" si="36">A344+1</f>
        <v>2</v>
      </c>
      <c r="B345" s="111"/>
      <c r="C345" s="39" t="s">
        <v>394</v>
      </c>
      <c r="D345" s="39">
        <f>(88.704)*10.764</f>
        <v>954.80985599999985</v>
      </c>
      <c r="E345" s="39">
        <f>(2.623)*10.764</f>
        <v>28.233972000000001</v>
      </c>
      <c r="F345" s="39">
        <f t="shared" si="34"/>
        <v>983.04382799999985</v>
      </c>
      <c r="G345" s="39">
        <v>0</v>
      </c>
      <c r="H345" s="39">
        <f t="shared" si="35"/>
        <v>1474.5657419999998</v>
      </c>
      <c r="I345" s="33"/>
      <c r="L345" s="112"/>
      <c r="M345" s="112"/>
      <c r="N345" s="33"/>
    </row>
    <row r="346" spans="1:20" s="34" customFormat="1" ht="15.75" customHeight="1" x14ac:dyDescent="0.25">
      <c r="A346" s="110">
        <f t="shared" si="36"/>
        <v>3</v>
      </c>
      <c r="B346" s="111"/>
      <c r="C346" s="39" t="s">
        <v>394</v>
      </c>
      <c r="D346" s="39">
        <f>(111.764)*10.764</f>
        <v>1203.0276959999999</v>
      </c>
      <c r="E346" s="39">
        <f>(7.341)*10.764</f>
        <v>79.018523999999999</v>
      </c>
      <c r="F346" s="39">
        <f t="shared" si="34"/>
        <v>1282.0462199999999</v>
      </c>
      <c r="G346" s="39">
        <v>0</v>
      </c>
      <c r="H346" s="39">
        <f t="shared" si="35"/>
        <v>1923.0693299999998</v>
      </c>
      <c r="I346" s="33"/>
      <c r="L346" s="112"/>
      <c r="M346" s="112"/>
      <c r="N346" s="33"/>
    </row>
    <row r="347" spans="1:20" s="34" customFormat="1" ht="15.75" customHeight="1" x14ac:dyDescent="0.25">
      <c r="A347" s="110">
        <f t="shared" si="36"/>
        <v>4</v>
      </c>
      <c r="B347" s="111"/>
      <c r="C347" s="39" t="s">
        <v>394</v>
      </c>
      <c r="D347" s="39">
        <f>(94.985)*10.764</f>
        <v>1022.4185399999999</v>
      </c>
      <c r="E347" s="39">
        <f>(6.723)*10.764</f>
        <v>72.366371999999998</v>
      </c>
      <c r="F347" s="39">
        <f t="shared" si="34"/>
        <v>1094.7849119999998</v>
      </c>
      <c r="G347" s="39">
        <v>0</v>
      </c>
      <c r="H347" s="39">
        <f t="shared" si="35"/>
        <v>1642.1773679999997</v>
      </c>
      <c r="I347" s="33"/>
      <c r="L347" s="112"/>
      <c r="M347" s="112"/>
      <c r="N347" s="33"/>
      <c r="T347" s="18"/>
    </row>
    <row r="348" spans="1:20" s="34" customFormat="1" ht="15.75" customHeight="1" x14ac:dyDescent="0.25">
      <c r="A348" s="110">
        <f t="shared" si="36"/>
        <v>5</v>
      </c>
      <c r="B348" s="111"/>
      <c r="C348" s="39" t="s">
        <v>394</v>
      </c>
      <c r="D348" s="39">
        <f>(94.985)*10.764</f>
        <v>1022.4185399999999</v>
      </c>
      <c r="E348" s="39">
        <f>(6.723)*10.764</f>
        <v>72.366371999999998</v>
      </c>
      <c r="F348" s="39">
        <f t="shared" si="34"/>
        <v>1094.7849119999998</v>
      </c>
      <c r="G348" s="39">
        <v>0</v>
      </c>
      <c r="H348" s="39">
        <f t="shared" si="35"/>
        <v>1642.1773679999997</v>
      </c>
      <c r="I348" s="33"/>
      <c r="L348" s="112"/>
      <c r="M348" s="112"/>
      <c r="N348" s="33"/>
    </row>
    <row r="349" spans="1:20" s="34" customFormat="1" ht="15.75" customHeight="1" x14ac:dyDescent="0.25">
      <c r="A349" s="110">
        <f t="shared" si="36"/>
        <v>6</v>
      </c>
      <c r="B349" s="111"/>
      <c r="C349" s="39" t="s">
        <v>394</v>
      </c>
      <c r="D349" s="39">
        <f>(111.764)*10.764</f>
        <v>1203.0276959999999</v>
      </c>
      <c r="E349" s="39">
        <f>(7.341)*10.764</f>
        <v>79.018523999999999</v>
      </c>
      <c r="F349" s="39">
        <f t="shared" si="34"/>
        <v>1282.0462199999999</v>
      </c>
      <c r="G349" s="39">
        <v>0</v>
      </c>
      <c r="H349" s="39">
        <f t="shared" si="35"/>
        <v>1923.0693299999998</v>
      </c>
      <c r="I349" s="33"/>
      <c r="L349" s="112"/>
      <c r="M349" s="112"/>
      <c r="N349" s="33"/>
      <c r="T349" s="18"/>
    </row>
    <row r="350" spans="1:20" s="34" customFormat="1" x14ac:dyDescent="0.25">
      <c r="A350" s="107" t="s">
        <v>409</v>
      </c>
      <c r="B350" s="108"/>
      <c r="C350" s="108"/>
      <c r="D350" s="108"/>
      <c r="E350" s="108"/>
      <c r="F350" s="108"/>
      <c r="G350" s="108"/>
      <c r="H350" s="109"/>
      <c r="I350" s="74">
        <f>4</f>
        <v>4</v>
      </c>
      <c r="J350" s="33"/>
    </row>
    <row r="351" spans="1:20" s="34" customFormat="1" ht="15.75" customHeight="1" x14ac:dyDescent="0.25">
      <c r="A351" s="110">
        <v>1</v>
      </c>
      <c r="B351" s="111"/>
      <c r="C351" s="110" t="s">
        <v>404</v>
      </c>
      <c r="D351" s="120"/>
      <c r="E351" s="120"/>
      <c r="F351" s="120"/>
      <c r="G351" s="111"/>
      <c r="H351" s="39" t="s">
        <v>384</v>
      </c>
      <c r="I351" s="33"/>
      <c r="L351" s="112"/>
      <c r="M351" s="112"/>
      <c r="N351" s="33"/>
    </row>
    <row r="352" spans="1:20" s="34" customFormat="1" ht="15.75" customHeight="1" x14ac:dyDescent="0.25">
      <c r="A352" s="110">
        <f t="shared" ref="A352:A356" si="37">A351+1</f>
        <v>2</v>
      </c>
      <c r="B352" s="111"/>
      <c r="C352" s="39" t="s">
        <v>405</v>
      </c>
      <c r="D352" s="39">
        <f>(141.762)*10.764</f>
        <v>1525.926168</v>
      </c>
      <c r="E352" s="39">
        <f>(5.245)*10.764</f>
        <v>56.457180000000001</v>
      </c>
      <c r="F352" s="39">
        <f t="shared" ref="F352:F356" si="38">D352+E352</f>
        <v>1582.3833480000001</v>
      </c>
      <c r="G352" s="39">
        <v>0</v>
      </c>
      <c r="H352" s="39">
        <f t="shared" ref="H352:H356" si="39">F352*(($H$172)+1)+(IF(G352&lt;101,G352,IF(G352&lt;201,G352/2,IF(G352&lt;=301,G352/3,G352/4))))</f>
        <v>2373.575022</v>
      </c>
      <c r="I352" s="33"/>
      <c r="L352" s="112"/>
      <c r="M352" s="112"/>
      <c r="N352" s="33"/>
    </row>
    <row r="353" spans="1:20" s="34" customFormat="1" ht="15.75" customHeight="1" x14ac:dyDescent="0.25">
      <c r="A353" s="110">
        <f t="shared" si="37"/>
        <v>3</v>
      </c>
      <c r="B353" s="111"/>
      <c r="C353" s="39" t="s">
        <v>394</v>
      </c>
      <c r="D353" s="39">
        <f>(111.764)*10.764</f>
        <v>1203.0276959999999</v>
      </c>
      <c r="E353" s="39">
        <f>(7.341)*10.764</f>
        <v>79.018523999999999</v>
      </c>
      <c r="F353" s="39">
        <f t="shared" si="38"/>
        <v>1282.0462199999999</v>
      </c>
      <c r="G353" s="39">
        <v>0</v>
      </c>
      <c r="H353" s="39">
        <f t="shared" si="39"/>
        <v>1923.0693299999998</v>
      </c>
      <c r="I353" s="33"/>
      <c r="L353" s="112"/>
      <c r="M353" s="112"/>
      <c r="N353" s="33"/>
    </row>
    <row r="354" spans="1:20" s="34" customFormat="1" ht="15.75" customHeight="1" x14ac:dyDescent="0.25">
      <c r="A354" s="110">
        <f t="shared" si="37"/>
        <v>4</v>
      </c>
      <c r="B354" s="111"/>
      <c r="C354" s="39" t="s">
        <v>394</v>
      </c>
      <c r="D354" s="39">
        <f>(94.985)*10.764</f>
        <v>1022.4185399999999</v>
      </c>
      <c r="E354" s="39">
        <f>(6.723)*10.764</f>
        <v>72.366371999999998</v>
      </c>
      <c r="F354" s="39">
        <f t="shared" si="38"/>
        <v>1094.7849119999998</v>
      </c>
      <c r="G354" s="39">
        <v>0</v>
      </c>
      <c r="H354" s="39">
        <f t="shared" si="39"/>
        <v>1642.1773679999997</v>
      </c>
      <c r="I354" s="33"/>
      <c r="L354" s="112"/>
      <c r="M354" s="112"/>
      <c r="N354" s="33"/>
      <c r="T354" s="18"/>
    </row>
    <row r="355" spans="1:20" s="34" customFormat="1" ht="15.75" customHeight="1" x14ac:dyDescent="0.25">
      <c r="A355" s="110">
        <f t="shared" si="37"/>
        <v>5</v>
      </c>
      <c r="B355" s="111"/>
      <c r="C355" s="39" t="s">
        <v>394</v>
      </c>
      <c r="D355" s="39">
        <f>(94.985)*10.764</f>
        <v>1022.4185399999999</v>
      </c>
      <c r="E355" s="39">
        <f>(6.723)*10.764</f>
        <v>72.366371999999998</v>
      </c>
      <c r="F355" s="39">
        <f t="shared" si="38"/>
        <v>1094.7849119999998</v>
      </c>
      <c r="G355" s="39">
        <v>0</v>
      </c>
      <c r="H355" s="39">
        <f t="shared" si="39"/>
        <v>1642.1773679999997</v>
      </c>
      <c r="I355" s="33"/>
      <c r="L355" s="112"/>
      <c r="M355" s="112"/>
      <c r="N355" s="39">
        <v>10.763999999999999</v>
      </c>
    </row>
    <row r="356" spans="1:20" s="34" customFormat="1" ht="15.75" customHeight="1" x14ac:dyDescent="0.25">
      <c r="A356" s="110">
        <f t="shared" si="37"/>
        <v>6</v>
      </c>
      <c r="B356" s="111"/>
      <c r="C356" s="39" t="s">
        <v>394</v>
      </c>
      <c r="D356" s="39">
        <f>(111.764)*10.764</f>
        <v>1203.0276959999999</v>
      </c>
      <c r="E356" s="39">
        <f>(7.341)*10.764</f>
        <v>79.018523999999999</v>
      </c>
      <c r="F356" s="39">
        <f t="shared" si="38"/>
        <v>1282.0462199999999</v>
      </c>
      <c r="G356" s="39">
        <v>0</v>
      </c>
      <c r="H356" s="39">
        <f t="shared" si="39"/>
        <v>1923.0693299999998</v>
      </c>
      <c r="I356" s="33"/>
      <c r="L356" s="112"/>
      <c r="M356" s="112"/>
      <c r="N356" s="33"/>
      <c r="T356" s="18"/>
    </row>
    <row r="357" spans="1:20" s="34" customFormat="1" x14ac:dyDescent="0.25">
      <c r="A357" s="107" t="s">
        <v>400</v>
      </c>
      <c r="B357" s="108"/>
      <c r="C357" s="108"/>
      <c r="D357" s="108"/>
      <c r="E357" s="108"/>
      <c r="F357" s="108"/>
      <c r="G357" s="108"/>
      <c r="H357" s="109"/>
      <c r="I357" s="74"/>
      <c r="J357" s="33"/>
    </row>
    <row r="358" spans="1:20" s="34" customFormat="1" x14ac:dyDescent="0.25">
      <c r="A358" s="107" t="s">
        <v>379</v>
      </c>
      <c r="B358" s="108"/>
      <c r="C358" s="108"/>
      <c r="D358" s="108"/>
      <c r="E358" s="108"/>
      <c r="F358" s="108"/>
      <c r="G358" s="108"/>
      <c r="H358" s="109"/>
      <c r="I358" s="74"/>
      <c r="J358" s="33"/>
    </row>
    <row r="359" spans="1:20" s="34" customFormat="1" x14ac:dyDescent="0.25">
      <c r="A359" s="107" t="s">
        <v>414</v>
      </c>
      <c r="B359" s="108"/>
      <c r="C359" s="108"/>
      <c r="D359" s="108"/>
      <c r="E359" s="108"/>
      <c r="F359" s="108"/>
      <c r="G359" s="108"/>
      <c r="H359" s="109"/>
      <c r="I359" s="74"/>
      <c r="J359" s="33"/>
    </row>
    <row r="360" spans="1:20" s="34" customFormat="1" x14ac:dyDescent="0.25">
      <c r="A360" s="107" t="s">
        <v>415</v>
      </c>
      <c r="B360" s="108"/>
      <c r="C360" s="108"/>
      <c r="D360" s="108"/>
      <c r="E360" s="108"/>
      <c r="F360" s="108"/>
      <c r="G360" s="108"/>
      <c r="H360" s="109"/>
      <c r="I360" s="74"/>
      <c r="J360" s="33"/>
    </row>
    <row r="361" spans="1:20" s="34" customFormat="1" x14ac:dyDescent="0.25">
      <c r="A361" s="107" t="s">
        <v>416</v>
      </c>
      <c r="B361" s="108"/>
      <c r="C361" s="108"/>
      <c r="D361" s="108"/>
      <c r="E361" s="108"/>
      <c r="F361" s="108"/>
      <c r="G361" s="108"/>
      <c r="H361" s="109"/>
      <c r="I361" s="74">
        <v>1</v>
      </c>
      <c r="J361" s="33"/>
    </row>
    <row r="362" spans="1:20" s="34" customFormat="1" ht="15.75" customHeight="1" x14ac:dyDescent="0.25">
      <c r="A362" s="110">
        <v>1</v>
      </c>
      <c r="B362" s="111"/>
      <c r="C362" s="39" t="s">
        <v>417</v>
      </c>
      <c r="D362" s="39">
        <f>(44.9)*10.764</f>
        <v>483.30359999999996</v>
      </c>
      <c r="E362" s="39">
        <v>0</v>
      </c>
      <c r="F362" s="39">
        <f t="shared" ref="F362:F364" si="40">D362+E362</f>
        <v>483.30359999999996</v>
      </c>
      <c r="G362" s="39">
        <f>(2.75*5)*10.764</f>
        <v>148.005</v>
      </c>
      <c r="H362" s="39">
        <f t="shared" ref="H362:H364" si="41">F362*(($H$172)+1)+(IF(G362&lt;101,G362,IF(G362&lt;201,G362/2,IF(G362&lt;=301,G362/3,G362/4))))</f>
        <v>798.95789999999988</v>
      </c>
      <c r="I362" s="33">
        <f>2.75*5.17+2.12*2.42+2.75*(3.05+3.05)+1.22*(2.12+2.12)+1.4*0.9</f>
        <v>42.555700000000002</v>
      </c>
      <c r="L362" s="112"/>
      <c r="M362" s="112"/>
      <c r="N362" s="33"/>
    </row>
    <row r="363" spans="1:20" s="34" customFormat="1" ht="15.75" customHeight="1" x14ac:dyDescent="0.25">
      <c r="A363" s="110">
        <f t="shared" ref="A363:A365" si="42">A362+1</f>
        <v>2</v>
      </c>
      <c r="B363" s="111"/>
      <c r="C363" s="39" t="s">
        <v>417</v>
      </c>
      <c r="D363" s="39">
        <f>(44.9)*10.764</f>
        <v>483.30359999999996</v>
      </c>
      <c r="E363" s="39">
        <v>0</v>
      </c>
      <c r="F363" s="39">
        <f t="shared" si="40"/>
        <v>483.30359999999996</v>
      </c>
      <c r="G363" s="39">
        <f>(2.75*5)*10.764</f>
        <v>148.005</v>
      </c>
      <c r="H363" s="39">
        <f t="shared" si="41"/>
        <v>798.95789999999988</v>
      </c>
      <c r="I363" s="33"/>
      <c r="L363" s="112"/>
      <c r="M363" s="112"/>
      <c r="N363" s="33"/>
    </row>
    <row r="364" spans="1:20" s="34" customFormat="1" ht="15.75" customHeight="1" x14ac:dyDescent="0.25">
      <c r="A364" s="110">
        <f t="shared" si="42"/>
        <v>3</v>
      </c>
      <c r="B364" s="111"/>
      <c r="C364" s="39" t="s">
        <v>417</v>
      </c>
      <c r="D364" s="39">
        <f>(60.55)*10.764</f>
        <v>651.76019999999994</v>
      </c>
      <c r="E364" s="39">
        <f>(2.32)*10.764</f>
        <v>24.972479999999997</v>
      </c>
      <c r="F364" s="39">
        <f t="shared" si="40"/>
        <v>676.73267999999996</v>
      </c>
      <c r="G364" s="39">
        <v>0</v>
      </c>
      <c r="H364" s="39">
        <f t="shared" si="41"/>
        <v>1015.0990199999999</v>
      </c>
      <c r="I364" s="33">
        <f>3.05*5.47+2.12*3.82+3.05*(3.05+4.04)+1.37*(2.27+2.27)+3*0.9+0.6*3.25</f>
        <v>57.276200000000003</v>
      </c>
      <c r="J364" s="75">
        <f>2*1.15</f>
        <v>2.2999999999999998</v>
      </c>
      <c r="L364" s="112"/>
      <c r="M364" s="112"/>
      <c r="N364" s="33"/>
    </row>
    <row r="365" spans="1:20" s="34" customFormat="1" ht="15.75" customHeight="1" x14ac:dyDescent="0.25">
      <c r="A365" s="110">
        <f t="shared" si="42"/>
        <v>4</v>
      </c>
      <c r="B365" s="111"/>
      <c r="C365" s="110" t="s">
        <v>418</v>
      </c>
      <c r="D365" s="120"/>
      <c r="E365" s="120"/>
      <c r="F365" s="120"/>
      <c r="G365" s="111"/>
      <c r="H365" s="39" t="s">
        <v>384</v>
      </c>
      <c r="I365" s="33"/>
      <c r="L365" s="112"/>
      <c r="M365" s="112"/>
      <c r="N365" s="33"/>
      <c r="T365" s="18"/>
    </row>
    <row r="366" spans="1:20" s="34" customFormat="1" ht="15.75" customHeight="1" x14ac:dyDescent="0.25">
      <c r="A366" s="110">
        <f t="shared" ref="A366:A369" si="43">A365+1</f>
        <v>5</v>
      </c>
      <c r="B366" s="111"/>
      <c r="C366" s="89" t="s">
        <v>385</v>
      </c>
      <c r="D366" s="90"/>
      <c r="E366" s="90"/>
      <c r="F366" s="90"/>
      <c r="G366" s="91"/>
      <c r="H366" s="114" t="s">
        <v>384</v>
      </c>
      <c r="I366" s="33"/>
      <c r="L366" s="112"/>
      <c r="M366" s="112"/>
      <c r="N366" s="33"/>
      <c r="T366" s="18"/>
    </row>
    <row r="367" spans="1:20" s="34" customFormat="1" ht="15.75" customHeight="1" x14ac:dyDescent="0.25">
      <c r="A367" s="110">
        <f t="shared" si="43"/>
        <v>6</v>
      </c>
      <c r="B367" s="111"/>
      <c r="C367" s="95"/>
      <c r="D367" s="96"/>
      <c r="E367" s="96"/>
      <c r="F367" s="96"/>
      <c r="G367" s="97"/>
      <c r="H367" s="115"/>
      <c r="I367" s="33"/>
      <c r="L367" s="112"/>
      <c r="M367" s="112"/>
      <c r="N367" s="33"/>
      <c r="T367" s="18"/>
    </row>
    <row r="368" spans="1:20" s="34" customFormat="1" ht="15.75" customHeight="1" x14ac:dyDescent="0.25">
      <c r="A368" s="110">
        <f t="shared" si="43"/>
        <v>7</v>
      </c>
      <c r="B368" s="111"/>
      <c r="C368" s="110" t="s">
        <v>419</v>
      </c>
      <c r="D368" s="120"/>
      <c r="E368" s="120"/>
      <c r="F368" s="120"/>
      <c r="G368" s="111"/>
      <c r="H368" s="39" t="s">
        <v>384</v>
      </c>
      <c r="I368" s="33"/>
      <c r="L368" s="112"/>
      <c r="M368" s="112"/>
      <c r="N368" s="33"/>
      <c r="T368" s="18"/>
    </row>
    <row r="369" spans="1:20" s="34" customFormat="1" ht="15.75" customHeight="1" x14ac:dyDescent="0.25">
      <c r="A369" s="110">
        <f t="shared" si="43"/>
        <v>8</v>
      </c>
      <c r="B369" s="111"/>
      <c r="C369" s="39" t="s">
        <v>417</v>
      </c>
      <c r="D369" s="39">
        <f>(60.55)*10.764</f>
        <v>651.76019999999994</v>
      </c>
      <c r="E369" s="39">
        <f>(2.32)*10.764</f>
        <v>24.972479999999997</v>
      </c>
      <c r="F369" s="39">
        <f t="shared" ref="F369" si="44">D369+E369</f>
        <v>676.73267999999996</v>
      </c>
      <c r="G369" s="39">
        <v>0</v>
      </c>
      <c r="H369" s="39">
        <f t="shared" ref="H369" si="45">F369*(($H$172)+1)+(IF(G369&lt;101,G369,IF(G369&lt;201,G369/2,IF(G369&lt;=301,G369/3,G369/4))))</f>
        <v>1015.0990199999999</v>
      </c>
      <c r="I369" s="87" t="s">
        <v>454</v>
      </c>
      <c r="J369" s="88"/>
      <c r="K369" s="88"/>
      <c r="L369" s="88"/>
      <c r="M369" s="88"/>
      <c r="N369" s="33"/>
      <c r="T369" s="18"/>
    </row>
    <row r="370" spans="1:20" s="34" customFormat="1" x14ac:dyDescent="0.25">
      <c r="A370" s="107" t="s">
        <v>117</v>
      </c>
      <c r="B370" s="108"/>
      <c r="C370" s="108"/>
      <c r="D370" s="108"/>
      <c r="E370" s="108"/>
      <c r="F370" s="108"/>
      <c r="G370" s="108"/>
      <c r="H370" s="109"/>
      <c r="I370" s="74">
        <v>1</v>
      </c>
      <c r="J370" s="33"/>
    </row>
    <row r="371" spans="1:20" s="34" customFormat="1" ht="15.75" customHeight="1" x14ac:dyDescent="0.25">
      <c r="A371" s="110">
        <v>1</v>
      </c>
      <c r="B371" s="111"/>
      <c r="C371" s="39" t="s">
        <v>417</v>
      </c>
      <c r="D371" s="39">
        <f>(44.9)*10.764</f>
        <v>483.30359999999996</v>
      </c>
      <c r="E371" s="39">
        <v>0</v>
      </c>
      <c r="F371" s="39">
        <f t="shared" ref="F371:F378" si="46">D371+E371</f>
        <v>483.30359999999996</v>
      </c>
      <c r="G371" s="39">
        <v>0</v>
      </c>
      <c r="H371" s="39">
        <f t="shared" ref="H371:H378" si="47">F371*(($H$172)+1)+(IF(G371&lt;101,G371,IF(G371&lt;201,G371/2,IF(G371&lt;=301,G371/3,G371/4))))</f>
        <v>724.95539999999994</v>
      </c>
      <c r="I371" s="33"/>
      <c r="J371" s="34">
        <f>11900000/F371</f>
        <v>24622.204345260412</v>
      </c>
      <c r="K371" s="34">
        <f>J371/1.5</f>
        <v>16414.802896840276</v>
      </c>
      <c r="L371" s="112"/>
      <c r="M371" s="112"/>
      <c r="N371" s="33"/>
    </row>
    <row r="372" spans="1:20" s="34" customFormat="1" ht="15.75" customHeight="1" x14ac:dyDescent="0.25">
      <c r="A372" s="110">
        <f t="shared" ref="A372:A373" si="48">A371+1</f>
        <v>2</v>
      </c>
      <c r="B372" s="111"/>
      <c r="C372" s="39" t="s">
        <v>417</v>
      </c>
      <c r="D372" s="39">
        <f>(44.9)*10.764</f>
        <v>483.30359999999996</v>
      </c>
      <c r="E372" s="39">
        <v>0</v>
      </c>
      <c r="F372" s="39">
        <f t="shared" si="46"/>
        <v>483.30359999999996</v>
      </c>
      <c r="G372" s="39">
        <v>0</v>
      </c>
      <c r="H372" s="39">
        <f t="shared" si="47"/>
        <v>724.95539999999994</v>
      </c>
      <c r="I372" s="33"/>
      <c r="J372" s="34">
        <f t="shared" ref="J372" si="49">11900000/F372</f>
        <v>24622.204345260412</v>
      </c>
      <c r="L372" s="112"/>
      <c r="M372" s="112"/>
      <c r="N372" s="33"/>
    </row>
    <row r="373" spans="1:20" s="34" customFormat="1" ht="15.75" customHeight="1" x14ac:dyDescent="0.25">
      <c r="A373" s="110">
        <f t="shared" si="48"/>
        <v>3</v>
      </c>
      <c r="B373" s="111"/>
      <c r="C373" s="39" t="s">
        <v>417</v>
      </c>
      <c r="D373" s="39">
        <f>(60.55)*10.764</f>
        <v>651.76019999999994</v>
      </c>
      <c r="E373" s="39">
        <f>(2.32)*10.764</f>
        <v>24.972479999999997</v>
      </c>
      <c r="F373" s="39">
        <f t="shared" si="46"/>
        <v>676.73267999999996</v>
      </c>
      <c r="G373" s="39">
        <v>0</v>
      </c>
      <c r="H373" s="39">
        <f t="shared" si="47"/>
        <v>1015.0990199999999</v>
      </c>
      <c r="I373" s="33"/>
      <c r="J373" s="34">
        <f>16600000/F373</f>
        <v>24529.626676223175</v>
      </c>
      <c r="L373" s="112"/>
      <c r="M373" s="112"/>
      <c r="N373" s="33"/>
    </row>
    <row r="374" spans="1:20" s="34" customFormat="1" ht="15.75" customHeight="1" x14ac:dyDescent="0.25">
      <c r="A374" s="110">
        <f>A373+1</f>
        <v>4</v>
      </c>
      <c r="B374" s="111"/>
      <c r="C374" s="89" t="s">
        <v>385</v>
      </c>
      <c r="D374" s="90"/>
      <c r="E374" s="90"/>
      <c r="F374" s="90"/>
      <c r="G374" s="91"/>
      <c r="H374" s="114" t="s">
        <v>384</v>
      </c>
      <c r="I374" s="33"/>
      <c r="L374" s="112"/>
      <c r="M374" s="112"/>
      <c r="N374" s="33"/>
      <c r="T374" s="18"/>
    </row>
    <row r="375" spans="1:20" s="34" customFormat="1" ht="15.75" customHeight="1" x14ac:dyDescent="0.25">
      <c r="A375" s="110">
        <f>A374+1</f>
        <v>5</v>
      </c>
      <c r="B375" s="111"/>
      <c r="C375" s="92"/>
      <c r="D375" s="93"/>
      <c r="E375" s="93"/>
      <c r="F375" s="93"/>
      <c r="G375" s="94"/>
      <c r="H375" s="116"/>
      <c r="I375" s="33"/>
      <c r="L375" s="112"/>
      <c r="M375" s="112"/>
      <c r="N375" s="33"/>
      <c r="T375" s="18"/>
    </row>
    <row r="376" spans="1:20" s="34" customFormat="1" ht="15.75" customHeight="1" x14ac:dyDescent="0.25">
      <c r="A376" s="110">
        <f t="shared" ref="A376:A378" si="50">A375+1</f>
        <v>6</v>
      </c>
      <c r="B376" s="111"/>
      <c r="C376" s="92"/>
      <c r="D376" s="93"/>
      <c r="E376" s="93"/>
      <c r="F376" s="93"/>
      <c r="G376" s="94"/>
      <c r="H376" s="116"/>
      <c r="I376" s="33"/>
      <c r="L376" s="112"/>
      <c r="M376" s="112"/>
      <c r="N376" s="33"/>
      <c r="T376" s="18"/>
    </row>
    <row r="377" spans="1:20" s="34" customFormat="1" ht="15.75" customHeight="1" x14ac:dyDescent="0.25">
      <c r="A377" s="110">
        <f t="shared" si="50"/>
        <v>7</v>
      </c>
      <c r="B377" s="111"/>
      <c r="C377" s="95"/>
      <c r="D377" s="96"/>
      <c r="E377" s="96"/>
      <c r="F377" s="96"/>
      <c r="G377" s="97"/>
      <c r="H377" s="115"/>
      <c r="I377" s="33"/>
      <c r="L377" s="112"/>
      <c r="M377" s="112"/>
      <c r="N377" s="33"/>
      <c r="T377" s="18"/>
    </row>
    <row r="378" spans="1:20" s="34" customFormat="1" ht="15.75" customHeight="1" x14ac:dyDescent="0.25">
      <c r="A378" s="110">
        <f t="shared" si="50"/>
        <v>8</v>
      </c>
      <c r="B378" s="111"/>
      <c r="C378" s="39" t="s">
        <v>417</v>
      </c>
      <c r="D378" s="39">
        <f>(60.55)*10.764</f>
        <v>651.76019999999994</v>
      </c>
      <c r="E378" s="39">
        <f>(2.32)*10.764</f>
        <v>24.972479999999997</v>
      </c>
      <c r="F378" s="39">
        <f t="shared" si="46"/>
        <v>676.73267999999996</v>
      </c>
      <c r="G378" s="39">
        <v>0</v>
      </c>
      <c r="H378" s="39">
        <f t="shared" si="47"/>
        <v>1015.0990199999999</v>
      </c>
      <c r="I378" s="33"/>
      <c r="L378" s="112"/>
      <c r="M378" s="112"/>
      <c r="N378" s="33"/>
      <c r="T378" s="18"/>
    </row>
    <row r="379" spans="1:20" s="34" customFormat="1" x14ac:dyDescent="0.25">
      <c r="A379" s="107" t="s">
        <v>396</v>
      </c>
      <c r="B379" s="108"/>
      <c r="C379" s="108"/>
      <c r="D379" s="108"/>
      <c r="E379" s="108"/>
      <c r="F379" s="108"/>
      <c r="G379" s="108"/>
      <c r="H379" s="109"/>
      <c r="I379" s="74">
        <v>1</v>
      </c>
      <c r="J379" s="33"/>
    </row>
    <row r="380" spans="1:20" s="34" customFormat="1" ht="15.75" customHeight="1" x14ac:dyDescent="0.25">
      <c r="A380" s="110">
        <v>1</v>
      </c>
      <c r="B380" s="111"/>
      <c r="C380" s="39" t="s">
        <v>417</v>
      </c>
      <c r="D380" s="39">
        <f>(44.9)*10.764</f>
        <v>483.30359999999996</v>
      </c>
      <c r="E380" s="39">
        <v>0</v>
      </c>
      <c r="F380" s="39">
        <f t="shared" ref="F380:F387" si="51">D380+E380</f>
        <v>483.30359999999996</v>
      </c>
      <c r="G380" s="39">
        <v>0</v>
      </c>
      <c r="H380" s="39">
        <f t="shared" ref="H380:H387" si="52">F380*(($H$172)+1)+(IF(G380&lt;101,G380,IF(G380&lt;201,G380/2,IF(G380&lt;=301,G380/3,G380/4))))</f>
        <v>724.95539999999994</v>
      </c>
      <c r="I380" s="33"/>
      <c r="L380" s="112"/>
      <c r="M380" s="112"/>
      <c r="N380" s="33"/>
    </row>
    <row r="381" spans="1:20" s="34" customFormat="1" ht="15.75" customHeight="1" x14ac:dyDescent="0.25">
      <c r="A381" s="110">
        <f t="shared" ref="A381:A387" si="53">A380+1</f>
        <v>2</v>
      </c>
      <c r="B381" s="111"/>
      <c r="C381" s="39" t="s">
        <v>417</v>
      </c>
      <c r="D381" s="39">
        <f>(44.9)*10.764</f>
        <v>483.30359999999996</v>
      </c>
      <c r="E381" s="39">
        <v>0</v>
      </c>
      <c r="F381" s="39">
        <f t="shared" si="51"/>
        <v>483.30359999999996</v>
      </c>
      <c r="G381" s="39">
        <v>0</v>
      </c>
      <c r="H381" s="39">
        <f t="shared" si="52"/>
        <v>724.95539999999994</v>
      </c>
      <c r="I381" s="33"/>
      <c r="L381" s="112"/>
      <c r="M381" s="112"/>
      <c r="N381" s="33"/>
    </row>
    <row r="382" spans="1:20" s="34" customFormat="1" ht="15.75" customHeight="1" x14ac:dyDescent="0.25">
      <c r="A382" s="110">
        <f t="shared" si="53"/>
        <v>3</v>
      </c>
      <c r="B382" s="111"/>
      <c r="C382" s="39" t="s">
        <v>417</v>
      </c>
      <c r="D382" s="39">
        <f>(60.55)*10.764</f>
        <v>651.76019999999994</v>
      </c>
      <c r="E382" s="39">
        <f>(2.32)*10.764</f>
        <v>24.972479999999997</v>
      </c>
      <c r="F382" s="39">
        <f t="shared" si="51"/>
        <v>676.73267999999996</v>
      </c>
      <c r="G382" s="39">
        <v>0</v>
      </c>
      <c r="H382" s="39">
        <f t="shared" si="52"/>
        <v>1015.0990199999999</v>
      </c>
      <c r="I382" s="33"/>
      <c r="L382" s="112"/>
      <c r="M382" s="112"/>
      <c r="N382" s="33"/>
    </row>
    <row r="383" spans="1:20" s="34" customFormat="1" ht="15.75" customHeight="1" x14ac:dyDescent="0.25">
      <c r="A383" s="110">
        <f t="shared" si="53"/>
        <v>4</v>
      </c>
      <c r="B383" s="111"/>
      <c r="C383" s="39" t="s">
        <v>417</v>
      </c>
      <c r="D383" s="39">
        <f>(60.55)*10.764</f>
        <v>651.76019999999994</v>
      </c>
      <c r="E383" s="39">
        <f>(2.32)*10.764</f>
        <v>24.972479999999997</v>
      </c>
      <c r="F383" s="39">
        <f t="shared" si="51"/>
        <v>676.73267999999996</v>
      </c>
      <c r="G383" s="39">
        <v>0</v>
      </c>
      <c r="H383" s="39">
        <f t="shared" si="52"/>
        <v>1015.0990199999999</v>
      </c>
      <c r="I383" s="33"/>
      <c r="L383" s="112"/>
      <c r="M383" s="112"/>
      <c r="N383" s="33"/>
      <c r="T383" s="18"/>
    </row>
    <row r="384" spans="1:20" s="34" customFormat="1" ht="15.75" customHeight="1" x14ac:dyDescent="0.25">
      <c r="A384" s="110">
        <f t="shared" si="53"/>
        <v>5</v>
      </c>
      <c r="B384" s="111"/>
      <c r="C384" s="98" t="s">
        <v>421</v>
      </c>
      <c r="D384" s="99"/>
      <c r="E384" s="99"/>
      <c r="F384" s="99"/>
      <c r="G384" s="100"/>
      <c r="H384" s="114" t="s">
        <v>384</v>
      </c>
      <c r="I384" s="33"/>
      <c r="L384" s="112"/>
      <c r="M384" s="112"/>
      <c r="N384" s="33"/>
    </row>
    <row r="385" spans="1:20" s="34" customFormat="1" ht="15.75" customHeight="1" x14ac:dyDescent="0.25">
      <c r="A385" s="110">
        <f t="shared" si="53"/>
        <v>6</v>
      </c>
      <c r="B385" s="111"/>
      <c r="C385" s="101"/>
      <c r="D385" s="102"/>
      <c r="E385" s="102"/>
      <c r="F385" s="102"/>
      <c r="G385" s="103"/>
      <c r="H385" s="115"/>
      <c r="I385" s="33"/>
      <c r="L385" s="112"/>
      <c r="M385" s="112"/>
      <c r="N385" s="33"/>
      <c r="T385" s="18"/>
    </row>
    <row r="386" spans="1:20" s="34" customFormat="1" x14ac:dyDescent="0.25">
      <c r="A386" s="113">
        <f t="shared" si="53"/>
        <v>7</v>
      </c>
      <c r="B386" s="113"/>
      <c r="C386" s="39" t="s">
        <v>417</v>
      </c>
      <c r="D386" s="39">
        <f>(60.55)*10.764</f>
        <v>651.76019999999994</v>
      </c>
      <c r="E386" s="39">
        <f>(2.32)*10.764</f>
        <v>24.972479999999997</v>
      </c>
      <c r="F386" s="39">
        <f t="shared" si="51"/>
        <v>676.73267999999996</v>
      </c>
      <c r="G386" s="39">
        <v>0</v>
      </c>
      <c r="H386" s="39">
        <f t="shared" si="52"/>
        <v>1015.0990199999999</v>
      </c>
      <c r="I386" s="33"/>
      <c r="N386" s="33"/>
    </row>
    <row r="387" spans="1:20" s="34" customFormat="1" x14ac:dyDescent="0.25">
      <c r="A387" s="113">
        <f t="shared" si="53"/>
        <v>8</v>
      </c>
      <c r="B387" s="113"/>
      <c r="C387" s="39" t="s">
        <v>417</v>
      </c>
      <c r="D387" s="39">
        <f>(60.55)*10.764</f>
        <v>651.76019999999994</v>
      </c>
      <c r="E387" s="39">
        <f>(2.32)*10.764</f>
        <v>24.972479999999997</v>
      </c>
      <c r="F387" s="39">
        <f t="shared" si="51"/>
        <v>676.73267999999996</v>
      </c>
      <c r="G387" s="39">
        <v>0</v>
      </c>
      <c r="H387" s="39">
        <f t="shared" si="52"/>
        <v>1015.0990199999999</v>
      </c>
      <c r="I387" s="33"/>
      <c r="N387" s="33"/>
    </row>
    <row r="388" spans="1:20" s="34" customFormat="1" x14ac:dyDescent="0.25">
      <c r="A388" s="107" t="s">
        <v>389</v>
      </c>
      <c r="B388" s="108"/>
      <c r="C388" s="108"/>
      <c r="D388" s="108"/>
      <c r="E388" s="108"/>
      <c r="F388" s="108"/>
      <c r="G388" s="108"/>
      <c r="H388" s="109"/>
      <c r="I388" s="74">
        <v>1</v>
      </c>
      <c r="J388" s="33"/>
    </row>
    <row r="389" spans="1:20" s="34" customFormat="1" ht="15.75" customHeight="1" x14ac:dyDescent="0.25">
      <c r="A389" s="110">
        <v>1</v>
      </c>
      <c r="B389" s="111"/>
      <c r="C389" s="39" t="s">
        <v>417</v>
      </c>
      <c r="D389" s="39">
        <f>(44.9)*10.764</f>
        <v>483.30359999999996</v>
      </c>
      <c r="E389" s="39">
        <v>0</v>
      </c>
      <c r="F389" s="39">
        <f t="shared" ref="F389:F396" si="54">D389+E389</f>
        <v>483.30359999999996</v>
      </c>
      <c r="G389" s="39">
        <v>0</v>
      </c>
      <c r="H389" s="39">
        <f t="shared" ref="H389:H396" si="55">F389*(($H$172)+1)+(IF(G389&lt;101,G389,IF(G389&lt;201,G389/2,IF(G389&lt;=301,G389/3,G389/4))))</f>
        <v>724.95539999999994</v>
      </c>
      <c r="I389" s="33"/>
      <c r="L389" s="112"/>
      <c r="M389" s="112"/>
      <c r="N389" s="33"/>
    </row>
    <row r="390" spans="1:20" s="34" customFormat="1" ht="15.75" customHeight="1" x14ac:dyDescent="0.25">
      <c r="A390" s="110">
        <f t="shared" ref="A390:A396" si="56">A389+1</f>
        <v>2</v>
      </c>
      <c r="B390" s="111"/>
      <c r="C390" s="39" t="s">
        <v>417</v>
      </c>
      <c r="D390" s="39">
        <f>(44.9)*10.764</f>
        <v>483.30359999999996</v>
      </c>
      <c r="E390" s="39">
        <v>0</v>
      </c>
      <c r="F390" s="39">
        <f t="shared" si="54"/>
        <v>483.30359999999996</v>
      </c>
      <c r="G390" s="39">
        <v>0</v>
      </c>
      <c r="H390" s="39">
        <f t="shared" si="55"/>
        <v>724.95539999999994</v>
      </c>
      <c r="I390" s="33"/>
      <c r="L390" s="112"/>
      <c r="M390" s="112"/>
      <c r="N390" s="33"/>
    </row>
    <row r="391" spans="1:20" s="34" customFormat="1" ht="15.75" customHeight="1" x14ac:dyDescent="0.25">
      <c r="A391" s="110">
        <f t="shared" si="56"/>
        <v>3</v>
      </c>
      <c r="B391" s="111"/>
      <c r="C391" s="39" t="s">
        <v>417</v>
      </c>
      <c r="D391" s="39">
        <f>(60.55)*10.764</f>
        <v>651.76019999999994</v>
      </c>
      <c r="E391" s="39">
        <f>(2.32)*10.764</f>
        <v>24.972479999999997</v>
      </c>
      <c r="F391" s="39">
        <f t="shared" si="54"/>
        <v>676.73267999999996</v>
      </c>
      <c r="G391" s="39">
        <v>0</v>
      </c>
      <c r="H391" s="39">
        <f t="shared" si="55"/>
        <v>1015.0990199999999</v>
      </c>
      <c r="I391" s="33"/>
      <c r="L391" s="112"/>
      <c r="M391" s="112"/>
      <c r="N391" s="33"/>
    </row>
    <row r="392" spans="1:20" s="34" customFormat="1" ht="15.75" customHeight="1" x14ac:dyDescent="0.25">
      <c r="A392" s="110">
        <f t="shared" si="56"/>
        <v>4</v>
      </c>
      <c r="B392" s="111"/>
      <c r="C392" s="39" t="s">
        <v>417</v>
      </c>
      <c r="D392" s="39">
        <f>(60.55)*10.764</f>
        <v>651.76019999999994</v>
      </c>
      <c r="E392" s="39">
        <f>(2.32)*10.764</f>
        <v>24.972479999999997</v>
      </c>
      <c r="F392" s="39">
        <f t="shared" si="54"/>
        <v>676.73267999999996</v>
      </c>
      <c r="G392" s="39">
        <v>0</v>
      </c>
      <c r="H392" s="39">
        <f t="shared" si="55"/>
        <v>1015.0990199999999</v>
      </c>
      <c r="I392" s="33"/>
      <c r="L392" s="112"/>
      <c r="M392" s="112"/>
      <c r="N392" s="33"/>
      <c r="T392" s="18"/>
    </row>
    <row r="393" spans="1:20" s="34" customFormat="1" ht="15.75" customHeight="1" x14ac:dyDescent="0.25">
      <c r="A393" s="110">
        <f t="shared" si="56"/>
        <v>5</v>
      </c>
      <c r="B393" s="111"/>
      <c r="C393" s="98" t="s">
        <v>422</v>
      </c>
      <c r="D393" s="99"/>
      <c r="E393" s="99"/>
      <c r="F393" s="99"/>
      <c r="G393" s="100"/>
      <c r="H393" s="114" t="s">
        <v>384</v>
      </c>
      <c r="I393" s="33"/>
      <c r="L393" s="112"/>
      <c r="M393" s="112"/>
      <c r="N393" s="33"/>
    </row>
    <row r="394" spans="1:20" s="34" customFormat="1" ht="15.75" customHeight="1" x14ac:dyDescent="0.25">
      <c r="A394" s="110">
        <f t="shared" si="56"/>
        <v>6</v>
      </c>
      <c r="B394" s="111"/>
      <c r="C394" s="101"/>
      <c r="D394" s="102"/>
      <c r="E394" s="102"/>
      <c r="F394" s="102"/>
      <c r="G394" s="103"/>
      <c r="H394" s="115"/>
      <c r="I394" s="33"/>
      <c r="L394" s="112"/>
      <c r="M394" s="112"/>
      <c r="N394" s="33"/>
      <c r="T394" s="18"/>
    </row>
    <row r="395" spans="1:20" s="34" customFormat="1" x14ac:dyDescent="0.25">
      <c r="A395" s="113">
        <f t="shared" si="56"/>
        <v>7</v>
      </c>
      <c r="B395" s="113"/>
      <c r="C395" s="39" t="s">
        <v>417</v>
      </c>
      <c r="D395" s="39">
        <f>(60.55)*10.764</f>
        <v>651.76019999999994</v>
      </c>
      <c r="E395" s="39">
        <f>(2.32)*10.764</f>
        <v>24.972479999999997</v>
      </c>
      <c r="F395" s="39">
        <f t="shared" si="54"/>
        <v>676.73267999999996</v>
      </c>
      <c r="G395" s="39">
        <v>0</v>
      </c>
      <c r="H395" s="39">
        <f t="shared" si="55"/>
        <v>1015.0990199999999</v>
      </c>
      <c r="I395" s="33"/>
      <c r="N395" s="33"/>
    </row>
    <row r="396" spans="1:20" s="34" customFormat="1" x14ac:dyDescent="0.25">
      <c r="A396" s="113">
        <f t="shared" si="56"/>
        <v>8</v>
      </c>
      <c r="B396" s="113"/>
      <c r="C396" s="39" t="s">
        <v>417</v>
      </c>
      <c r="D396" s="39">
        <f>(60.55)*10.764</f>
        <v>651.76019999999994</v>
      </c>
      <c r="E396" s="39">
        <f>(2.32)*10.764</f>
        <v>24.972479999999997</v>
      </c>
      <c r="F396" s="39">
        <f t="shared" si="54"/>
        <v>676.73267999999996</v>
      </c>
      <c r="G396" s="39">
        <v>0</v>
      </c>
      <c r="H396" s="39">
        <f t="shared" si="55"/>
        <v>1015.0990199999999</v>
      </c>
      <c r="I396" s="33"/>
      <c r="N396" s="33"/>
    </row>
    <row r="397" spans="1:20" s="34" customFormat="1" ht="30.75" customHeight="1" x14ac:dyDescent="0.25">
      <c r="A397" s="107" t="s">
        <v>473</v>
      </c>
      <c r="B397" s="108"/>
      <c r="C397" s="108"/>
      <c r="D397" s="108"/>
      <c r="E397" s="108"/>
      <c r="F397" s="108"/>
      <c r="G397" s="108"/>
      <c r="H397" s="109"/>
      <c r="I397" s="74">
        <f>2+4+4+4+4+4+4+4+4+1</f>
        <v>35</v>
      </c>
      <c r="J397" s="33"/>
    </row>
    <row r="398" spans="1:20" s="34" customFormat="1" ht="15.75" customHeight="1" x14ac:dyDescent="0.25">
      <c r="A398" s="110">
        <v>1</v>
      </c>
      <c r="B398" s="111"/>
      <c r="C398" s="39" t="s">
        <v>417</v>
      </c>
      <c r="D398" s="39">
        <f>(44.9)*10.764</f>
        <v>483.30359999999996</v>
      </c>
      <c r="E398" s="39">
        <v>0</v>
      </c>
      <c r="F398" s="39">
        <f t="shared" ref="F398:F405" si="57">D398+E398</f>
        <v>483.30359999999996</v>
      </c>
      <c r="G398" s="39">
        <v>0</v>
      </c>
      <c r="H398" s="39">
        <f t="shared" ref="H398:H405" si="58">F398*(($H$172)+1)+(IF(G398&lt;101,G398,IF(G398&lt;201,G398/2,IF(G398&lt;=301,G398/3,G398/4))))</f>
        <v>724.95539999999994</v>
      </c>
      <c r="I398" s="33"/>
      <c r="L398" s="112"/>
      <c r="M398" s="112"/>
      <c r="N398" s="33"/>
    </row>
    <row r="399" spans="1:20" s="34" customFormat="1" ht="15.75" customHeight="1" x14ac:dyDescent="0.25">
      <c r="A399" s="110">
        <f t="shared" ref="A399:A405" si="59">A398+1</f>
        <v>2</v>
      </c>
      <c r="B399" s="111"/>
      <c r="C399" s="39" t="s">
        <v>417</v>
      </c>
      <c r="D399" s="39">
        <f>(44.9)*10.764</f>
        <v>483.30359999999996</v>
      </c>
      <c r="E399" s="39">
        <v>0</v>
      </c>
      <c r="F399" s="39">
        <f t="shared" si="57"/>
        <v>483.30359999999996</v>
      </c>
      <c r="G399" s="39">
        <v>0</v>
      </c>
      <c r="H399" s="39">
        <f t="shared" si="58"/>
        <v>724.95539999999994</v>
      </c>
      <c r="I399" s="33"/>
      <c r="L399" s="112"/>
      <c r="M399" s="112"/>
      <c r="N399" s="33"/>
    </row>
    <row r="400" spans="1:20" s="34" customFormat="1" ht="15.75" customHeight="1" x14ac:dyDescent="0.25">
      <c r="A400" s="110">
        <f t="shared" si="59"/>
        <v>3</v>
      </c>
      <c r="B400" s="111"/>
      <c r="C400" s="39" t="s">
        <v>417</v>
      </c>
      <c r="D400" s="39">
        <f>(60.55)*10.764</f>
        <v>651.76019999999994</v>
      </c>
      <c r="E400" s="39">
        <f>(2.32)*10.764</f>
        <v>24.972479999999997</v>
      </c>
      <c r="F400" s="39">
        <f t="shared" si="57"/>
        <v>676.73267999999996</v>
      </c>
      <c r="G400" s="39">
        <v>0</v>
      </c>
      <c r="H400" s="39">
        <f t="shared" si="58"/>
        <v>1015.0990199999999</v>
      </c>
      <c r="I400" s="33"/>
      <c r="L400" s="112"/>
      <c r="M400" s="112"/>
      <c r="N400" s="33"/>
    </row>
    <row r="401" spans="1:20" s="34" customFormat="1" ht="15.75" customHeight="1" x14ac:dyDescent="0.25">
      <c r="A401" s="110">
        <f t="shared" si="59"/>
        <v>4</v>
      </c>
      <c r="B401" s="111"/>
      <c r="C401" s="39" t="s">
        <v>417</v>
      </c>
      <c r="D401" s="39">
        <f>(60.55)*10.764</f>
        <v>651.76019999999994</v>
      </c>
      <c r="E401" s="39">
        <f>(2.32)*10.764</f>
        <v>24.972479999999997</v>
      </c>
      <c r="F401" s="39">
        <f t="shared" si="57"/>
        <v>676.73267999999996</v>
      </c>
      <c r="G401" s="39">
        <v>0</v>
      </c>
      <c r="H401" s="39">
        <f t="shared" si="58"/>
        <v>1015.0990199999999</v>
      </c>
      <c r="I401" s="33"/>
      <c r="L401" s="112"/>
      <c r="M401" s="112"/>
      <c r="N401" s="33"/>
      <c r="T401" s="18"/>
    </row>
    <row r="402" spans="1:20" s="34" customFormat="1" ht="15.75" customHeight="1" x14ac:dyDescent="0.25">
      <c r="A402" s="110">
        <f t="shared" si="59"/>
        <v>5</v>
      </c>
      <c r="B402" s="111"/>
      <c r="C402" s="39" t="s">
        <v>417</v>
      </c>
      <c r="D402" s="39">
        <f>(67.62)*10.764</f>
        <v>727.86167999999998</v>
      </c>
      <c r="E402" s="39">
        <f>(2.62)*10.764</f>
        <v>28.20168</v>
      </c>
      <c r="F402" s="39">
        <f t="shared" si="57"/>
        <v>756.06335999999999</v>
      </c>
      <c r="G402" s="39">
        <v>0</v>
      </c>
      <c r="H402" s="39">
        <f t="shared" si="58"/>
        <v>1134.0950399999999</v>
      </c>
      <c r="I402" s="33">
        <f>3.05*6.28+2.45*3.65+3.05*(3.35+4.27)+1.37*2.27+1.55*2.42+1.25*2.4+1.75*1+1.65*1</f>
        <v>64.598399999999998</v>
      </c>
      <c r="J402" s="75">
        <f>18500000/F402</f>
        <v>24468.848748337707</v>
      </c>
      <c r="L402" s="112"/>
      <c r="M402" s="112"/>
      <c r="N402" s="33"/>
    </row>
    <row r="403" spans="1:20" s="34" customFormat="1" ht="15.75" customHeight="1" x14ac:dyDescent="0.25">
      <c r="A403" s="110">
        <f t="shared" si="59"/>
        <v>6</v>
      </c>
      <c r="B403" s="111"/>
      <c r="C403" s="39" t="s">
        <v>417</v>
      </c>
      <c r="D403" s="39">
        <f>(67.62)*10.764</f>
        <v>727.86167999999998</v>
      </c>
      <c r="E403" s="39">
        <f>(2.62)*10.764</f>
        <v>28.20168</v>
      </c>
      <c r="F403" s="39">
        <f t="shared" si="57"/>
        <v>756.06335999999999</v>
      </c>
      <c r="G403" s="39">
        <v>0</v>
      </c>
      <c r="H403" s="39">
        <f t="shared" si="58"/>
        <v>1134.0950399999999</v>
      </c>
      <c r="I403" s="33"/>
      <c r="L403" s="112"/>
      <c r="M403" s="112"/>
      <c r="N403" s="33"/>
      <c r="T403" s="18"/>
    </row>
    <row r="404" spans="1:20" s="34" customFormat="1" x14ac:dyDescent="0.25">
      <c r="A404" s="113">
        <f t="shared" si="59"/>
        <v>7</v>
      </c>
      <c r="B404" s="113"/>
      <c r="C404" s="39" t="s">
        <v>417</v>
      </c>
      <c r="D404" s="39">
        <f>(60.55)*10.764</f>
        <v>651.76019999999994</v>
      </c>
      <c r="E404" s="39">
        <f>(2.32)*10.764</f>
        <v>24.972479999999997</v>
      </c>
      <c r="F404" s="39">
        <f t="shared" si="57"/>
        <v>676.73267999999996</v>
      </c>
      <c r="G404" s="39">
        <v>0</v>
      </c>
      <c r="H404" s="39">
        <f t="shared" si="58"/>
        <v>1015.0990199999999</v>
      </c>
      <c r="I404" s="33"/>
      <c r="N404" s="33"/>
    </row>
    <row r="405" spans="1:20" s="34" customFormat="1" x14ac:dyDescent="0.25">
      <c r="A405" s="113">
        <f t="shared" si="59"/>
        <v>8</v>
      </c>
      <c r="B405" s="113"/>
      <c r="C405" s="39" t="s">
        <v>417</v>
      </c>
      <c r="D405" s="39">
        <f>(60.55)*10.764</f>
        <v>651.76019999999994</v>
      </c>
      <c r="E405" s="39">
        <f>(2.32)*10.764</f>
        <v>24.972479999999997</v>
      </c>
      <c r="F405" s="39">
        <f t="shared" si="57"/>
        <v>676.73267999999996</v>
      </c>
      <c r="G405" s="39">
        <v>0</v>
      </c>
      <c r="H405" s="39">
        <f t="shared" si="58"/>
        <v>1015.0990199999999</v>
      </c>
      <c r="I405" s="33"/>
      <c r="N405" s="33"/>
    </row>
    <row r="406" spans="1:20" s="34" customFormat="1" x14ac:dyDescent="0.25">
      <c r="A406" s="107" t="s">
        <v>423</v>
      </c>
      <c r="B406" s="108"/>
      <c r="C406" s="108"/>
      <c r="D406" s="108"/>
      <c r="E406" s="108"/>
      <c r="F406" s="108"/>
      <c r="G406" s="108"/>
      <c r="H406" s="109"/>
      <c r="I406" s="74">
        <v>2</v>
      </c>
      <c r="J406" s="33"/>
    </row>
    <row r="407" spans="1:20" s="34" customFormat="1" ht="15.75" customHeight="1" x14ac:dyDescent="0.25">
      <c r="A407" s="110">
        <v>1</v>
      </c>
      <c r="B407" s="111"/>
      <c r="C407" s="110" t="s">
        <v>404</v>
      </c>
      <c r="D407" s="120"/>
      <c r="E407" s="120"/>
      <c r="F407" s="120"/>
      <c r="G407" s="111"/>
      <c r="H407" s="39" t="s">
        <v>384</v>
      </c>
      <c r="I407" s="33"/>
      <c r="L407" s="112"/>
      <c r="M407" s="112"/>
      <c r="N407" s="33"/>
    </row>
    <row r="408" spans="1:20" s="34" customFormat="1" ht="15.75" customHeight="1" x14ac:dyDescent="0.25">
      <c r="A408" s="110">
        <f t="shared" ref="A408:A414" si="60">A407+1</f>
        <v>2</v>
      </c>
      <c r="B408" s="111"/>
      <c r="C408" s="39" t="s">
        <v>417</v>
      </c>
      <c r="D408" s="39">
        <f>(44.9)*10.764</f>
        <v>483.30359999999996</v>
      </c>
      <c r="E408" s="39">
        <v>0</v>
      </c>
      <c r="F408" s="39">
        <f t="shared" ref="F408" si="61">D408+E408</f>
        <v>483.30359999999996</v>
      </c>
      <c r="G408" s="39">
        <v>0</v>
      </c>
      <c r="H408" s="39">
        <f t="shared" ref="H408:H414" si="62">F408*(($H$172)+1)+(IF(G408&lt;101,G408,IF(G408&lt;201,G408/2,IF(G408&lt;=301,G408/3,G408/4))))</f>
        <v>724.95539999999994</v>
      </c>
      <c r="I408" s="33"/>
      <c r="L408" s="112"/>
      <c r="M408" s="112"/>
      <c r="N408" s="33"/>
    </row>
    <row r="409" spans="1:20" s="34" customFormat="1" ht="15.75" customHeight="1" x14ac:dyDescent="0.25">
      <c r="A409" s="110">
        <f t="shared" si="60"/>
        <v>3</v>
      </c>
      <c r="B409" s="111"/>
      <c r="C409" s="39" t="s">
        <v>417</v>
      </c>
      <c r="D409" s="39">
        <f>(60.55)*10.764</f>
        <v>651.76019999999994</v>
      </c>
      <c r="E409" s="39">
        <f>(2.32)*10.764</f>
        <v>24.972479999999997</v>
      </c>
      <c r="F409" s="39">
        <f t="shared" ref="F409:F414" si="63">D409+E409</f>
        <v>676.73267999999996</v>
      </c>
      <c r="G409" s="39">
        <v>0</v>
      </c>
      <c r="H409" s="39">
        <f t="shared" si="62"/>
        <v>1015.0990199999999</v>
      </c>
      <c r="I409" s="33"/>
      <c r="L409" s="112"/>
      <c r="M409" s="112"/>
      <c r="N409" s="33"/>
    </row>
    <row r="410" spans="1:20" s="34" customFormat="1" ht="15.75" customHeight="1" x14ac:dyDescent="0.25">
      <c r="A410" s="110">
        <f t="shared" si="60"/>
        <v>4</v>
      </c>
      <c r="B410" s="111"/>
      <c r="C410" s="39" t="s">
        <v>417</v>
      </c>
      <c r="D410" s="39">
        <f>(60.55)*10.764</f>
        <v>651.76019999999994</v>
      </c>
      <c r="E410" s="39">
        <f>(2.32)*10.764</f>
        <v>24.972479999999997</v>
      </c>
      <c r="F410" s="39">
        <f t="shared" si="63"/>
        <v>676.73267999999996</v>
      </c>
      <c r="G410" s="39">
        <v>0</v>
      </c>
      <c r="H410" s="39">
        <f t="shared" si="62"/>
        <v>1015.0990199999999</v>
      </c>
      <c r="I410" s="33"/>
      <c r="L410" s="112"/>
      <c r="M410" s="112"/>
      <c r="N410" s="33"/>
      <c r="T410" s="18"/>
    </row>
    <row r="411" spans="1:20" s="34" customFormat="1" ht="15.75" customHeight="1" x14ac:dyDescent="0.25">
      <c r="A411" s="110">
        <f t="shared" si="60"/>
        <v>5</v>
      </c>
      <c r="B411" s="111"/>
      <c r="C411" s="39" t="s">
        <v>417</v>
      </c>
      <c r="D411" s="39">
        <f>(67.62)*10.764</f>
        <v>727.86167999999998</v>
      </c>
      <c r="E411" s="39">
        <f>(2.62)*10.764</f>
        <v>28.20168</v>
      </c>
      <c r="F411" s="39">
        <f t="shared" si="63"/>
        <v>756.06335999999999</v>
      </c>
      <c r="G411" s="39">
        <v>0</v>
      </c>
      <c r="H411" s="39">
        <f t="shared" si="62"/>
        <v>1134.0950399999999</v>
      </c>
      <c r="I411" s="33"/>
      <c r="L411" s="112"/>
      <c r="M411" s="112"/>
      <c r="N411" s="33"/>
    </row>
    <row r="412" spans="1:20" s="34" customFormat="1" ht="15.75" customHeight="1" x14ac:dyDescent="0.25">
      <c r="A412" s="110">
        <f t="shared" si="60"/>
        <v>6</v>
      </c>
      <c r="B412" s="111"/>
      <c r="C412" s="39" t="s">
        <v>417</v>
      </c>
      <c r="D412" s="39">
        <f>(67.62)*10.764</f>
        <v>727.86167999999998</v>
      </c>
      <c r="E412" s="39">
        <f>(2.62)*10.764</f>
        <v>28.20168</v>
      </c>
      <c r="F412" s="39">
        <f t="shared" si="63"/>
        <v>756.06335999999999</v>
      </c>
      <c r="G412" s="39">
        <v>0</v>
      </c>
      <c r="H412" s="39">
        <f t="shared" si="62"/>
        <v>1134.0950399999999</v>
      </c>
      <c r="I412" s="33"/>
      <c r="L412" s="112"/>
      <c r="M412" s="112"/>
      <c r="N412" s="33"/>
      <c r="T412" s="18"/>
    </row>
    <row r="413" spans="1:20" s="34" customFormat="1" x14ac:dyDescent="0.25">
      <c r="A413" s="113">
        <f t="shared" si="60"/>
        <v>7</v>
      </c>
      <c r="B413" s="113"/>
      <c r="C413" s="39" t="s">
        <v>417</v>
      </c>
      <c r="D413" s="39">
        <f>(60.55)*10.764</f>
        <v>651.76019999999994</v>
      </c>
      <c r="E413" s="39">
        <f>(2.32)*10.764</f>
        <v>24.972479999999997</v>
      </c>
      <c r="F413" s="39">
        <f t="shared" si="63"/>
        <v>676.73267999999996</v>
      </c>
      <c r="G413" s="39">
        <v>0</v>
      </c>
      <c r="H413" s="39">
        <f t="shared" si="62"/>
        <v>1015.0990199999999</v>
      </c>
      <c r="I413" s="33"/>
      <c r="N413" s="33"/>
    </row>
    <row r="414" spans="1:20" s="34" customFormat="1" x14ac:dyDescent="0.25">
      <c r="A414" s="113">
        <f t="shared" si="60"/>
        <v>8</v>
      </c>
      <c r="B414" s="113"/>
      <c r="C414" s="39" t="s">
        <v>417</v>
      </c>
      <c r="D414" s="39">
        <f>(60.55)*10.764</f>
        <v>651.76019999999994</v>
      </c>
      <c r="E414" s="39">
        <f>(2.32)*10.764</f>
        <v>24.972479999999997</v>
      </c>
      <c r="F414" s="39">
        <f t="shared" si="63"/>
        <v>676.73267999999996</v>
      </c>
      <c r="G414" s="39">
        <v>0</v>
      </c>
      <c r="H414" s="39">
        <f t="shared" si="62"/>
        <v>1015.0990199999999</v>
      </c>
      <c r="I414" s="33"/>
      <c r="N414" s="33"/>
    </row>
    <row r="415" spans="1:20" s="34" customFormat="1" x14ac:dyDescent="0.25">
      <c r="A415" s="121" t="s">
        <v>424</v>
      </c>
      <c r="B415" s="122"/>
      <c r="C415" s="122"/>
      <c r="D415" s="122"/>
      <c r="E415" s="122"/>
      <c r="F415" s="122"/>
      <c r="G415" s="122"/>
      <c r="H415" s="123"/>
      <c r="I415" s="74">
        <v>6</v>
      </c>
      <c r="J415" s="33"/>
    </row>
    <row r="416" spans="1:20" s="34" customFormat="1" ht="15.75" customHeight="1" x14ac:dyDescent="0.25">
      <c r="A416" s="110">
        <v>1</v>
      </c>
      <c r="B416" s="111"/>
      <c r="C416" s="110" t="s">
        <v>404</v>
      </c>
      <c r="D416" s="120"/>
      <c r="E416" s="120"/>
      <c r="F416" s="120"/>
      <c r="G416" s="111"/>
      <c r="H416" s="39" t="s">
        <v>384</v>
      </c>
      <c r="I416" s="33">
        <f>5.62*2.96+2.12*2.425+2.75*(3.05+3.05+3.05)+1.22*(2.12+2.12+2.12)+1.4*0.9+2.75*2.68+1.05*1</f>
        <v>64.377899999999997</v>
      </c>
      <c r="L416" s="112"/>
      <c r="M416" s="112"/>
      <c r="N416" s="33"/>
    </row>
    <row r="417" spans="1:20" s="34" customFormat="1" ht="15.75" customHeight="1" x14ac:dyDescent="0.25">
      <c r="A417" s="110">
        <f t="shared" ref="A417:A423" si="64">A416+1</f>
        <v>2</v>
      </c>
      <c r="B417" s="111"/>
      <c r="C417" s="39" t="s">
        <v>394</v>
      </c>
      <c r="D417" s="39">
        <f>66.26*10.764</f>
        <v>713.22263999999996</v>
      </c>
      <c r="E417" s="39">
        <v>0</v>
      </c>
      <c r="F417" s="39">
        <f>D417+E417</f>
        <v>713.22263999999996</v>
      </c>
      <c r="G417" s="39">
        <v>0</v>
      </c>
      <c r="H417" s="39">
        <f t="shared" ref="H417:H423" si="65">F417*(($H$172)+1)+(IF(G417&lt;101,G417,IF(G417&lt;201,G417/2,IF(G417&lt;=301,G417/3,G417/4))))</f>
        <v>1069.8339599999999</v>
      </c>
      <c r="I417" s="33"/>
      <c r="L417" s="112"/>
      <c r="M417" s="112"/>
      <c r="N417" s="33"/>
    </row>
    <row r="418" spans="1:20" s="34" customFormat="1" ht="15.75" customHeight="1" x14ac:dyDescent="0.25">
      <c r="A418" s="110">
        <f t="shared" si="64"/>
        <v>3</v>
      </c>
      <c r="B418" s="111"/>
      <c r="C418" s="39" t="s">
        <v>417</v>
      </c>
      <c r="D418" s="39">
        <f>(60.55)*10.764</f>
        <v>651.76019999999994</v>
      </c>
      <c r="E418" s="39">
        <f>(2.32)*10.764</f>
        <v>24.972479999999997</v>
      </c>
      <c r="F418" s="39">
        <f>D418+E418</f>
        <v>676.73267999999996</v>
      </c>
      <c r="G418" s="39">
        <v>0</v>
      </c>
      <c r="H418" s="39">
        <f t="shared" si="65"/>
        <v>1015.0990199999999</v>
      </c>
      <c r="I418" s="33"/>
      <c r="L418" s="112"/>
      <c r="M418" s="112"/>
      <c r="N418" s="33"/>
    </row>
    <row r="419" spans="1:20" s="34" customFormat="1" ht="15.75" customHeight="1" x14ac:dyDescent="0.25">
      <c r="A419" s="110">
        <f t="shared" si="64"/>
        <v>4</v>
      </c>
      <c r="B419" s="111"/>
      <c r="C419" s="39" t="s">
        <v>417</v>
      </c>
      <c r="D419" s="39">
        <f>(60.55)*10.764</f>
        <v>651.76019999999994</v>
      </c>
      <c r="E419" s="39">
        <f>(2.32)*10.764</f>
        <v>24.972479999999997</v>
      </c>
      <c r="F419" s="39">
        <f t="shared" ref="F419:F423" si="66">D419+E419</f>
        <v>676.73267999999996</v>
      </c>
      <c r="G419" s="39">
        <v>0</v>
      </c>
      <c r="H419" s="39">
        <f t="shared" si="65"/>
        <v>1015.0990199999999</v>
      </c>
      <c r="I419" s="33"/>
      <c r="L419" s="112"/>
      <c r="M419" s="112"/>
      <c r="N419" s="33"/>
      <c r="T419" s="18"/>
    </row>
    <row r="420" spans="1:20" s="34" customFormat="1" ht="15.75" customHeight="1" x14ac:dyDescent="0.25">
      <c r="A420" s="110">
        <f t="shared" si="64"/>
        <v>5</v>
      </c>
      <c r="B420" s="111"/>
      <c r="C420" s="39" t="s">
        <v>417</v>
      </c>
      <c r="D420" s="39">
        <f>(67.62)*10.764</f>
        <v>727.86167999999998</v>
      </c>
      <c r="E420" s="39">
        <f>(2.62)*10.764</f>
        <v>28.20168</v>
      </c>
      <c r="F420" s="39">
        <f t="shared" si="66"/>
        <v>756.06335999999999</v>
      </c>
      <c r="G420" s="39">
        <v>0</v>
      </c>
      <c r="H420" s="39">
        <f t="shared" si="65"/>
        <v>1134.0950399999999</v>
      </c>
      <c r="I420" s="33"/>
      <c r="L420" s="112"/>
      <c r="M420" s="112"/>
      <c r="N420" s="33"/>
    </row>
    <row r="421" spans="1:20" s="34" customFormat="1" ht="15.75" customHeight="1" x14ac:dyDescent="0.25">
      <c r="A421" s="110">
        <f t="shared" si="64"/>
        <v>6</v>
      </c>
      <c r="B421" s="111"/>
      <c r="C421" s="39" t="s">
        <v>417</v>
      </c>
      <c r="D421" s="39">
        <f>(67.62)*10.764</f>
        <v>727.86167999999998</v>
      </c>
      <c r="E421" s="39">
        <f>(2.62)*10.764</f>
        <v>28.20168</v>
      </c>
      <c r="F421" s="39">
        <f t="shared" si="66"/>
        <v>756.06335999999999</v>
      </c>
      <c r="G421" s="39">
        <v>0</v>
      </c>
      <c r="H421" s="39">
        <f t="shared" si="65"/>
        <v>1134.0950399999999</v>
      </c>
      <c r="I421" s="33"/>
      <c r="L421" s="112"/>
      <c r="M421" s="112"/>
      <c r="N421" s="33"/>
      <c r="T421" s="18"/>
    </row>
    <row r="422" spans="1:20" s="34" customFormat="1" x14ac:dyDescent="0.25">
      <c r="A422" s="113">
        <f t="shared" si="64"/>
        <v>7</v>
      </c>
      <c r="B422" s="113"/>
      <c r="C422" s="39" t="s">
        <v>417</v>
      </c>
      <c r="D422" s="39">
        <f>(60.55)*10.764</f>
        <v>651.76019999999994</v>
      </c>
      <c r="E422" s="39">
        <f>(2.32)*10.764</f>
        <v>24.972479999999997</v>
      </c>
      <c r="F422" s="39">
        <f t="shared" si="66"/>
        <v>676.73267999999996</v>
      </c>
      <c r="G422" s="39">
        <v>0</v>
      </c>
      <c r="H422" s="39">
        <f t="shared" si="65"/>
        <v>1015.0990199999999</v>
      </c>
      <c r="I422" s="33"/>
      <c r="N422" s="33"/>
    </row>
    <row r="423" spans="1:20" s="34" customFormat="1" x14ac:dyDescent="0.25">
      <c r="A423" s="113">
        <f t="shared" si="64"/>
        <v>8</v>
      </c>
      <c r="B423" s="113"/>
      <c r="C423" s="39" t="s">
        <v>417</v>
      </c>
      <c r="D423" s="39">
        <f>(60.55)*10.764</f>
        <v>651.76019999999994</v>
      </c>
      <c r="E423" s="39">
        <f>(2.32)*10.764</f>
        <v>24.972479999999997</v>
      </c>
      <c r="F423" s="39">
        <f t="shared" si="66"/>
        <v>676.73267999999996</v>
      </c>
      <c r="G423" s="39">
        <v>0</v>
      </c>
      <c r="H423" s="39">
        <f t="shared" si="65"/>
        <v>1015.0990199999999</v>
      </c>
      <c r="I423" s="33"/>
      <c r="N423" s="33"/>
    </row>
    <row r="424" spans="1:20" s="34" customFormat="1" x14ac:dyDescent="0.25">
      <c r="A424" s="107" t="s">
        <v>401</v>
      </c>
      <c r="B424" s="108"/>
      <c r="C424" s="108"/>
      <c r="D424" s="108"/>
      <c r="E424" s="108"/>
      <c r="F424" s="108"/>
      <c r="G424" s="108"/>
      <c r="H424" s="109"/>
      <c r="I424" s="74"/>
      <c r="J424" s="33"/>
    </row>
    <row r="425" spans="1:20" s="34" customFormat="1" x14ac:dyDescent="0.25">
      <c r="A425" s="107" t="s">
        <v>379</v>
      </c>
      <c r="B425" s="108"/>
      <c r="C425" s="108"/>
      <c r="D425" s="108"/>
      <c r="E425" s="108"/>
      <c r="F425" s="108"/>
      <c r="G425" s="108"/>
      <c r="H425" s="109"/>
      <c r="I425" s="74"/>
      <c r="J425" s="33"/>
    </row>
    <row r="426" spans="1:20" s="34" customFormat="1" ht="33.75" customHeight="1" x14ac:dyDescent="0.25">
      <c r="A426" s="107" t="s">
        <v>426</v>
      </c>
      <c r="B426" s="108"/>
      <c r="C426" s="108"/>
      <c r="D426" s="108"/>
      <c r="E426" s="108"/>
      <c r="F426" s="108"/>
      <c r="G426" s="108"/>
      <c r="H426" s="109"/>
      <c r="I426" s="74"/>
      <c r="J426" s="33"/>
    </row>
    <row r="427" spans="1:20" s="34" customFormat="1" x14ac:dyDescent="0.25">
      <c r="A427" s="107" t="s">
        <v>415</v>
      </c>
      <c r="B427" s="108"/>
      <c r="C427" s="108"/>
      <c r="D427" s="108"/>
      <c r="E427" s="108"/>
      <c r="F427" s="108"/>
      <c r="G427" s="108"/>
      <c r="H427" s="109"/>
      <c r="I427" s="74"/>
      <c r="J427" s="33"/>
    </row>
    <row r="428" spans="1:20" s="34" customFormat="1" x14ac:dyDescent="0.25">
      <c r="A428" s="107" t="s">
        <v>427</v>
      </c>
      <c r="B428" s="108"/>
      <c r="C428" s="108"/>
      <c r="D428" s="108"/>
      <c r="E428" s="108"/>
      <c r="F428" s="108"/>
      <c r="G428" s="108"/>
      <c r="H428" s="109"/>
      <c r="I428" s="74">
        <v>1</v>
      </c>
      <c r="J428" s="33"/>
    </row>
    <row r="429" spans="1:20" s="34" customFormat="1" ht="15.75" customHeight="1" x14ac:dyDescent="0.25">
      <c r="A429" s="110">
        <v>1</v>
      </c>
      <c r="B429" s="111"/>
      <c r="C429" s="39" t="s">
        <v>417</v>
      </c>
      <c r="D429" s="39">
        <f>(44.9)*10.764</f>
        <v>483.30359999999996</v>
      </c>
      <c r="E429" s="39">
        <v>0</v>
      </c>
      <c r="F429" s="39">
        <f t="shared" ref="F429:F436" si="67">D429+E429</f>
        <v>483.30359999999996</v>
      </c>
      <c r="G429" s="39">
        <f>(2.75*5)*10.764</f>
        <v>148.005</v>
      </c>
      <c r="H429" s="39">
        <f t="shared" ref="H429:H436" si="68">F429*(($H$172)+1)+(IF(G429&lt;101,G429,IF(G429&lt;201,G429/2,IF(G429&lt;=301,G429/3,G429/4))))</f>
        <v>798.95789999999988</v>
      </c>
      <c r="I429" s="33"/>
      <c r="L429" s="112"/>
      <c r="M429" s="112"/>
      <c r="N429" s="33"/>
    </row>
    <row r="430" spans="1:20" s="34" customFormat="1" ht="15.75" customHeight="1" x14ac:dyDescent="0.25">
      <c r="A430" s="110">
        <f t="shared" ref="A430:A436" si="69">A429+1</f>
        <v>2</v>
      </c>
      <c r="B430" s="111"/>
      <c r="C430" s="39" t="s">
        <v>417</v>
      </c>
      <c r="D430" s="39">
        <f>(44.9)*10.764</f>
        <v>483.30359999999996</v>
      </c>
      <c r="E430" s="39">
        <v>0</v>
      </c>
      <c r="F430" s="39">
        <f t="shared" si="67"/>
        <v>483.30359999999996</v>
      </c>
      <c r="G430" s="39">
        <f>(2.75*5)*10.764</f>
        <v>148.005</v>
      </c>
      <c r="H430" s="39">
        <f t="shared" si="68"/>
        <v>798.95789999999988</v>
      </c>
      <c r="I430" s="33"/>
      <c r="L430" s="112"/>
      <c r="M430" s="112"/>
      <c r="N430" s="33"/>
    </row>
    <row r="431" spans="1:20" s="34" customFormat="1" ht="15.75" customHeight="1" x14ac:dyDescent="0.25">
      <c r="A431" s="110">
        <f t="shared" si="69"/>
        <v>3</v>
      </c>
      <c r="B431" s="111"/>
      <c r="C431" s="39" t="s">
        <v>417</v>
      </c>
      <c r="D431" s="39">
        <f>(60.55)*10.764</f>
        <v>651.76019999999994</v>
      </c>
      <c r="E431" s="39">
        <f>(2.32)*10.764</f>
        <v>24.972479999999997</v>
      </c>
      <c r="F431" s="39">
        <f t="shared" si="67"/>
        <v>676.73267999999996</v>
      </c>
      <c r="G431" s="39">
        <v>0</v>
      </c>
      <c r="H431" s="39">
        <f t="shared" si="68"/>
        <v>1015.0990199999999</v>
      </c>
      <c r="I431" s="33"/>
      <c r="L431" s="112"/>
      <c r="M431" s="112"/>
      <c r="N431" s="33"/>
    </row>
    <row r="432" spans="1:20" s="34" customFormat="1" ht="15.75" customHeight="1" x14ac:dyDescent="0.25">
      <c r="A432" s="110">
        <f t="shared" si="69"/>
        <v>4</v>
      </c>
      <c r="B432" s="111"/>
      <c r="C432" s="110" t="s">
        <v>418</v>
      </c>
      <c r="D432" s="120"/>
      <c r="E432" s="120"/>
      <c r="F432" s="120"/>
      <c r="G432" s="111"/>
      <c r="H432" s="39" t="s">
        <v>384</v>
      </c>
      <c r="I432" s="33"/>
      <c r="L432" s="112"/>
      <c r="M432" s="112"/>
      <c r="N432" s="33"/>
      <c r="T432" s="18"/>
    </row>
    <row r="433" spans="1:20" s="34" customFormat="1" ht="15.75" customHeight="1" x14ac:dyDescent="0.25">
      <c r="A433" s="110">
        <f t="shared" si="69"/>
        <v>5</v>
      </c>
      <c r="B433" s="111"/>
      <c r="C433" s="98" t="s">
        <v>385</v>
      </c>
      <c r="D433" s="99"/>
      <c r="E433" s="99"/>
      <c r="F433" s="99"/>
      <c r="G433" s="100"/>
      <c r="H433" s="114" t="s">
        <v>384</v>
      </c>
      <c r="I433" s="33"/>
      <c r="L433" s="112"/>
      <c r="M433" s="112"/>
      <c r="N433" s="33"/>
    </row>
    <row r="434" spans="1:20" s="34" customFormat="1" ht="15.75" customHeight="1" x14ac:dyDescent="0.25">
      <c r="A434" s="110">
        <f t="shared" si="69"/>
        <v>6</v>
      </c>
      <c r="B434" s="111"/>
      <c r="C434" s="101"/>
      <c r="D434" s="102"/>
      <c r="E434" s="102"/>
      <c r="F434" s="102"/>
      <c r="G434" s="103"/>
      <c r="H434" s="115"/>
      <c r="I434" s="33"/>
      <c r="L434" s="112"/>
      <c r="M434" s="112"/>
      <c r="N434" s="33"/>
      <c r="T434" s="18"/>
    </row>
    <row r="435" spans="1:20" s="34" customFormat="1" ht="15.75" customHeight="1" x14ac:dyDescent="0.25">
      <c r="A435" s="113">
        <f t="shared" si="69"/>
        <v>7</v>
      </c>
      <c r="B435" s="113"/>
      <c r="C435" s="110" t="s">
        <v>419</v>
      </c>
      <c r="D435" s="120"/>
      <c r="E435" s="120"/>
      <c r="F435" s="120"/>
      <c r="G435" s="111"/>
      <c r="H435" s="39" t="s">
        <v>384</v>
      </c>
      <c r="I435" s="33"/>
      <c r="N435" s="33"/>
    </row>
    <row r="436" spans="1:20" s="34" customFormat="1" x14ac:dyDescent="0.25">
      <c r="A436" s="113">
        <f t="shared" si="69"/>
        <v>8</v>
      </c>
      <c r="B436" s="113"/>
      <c r="C436" s="39" t="s">
        <v>417</v>
      </c>
      <c r="D436" s="39">
        <f>(60.55)*10.764</f>
        <v>651.76019999999994</v>
      </c>
      <c r="E436" s="39">
        <f>(2.32)*10.764</f>
        <v>24.972479999999997</v>
      </c>
      <c r="F436" s="39">
        <f t="shared" si="67"/>
        <v>676.73267999999996</v>
      </c>
      <c r="G436" s="39">
        <v>0</v>
      </c>
      <c r="H436" s="39">
        <f t="shared" si="68"/>
        <v>1015.0990199999999</v>
      </c>
      <c r="I436" s="33"/>
      <c r="N436" s="33"/>
    </row>
    <row r="437" spans="1:20" s="34" customFormat="1" x14ac:dyDescent="0.25">
      <c r="A437" s="107" t="s">
        <v>117</v>
      </c>
      <c r="B437" s="108"/>
      <c r="C437" s="108"/>
      <c r="D437" s="108"/>
      <c r="E437" s="108"/>
      <c r="F437" s="108"/>
      <c r="G437" s="108"/>
      <c r="H437" s="109"/>
      <c r="I437" s="74">
        <v>1</v>
      </c>
      <c r="J437" s="33"/>
    </row>
    <row r="438" spans="1:20" s="34" customFormat="1" ht="15.75" customHeight="1" x14ac:dyDescent="0.25">
      <c r="A438" s="110">
        <v>1</v>
      </c>
      <c r="B438" s="111"/>
      <c r="C438" s="39" t="s">
        <v>417</v>
      </c>
      <c r="D438" s="39">
        <f>(44.9)*10.764</f>
        <v>483.30359999999996</v>
      </c>
      <c r="E438" s="39">
        <v>0</v>
      </c>
      <c r="F438" s="39">
        <f t="shared" ref="F438:F445" si="70">D438+E438</f>
        <v>483.30359999999996</v>
      </c>
      <c r="G438" s="39">
        <v>0</v>
      </c>
      <c r="H438" s="39">
        <f t="shared" ref="H438:H445" si="71">F438*(($H$172)+1)+(IF(G438&lt;101,G438,IF(G438&lt;201,G438/2,IF(G438&lt;=301,G438/3,G438/4))))</f>
        <v>724.95539999999994</v>
      </c>
      <c r="I438" s="33"/>
      <c r="L438" s="112"/>
      <c r="M438" s="112"/>
      <c r="N438" s="33"/>
    </row>
    <row r="439" spans="1:20" s="34" customFormat="1" ht="15.75" customHeight="1" x14ac:dyDescent="0.25">
      <c r="A439" s="110">
        <f t="shared" ref="A439:A445" si="72">A438+1</f>
        <v>2</v>
      </c>
      <c r="B439" s="111"/>
      <c r="C439" s="39" t="s">
        <v>417</v>
      </c>
      <c r="D439" s="39">
        <f>(44.9)*10.764</f>
        <v>483.30359999999996</v>
      </c>
      <c r="E439" s="39">
        <v>0</v>
      </c>
      <c r="F439" s="39">
        <f t="shared" si="70"/>
        <v>483.30359999999996</v>
      </c>
      <c r="G439" s="39">
        <v>0</v>
      </c>
      <c r="H439" s="39">
        <f t="shared" si="71"/>
        <v>724.95539999999994</v>
      </c>
      <c r="I439" s="33"/>
      <c r="L439" s="112"/>
      <c r="M439" s="112"/>
      <c r="N439" s="33"/>
    </row>
    <row r="440" spans="1:20" s="34" customFormat="1" ht="15.75" customHeight="1" x14ac:dyDescent="0.25">
      <c r="A440" s="110">
        <f t="shared" si="72"/>
        <v>3</v>
      </c>
      <c r="B440" s="111"/>
      <c r="C440" s="39" t="s">
        <v>417</v>
      </c>
      <c r="D440" s="39">
        <f>(60.55)*10.764</f>
        <v>651.76019999999994</v>
      </c>
      <c r="E440" s="39">
        <f>(2.32)*10.764</f>
        <v>24.972479999999997</v>
      </c>
      <c r="F440" s="39">
        <f t="shared" si="70"/>
        <v>676.73267999999996</v>
      </c>
      <c r="G440" s="39">
        <v>0</v>
      </c>
      <c r="H440" s="39">
        <f t="shared" si="71"/>
        <v>1015.0990199999999</v>
      </c>
      <c r="I440" s="33"/>
      <c r="L440" s="112"/>
      <c r="M440" s="112"/>
      <c r="N440" s="33"/>
    </row>
    <row r="441" spans="1:20" s="34" customFormat="1" ht="15.75" customHeight="1" x14ac:dyDescent="0.25">
      <c r="A441" s="110">
        <f t="shared" si="72"/>
        <v>4</v>
      </c>
      <c r="B441" s="111"/>
      <c r="C441" s="110" t="s">
        <v>420</v>
      </c>
      <c r="D441" s="120"/>
      <c r="E441" s="120"/>
      <c r="F441" s="120"/>
      <c r="G441" s="111"/>
      <c r="H441" s="39" t="s">
        <v>384</v>
      </c>
      <c r="I441" s="33"/>
      <c r="L441" s="112"/>
      <c r="M441" s="112"/>
      <c r="N441" s="33"/>
      <c r="T441" s="18"/>
    </row>
    <row r="442" spans="1:20" s="34" customFormat="1" ht="15.75" customHeight="1" x14ac:dyDescent="0.25">
      <c r="A442" s="110">
        <f t="shared" si="72"/>
        <v>5</v>
      </c>
      <c r="B442" s="111"/>
      <c r="C442" s="98" t="s">
        <v>385</v>
      </c>
      <c r="D442" s="99"/>
      <c r="E442" s="99"/>
      <c r="F442" s="99"/>
      <c r="G442" s="100"/>
      <c r="H442" s="114" t="s">
        <v>384</v>
      </c>
      <c r="I442" s="33"/>
      <c r="L442" s="112"/>
      <c r="M442" s="112"/>
      <c r="N442" s="33"/>
    </row>
    <row r="443" spans="1:20" s="34" customFormat="1" ht="15.75" customHeight="1" x14ac:dyDescent="0.25">
      <c r="A443" s="110">
        <f t="shared" si="72"/>
        <v>6</v>
      </c>
      <c r="B443" s="111"/>
      <c r="C443" s="101"/>
      <c r="D443" s="102"/>
      <c r="E443" s="102"/>
      <c r="F443" s="102"/>
      <c r="G443" s="103"/>
      <c r="H443" s="115"/>
      <c r="I443" s="33"/>
      <c r="L443" s="112"/>
      <c r="M443" s="112"/>
      <c r="N443" s="33"/>
      <c r="T443" s="18"/>
    </row>
    <row r="444" spans="1:20" s="34" customFormat="1" x14ac:dyDescent="0.25">
      <c r="A444" s="113">
        <f t="shared" si="72"/>
        <v>7</v>
      </c>
      <c r="B444" s="113"/>
      <c r="C444" s="110" t="s">
        <v>420</v>
      </c>
      <c r="D444" s="120"/>
      <c r="E444" s="120"/>
      <c r="F444" s="120"/>
      <c r="G444" s="111"/>
      <c r="H444" s="39" t="s">
        <v>384</v>
      </c>
      <c r="I444" s="33"/>
      <c r="N444" s="33"/>
    </row>
    <row r="445" spans="1:20" s="34" customFormat="1" x14ac:dyDescent="0.25">
      <c r="A445" s="113">
        <f t="shared" si="72"/>
        <v>8</v>
      </c>
      <c r="B445" s="113"/>
      <c r="C445" s="39" t="s">
        <v>417</v>
      </c>
      <c r="D445" s="39">
        <f>(60.55)*10.764</f>
        <v>651.76019999999994</v>
      </c>
      <c r="E445" s="39">
        <f>(2.32)*10.764</f>
        <v>24.972479999999997</v>
      </c>
      <c r="F445" s="39">
        <f t="shared" si="70"/>
        <v>676.73267999999996</v>
      </c>
      <c r="G445" s="39">
        <v>0</v>
      </c>
      <c r="H445" s="39">
        <f t="shared" si="71"/>
        <v>1015.0990199999999</v>
      </c>
      <c r="I445" s="33"/>
      <c r="N445" s="33"/>
    </row>
    <row r="446" spans="1:20" s="34" customFormat="1" x14ac:dyDescent="0.25">
      <c r="A446" s="107" t="s">
        <v>428</v>
      </c>
      <c r="B446" s="108"/>
      <c r="C446" s="108"/>
      <c r="D446" s="108"/>
      <c r="E446" s="108"/>
      <c r="F446" s="108"/>
      <c r="G446" s="108"/>
      <c r="H446" s="109"/>
      <c r="I446" s="74">
        <v>1</v>
      </c>
      <c r="J446" s="33"/>
    </row>
    <row r="447" spans="1:20" s="34" customFormat="1" ht="15.75" customHeight="1" x14ac:dyDescent="0.25">
      <c r="A447" s="110">
        <v>1</v>
      </c>
      <c r="B447" s="111"/>
      <c r="C447" s="39" t="s">
        <v>417</v>
      </c>
      <c r="D447" s="39">
        <f>(44.9)*10.764</f>
        <v>483.30359999999996</v>
      </c>
      <c r="E447" s="39">
        <v>0</v>
      </c>
      <c r="F447" s="39">
        <f t="shared" ref="F447:F454" si="73">D447+E447</f>
        <v>483.30359999999996</v>
      </c>
      <c r="G447" s="39">
        <v>0</v>
      </c>
      <c r="H447" s="39">
        <f t="shared" ref="H447:H454" si="74">F447*(($H$172)+1)+(IF(G447&lt;101,G447,IF(G447&lt;201,G447/2,IF(G447&lt;=301,G447/3,G447/4))))</f>
        <v>724.95539999999994</v>
      </c>
      <c r="I447" s="33"/>
      <c r="L447" s="112"/>
      <c r="M447" s="112"/>
      <c r="N447" s="33"/>
    </row>
    <row r="448" spans="1:20" s="34" customFormat="1" ht="15.75" customHeight="1" x14ac:dyDescent="0.25">
      <c r="A448" s="110">
        <f t="shared" ref="A448:A454" si="75">A447+1</f>
        <v>2</v>
      </c>
      <c r="B448" s="111"/>
      <c r="C448" s="39" t="s">
        <v>417</v>
      </c>
      <c r="D448" s="39">
        <f>(44.9)*10.764</f>
        <v>483.30359999999996</v>
      </c>
      <c r="E448" s="39">
        <v>0</v>
      </c>
      <c r="F448" s="39">
        <f t="shared" si="73"/>
        <v>483.30359999999996</v>
      </c>
      <c r="G448" s="39">
        <v>0</v>
      </c>
      <c r="H448" s="39">
        <f t="shared" si="74"/>
        <v>724.95539999999994</v>
      </c>
      <c r="I448" s="33"/>
      <c r="L448" s="112"/>
      <c r="M448" s="112"/>
      <c r="N448" s="33"/>
    </row>
    <row r="449" spans="1:20" s="34" customFormat="1" ht="15.75" customHeight="1" x14ac:dyDescent="0.25">
      <c r="A449" s="110">
        <f t="shared" si="75"/>
        <v>3</v>
      </c>
      <c r="B449" s="111"/>
      <c r="C449" s="39" t="s">
        <v>417</v>
      </c>
      <c r="D449" s="39">
        <f>(60.55)*10.764</f>
        <v>651.76019999999994</v>
      </c>
      <c r="E449" s="39">
        <f>(2.32)*10.764</f>
        <v>24.972479999999997</v>
      </c>
      <c r="F449" s="39">
        <f t="shared" si="73"/>
        <v>676.73267999999996</v>
      </c>
      <c r="G449" s="39">
        <v>0</v>
      </c>
      <c r="H449" s="39">
        <f t="shared" si="74"/>
        <v>1015.0990199999999</v>
      </c>
      <c r="I449" s="33"/>
      <c r="L449" s="112"/>
      <c r="M449" s="112"/>
      <c r="N449" s="33"/>
    </row>
    <row r="450" spans="1:20" s="34" customFormat="1" ht="15.75" customHeight="1" x14ac:dyDescent="0.25">
      <c r="A450" s="110">
        <f t="shared" si="75"/>
        <v>4</v>
      </c>
      <c r="B450" s="111"/>
      <c r="C450" s="39" t="s">
        <v>417</v>
      </c>
      <c r="D450" s="39">
        <f>(60.55)*10.764</f>
        <v>651.76019999999994</v>
      </c>
      <c r="E450" s="39">
        <f>(2.32)*10.764</f>
        <v>24.972479999999997</v>
      </c>
      <c r="F450" s="39">
        <f t="shared" si="73"/>
        <v>676.73267999999996</v>
      </c>
      <c r="G450" s="39">
        <v>0</v>
      </c>
      <c r="H450" s="39">
        <f t="shared" si="74"/>
        <v>1015.0990199999999</v>
      </c>
      <c r="I450" s="33"/>
      <c r="L450" s="112"/>
      <c r="M450" s="112"/>
      <c r="N450" s="33"/>
      <c r="T450" s="18"/>
    </row>
    <row r="451" spans="1:20" s="34" customFormat="1" ht="15.75" customHeight="1" x14ac:dyDescent="0.25">
      <c r="A451" s="110">
        <f t="shared" si="75"/>
        <v>5</v>
      </c>
      <c r="B451" s="111"/>
      <c r="C451" s="98" t="s">
        <v>429</v>
      </c>
      <c r="D451" s="99"/>
      <c r="E451" s="99"/>
      <c r="F451" s="99"/>
      <c r="G451" s="100"/>
      <c r="H451" s="114" t="s">
        <v>384</v>
      </c>
      <c r="I451" s="33"/>
      <c r="L451" s="112"/>
      <c r="M451" s="112"/>
      <c r="N451" s="33"/>
    </row>
    <row r="452" spans="1:20" s="34" customFormat="1" ht="15.75" customHeight="1" x14ac:dyDescent="0.25">
      <c r="A452" s="110">
        <f t="shared" si="75"/>
        <v>6</v>
      </c>
      <c r="B452" s="111"/>
      <c r="C452" s="101"/>
      <c r="D452" s="102"/>
      <c r="E452" s="102"/>
      <c r="F452" s="102"/>
      <c r="G452" s="103"/>
      <c r="H452" s="115"/>
      <c r="I452" s="33"/>
      <c r="L452" s="112"/>
      <c r="M452" s="112"/>
      <c r="N452" s="33"/>
      <c r="T452" s="18"/>
    </row>
    <row r="453" spans="1:20" s="34" customFormat="1" x14ac:dyDescent="0.25">
      <c r="A453" s="113">
        <f t="shared" si="75"/>
        <v>7</v>
      </c>
      <c r="B453" s="113"/>
      <c r="C453" s="39" t="s">
        <v>417</v>
      </c>
      <c r="D453" s="39">
        <f>(60.55)*10.764</f>
        <v>651.76019999999994</v>
      </c>
      <c r="E453" s="39">
        <f>(2.32)*10.764</f>
        <v>24.972479999999997</v>
      </c>
      <c r="F453" s="39">
        <f t="shared" si="73"/>
        <v>676.73267999999996</v>
      </c>
      <c r="G453" s="39">
        <v>0</v>
      </c>
      <c r="H453" s="39">
        <f t="shared" si="74"/>
        <v>1015.0990199999999</v>
      </c>
      <c r="I453" s="33"/>
      <c r="N453" s="33"/>
    </row>
    <row r="454" spans="1:20" s="34" customFormat="1" x14ac:dyDescent="0.25">
      <c r="A454" s="113">
        <f t="shared" si="75"/>
        <v>8</v>
      </c>
      <c r="B454" s="113"/>
      <c r="C454" s="39" t="s">
        <v>417</v>
      </c>
      <c r="D454" s="39">
        <f>(60.55)*10.764</f>
        <v>651.76019999999994</v>
      </c>
      <c r="E454" s="39">
        <f>(2.32)*10.764</f>
        <v>24.972479999999997</v>
      </c>
      <c r="F454" s="39">
        <f t="shared" si="73"/>
        <v>676.73267999999996</v>
      </c>
      <c r="G454" s="39">
        <v>0</v>
      </c>
      <c r="H454" s="39">
        <f t="shared" si="74"/>
        <v>1015.0990199999999</v>
      </c>
      <c r="I454" s="33"/>
      <c r="N454" s="33"/>
    </row>
    <row r="455" spans="1:20" s="34" customFormat="1" x14ac:dyDescent="0.25">
      <c r="A455" s="107" t="s">
        <v>389</v>
      </c>
      <c r="B455" s="108"/>
      <c r="C455" s="108"/>
      <c r="D455" s="108"/>
      <c r="E455" s="108"/>
      <c r="F455" s="108"/>
      <c r="G455" s="108"/>
      <c r="H455" s="109"/>
      <c r="I455" s="74">
        <v>1</v>
      </c>
      <c r="J455" s="33"/>
    </row>
    <row r="456" spans="1:20" s="34" customFormat="1" ht="15.75" customHeight="1" x14ac:dyDescent="0.25">
      <c r="A456" s="110">
        <v>1</v>
      </c>
      <c r="B456" s="111"/>
      <c r="C456" s="39" t="s">
        <v>417</v>
      </c>
      <c r="D456" s="39">
        <f>(44.9)*10.764</f>
        <v>483.30359999999996</v>
      </c>
      <c r="E456" s="39">
        <v>0</v>
      </c>
      <c r="F456" s="39">
        <f t="shared" ref="F456:F463" si="76">D456+E456</f>
        <v>483.30359999999996</v>
      </c>
      <c r="G456" s="39">
        <v>0</v>
      </c>
      <c r="H456" s="39">
        <f t="shared" ref="H456:H463" si="77">F456*(($H$172)+1)+(IF(G456&lt;101,G456,IF(G456&lt;201,G456/2,IF(G456&lt;=301,G456/3,G456/4))))</f>
        <v>724.95539999999994</v>
      </c>
      <c r="I456" s="33"/>
      <c r="L456" s="112"/>
      <c r="M456" s="112"/>
      <c r="N456" s="33"/>
    </row>
    <row r="457" spans="1:20" s="34" customFormat="1" ht="15.75" customHeight="1" x14ac:dyDescent="0.25">
      <c r="A457" s="110">
        <f t="shared" ref="A457:A463" si="78">A456+1</f>
        <v>2</v>
      </c>
      <c r="B457" s="111"/>
      <c r="C457" s="39" t="s">
        <v>417</v>
      </c>
      <c r="D457" s="39">
        <f>(44.9)*10.764</f>
        <v>483.30359999999996</v>
      </c>
      <c r="E457" s="39">
        <v>0</v>
      </c>
      <c r="F457" s="39">
        <f t="shared" si="76"/>
        <v>483.30359999999996</v>
      </c>
      <c r="G457" s="39">
        <v>0</v>
      </c>
      <c r="H457" s="39">
        <f t="shared" si="77"/>
        <v>724.95539999999994</v>
      </c>
      <c r="I457" s="33"/>
      <c r="L457" s="112"/>
      <c r="M457" s="112"/>
      <c r="N457" s="33"/>
    </row>
    <row r="458" spans="1:20" s="34" customFormat="1" ht="15.75" customHeight="1" x14ac:dyDescent="0.25">
      <c r="A458" s="110">
        <f t="shared" si="78"/>
        <v>3</v>
      </c>
      <c r="B458" s="111"/>
      <c r="C458" s="39" t="s">
        <v>417</v>
      </c>
      <c r="D458" s="39">
        <f>(60.55)*10.764</f>
        <v>651.76019999999994</v>
      </c>
      <c r="E458" s="39">
        <f>(2.32)*10.764</f>
        <v>24.972479999999997</v>
      </c>
      <c r="F458" s="39">
        <f t="shared" si="76"/>
        <v>676.73267999999996</v>
      </c>
      <c r="G458" s="39">
        <v>0</v>
      </c>
      <c r="H458" s="39">
        <f t="shared" si="77"/>
        <v>1015.0990199999999</v>
      </c>
      <c r="I458" s="33"/>
      <c r="L458" s="112"/>
      <c r="M458" s="112"/>
      <c r="N458" s="33"/>
    </row>
    <row r="459" spans="1:20" s="34" customFormat="1" ht="15.75" customHeight="1" x14ac:dyDescent="0.25">
      <c r="A459" s="110">
        <f t="shared" si="78"/>
        <v>4</v>
      </c>
      <c r="B459" s="111"/>
      <c r="C459" s="39" t="s">
        <v>417</v>
      </c>
      <c r="D459" s="39">
        <f>(60.55)*10.764</f>
        <v>651.76019999999994</v>
      </c>
      <c r="E459" s="39">
        <f>(2.32)*10.764</f>
        <v>24.972479999999997</v>
      </c>
      <c r="F459" s="39">
        <f t="shared" si="76"/>
        <v>676.73267999999996</v>
      </c>
      <c r="G459" s="39">
        <v>0</v>
      </c>
      <c r="H459" s="39">
        <f t="shared" si="77"/>
        <v>1015.0990199999999</v>
      </c>
      <c r="I459" s="33"/>
      <c r="L459" s="112"/>
      <c r="M459" s="112"/>
      <c r="N459" s="33"/>
      <c r="T459" s="18"/>
    </row>
    <row r="460" spans="1:20" s="34" customFormat="1" ht="15.75" customHeight="1" x14ac:dyDescent="0.25">
      <c r="A460" s="110">
        <f t="shared" si="78"/>
        <v>5</v>
      </c>
      <c r="B460" s="111"/>
      <c r="C460" s="98" t="s">
        <v>430</v>
      </c>
      <c r="D460" s="99"/>
      <c r="E460" s="99"/>
      <c r="F460" s="99"/>
      <c r="G460" s="100"/>
      <c r="H460" s="114" t="s">
        <v>384</v>
      </c>
      <c r="I460" s="33"/>
      <c r="L460" s="112"/>
      <c r="M460" s="112"/>
      <c r="N460" s="33"/>
    </row>
    <row r="461" spans="1:20" s="34" customFormat="1" ht="15.75" customHeight="1" x14ac:dyDescent="0.25">
      <c r="A461" s="110">
        <f t="shared" si="78"/>
        <v>6</v>
      </c>
      <c r="B461" s="111"/>
      <c r="C461" s="101"/>
      <c r="D461" s="102"/>
      <c r="E461" s="102"/>
      <c r="F461" s="102"/>
      <c r="G461" s="103"/>
      <c r="H461" s="115"/>
      <c r="I461" s="33"/>
      <c r="L461" s="112"/>
      <c r="M461" s="112"/>
      <c r="N461" s="33"/>
      <c r="T461" s="18"/>
    </row>
    <row r="462" spans="1:20" s="34" customFormat="1" x14ac:dyDescent="0.25">
      <c r="A462" s="113">
        <f t="shared" si="78"/>
        <v>7</v>
      </c>
      <c r="B462" s="113"/>
      <c r="C462" s="39" t="s">
        <v>417</v>
      </c>
      <c r="D462" s="39">
        <f>(60.55)*10.764</f>
        <v>651.76019999999994</v>
      </c>
      <c r="E462" s="39">
        <f>(2.32)*10.764</f>
        <v>24.972479999999997</v>
      </c>
      <c r="F462" s="39">
        <f t="shared" si="76"/>
        <v>676.73267999999996</v>
      </c>
      <c r="G462" s="39">
        <v>0</v>
      </c>
      <c r="H462" s="39">
        <f t="shared" si="77"/>
        <v>1015.0990199999999</v>
      </c>
      <c r="I462" s="33"/>
      <c r="N462" s="33"/>
    </row>
    <row r="463" spans="1:20" s="34" customFormat="1" x14ac:dyDescent="0.25">
      <c r="A463" s="113">
        <f t="shared" si="78"/>
        <v>8</v>
      </c>
      <c r="B463" s="113"/>
      <c r="C463" s="39" t="s">
        <v>417</v>
      </c>
      <c r="D463" s="39">
        <f>(60.55)*10.764</f>
        <v>651.76019999999994</v>
      </c>
      <c r="E463" s="39">
        <f>(2.32)*10.764</f>
        <v>24.972479999999997</v>
      </c>
      <c r="F463" s="39">
        <f t="shared" si="76"/>
        <v>676.73267999999996</v>
      </c>
      <c r="G463" s="39">
        <v>0</v>
      </c>
      <c r="H463" s="39">
        <f t="shared" si="77"/>
        <v>1015.0990199999999</v>
      </c>
      <c r="I463" s="33"/>
      <c r="N463" s="33"/>
    </row>
    <row r="464" spans="1:20" s="34" customFormat="1" ht="31.5" customHeight="1" x14ac:dyDescent="0.25">
      <c r="A464" s="107" t="s">
        <v>474</v>
      </c>
      <c r="B464" s="108"/>
      <c r="C464" s="108"/>
      <c r="D464" s="108"/>
      <c r="E464" s="108"/>
      <c r="F464" s="108"/>
      <c r="G464" s="108"/>
      <c r="H464" s="109"/>
      <c r="I464" s="74">
        <f>2+4+4+4+4+4+4+4+4+1</f>
        <v>35</v>
      </c>
      <c r="J464" s="33"/>
    </row>
    <row r="465" spans="1:20" s="34" customFormat="1" ht="15.75" customHeight="1" x14ac:dyDescent="0.25">
      <c r="A465" s="110">
        <v>1</v>
      </c>
      <c r="B465" s="111"/>
      <c r="C465" s="39" t="s">
        <v>417</v>
      </c>
      <c r="D465" s="39">
        <f>(44.9)*10.764</f>
        <v>483.30359999999996</v>
      </c>
      <c r="E465" s="39">
        <v>0</v>
      </c>
      <c r="F465" s="39">
        <f t="shared" ref="F465:F472" si="79">D465+E465</f>
        <v>483.30359999999996</v>
      </c>
      <c r="G465" s="39">
        <v>0</v>
      </c>
      <c r="H465" s="39">
        <f t="shared" ref="H465:H472" si="80">F465*(($H$172)+1)+(IF(G465&lt;101,G465,IF(G465&lt;201,G465/2,IF(G465&lt;=301,G465/3,G465/4))))</f>
        <v>724.95539999999994</v>
      </c>
      <c r="I465" s="33"/>
      <c r="L465" s="112"/>
      <c r="M465" s="112"/>
      <c r="N465" s="33"/>
    </row>
    <row r="466" spans="1:20" s="34" customFormat="1" ht="15.75" customHeight="1" x14ac:dyDescent="0.25">
      <c r="A466" s="110">
        <f t="shared" ref="A466:A472" si="81">A465+1</f>
        <v>2</v>
      </c>
      <c r="B466" s="111"/>
      <c r="C466" s="39" t="s">
        <v>417</v>
      </c>
      <c r="D466" s="39">
        <f>(44.9)*10.764</f>
        <v>483.30359999999996</v>
      </c>
      <c r="E466" s="39">
        <v>0</v>
      </c>
      <c r="F466" s="39">
        <f t="shared" si="79"/>
        <v>483.30359999999996</v>
      </c>
      <c r="G466" s="39">
        <v>0</v>
      </c>
      <c r="H466" s="39">
        <f t="shared" si="80"/>
        <v>724.95539999999994</v>
      </c>
      <c r="I466" s="33"/>
      <c r="L466" s="112"/>
      <c r="M466" s="112"/>
      <c r="N466" s="33"/>
    </row>
    <row r="467" spans="1:20" s="34" customFormat="1" ht="15.75" customHeight="1" x14ac:dyDescent="0.25">
      <c r="A467" s="110">
        <f t="shared" si="81"/>
        <v>3</v>
      </c>
      <c r="B467" s="111"/>
      <c r="C467" s="39" t="s">
        <v>417</v>
      </c>
      <c r="D467" s="39">
        <f>(60.55)*10.764</f>
        <v>651.76019999999994</v>
      </c>
      <c r="E467" s="39">
        <f>(2.32)*10.764</f>
        <v>24.972479999999997</v>
      </c>
      <c r="F467" s="39">
        <f t="shared" si="79"/>
        <v>676.73267999999996</v>
      </c>
      <c r="G467" s="39">
        <v>0</v>
      </c>
      <c r="H467" s="39">
        <f t="shared" si="80"/>
        <v>1015.0990199999999</v>
      </c>
      <c r="I467" s="33"/>
      <c r="L467" s="112"/>
      <c r="M467" s="112"/>
      <c r="N467" s="33"/>
    </row>
    <row r="468" spans="1:20" s="34" customFormat="1" ht="15.75" customHeight="1" x14ac:dyDescent="0.25">
      <c r="A468" s="110">
        <f t="shared" si="81"/>
        <v>4</v>
      </c>
      <c r="B468" s="111"/>
      <c r="C468" s="39" t="s">
        <v>417</v>
      </c>
      <c r="D468" s="39">
        <f>(60.55)*10.764</f>
        <v>651.76019999999994</v>
      </c>
      <c r="E468" s="39">
        <f>(2.32)*10.764</f>
        <v>24.972479999999997</v>
      </c>
      <c r="F468" s="39">
        <f t="shared" si="79"/>
        <v>676.73267999999996</v>
      </c>
      <c r="G468" s="39">
        <v>0</v>
      </c>
      <c r="H468" s="39">
        <f t="shared" si="80"/>
        <v>1015.0990199999999</v>
      </c>
      <c r="I468" s="33"/>
      <c r="L468" s="112"/>
      <c r="M468" s="112"/>
      <c r="N468" s="33"/>
      <c r="T468" s="18"/>
    </row>
    <row r="469" spans="1:20" s="34" customFormat="1" ht="15.75" customHeight="1" x14ac:dyDescent="0.25">
      <c r="A469" s="110">
        <f t="shared" si="81"/>
        <v>5</v>
      </c>
      <c r="B469" s="111"/>
      <c r="C469" s="39" t="s">
        <v>417</v>
      </c>
      <c r="D469" s="39">
        <f>(67.62)*10.764</f>
        <v>727.86167999999998</v>
      </c>
      <c r="E469" s="39">
        <f>(2.62)*10.764</f>
        <v>28.20168</v>
      </c>
      <c r="F469" s="39">
        <f t="shared" si="79"/>
        <v>756.06335999999999</v>
      </c>
      <c r="G469" s="39">
        <v>0</v>
      </c>
      <c r="H469" s="39">
        <f t="shared" si="80"/>
        <v>1134.0950399999999</v>
      </c>
      <c r="I469" s="33"/>
      <c r="L469" s="112"/>
      <c r="M469" s="112"/>
      <c r="N469" s="33"/>
    </row>
    <row r="470" spans="1:20" s="34" customFormat="1" ht="15.75" customHeight="1" x14ac:dyDescent="0.25">
      <c r="A470" s="110">
        <f t="shared" si="81"/>
        <v>6</v>
      </c>
      <c r="B470" s="111"/>
      <c r="C470" s="39" t="s">
        <v>417</v>
      </c>
      <c r="D470" s="39">
        <f>(67.62)*10.764</f>
        <v>727.86167999999998</v>
      </c>
      <c r="E470" s="39">
        <f>(2.62)*10.764</f>
        <v>28.20168</v>
      </c>
      <c r="F470" s="39">
        <f t="shared" si="79"/>
        <v>756.06335999999999</v>
      </c>
      <c r="G470" s="39">
        <v>0</v>
      </c>
      <c r="H470" s="39">
        <f t="shared" si="80"/>
        <v>1134.0950399999999</v>
      </c>
      <c r="I470" s="33"/>
      <c r="L470" s="112"/>
      <c r="M470" s="112"/>
      <c r="N470" s="33"/>
      <c r="T470" s="18"/>
    </row>
    <row r="471" spans="1:20" s="34" customFormat="1" x14ac:dyDescent="0.25">
      <c r="A471" s="113">
        <f t="shared" si="81"/>
        <v>7</v>
      </c>
      <c r="B471" s="113"/>
      <c r="C471" s="39" t="s">
        <v>417</v>
      </c>
      <c r="D471" s="39">
        <f>(60.55)*10.764</f>
        <v>651.76019999999994</v>
      </c>
      <c r="E471" s="39">
        <f>(2.32)*10.764</f>
        <v>24.972479999999997</v>
      </c>
      <c r="F471" s="39">
        <f t="shared" si="79"/>
        <v>676.73267999999996</v>
      </c>
      <c r="G471" s="39">
        <v>0</v>
      </c>
      <c r="H471" s="39">
        <f t="shared" si="80"/>
        <v>1015.0990199999999</v>
      </c>
      <c r="I471" s="33"/>
      <c r="N471" s="33"/>
    </row>
    <row r="472" spans="1:20" s="34" customFormat="1" x14ac:dyDescent="0.25">
      <c r="A472" s="113">
        <f t="shared" si="81"/>
        <v>8</v>
      </c>
      <c r="B472" s="113"/>
      <c r="C472" s="39" t="s">
        <v>417</v>
      </c>
      <c r="D472" s="39">
        <f>(60.55)*10.764</f>
        <v>651.76019999999994</v>
      </c>
      <c r="E472" s="39">
        <f>(2.32)*10.764</f>
        <v>24.972479999999997</v>
      </c>
      <c r="F472" s="39">
        <f t="shared" si="79"/>
        <v>676.73267999999996</v>
      </c>
      <c r="G472" s="39">
        <v>0</v>
      </c>
      <c r="H472" s="39">
        <f t="shared" si="80"/>
        <v>1015.0990199999999</v>
      </c>
      <c r="I472" s="33"/>
      <c r="N472" s="33"/>
    </row>
    <row r="473" spans="1:20" s="34" customFormat="1" x14ac:dyDescent="0.25">
      <c r="A473" s="107" t="s">
        <v>431</v>
      </c>
      <c r="B473" s="108"/>
      <c r="C473" s="108"/>
      <c r="D473" s="108"/>
      <c r="E473" s="108"/>
      <c r="F473" s="108"/>
      <c r="G473" s="108"/>
      <c r="H473" s="109"/>
      <c r="I473" s="74">
        <f>8</f>
        <v>8</v>
      </c>
      <c r="J473" s="33"/>
    </row>
    <row r="474" spans="1:20" s="34" customFormat="1" ht="15.75" customHeight="1" x14ac:dyDescent="0.25">
      <c r="A474" s="110">
        <v>1</v>
      </c>
      <c r="B474" s="111"/>
      <c r="C474" s="110" t="s">
        <v>404</v>
      </c>
      <c r="D474" s="120"/>
      <c r="E474" s="120"/>
      <c r="F474" s="120"/>
      <c r="G474" s="111"/>
      <c r="H474" s="39" t="s">
        <v>384</v>
      </c>
      <c r="I474" s="33"/>
      <c r="L474" s="112"/>
      <c r="M474" s="112"/>
      <c r="N474" s="33"/>
    </row>
    <row r="475" spans="1:20" s="34" customFormat="1" ht="15.75" customHeight="1" x14ac:dyDescent="0.25">
      <c r="A475" s="110">
        <f t="shared" ref="A475:A481" si="82">A474+1</f>
        <v>2</v>
      </c>
      <c r="B475" s="111"/>
      <c r="C475" s="39" t="s">
        <v>394</v>
      </c>
      <c r="D475" s="39">
        <f>(66.26)*10.764</f>
        <v>713.22263999999996</v>
      </c>
      <c r="E475" s="39">
        <v>0</v>
      </c>
      <c r="F475" s="39">
        <f t="shared" ref="F475" si="83">D475+E475</f>
        <v>713.22263999999996</v>
      </c>
      <c r="G475" s="39">
        <v>0</v>
      </c>
      <c r="H475" s="39">
        <f t="shared" ref="H475:H481" si="84">F475*(($H$172)+1)+(IF(G475&lt;101,G475,IF(G475&lt;201,G475/2,IF(G475&lt;=301,G475/3,G475/4))))</f>
        <v>1069.8339599999999</v>
      </c>
      <c r="I475" s="33"/>
      <c r="L475" s="112"/>
      <c r="M475" s="112"/>
      <c r="N475" s="33"/>
    </row>
    <row r="476" spans="1:20" s="34" customFormat="1" ht="15.75" customHeight="1" x14ac:dyDescent="0.25">
      <c r="A476" s="110">
        <f t="shared" si="82"/>
        <v>3</v>
      </c>
      <c r="B476" s="111"/>
      <c r="C476" s="39" t="s">
        <v>417</v>
      </c>
      <c r="D476" s="39">
        <f>(60.55)*10.764</f>
        <v>651.76019999999994</v>
      </c>
      <c r="E476" s="39">
        <f>(2.32)*10.764</f>
        <v>24.972479999999997</v>
      </c>
      <c r="F476" s="39">
        <f t="shared" ref="F476:F481" si="85">D476+E476</f>
        <v>676.73267999999996</v>
      </c>
      <c r="G476" s="39">
        <v>0</v>
      </c>
      <c r="H476" s="39">
        <f t="shared" si="84"/>
        <v>1015.0990199999999</v>
      </c>
      <c r="I476" s="33"/>
      <c r="L476" s="112"/>
      <c r="M476" s="112"/>
      <c r="N476" s="33"/>
    </row>
    <row r="477" spans="1:20" s="34" customFormat="1" ht="15.75" customHeight="1" x14ac:dyDescent="0.25">
      <c r="A477" s="110">
        <f t="shared" si="82"/>
        <v>4</v>
      </c>
      <c r="B477" s="111"/>
      <c r="C477" s="39" t="s">
        <v>417</v>
      </c>
      <c r="D477" s="39">
        <f>(60.55)*10.764</f>
        <v>651.76019999999994</v>
      </c>
      <c r="E477" s="39">
        <f>(2.32)*10.764</f>
        <v>24.972479999999997</v>
      </c>
      <c r="F477" s="39">
        <f t="shared" si="85"/>
        <v>676.73267999999996</v>
      </c>
      <c r="G477" s="39">
        <v>0</v>
      </c>
      <c r="H477" s="39">
        <f t="shared" si="84"/>
        <v>1015.0990199999999</v>
      </c>
      <c r="I477" s="33"/>
      <c r="L477" s="112"/>
      <c r="M477" s="112"/>
      <c r="N477" s="33"/>
      <c r="T477" s="18"/>
    </row>
    <row r="478" spans="1:20" s="34" customFormat="1" ht="15.75" customHeight="1" x14ac:dyDescent="0.25">
      <c r="A478" s="110">
        <f t="shared" si="82"/>
        <v>5</v>
      </c>
      <c r="B478" s="111"/>
      <c r="C478" s="39" t="s">
        <v>417</v>
      </c>
      <c r="D478" s="39">
        <f>(67.62)*10.764</f>
        <v>727.86167999999998</v>
      </c>
      <c r="E478" s="39">
        <f>(2.62)*10.764</f>
        <v>28.20168</v>
      </c>
      <c r="F478" s="39">
        <f t="shared" si="85"/>
        <v>756.06335999999999</v>
      </c>
      <c r="G478" s="39">
        <v>0</v>
      </c>
      <c r="H478" s="39">
        <f t="shared" si="84"/>
        <v>1134.0950399999999</v>
      </c>
      <c r="I478" s="33"/>
      <c r="L478" s="112"/>
      <c r="M478" s="112"/>
      <c r="N478" s="33"/>
    </row>
    <row r="479" spans="1:20" s="34" customFormat="1" ht="15.75" customHeight="1" x14ac:dyDescent="0.25">
      <c r="A479" s="110">
        <f t="shared" si="82"/>
        <v>6</v>
      </c>
      <c r="B479" s="111"/>
      <c r="C479" s="39" t="s">
        <v>417</v>
      </c>
      <c r="D479" s="39">
        <f>(67.62)*10.764</f>
        <v>727.86167999999998</v>
      </c>
      <c r="E479" s="39">
        <f>(2.62)*10.764</f>
        <v>28.20168</v>
      </c>
      <c r="F479" s="39">
        <f t="shared" si="85"/>
        <v>756.06335999999999</v>
      </c>
      <c r="G479" s="39">
        <v>0</v>
      </c>
      <c r="H479" s="39">
        <f t="shared" si="84"/>
        <v>1134.0950399999999</v>
      </c>
      <c r="I479" s="33"/>
      <c r="L479" s="112"/>
      <c r="M479" s="112"/>
      <c r="N479" s="33"/>
      <c r="T479" s="18"/>
    </row>
    <row r="480" spans="1:20" s="34" customFormat="1" x14ac:dyDescent="0.25">
      <c r="A480" s="113">
        <f t="shared" si="82"/>
        <v>7</v>
      </c>
      <c r="B480" s="113"/>
      <c r="C480" s="39" t="s">
        <v>417</v>
      </c>
      <c r="D480" s="39">
        <f>(60.55)*10.764</f>
        <v>651.76019999999994</v>
      </c>
      <c r="E480" s="39">
        <f>(2.32)*10.764</f>
        <v>24.972479999999997</v>
      </c>
      <c r="F480" s="39">
        <f t="shared" si="85"/>
        <v>676.73267999999996</v>
      </c>
      <c r="G480" s="39">
        <v>0</v>
      </c>
      <c r="H480" s="39">
        <f t="shared" si="84"/>
        <v>1015.0990199999999</v>
      </c>
      <c r="I480" s="33"/>
      <c r="N480" s="33"/>
    </row>
    <row r="481" spans="1:20" s="34" customFormat="1" x14ac:dyDescent="0.25">
      <c r="A481" s="113">
        <f t="shared" si="82"/>
        <v>8</v>
      </c>
      <c r="B481" s="113"/>
      <c r="C481" s="39" t="s">
        <v>417</v>
      </c>
      <c r="D481" s="39">
        <f>(60.55)*10.764</f>
        <v>651.76019999999994</v>
      </c>
      <c r="E481" s="39">
        <f>(2.32)*10.764</f>
        <v>24.972479999999997</v>
      </c>
      <c r="F481" s="39">
        <f t="shared" si="85"/>
        <v>676.73267999999996</v>
      </c>
      <c r="G481" s="39">
        <v>0</v>
      </c>
      <c r="H481" s="39">
        <f t="shared" si="84"/>
        <v>1015.0990199999999</v>
      </c>
      <c r="I481" s="33"/>
      <c r="N481" s="33"/>
    </row>
    <row r="482" spans="1:20" s="34" customFormat="1" x14ac:dyDescent="0.25">
      <c r="A482" s="107" t="s">
        <v>455</v>
      </c>
      <c r="B482" s="108"/>
      <c r="C482" s="108"/>
      <c r="D482" s="108"/>
      <c r="E482" s="108"/>
      <c r="F482" s="108"/>
      <c r="G482" s="108"/>
      <c r="H482" s="109"/>
      <c r="I482" s="74"/>
      <c r="J482" s="33"/>
    </row>
    <row r="483" spans="1:20" s="34" customFormat="1" x14ac:dyDescent="0.25">
      <c r="A483" s="107" t="s">
        <v>402</v>
      </c>
      <c r="B483" s="108"/>
      <c r="C483" s="108"/>
      <c r="D483" s="108"/>
      <c r="E483" s="108"/>
      <c r="F483" s="108"/>
      <c r="G483" s="108"/>
      <c r="H483" s="109"/>
      <c r="I483" s="74"/>
      <c r="J483" s="33"/>
    </row>
    <row r="484" spans="1:20" s="34" customFormat="1" x14ac:dyDescent="0.25">
      <c r="A484" s="107" t="s">
        <v>379</v>
      </c>
      <c r="B484" s="108"/>
      <c r="C484" s="108"/>
      <c r="D484" s="108"/>
      <c r="E484" s="108"/>
      <c r="F484" s="108"/>
      <c r="G484" s="108"/>
      <c r="H484" s="109"/>
      <c r="I484" s="74"/>
      <c r="J484" s="33"/>
    </row>
    <row r="485" spans="1:20" s="34" customFormat="1" ht="31.5" customHeight="1" x14ac:dyDescent="0.25">
      <c r="A485" s="107" t="s">
        <v>432</v>
      </c>
      <c r="B485" s="108"/>
      <c r="C485" s="108"/>
      <c r="D485" s="108"/>
      <c r="E485" s="108"/>
      <c r="F485" s="108"/>
      <c r="G485" s="108"/>
      <c r="H485" s="109"/>
      <c r="I485" s="74"/>
      <c r="J485" s="33"/>
    </row>
    <row r="486" spans="1:20" s="34" customFormat="1" x14ac:dyDescent="0.25">
      <c r="A486" s="107" t="s">
        <v>415</v>
      </c>
      <c r="B486" s="108"/>
      <c r="C486" s="108"/>
      <c r="D486" s="108"/>
      <c r="E486" s="108"/>
      <c r="F486" s="108"/>
      <c r="G486" s="108"/>
      <c r="H486" s="109"/>
      <c r="I486" s="74"/>
      <c r="J486" s="33"/>
    </row>
    <row r="487" spans="1:20" s="34" customFormat="1" x14ac:dyDescent="0.25">
      <c r="A487" s="107" t="s">
        <v>433</v>
      </c>
      <c r="B487" s="108"/>
      <c r="C487" s="108"/>
      <c r="D487" s="108"/>
      <c r="E487" s="108"/>
      <c r="F487" s="108"/>
      <c r="G487" s="108"/>
      <c r="H487" s="109"/>
      <c r="I487" s="74">
        <v>1</v>
      </c>
      <c r="J487" s="33"/>
    </row>
    <row r="488" spans="1:20" s="34" customFormat="1" ht="15.75" customHeight="1" x14ac:dyDescent="0.25">
      <c r="A488" s="110">
        <v>1</v>
      </c>
      <c r="B488" s="111"/>
      <c r="C488" s="39" t="s">
        <v>417</v>
      </c>
      <c r="D488" s="39">
        <f>(59.6)*10.764</f>
        <v>641.53440000000001</v>
      </c>
      <c r="E488" s="39">
        <f>(2.328)*10.764</f>
        <v>25.058591999999997</v>
      </c>
      <c r="F488" s="39">
        <f t="shared" ref="F488:F495" si="86">D488+E488</f>
        <v>666.59299199999998</v>
      </c>
      <c r="G488" s="39">
        <f>(3.05*5)*10.764</f>
        <v>164.15099999999998</v>
      </c>
      <c r="H488" s="39">
        <f t="shared" ref="H488:H495" si="87">F488*(($H$172)+1)+(IF(G488&lt;101,G488,IF(G488&lt;201,G488/2,IF(G488&lt;=301,G488/3,G488/4))))</f>
        <v>1081.9649879999999</v>
      </c>
      <c r="I488" s="33">
        <f>3.05*5.475+2.125*3.05+3.05*3.05+3.2*3.65+1.275*2.16+1.325*1.475+1.07*2.04+1.4*0.9+1.525*1.31+1.235*0.8</f>
        <v>55.299424999999985</v>
      </c>
      <c r="J488" s="34">
        <f>2*1.15</f>
        <v>2.2999999999999998</v>
      </c>
      <c r="L488" s="112"/>
      <c r="M488" s="112"/>
      <c r="N488" s="33"/>
    </row>
    <row r="489" spans="1:20" s="34" customFormat="1" ht="15.75" customHeight="1" x14ac:dyDescent="0.25">
      <c r="A489" s="110">
        <f t="shared" ref="A489:A495" si="88">A488+1</f>
        <v>2</v>
      </c>
      <c r="B489" s="111"/>
      <c r="C489" s="39" t="s">
        <v>417</v>
      </c>
      <c r="D489" s="39">
        <f>(59.6)*10.764</f>
        <v>641.53440000000001</v>
      </c>
      <c r="E489" s="39">
        <f>(2.328)*10.764</f>
        <v>25.058591999999997</v>
      </c>
      <c r="F489" s="39">
        <f t="shared" si="86"/>
        <v>666.59299199999998</v>
      </c>
      <c r="G489" s="39">
        <f>(3.05*5)*10.764</f>
        <v>164.15099999999998</v>
      </c>
      <c r="H489" s="39">
        <f t="shared" si="87"/>
        <v>1081.9649879999999</v>
      </c>
      <c r="I489" s="33"/>
      <c r="L489" s="112"/>
      <c r="M489" s="112"/>
      <c r="N489" s="33"/>
    </row>
    <row r="490" spans="1:20" s="34" customFormat="1" ht="15.75" customHeight="1" x14ac:dyDescent="0.25">
      <c r="A490" s="110">
        <f t="shared" si="88"/>
        <v>3</v>
      </c>
      <c r="B490" s="111"/>
      <c r="C490" s="39" t="s">
        <v>417</v>
      </c>
      <c r="D490" s="39">
        <f>(60.553)*10.764</f>
        <v>651.79249199999992</v>
      </c>
      <c r="E490" s="39">
        <f>(2.317)*10.764</f>
        <v>24.940187999999999</v>
      </c>
      <c r="F490" s="39">
        <f t="shared" si="86"/>
        <v>676.73267999999996</v>
      </c>
      <c r="G490" s="39">
        <v>0</v>
      </c>
      <c r="H490" s="39">
        <f t="shared" si="87"/>
        <v>1015.0990199999999</v>
      </c>
      <c r="I490" s="33">
        <f>3.05*5.475+2.125*3.825+3.05*(3.05+4.04)+1.375*(2.275+1.475)+0.61*3.265+(1.45+1.07)*0.9+0.8*1.285</f>
        <v>56.895274999999998</v>
      </c>
      <c r="J490" s="34">
        <f>2*1.15</f>
        <v>2.2999999999999998</v>
      </c>
      <c r="L490" s="112"/>
      <c r="M490" s="112"/>
      <c r="N490" s="33"/>
    </row>
    <row r="491" spans="1:20" s="34" customFormat="1" ht="15.75" customHeight="1" x14ac:dyDescent="0.25">
      <c r="A491" s="110">
        <f t="shared" si="88"/>
        <v>4</v>
      </c>
      <c r="B491" s="111"/>
      <c r="C491" s="110" t="s">
        <v>418</v>
      </c>
      <c r="D491" s="120"/>
      <c r="E491" s="120"/>
      <c r="F491" s="120"/>
      <c r="G491" s="111"/>
      <c r="H491" s="39" t="s">
        <v>384</v>
      </c>
      <c r="I491" s="33"/>
      <c r="L491" s="112"/>
      <c r="M491" s="112"/>
      <c r="N491" s="33"/>
      <c r="T491" s="18"/>
    </row>
    <row r="492" spans="1:20" s="34" customFormat="1" ht="15.75" customHeight="1" x14ac:dyDescent="0.25">
      <c r="A492" s="110">
        <f t="shared" si="88"/>
        <v>5</v>
      </c>
      <c r="B492" s="111"/>
      <c r="C492" s="98" t="s">
        <v>385</v>
      </c>
      <c r="D492" s="99"/>
      <c r="E492" s="99"/>
      <c r="F492" s="99"/>
      <c r="G492" s="100"/>
      <c r="H492" s="114" t="s">
        <v>384</v>
      </c>
      <c r="I492" s="33"/>
      <c r="L492" s="112"/>
      <c r="M492" s="112"/>
      <c r="N492" s="33"/>
    </row>
    <row r="493" spans="1:20" s="34" customFormat="1" ht="15.75" customHeight="1" x14ac:dyDescent="0.25">
      <c r="A493" s="110">
        <f t="shared" si="88"/>
        <v>6</v>
      </c>
      <c r="B493" s="111"/>
      <c r="C493" s="101"/>
      <c r="D493" s="102"/>
      <c r="E493" s="102"/>
      <c r="F493" s="102"/>
      <c r="G493" s="103"/>
      <c r="H493" s="115"/>
      <c r="I493" s="33"/>
      <c r="L493" s="112"/>
      <c r="M493" s="112"/>
      <c r="N493" s="33"/>
      <c r="T493" s="18"/>
    </row>
    <row r="494" spans="1:20" s="34" customFormat="1" x14ac:dyDescent="0.25">
      <c r="A494" s="113">
        <f t="shared" si="88"/>
        <v>7</v>
      </c>
      <c r="B494" s="113"/>
      <c r="C494" s="110" t="s">
        <v>395</v>
      </c>
      <c r="D494" s="120"/>
      <c r="E494" s="120"/>
      <c r="F494" s="120"/>
      <c r="G494" s="111"/>
      <c r="H494" s="39" t="s">
        <v>384</v>
      </c>
      <c r="I494" s="33"/>
      <c r="N494" s="33"/>
    </row>
    <row r="495" spans="1:20" s="34" customFormat="1" x14ac:dyDescent="0.25">
      <c r="A495" s="113">
        <f t="shared" si="88"/>
        <v>8</v>
      </c>
      <c r="B495" s="113"/>
      <c r="C495" s="39" t="s">
        <v>417</v>
      </c>
      <c r="D495" s="39">
        <f>(60.553)*10.764</f>
        <v>651.79249199999992</v>
      </c>
      <c r="E495" s="39">
        <f>(2.317)*10.764</f>
        <v>24.940187999999999</v>
      </c>
      <c r="F495" s="39">
        <f t="shared" si="86"/>
        <v>676.73267999999996</v>
      </c>
      <c r="G495" s="39">
        <v>0</v>
      </c>
      <c r="H495" s="39">
        <f t="shared" si="87"/>
        <v>1015.0990199999999</v>
      </c>
      <c r="I495" s="33"/>
      <c r="N495" s="33"/>
    </row>
    <row r="496" spans="1:20" s="34" customFormat="1" x14ac:dyDescent="0.25">
      <c r="A496" s="107" t="s">
        <v>117</v>
      </c>
      <c r="B496" s="108"/>
      <c r="C496" s="108"/>
      <c r="D496" s="108"/>
      <c r="E496" s="108"/>
      <c r="F496" s="108"/>
      <c r="G496" s="108"/>
      <c r="H496" s="109"/>
      <c r="I496" s="74">
        <v>1</v>
      </c>
      <c r="J496" s="33"/>
    </row>
    <row r="497" spans="1:20" s="34" customFormat="1" ht="15.75" customHeight="1" x14ac:dyDescent="0.25">
      <c r="A497" s="110">
        <v>1</v>
      </c>
      <c r="B497" s="111"/>
      <c r="C497" s="39" t="s">
        <v>417</v>
      </c>
      <c r="D497" s="39">
        <f>(59.6)*10.764</f>
        <v>641.53440000000001</v>
      </c>
      <c r="E497" s="39">
        <f>(2.328)*10.764</f>
        <v>25.058591999999997</v>
      </c>
      <c r="F497" s="39">
        <f t="shared" ref="F497:F504" si="89">D497+E497</f>
        <v>666.59299199999998</v>
      </c>
      <c r="G497" s="39">
        <v>0</v>
      </c>
      <c r="H497" s="39">
        <f t="shared" ref="H497:H504" si="90">F497*(($H$172)+1)+(IF(G497&lt;101,G497,IF(G497&lt;201,G497/2,IF(G497&lt;=301,G497/3,G497/4))))</f>
        <v>999.88948800000003</v>
      </c>
      <c r="I497" s="33"/>
      <c r="L497" s="112"/>
      <c r="M497" s="112"/>
      <c r="N497" s="33"/>
    </row>
    <row r="498" spans="1:20" s="34" customFormat="1" ht="15.75" customHeight="1" x14ac:dyDescent="0.25">
      <c r="A498" s="110">
        <f t="shared" ref="A498:A504" si="91">A497+1</f>
        <v>2</v>
      </c>
      <c r="B498" s="111"/>
      <c r="C498" s="39" t="s">
        <v>417</v>
      </c>
      <c r="D498" s="39">
        <f>(59.6)*10.764</f>
        <v>641.53440000000001</v>
      </c>
      <c r="E498" s="39">
        <f>(2.328)*10.764</f>
        <v>25.058591999999997</v>
      </c>
      <c r="F498" s="39">
        <f t="shared" si="89"/>
        <v>666.59299199999998</v>
      </c>
      <c r="G498" s="39">
        <v>0</v>
      </c>
      <c r="H498" s="39">
        <f t="shared" si="90"/>
        <v>999.88948800000003</v>
      </c>
      <c r="I498" s="33"/>
      <c r="L498" s="112"/>
      <c r="M498" s="112"/>
      <c r="N498" s="33"/>
    </row>
    <row r="499" spans="1:20" s="34" customFormat="1" ht="15.75" customHeight="1" x14ac:dyDescent="0.25">
      <c r="A499" s="110">
        <f t="shared" si="91"/>
        <v>3</v>
      </c>
      <c r="B499" s="111"/>
      <c r="C499" s="39" t="s">
        <v>417</v>
      </c>
      <c r="D499" s="39">
        <f>(60.553)*10.764</f>
        <v>651.79249199999992</v>
      </c>
      <c r="E499" s="39">
        <f>(2.317)*10.764</f>
        <v>24.940187999999999</v>
      </c>
      <c r="F499" s="39">
        <f t="shared" si="89"/>
        <v>676.73267999999996</v>
      </c>
      <c r="G499" s="39">
        <v>0</v>
      </c>
      <c r="H499" s="39">
        <f t="shared" si="90"/>
        <v>1015.0990199999999</v>
      </c>
      <c r="I499" s="33"/>
      <c r="L499" s="112"/>
      <c r="M499" s="112"/>
      <c r="N499" s="33"/>
    </row>
    <row r="500" spans="1:20" s="34" customFormat="1" ht="15.75" customHeight="1" x14ac:dyDescent="0.25">
      <c r="A500" s="110">
        <f t="shared" si="91"/>
        <v>4</v>
      </c>
      <c r="B500" s="111"/>
      <c r="C500" s="98" t="s">
        <v>385</v>
      </c>
      <c r="D500" s="99"/>
      <c r="E500" s="99"/>
      <c r="F500" s="99"/>
      <c r="G500" s="100"/>
      <c r="H500" s="114" t="s">
        <v>384</v>
      </c>
      <c r="I500" s="33"/>
      <c r="L500" s="112"/>
      <c r="M500" s="112"/>
      <c r="N500" s="33"/>
      <c r="T500" s="18"/>
    </row>
    <row r="501" spans="1:20" s="34" customFormat="1" ht="15.75" customHeight="1" x14ac:dyDescent="0.25">
      <c r="A501" s="110">
        <f t="shared" si="91"/>
        <v>5</v>
      </c>
      <c r="B501" s="111"/>
      <c r="C501" s="117"/>
      <c r="D501" s="118"/>
      <c r="E501" s="118"/>
      <c r="F501" s="118"/>
      <c r="G501" s="119"/>
      <c r="H501" s="116"/>
      <c r="I501" s="33"/>
      <c r="L501" s="112"/>
      <c r="M501" s="112"/>
      <c r="N501" s="33"/>
    </row>
    <row r="502" spans="1:20" s="34" customFormat="1" ht="15.75" customHeight="1" x14ac:dyDescent="0.25">
      <c r="A502" s="110">
        <f t="shared" si="91"/>
        <v>6</v>
      </c>
      <c r="B502" s="111"/>
      <c r="C502" s="117"/>
      <c r="D502" s="118"/>
      <c r="E502" s="118"/>
      <c r="F502" s="118"/>
      <c r="G502" s="119"/>
      <c r="H502" s="116"/>
      <c r="I502" s="33"/>
      <c r="L502" s="112"/>
      <c r="M502" s="112"/>
      <c r="N502" s="33"/>
      <c r="T502" s="18"/>
    </row>
    <row r="503" spans="1:20" s="34" customFormat="1" x14ac:dyDescent="0.25">
      <c r="A503" s="113">
        <f t="shared" si="91"/>
        <v>7</v>
      </c>
      <c r="B503" s="113"/>
      <c r="C503" s="101"/>
      <c r="D503" s="102"/>
      <c r="E503" s="102"/>
      <c r="F503" s="102"/>
      <c r="G503" s="103"/>
      <c r="H503" s="115"/>
      <c r="I503" s="33"/>
      <c r="N503" s="33"/>
    </row>
    <row r="504" spans="1:20" s="34" customFormat="1" x14ac:dyDescent="0.25">
      <c r="A504" s="113">
        <f t="shared" si="91"/>
        <v>8</v>
      </c>
      <c r="B504" s="113"/>
      <c r="C504" s="39" t="s">
        <v>417</v>
      </c>
      <c r="D504" s="39">
        <f>(60.553)*10.764</f>
        <v>651.79249199999992</v>
      </c>
      <c r="E504" s="39">
        <f>(2.317)*10.764</f>
        <v>24.940187999999999</v>
      </c>
      <c r="F504" s="39">
        <f t="shared" si="89"/>
        <v>676.73267999999996</v>
      </c>
      <c r="G504" s="39">
        <v>0</v>
      </c>
      <c r="H504" s="39">
        <f t="shared" si="90"/>
        <v>1015.0990199999999</v>
      </c>
      <c r="I504" s="33"/>
      <c r="N504" s="33"/>
    </row>
    <row r="505" spans="1:20" s="34" customFormat="1" x14ac:dyDescent="0.25">
      <c r="A505" s="107" t="s">
        <v>434</v>
      </c>
      <c r="B505" s="108"/>
      <c r="C505" s="108"/>
      <c r="D505" s="108"/>
      <c r="E505" s="108"/>
      <c r="F505" s="108"/>
      <c r="G505" s="108"/>
      <c r="H505" s="109"/>
      <c r="I505" s="74">
        <v>1</v>
      </c>
      <c r="J505" s="33"/>
    </row>
    <row r="506" spans="1:20" s="34" customFormat="1" ht="15.75" customHeight="1" x14ac:dyDescent="0.25">
      <c r="A506" s="110">
        <v>1</v>
      </c>
      <c r="B506" s="111"/>
      <c r="C506" s="39" t="s">
        <v>417</v>
      </c>
      <c r="D506" s="39">
        <f>(59.6)*10.764</f>
        <v>641.53440000000001</v>
      </c>
      <c r="E506" s="39">
        <f>(2.328)*10.764</f>
        <v>25.058591999999997</v>
      </c>
      <c r="F506" s="39">
        <f t="shared" ref="F506:F513" si="92">D506+E506</f>
        <v>666.59299199999998</v>
      </c>
      <c r="G506" s="39">
        <v>0</v>
      </c>
      <c r="H506" s="39">
        <f t="shared" ref="H506:H513" si="93">F506*(($H$172)+1)+(IF(G506&lt;101,G506,IF(G506&lt;201,G506/2,IF(G506&lt;=301,G506/3,G506/4))))</f>
        <v>999.88948800000003</v>
      </c>
      <c r="I506" s="33"/>
      <c r="L506" s="112"/>
      <c r="M506" s="112"/>
      <c r="N506" s="33"/>
    </row>
    <row r="507" spans="1:20" s="34" customFormat="1" ht="15.75" customHeight="1" x14ac:dyDescent="0.25">
      <c r="A507" s="110">
        <f t="shared" ref="A507:A513" si="94">A506+1</f>
        <v>2</v>
      </c>
      <c r="B507" s="111"/>
      <c r="C507" s="39" t="s">
        <v>417</v>
      </c>
      <c r="D507" s="39">
        <f>(59.6)*10.764</f>
        <v>641.53440000000001</v>
      </c>
      <c r="E507" s="39">
        <f>(2.328)*10.764</f>
        <v>25.058591999999997</v>
      </c>
      <c r="F507" s="39">
        <f t="shared" si="92"/>
        <v>666.59299199999998</v>
      </c>
      <c r="G507" s="39">
        <v>0</v>
      </c>
      <c r="H507" s="39">
        <f t="shared" si="93"/>
        <v>999.88948800000003</v>
      </c>
      <c r="I507" s="33"/>
      <c r="L507" s="112"/>
      <c r="M507" s="112"/>
      <c r="N507" s="33"/>
    </row>
    <row r="508" spans="1:20" s="34" customFormat="1" ht="15.75" customHeight="1" x14ac:dyDescent="0.25">
      <c r="A508" s="110">
        <f t="shared" si="94"/>
        <v>3</v>
      </c>
      <c r="B508" s="111"/>
      <c r="C508" s="39" t="s">
        <v>417</v>
      </c>
      <c r="D508" s="39">
        <f>(60.553)*10.764</f>
        <v>651.79249199999992</v>
      </c>
      <c r="E508" s="39">
        <f>(2.317)*10.764</f>
        <v>24.940187999999999</v>
      </c>
      <c r="F508" s="39">
        <f t="shared" si="92"/>
        <v>676.73267999999996</v>
      </c>
      <c r="G508" s="39">
        <v>0</v>
      </c>
      <c r="H508" s="39">
        <f t="shared" si="93"/>
        <v>1015.0990199999999</v>
      </c>
      <c r="I508" s="33"/>
      <c r="L508" s="112"/>
      <c r="M508" s="112"/>
      <c r="N508" s="33"/>
    </row>
    <row r="509" spans="1:20" s="34" customFormat="1" ht="15.75" customHeight="1" x14ac:dyDescent="0.25">
      <c r="A509" s="110">
        <f t="shared" si="94"/>
        <v>4</v>
      </c>
      <c r="B509" s="111"/>
      <c r="C509" s="39" t="s">
        <v>417</v>
      </c>
      <c r="D509" s="39">
        <f>(60.553)*10.764</f>
        <v>651.79249199999992</v>
      </c>
      <c r="E509" s="39">
        <f>(2.317)*10.764</f>
        <v>24.940187999999999</v>
      </c>
      <c r="F509" s="39">
        <f t="shared" si="92"/>
        <v>676.73267999999996</v>
      </c>
      <c r="G509" s="39">
        <v>0</v>
      </c>
      <c r="H509" s="39">
        <f t="shared" si="93"/>
        <v>1015.0990199999999</v>
      </c>
      <c r="I509" s="33"/>
      <c r="L509" s="112"/>
      <c r="M509" s="112"/>
      <c r="N509" s="33"/>
      <c r="T509" s="18"/>
    </row>
    <row r="510" spans="1:20" s="34" customFormat="1" ht="15.75" customHeight="1" x14ac:dyDescent="0.25">
      <c r="A510" s="110">
        <f t="shared" si="94"/>
        <v>5</v>
      </c>
      <c r="B510" s="111"/>
      <c r="C510" s="98" t="s">
        <v>435</v>
      </c>
      <c r="D510" s="99"/>
      <c r="E510" s="99"/>
      <c r="F510" s="99"/>
      <c r="G510" s="100"/>
      <c r="H510" s="114" t="s">
        <v>384</v>
      </c>
      <c r="I510" s="33"/>
      <c r="L510" s="112"/>
      <c r="M510" s="112"/>
      <c r="N510" s="33"/>
    </row>
    <row r="511" spans="1:20" s="34" customFormat="1" ht="15.75" customHeight="1" x14ac:dyDescent="0.25">
      <c r="A511" s="110">
        <f t="shared" si="94"/>
        <v>6</v>
      </c>
      <c r="B511" s="111"/>
      <c r="C511" s="101"/>
      <c r="D511" s="102"/>
      <c r="E511" s="102"/>
      <c r="F511" s="102"/>
      <c r="G511" s="103"/>
      <c r="H511" s="115"/>
      <c r="I511" s="33"/>
      <c r="L511" s="112"/>
      <c r="M511" s="112"/>
      <c r="N511" s="33"/>
      <c r="T511" s="18"/>
    </row>
    <row r="512" spans="1:20" s="34" customFormat="1" x14ac:dyDescent="0.25">
      <c r="A512" s="113">
        <f t="shared" si="94"/>
        <v>7</v>
      </c>
      <c r="B512" s="113"/>
      <c r="C512" s="39" t="s">
        <v>417</v>
      </c>
      <c r="D512" s="39">
        <f>(60.553)*10.764</f>
        <v>651.79249199999992</v>
      </c>
      <c r="E512" s="39">
        <f>(2.317)*10.764</f>
        <v>24.940187999999999</v>
      </c>
      <c r="F512" s="39">
        <f t="shared" si="92"/>
        <v>676.73267999999996</v>
      </c>
      <c r="G512" s="39">
        <v>0</v>
      </c>
      <c r="H512" s="39">
        <f t="shared" si="93"/>
        <v>1015.0990199999999</v>
      </c>
      <c r="I512" s="33"/>
      <c r="N512" s="33"/>
    </row>
    <row r="513" spans="1:20" s="34" customFormat="1" x14ac:dyDescent="0.25">
      <c r="A513" s="113">
        <f t="shared" si="94"/>
        <v>8</v>
      </c>
      <c r="B513" s="113"/>
      <c r="C513" s="39" t="s">
        <v>417</v>
      </c>
      <c r="D513" s="39">
        <f>(60.553)*10.764</f>
        <v>651.79249199999992</v>
      </c>
      <c r="E513" s="39">
        <f>(2.317)*10.764</f>
        <v>24.940187999999999</v>
      </c>
      <c r="F513" s="39">
        <f t="shared" si="92"/>
        <v>676.73267999999996</v>
      </c>
      <c r="G513" s="39">
        <v>0</v>
      </c>
      <c r="H513" s="39">
        <f t="shared" si="93"/>
        <v>1015.0990199999999</v>
      </c>
      <c r="I513" s="33"/>
      <c r="N513" s="33"/>
    </row>
    <row r="514" spans="1:20" s="34" customFormat="1" x14ac:dyDescent="0.25">
      <c r="A514" s="107" t="s">
        <v>389</v>
      </c>
      <c r="B514" s="108"/>
      <c r="C514" s="108"/>
      <c r="D514" s="108"/>
      <c r="E514" s="108"/>
      <c r="F514" s="108"/>
      <c r="G514" s="108"/>
      <c r="H514" s="109"/>
      <c r="I514" s="74">
        <v>1</v>
      </c>
      <c r="J514" s="33"/>
    </row>
    <row r="515" spans="1:20" s="34" customFormat="1" ht="15.75" customHeight="1" x14ac:dyDescent="0.25">
      <c r="A515" s="110">
        <v>1</v>
      </c>
      <c r="B515" s="111"/>
      <c r="C515" s="39" t="s">
        <v>417</v>
      </c>
      <c r="D515" s="39">
        <f>(59.6)*10.764</f>
        <v>641.53440000000001</v>
      </c>
      <c r="E515" s="39">
        <f>(2.328)*10.764</f>
        <v>25.058591999999997</v>
      </c>
      <c r="F515" s="39">
        <f t="shared" ref="F515:F522" si="95">D515+E515</f>
        <v>666.59299199999998</v>
      </c>
      <c r="G515" s="39">
        <v>0</v>
      </c>
      <c r="H515" s="39">
        <f t="shared" ref="H515:H522" si="96">F515*(($H$172)+1)+(IF(G515&lt;101,G515,IF(G515&lt;201,G515/2,IF(G515&lt;=301,G515/3,G515/4))))</f>
        <v>999.88948800000003</v>
      </c>
      <c r="I515" s="33"/>
      <c r="L515" s="112"/>
      <c r="M515" s="112"/>
      <c r="N515" s="33"/>
    </row>
    <row r="516" spans="1:20" s="34" customFormat="1" ht="15.75" customHeight="1" x14ac:dyDescent="0.25">
      <c r="A516" s="110">
        <f t="shared" ref="A516:A522" si="97">A515+1</f>
        <v>2</v>
      </c>
      <c r="B516" s="111"/>
      <c r="C516" s="39" t="s">
        <v>417</v>
      </c>
      <c r="D516" s="39">
        <f>(59.6)*10.764</f>
        <v>641.53440000000001</v>
      </c>
      <c r="E516" s="39">
        <f>(2.328)*10.764</f>
        <v>25.058591999999997</v>
      </c>
      <c r="F516" s="39">
        <f t="shared" si="95"/>
        <v>666.59299199999998</v>
      </c>
      <c r="G516" s="39">
        <v>0</v>
      </c>
      <c r="H516" s="39">
        <f t="shared" si="96"/>
        <v>999.88948800000003</v>
      </c>
      <c r="I516" s="33"/>
      <c r="L516" s="112"/>
      <c r="M516" s="112"/>
      <c r="N516" s="33"/>
    </row>
    <row r="517" spans="1:20" s="34" customFormat="1" ht="15.75" customHeight="1" x14ac:dyDescent="0.25">
      <c r="A517" s="110">
        <f t="shared" si="97"/>
        <v>3</v>
      </c>
      <c r="B517" s="111"/>
      <c r="C517" s="39" t="s">
        <v>417</v>
      </c>
      <c r="D517" s="39">
        <f>(60.553)*10.764</f>
        <v>651.79249199999992</v>
      </c>
      <c r="E517" s="39">
        <f>(2.317)*10.764</f>
        <v>24.940187999999999</v>
      </c>
      <c r="F517" s="39">
        <f t="shared" si="95"/>
        <v>676.73267999999996</v>
      </c>
      <c r="G517" s="39">
        <v>0</v>
      </c>
      <c r="H517" s="39">
        <f t="shared" si="96"/>
        <v>1015.0990199999999</v>
      </c>
      <c r="I517" s="33"/>
      <c r="L517" s="112"/>
      <c r="M517" s="112"/>
      <c r="N517" s="33"/>
    </row>
    <row r="518" spans="1:20" s="34" customFormat="1" ht="15.75" customHeight="1" x14ac:dyDescent="0.25">
      <c r="A518" s="110">
        <f t="shared" si="97"/>
        <v>4</v>
      </c>
      <c r="B518" s="111"/>
      <c r="C518" s="39" t="s">
        <v>417</v>
      </c>
      <c r="D518" s="39">
        <f>(60.553)*10.764</f>
        <v>651.79249199999992</v>
      </c>
      <c r="E518" s="39">
        <f>(2.317)*10.764</f>
        <v>24.940187999999999</v>
      </c>
      <c r="F518" s="39">
        <f t="shared" si="95"/>
        <v>676.73267999999996</v>
      </c>
      <c r="G518" s="39">
        <v>0</v>
      </c>
      <c r="H518" s="39">
        <f t="shared" si="96"/>
        <v>1015.0990199999999</v>
      </c>
      <c r="I518" s="33"/>
      <c r="L518" s="112"/>
      <c r="M518" s="112"/>
      <c r="N518" s="33"/>
      <c r="T518" s="18"/>
    </row>
    <row r="519" spans="1:20" s="34" customFormat="1" ht="15.75" customHeight="1" x14ac:dyDescent="0.25">
      <c r="A519" s="110">
        <f t="shared" si="97"/>
        <v>5</v>
      </c>
      <c r="B519" s="111"/>
      <c r="C519" s="98" t="s">
        <v>422</v>
      </c>
      <c r="D519" s="99"/>
      <c r="E519" s="99"/>
      <c r="F519" s="99"/>
      <c r="G519" s="100"/>
      <c r="H519" s="114" t="s">
        <v>384</v>
      </c>
      <c r="I519" s="33"/>
      <c r="L519" s="112"/>
      <c r="M519" s="112"/>
      <c r="N519" s="33"/>
    </row>
    <row r="520" spans="1:20" s="34" customFormat="1" ht="15.75" customHeight="1" x14ac:dyDescent="0.25">
      <c r="A520" s="110">
        <f t="shared" si="97"/>
        <v>6</v>
      </c>
      <c r="B520" s="111"/>
      <c r="C520" s="101"/>
      <c r="D520" s="102"/>
      <c r="E520" s="102"/>
      <c r="F520" s="102"/>
      <c r="G520" s="103"/>
      <c r="H520" s="115"/>
      <c r="I520" s="33"/>
      <c r="L520" s="112"/>
      <c r="M520" s="112"/>
      <c r="N520" s="33"/>
      <c r="T520" s="18"/>
    </row>
    <row r="521" spans="1:20" s="34" customFormat="1" x14ac:dyDescent="0.25">
      <c r="A521" s="113">
        <f t="shared" si="97"/>
        <v>7</v>
      </c>
      <c r="B521" s="113"/>
      <c r="C521" s="39" t="s">
        <v>417</v>
      </c>
      <c r="D521" s="39">
        <f>(60.553)*10.764</f>
        <v>651.79249199999992</v>
      </c>
      <c r="E521" s="39">
        <f>(2.317)*10.764</f>
        <v>24.940187999999999</v>
      </c>
      <c r="F521" s="39">
        <f t="shared" si="95"/>
        <v>676.73267999999996</v>
      </c>
      <c r="G521" s="39">
        <v>0</v>
      </c>
      <c r="H521" s="39">
        <f t="shared" si="96"/>
        <v>1015.0990199999999</v>
      </c>
      <c r="I521" s="33"/>
      <c r="N521" s="33"/>
    </row>
    <row r="522" spans="1:20" s="34" customFormat="1" x14ac:dyDescent="0.25">
      <c r="A522" s="113">
        <f t="shared" si="97"/>
        <v>8</v>
      </c>
      <c r="B522" s="113"/>
      <c r="C522" s="39" t="s">
        <v>417</v>
      </c>
      <c r="D522" s="39">
        <f>(60.553)*10.764</f>
        <v>651.79249199999992</v>
      </c>
      <c r="E522" s="39">
        <f>(2.317)*10.764</f>
        <v>24.940187999999999</v>
      </c>
      <c r="F522" s="39">
        <f t="shared" si="95"/>
        <v>676.73267999999996</v>
      </c>
      <c r="G522" s="39">
        <v>0</v>
      </c>
      <c r="H522" s="39">
        <f t="shared" si="96"/>
        <v>1015.0990199999999</v>
      </c>
      <c r="I522" s="33"/>
      <c r="N522" s="33"/>
    </row>
    <row r="523" spans="1:20" s="34" customFormat="1" ht="35.25" customHeight="1" x14ac:dyDescent="0.25">
      <c r="A523" s="107" t="s">
        <v>475</v>
      </c>
      <c r="B523" s="108"/>
      <c r="C523" s="108"/>
      <c r="D523" s="108"/>
      <c r="E523" s="108"/>
      <c r="F523" s="108"/>
      <c r="G523" s="108"/>
      <c r="H523" s="109"/>
      <c r="I523" s="74">
        <f>2+4+4+4+4+4+4+4+4+1</f>
        <v>35</v>
      </c>
      <c r="J523" s="33"/>
    </row>
    <row r="524" spans="1:20" s="34" customFormat="1" ht="15.75" customHeight="1" x14ac:dyDescent="0.25">
      <c r="A524" s="110">
        <v>1</v>
      </c>
      <c r="B524" s="111"/>
      <c r="C524" s="39" t="s">
        <v>417</v>
      </c>
      <c r="D524" s="39">
        <f>(59.6)*10.764</f>
        <v>641.53440000000001</v>
      </c>
      <c r="E524" s="39">
        <f>(2.328)*10.764</f>
        <v>25.058591999999997</v>
      </c>
      <c r="F524" s="39">
        <f t="shared" ref="F524:F531" si="98">D524+E524</f>
        <v>666.59299199999998</v>
      </c>
      <c r="G524" s="39">
        <v>0</v>
      </c>
      <c r="H524" s="39">
        <f t="shared" ref="H524:H531" si="99">F524*(($H$172)+1)+(IF(G524&lt;101,G524,IF(G524&lt;201,G524/2,IF(G524&lt;=301,G524/3,G524/4))))</f>
        <v>999.88948800000003</v>
      </c>
      <c r="I524" s="33"/>
      <c r="L524" s="112"/>
      <c r="M524" s="112"/>
      <c r="N524" s="33"/>
    </row>
    <row r="525" spans="1:20" s="34" customFormat="1" ht="15.75" customHeight="1" x14ac:dyDescent="0.25">
      <c r="A525" s="110">
        <f t="shared" ref="A525:A531" si="100">A524+1</f>
        <v>2</v>
      </c>
      <c r="B525" s="111"/>
      <c r="C525" s="39" t="s">
        <v>417</v>
      </c>
      <c r="D525" s="39">
        <f>(59.6)*10.764</f>
        <v>641.53440000000001</v>
      </c>
      <c r="E525" s="39">
        <f>(2.328)*10.764</f>
        <v>25.058591999999997</v>
      </c>
      <c r="F525" s="39">
        <f t="shared" si="98"/>
        <v>666.59299199999998</v>
      </c>
      <c r="G525" s="39">
        <v>0</v>
      </c>
      <c r="H525" s="39">
        <f t="shared" si="99"/>
        <v>999.88948800000003</v>
      </c>
      <c r="I525" s="33"/>
      <c r="L525" s="112"/>
      <c r="M525" s="112"/>
      <c r="N525" s="33"/>
    </row>
    <row r="526" spans="1:20" s="34" customFormat="1" ht="15.75" customHeight="1" x14ac:dyDescent="0.25">
      <c r="A526" s="110">
        <f t="shared" si="100"/>
        <v>3</v>
      </c>
      <c r="B526" s="111"/>
      <c r="C526" s="39" t="s">
        <v>417</v>
      </c>
      <c r="D526" s="39">
        <f>(60.553)*10.764</f>
        <v>651.79249199999992</v>
      </c>
      <c r="E526" s="39">
        <f>(2.317)*10.764</f>
        <v>24.940187999999999</v>
      </c>
      <c r="F526" s="39">
        <f t="shared" si="98"/>
        <v>676.73267999999996</v>
      </c>
      <c r="G526" s="39">
        <v>0</v>
      </c>
      <c r="H526" s="39">
        <f t="shared" si="99"/>
        <v>1015.0990199999999</v>
      </c>
      <c r="I526" s="33"/>
      <c r="L526" s="112"/>
      <c r="M526" s="112"/>
      <c r="N526" s="33"/>
    </row>
    <row r="527" spans="1:20" s="34" customFormat="1" ht="15.75" customHeight="1" x14ac:dyDescent="0.25">
      <c r="A527" s="110">
        <f t="shared" si="100"/>
        <v>4</v>
      </c>
      <c r="B527" s="111"/>
      <c r="C527" s="39" t="s">
        <v>417</v>
      </c>
      <c r="D527" s="39">
        <f>(60.553)*10.764</f>
        <v>651.79249199999992</v>
      </c>
      <c r="E527" s="39">
        <f>(2.317)*10.764</f>
        <v>24.940187999999999</v>
      </c>
      <c r="F527" s="39">
        <f t="shared" si="98"/>
        <v>676.73267999999996</v>
      </c>
      <c r="G527" s="39">
        <v>0</v>
      </c>
      <c r="H527" s="39">
        <f t="shared" si="99"/>
        <v>1015.0990199999999</v>
      </c>
      <c r="I527" s="33"/>
      <c r="L527" s="112"/>
      <c r="M527" s="112"/>
      <c r="N527" s="33"/>
      <c r="T527" s="18"/>
    </row>
    <row r="528" spans="1:20" s="34" customFormat="1" ht="15.75" customHeight="1" x14ac:dyDescent="0.25">
      <c r="A528" s="110">
        <f t="shared" si="100"/>
        <v>5</v>
      </c>
      <c r="B528" s="111"/>
      <c r="C528" s="39" t="s">
        <v>417</v>
      </c>
      <c r="D528" s="39">
        <f>(67.684)*10.764</f>
        <v>728.55057599999998</v>
      </c>
      <c r="E528" s="39">
        <f>(2.621)*10.764</f>
        <v>28.212443999999998</v>
      </c>
      <c r="F528" s="39">
        <f t="shared" si="98"/>
        <v>756.76301999999998</v>
      </c>
      <c r="G528" s="39">
        <v>0</v>
      </c>
      <c r="H528" s="39">
        <f t="shared" si="99"/>
        <v>1135.14453</v>
      </c>
      <c r="I528" s="33"/>
      <c r="L528" s="112"/>
      <c r="M528" s="112"/>
      <c r="N528" s="33"/>
    </row>
    <row r="529" spans="1:20" s="34" customFormat="1" ht="15.75" customHeight="1" x14ac:dyDescent="0.25">
      <c r="A529" s="110">
        <f t="shared" si="100"/>
        <v>6</v>
      </c>
      <c r="B529" s="111"/>
      <c r="C529" s="39" t="s">
        <v>417</v>
      </c>
      <c r="D529" s="39">
        <f>(67.684)*10.764</f>
        <v>728.55057599999998</v>
      </c>
      <c r="E529" s="39">
        <f>(2.621)*10.764</f>
        <v>28.212443999999998</v>
      </c>
      <c r="F529" s="39">
        <f t="shared" si="98"/>
        <v>756.76301999999998</v>
      </c>
      <c r="G529" s="39">
        <v>0</v>
      </c>
      <c r="H529" s="39">
        <f t="shared" si="99"/>
        <v>1135.14453</v>
      </c>
      <c r="I529" s="33">
        <f>3.05*6.285+2.45*3.65+3.05*(3.05+4.275)+1.375*2.275+1.525*2.428+1.75*0.985+1.75*1+1.2*2.39</f>
        <v>63.625575000000005</v>
      </c>
      <c r="J529" s="73">
        <f>2.125*1.225</f>
        <v>2.6031250000000004</v>
      </c>
      <c r="L529" s="112"/>
      <c r="M529" s="112"/>
      <c r="N529" s="33"/>
      <c r="T529" s="18"/>
    </row>
    <row r="530" spans="1:20" s="34" customFormat="1" x14ac:dyDescent="0.25">
      <c r="A530" s="113">
        <f t="shared" si="100"/>
        <v>7</v>
      </c>
      <c r="B530" s="113"/>
      <c r="C530" s="39" t="s">
        <v>417</v>
      </c>
      <c r="D530" s="39">
        <f>(60.553)*10.764</f>
        <v>651.79249199999992</v>
      </c>
      <c r="E530" s="39">
        <f>(2.317)*10.764</f>
        <v>24.940187999999999</v>
      </c>
      <c r="F530" s="39">
        <f t="shared" si="98"/>
        <v>676.73267999999996</v>
      </c>
      <c r="G530" s="39">
        <v>0</v>
      </c>
      <c r="H530" s="39">
        <f t="shared" si="99"/>
        <v>1015.0990199999999</v>
      </c>
      <c r="I530" s="33"/>
      <c r="N530" s="33"/>
    </row>
    <row r="531" spans="1:20" s="34" customFormat="1" x14ac:dyDescent="0.25">
      <c r="A531" s="113">
        <f t="shared" si="100"/>
        <v>8</v>
      </c>
      <c r="B531" s="113"/>
      <c r="C531" s="39" t="s">
        <v>417</v>
      </c>
      <c r="D531" s="39">
        <f>(60.553)*10.764</f>
        <v>651.79249199999992</v>
      </c>
      <c r="E531" s="39">
        <f>(2.317)*10.764</f>
        <v>24.940187999999999</v>
      </c>
      <c r="F531" s="39">
        <f t="shared" si="98"/>
        <v>676.73267999999996</v>
      </c>
      <c r="G531" s="39">
        <v>0</v>
      </c>
      <c r="H531" s="39">
        <f t="shared" si="99"/>
        <v>1015.0990199999999</v>
      </c>
      <c r="I531" s="33"/>
      <c r="N531" s="33"/>
    </row>
    <row r="532" spans="1:20" s="34" customFormat="1" x14ac:dyDescent="0.25">
      <c r="A532" s="107" t="s">
        <v>431</v>
      </c>
      <c r="B532" s="108"/>
      <c r="C532" s="108"/>
      <c r="D532" s="108"/>
      <c r="E532" s="108"/>
      <c r="F532" s="108"/>
      <c r="G532" s="108"/>
      <c r="H532" s="109"/>
      <c r="I532" s="74">
        <f>8</f>
        <v>8</v>
      </c>
      <c r="J532" s="33"/>
    </row>
    <row r="533" spans="1:20" s="34" customFormat="1" ht="15.75" customHeight="1" x14ac:dyDescent="0.25">
      <c r="A533" s="110">
        <v>1</v>
      </c>
      <c r="B533" s="111"/>
      <c r="C533" s="110" t="s">
        <v>404</v>
      </c>
      <c r="D533" s="120"/>
      <c r="E533" s="120"/>
      <c r="F533" s="120"/>
      <c r="G533" s="111"/>
      <c r="H533" s="39" t="s">
        <v>384</v>
      </c>
      <c r="I533" s="33"/>
      <c r="L533" s="112"/>
      <c r="M533" s="112"/>
      <c r="N533" s="33"/>
    </row>
    <row r="534" spans="1:20" s="34" customFormat="1" ht="15.75" customHeight="1" x14ac:dyDescent="0.25">
      <c r="A534" s="110">
        <f t="shared" ref="A534:A540" si="101">A533+1</f>
        <v>2</v>
      </c>
      <c r="B534" s="111"/>
      <c r="C534" s="39" t="s">
        <v>394</v>
      </c>
      <c r="D534" s="39">
        <f>(91.1)*10.764</f>
        <v>980.60039999999992</v>
      </c>
      <c r="E534" s="39">
        <f>(4.656)*10.764</f>
        <v>50.117183999999995</v>
      </c>
      <c r="F534" s="39">
        <f t="shared" ref="F534:F540" si="102">D534+E534</f>
        <v>1030.717584</v>
      </c>
      <c r="G534" s="39">
        <v>0</v>
      </c>
      <c r="H534" s="39">
        <f t="shared" ref="H534:H540" si="103">F534*(($H$172)+1)+(IF(G534&lt;101,G534,IF(G534&lt;201,G534/2,IF(G534&lt;=301,G534/3,G534/4))))</f>
        <v>1546.076376</v>
      </c>
      <c r="I534" s="33">
        <f>6.225*4.015+2.125*3.05+3.05*3.05+3.2*(3.65+3.65)+1.375*2.16+1.325*(1.475+1.475)+3.2*1.46+1.075*2.04+(1.5+1.638)*0.9+0.8*(1.235+1.235)+1.31*(1.525+1.525)</f>
        <v>86.676574999999985</v>
      </c>
      <c r="J534" s="34">
        <f>2*(1.15+1.15)</f>
        <v>4.5999999999999996</v>
      </c>
      <c r="L534" s="112"/>
      <c r="M534" s="112"/>
      <c r="N534" s="33"/>
    </row>
    <row r="535" spans="1:20" s="34" customFormat="1" ht="15.75" customHeight="1" x14ac:dyDescent="0.25">
      <c r="A535" s="110">
        <f t="shared" si="101"/>
        <v>3</v>
      </c>
      <c r="B535" s="111"/>
      <c r="C535" s="39" t="s">
        <v>417</v>
      </c>
      <c r="D535" s="39">
        <f>(60.553)*10.764</f>
        <v>651.79249199999992</v>
      </c>
      <c r="E535" s="39">
        <f>(2.317)*10.764</f>
        <v>24.940187999999999</v>
      </c>
      <c r="F535" s="39">
        <f t="shared" si="102"/>
        <v>676.73267999999996</v>
      </c>
      <c r="G535" s="39">
        <v>0</v>
      </c>
      <c r="H535" s="39">
        <f t="shared" si="103"/>
        <v>1015.0990199999999</v>
      </c>
      <c r="I535" s="33"/>
      <c r="L535" s="112"/>
      <c r="M535" s="112"/>
      <c r="N535" s="33"/>
    </row>
    <row r="536" spans="1:20" s="34" customFormat="1" ht="15.75" customHeight="1" x14ac:dyDescent="0.25">
      <c r="A536" s="110">
        <f t="shared" si="101"/>
        <v>4</v>
      </c>
      <c r="B536" s="111"/>
      <c r="C536" s="39" t="s">
        <v>417</v>
      </c>
      <c r="D536" s="39">
        <f>(60.553)*10.764</f>
        <v>651.79249199999992</v>
      </c>
      <c r="E536" s="39">
        <f>(2.317)*10.764</f>
        <v>24.940187999999999</v>
      </c>
      <c r="F536" s="39">
        <f t="shared" si="102"/>
        <v>676.73267999999996</v>
      </c>
      <c r="G536" s="39">
        <v>0</v>
      </c>
      <c r="H536" s="39">
        <f t="shared" si="103"/>
        <v>1015.0990199999999</v>
      </c>
      <c r="I536" s="33"/>
      <c r="L536" s="112"/>
      <c r="M536" s="112"/>
      <c r="N536" s="33"/>
      <c r="T536" s="18"/>
    </row>
    <row r="537" spans="1:20" s="34" customFormat="1" ht="15.75" customHeight="1" x14ac:dyDescent="0.25">
      <c r="A537" s="110">
        <f t="shared" si="101"/>
        <v>5</v>
      </c>
      <c r="B537" s="111"/>
      <c r="C537" s="39" t="s">
        <v>417</v>
      </c>
      <c r="D537" s="39">
        <f>(67.684)*10.764</f>
        <v>728.55057599999998</v>
      </c>
      <c r="E537" s="39">
        <f>(2.621)*10.764</f>
        <v>28.212443999999998</v>
      </c>
      <c r="F537" s="39">
        <f t="shared" si="102"/>
        <v>756.76301999999998</v>
      </c>
      <c r="G537" s="39">
        <v>0</v>
      </c>
      <c r="H537" s="39">
        <f t="shared" si="103"/>
        <v>1135.14453</v>
      </c>
      <c r="I537" s="33"/>
      <c r="L537" s="112"/>
      <c r="M537" s="112"/>
      <c r="N537" s="33"/>
    </row>
    <row r="538" spans="1:20" s="34" customFormat="1" ht="15.75" customHeight="1" x14ac:dyDescent="0.25">
      <c r="A538" s="110">
        <f t="shared" si="101"/>
        <v>6</v>
      </c>
      <c r="B538" s="111"/>
      <c r="C538" s="39" t="s">
        <v>417</v>
      </c>
      <c r="D538" s="39">
        <f>(67.684)*10.764</f>
        <v>728.55057599999998</v>
      </c>
      <c r="E538" s="39">
        <f>(2.621)*10.764</f>
        <v>28.212443999999998</v>
      </c>
      <c r="F538" s="39">
        <f t="shared" si="102"/>
        <v>756.76301999999998</v>
      </c>
      <c r="G538" s="39">
        <v>0</v>
      </c>
      <c r="H538" s="39">
        <f t="shared" si="103"/>
        <v>1135.14453</v>
      </c>
      <c r="I538" s="33"/>
      <c r="L538" s="112"/>
      <c r="M538" s="112"/>
      <c r="N538" s="33"/>
      <c r="T538" s="18"/>
    </row>
    <row r="539" spans="1:20" s="34" customFormat="1" x14ac:dyDescent="0.25">
      <c r="A539" s="113">
        <f t="shared" si="101"/>
        <v>7</v>
      </c>
      <c r="B539" s="113"/>
      <c r="C539" s="39" t="s">
        <v>417</v>
      </c>
      <c r="D539" s="39">
        <f>(60.553)*10.764</f>
        <v>651.79249199999992</v>
      </c>
      <c r="E539" s="39">
        <f>(2.317)*10.764</f>
        <v>24.940187999999999</v>
      </c>
      <c r="F539" s="39">
        <f t="shared" si="102"/>
        <v>676.73267999999996</v>
      </c>
      <c r="G539" s="39">
        <v>0</v>
      </c>
      <c r="H539" s="39">
        <f t="shared" si="103"/>
        <v>1015.0990199999999</v>
      </c>
      <c r="I539" s="33"/>
      <c r="N539" s="33"/>
    </row>
    <row r="540" spans="1:20" s="34" customFormat="1" x14ac:dyDescent="0.25">
      <c r="A540" s="113">
        <f t="shared" si="101"/>
        <v>8</v>
      </c>
      <c r="B540" s="113"/>
      <c r="C540" s="39" t="s">
        <v>417</v>
      </c>
      <c r="D540" s="39">
        <f>(60.553)*10.764</f>
        <v>651.79249199999992</v>
      </c>
      <c r="E540" s="39">
        <f>(2.317)*10.764</f>
        <v>24.940187999999999</v>
      </c>
      <c r="F540" s="39">
        <f t="shared" si="102"/>
        <v>676.73267999999996</v>
      </c>
      <c r="G540" s="39">
        <v>0</v>
      </c>
      <c r="H540" s="39">
        <f t="shared" si="103"/>
        <v>1015.0990199999999</v>
      </c>
      <c r="I540" s="33"/>
      <c r="N540" s="33"/>
    </row>
    <row r="541" spans="1:20" s="34" customFormat="1" hidden="1" x14ac:dyDescent="0.25">
      <c r="A541" s="107" t="s">
        <v>116</v>
      </c>
      <c r="B541" s="108"/>
      <c r="C541" s="108"/>
      <c r="D541" s="108"/>
      <c r="E541" s="108"/>
      <c r="F541" s="108"/>
      <c r="G541" s="108"/>
      <c r="H541" s="109"/>
      <c r="I541" s="74"/>
      <c r="J541" s="33"/>
    </row>
    <row r="542" spans="1:20" s="34" customFormat="1" ht="15.75" hidden="1" customHeight="1" x14ac:dyDescent="0.25">
      <c r="A542" s="110">
        <v>1</v>
      </c>
      <c r="B542" s="111"/>
      <c r="C542" s="39"/>
      <c r="D542" s="39"/>
      <c r="E542" s="39">
        <v>0</v>
      </c>
      <c r="F542" s="39">
        <f t="shared" ref="F542:F549" si="104">D542+E542</f>
        <v>0</v>
      </c>
      <c r="G542" s="39">
        <v>0</v>
      </c>
      <c r="H542" s="39">
        <f t="shared" ref="H542:H549" si="105">F542*(($H$172)+1)+(IF(G542&lt;101,G542,IF(G542&lt;201,G542/2,IF(G542&lt;=301,G542/3,G542/4))))</f>
        <v>0</v>
      </c>
      <c r="I542" s="33"/>
      <c r="L542" s="112"/>
      <c r="M542" s="112"/>
      <c r="N542" s="33"/>
    </row>
    <row r="543" spans="1:20" s="34" customFormat="1" ht="15.75" hidden="1" customHeight="1" x14ac:dyDescent="0.25">
      <c r="A543" s="110">
        <f t="shared" ref="A543:A549" si="106">A542+1</f>
        <v>2</v>
      </c>
      <c r="B543" s="111"/>
      <c r="C543" s="39"/>
      <c r="D543" s="39"/>
      <c r="E543" s="39">
        <v>0</v>
      </c>
      <c r="F543" s="39">
        <f t="shared" si="104"/>
        <v>0</v>
      </c>
      <c r="G543" s="39">
        <v>0</v>
      </c>
      <c r="H543" s="39">
        <f t="shared" si="105"/>
        <v>0</v>
      </c>
      <c r="I543" s="33"/>
      <c r="L543" s="112"/>
      <c r="M543" s="112"/>
      <c r="N543" s="33"/>
    </row>
    <row r="544" spans="1:20" s="34" customFormat="1" ht="15.75" hidden="1" customHeight="1" x14ac:dyDescent="0.25">
      <c r="A544" s="110">
        <f t="shared" si="106"/>
        <v>3</v>
      </c>
      <c r="B544" s="111"/>
      <c r="C544" s="39"/>
      <c r="D544" s="39"/>
      <c r="E544" s="39">
        <v>0</v>
      </c>
      <c r="F544" s="39">
        <f t="shared" si="104"/>
        <v>0</v>
      </c>
      <c r="G544" s="39">
        <v>0</v>
      </c>
      <c r="H544" s="39">
        <f t="shared" si="105"/>
        <v>0</v>
      </c>
      <c r="I544" s="33"/>
      <c r="L544" s="112"/>
      <c r="M544" s="112"/>
      <c r="N544" s="33"/>
    </row>
    <row r="545" spans="1:20" s="34" customFormat="1" ht="15.75" hidden="1" customHeight="1" x14ac:dyDescent="0.25">
      <c r="A545" s="110">
        <f t="shared" si="106"/>
        <v>4</v>
      </c>
      <c r="B545" s="111"/>
      <c r="C545" s="39"/>
      <c r="D545" s="39"/>
      <c r="E545" s="39">
        <v>0</v>
      </c>
      <c r="F545" s="39">
        <f t="shared" si="104"/>
        <v>0</v>
      </c>
      <c r="G545" s="39">
        <v>0</v>
      </c>
      <c r="H545" s="39">
        <f t="shared" si="105"/>
        <v>0</v>
      </c>
      <c r="I545" s="33"/>
      <c r="L545" s="112"/>
      <c r="M545" s="112"/>
      <c r="N545" s="33"/>
      <c r="T545" s="18"/>
    </row>
    <row r="546" spans="1:20" s="34" customFormat="1" ht="15.75" hidden="1" customHeight="1" x14ac:dyDescent="0.25">
      <c r="A546" s="110">
        <f t="shared" si="106"/>
        <v>5</v>
      </c>
      <c r="B546" s="111"/>
      <c r="C546" s="39"/>
      <c r="D546" s="39"/>
      <c r="E546" s="39">
        <v>0</v>
      </c>
      <c r="F546" s="39">
        <f t="shared" si="104"/>
        <v>0</v>
      </c>
      <c r="G546" s="39">
        <v>0</v>
      </c>
      <c r="H546" s="39">
        <f t="shared" si="105"/>
        <v>0</v>
      </c>
      <c r="I546" s="33"/>
      <c r="L546" s="112"/>
      <c r="M546" s="112"/>
      <c r="N546" s="33"/>
    </row>
    <row r="547" spans="1:20" s="34" customFormat="1" ht="15.75" hidden="1" customHeight="1" x14ac:dyDescent="0.25">
      <c r="A547" s="110">
        <f t="shared" si="106"/>
        <v>6</v>
      </c>
      <c r="B547" s="111"/>
      <c r="C547" s="39"/>
      <c r="D547" s="39"/>
      <c r="E547" s="39">
        <v>0</v>
      </c>
      <c r="F547" s="39">
        <f t="shared" si="104"/>
        <v>0</v>
      </c>
      <c r="G547" s="39">
        <v>0</v>
      </c>
      <c r="H547" s="39">
        <f t="shared" si="105"/>
        <v>0</v>
      </c>
      <c r="I547" s="33"/>
      <c r="L547" s="112"/>
      <c r="M547" s="112"/>
      <c r="N547" s="33"/>
      <c r="T547" s="18"/>
    </row>
    <row r="548" spans="1:20" s="34" customFormat="1" hidden="1" x14ac:dyDescent="0.25">
      <c r="A548" s="113">
        <f t="shared" si="106"/>
        <v>7</v>
      </c>
      <c r="B548" s="113"/>
      <c r="C548" s="39"/>
      <c r="D548" s="39"/>
      <c r="E548" s="39">
        <v>0</v>
      </c>
      <c r="F548" s="39">
        <f t="shared" si="104"/>
        <v>0</v>
      </c>
      <c r="G548" s="39">
        <v>0</v>
      </c>
      <c r="H548" s="39">
        <f t="shared" si="105"/>
        <v>0</v>
      </c>
      <c r="I548" s="33"/>
      <c r="N548" s="33"/>
    </row>
    <row r="549" spans="1:20" s="34" customFormat="1" hidden="1" x14ac:dyDescent="0.25">
      <c r="A549" s="113">
        <f t="shared" si="106"/>
        <v>8</v>
      </c>
      <c r="B549" s="113"/>
      <c r="C549" s="39"/>
      <c r="D549" s="39"/>
      <c r="E549" s="39">
        <v>0</v>
      </c>
      <c r="F549" s="39">
        <f t="shared" si="104"/>
        <v>0</v>
      </c>
      <c r="G549" s="39">
        <v>0</v>
      </c>
      <c r="H549" s="39">
        <f t="shared" si="105"/>
        <v>0</v>
      </c>
      <c r="I549" s="33"/>
      <c r="N549" s="33"/>
    </row>
    <row r="550" spans="1:20" s="34" customFormat="1" hidden="1" x14ac:dyDescent="0.25">
      <c r="A550" s="113">
        <f t="shared" ref="A550:A551" si="107">A549+1</f>
        <v>9</v>
      </c>
      <c r="B550" s="113"/>
      <c r="C550" s="39"/>
      <c r="D550" s="39"/>
      <c r="E550" s="39">
        <v>0</v>
      </c>
      <c r="F550" s="39">
        <f t="shared" ref="F550:F551" si="108">D550+E550</f>
        <v>0</v>
      </c>
      <c r="G550" s="39">
        <v>0</v>
      </c>
      <c r="H550" s="39">
        <f t="shared" ref="H550:H551" si="109">F550*(($H$172)+1)+(IF(G550&lt;101,G550,IF(G550&lt;201,G550/2,IF(G550&lt;=301,G550/3,G550/4))))</f>
        <v>0</v>
      </c>
      <c r="I550" s="33"/>
      <c r="N550" s="33"/>
    </row>
    <row r="551" spans="1:20" s="34" customFormat="1" hidden="1" x14ac:dyDescent="0.25">
      <c r="A551" s="113">
        <f t="shared" si="107"/>
        <v>10</v>
      </c>
      <c r="B551" s="113"/>
      <c r="C551" s="39"/>
      <c r="D551" s="39"/>
      <c r="E551" s="39">
        <v>0</v>
      </c>
      <c r="F551" s="39">
        <f t="shared" si="108"/>
        <v>0</v>
      </c>
      <c r="G551" s="39">
        <v>0</v>
      </c>
      <c r="H551" s="39">
        <f t="shared" si="109"/>
        <v>0</v>
      </c>
      <c r="I551" s="33"/>
      <c r="N551" s="33"/>
    </row>
    <row r="552" spans="1:20" s="34" customFormat="1" ht="15.75" hidden="1" customHeight="1" x14ac:dyDescent="0.25">
      <c r="A552" s="107" t="s">
        <v>150</v>
      </c>
      <c r="B552" s="108"/>
      <c r="C552" s="108"/>
      <c r="D552" s="108"/>
      <c r="E552" s="108"/>
      <c r="F552" s="108"/>
      <c r="G552" s="108"/>
      <c r="H552" s="109"/>
      <c r="I552" s="33"/>
    </row>
    <row r="553" spans="1:20" s="34" customFormat="1" ht="15.75" hidden="1" customHeight="1" x14ac:dyDescent="0.25">
      <c r="A553" s="110" t="str">
        <f ca="1">(SUMPRODUCT(MID(0&amp;(LEFT(A552,SUM(LEN(A552)-LEN(SUBSTITUTE(A552,{"0","1","2"},""))))), LARGE(INDEX(ISNUMBER(--MID((LEFT(A552,SUM(LEN(A552)-LEN(SUBSTITUTE(A552,{"0","1","2"},""))))), ROW(INDIRECT("1:"&amp;LEN((LEFT(A552,SUM(LEN(A552)-LEN(SUBSTITUTE(A552,{"0","1","2"},"")))))))), 1)) * ROW(INDIRECT("1:"&amp;LEN((LEFT(A552,SUM(LEN(A552)-LEN(SUBSTITUTE(A552,{"0","1","2"},"")))))))), 0), ROW(INDIRECT("1:"&amp;LEN((LEFT(A552,SUM(LEN(A552)-LEN(SUBSTITUTE(A552,{"0","1","2"},"")))))))))+1, 1) * 10^ROW(INDIRECT("1:"&amp;LEN((LEFT(A552,SUM(LEN(A552)-LEN(SUBSTITUTE(A552,{"0","1","2"},""))))))))/10))*100+1&amp;""&amp;" ,.., "&amp;""&amp;(SUMPRODUCT(MID(0&amp;(--TRIM(RIGHT(SUBSTITUTE(LEFT(A552,_xlfn.AGGREGATE(16,6,FIND({0,1,2,3,4,5,6,7,8,9},A552,ROW(INDIRECT("1:"&amp;LEN(A552)))),1))," ",REPT(" ",LEN(A552))),LEN(A552)))), LARGE(INDEX(ISNUMBER(--MID((--TRIM(RIGHT(SUBSTITUTE(LEFT(A552,_xlfn.AGGREGATE(16,6,FIND({0,1,2,3,4,5,6,7,8,9},A552,ROW(INDIRECT("1:"&amp;LEN(A552)))),1))," ",REPT(" ",LEN(A552))),LEN(A552)))), ROW(INDIRECT("1:"&amp;LEN((--TRIM(RIGHT(SUBSTITUTE(LEFT(A552,_xlfn.AGGREGATE(16,6,FIND({0,1,2,3,4,5,6,7,8,9},A552,ROW(INDIRECT("1:"&amp;LEN(A552)))),1))," ",REPT(" ",LEN(A552))),LEN(A552))))))), 1)) * ROW(INDIRECT("1:"&amp;LEN((--TRIM(RIGHT(SUBSTITUTE(LEFT(A552,_xlfn.AGGREGATE(16,6,FIND({0,1,2,3,4,5,6,7,8,9},A552,ROW(INDIRECT("1:"&amp;LEN(A552)))),1))," ",REPT(" ",LEN(A552))),LEN(A552))))))), 0), ROW(INDIRECT("1:"&amp;LEN((--TRIM(RIGHT(SUBSTITUTE(LEFT(A552,_xlfn.AGGREGATE(16,6,FIND({0,1,2,3,4,5,6,7,8,9},A552,ROW(INDIRECT("1:"&amp;LEN(A552)))),1))," ",REPT(" ",LEN(A552))),LEN(A552))))))))+1, 1) * 10^ROW(INDIRECT("1:"&amp;LEN((--TRIM(RIGHT(SUBSTITUTE(LEFT(A552,_xlfn.AGGREGATE(16,6,FIND({0,1,2,3,4,5,6,7,8,9},A552,ROW(INDIRECT("1:"&amp;LEN(A552)))),1))," ",REPT(" ",LEN(A552))),LEN(A552)))))))/10))*100+1</f>
        <v>301 ,.., 1501</v>
      </c>
      <c r="B553" s="111"/>
      <c r="C553" s="39"/>
      <c r="D553" s="39"/>
      <c r="E553" s="39">
        <v>0</v>
      </c>
      <c r="F553" s="39">
        <f>D553+E553</f>
        <v>0</v>
      </c>
      <c r="G553" s="39">
        <v>0</v>
      </c>
      <c r="H553" s="39">
        <f>F553*(($H$172)+1)+(IF(G553&lt;101,G553,IF(G553&lt;201,G553/2,IF(G553&lt;=301,G553/3,G553/4))))</f>
        <v>0</v>
      </c>
      <c r="I553" s="33"/>
    </row>
    <row r="554" spans="1:20" s="34" customFormat="1" ht="15.75" hidden="1" customHeight="1" x14ac:dyDescent="0.25">
      <c r="A554" s="110" t="str">
        <f ca="1">(SUMPRODUCT(MID(0&amp;(LEFT(A553,SUM(LEN(A553)-LEN(SUBSTITUTE(A553,{"0","1","2"},""))))), LARGE(INDEX(ISNUMBER(--MID((LEFT(A553,SUM(LEN(A553)-LEN(SUBSTITUTE(A553,{"0","1","2"},""))))), ROW(INDIRECT("1:"&amp;LEN((LEFT(A553,SUM(LEN(A553)-LEN(SUBSTITUTE(A553,{"0","1","2"},"")))))))), 1)) * ROW(INDIRECT("1:"&amp;LEN((LEFT(A553,SUM(LEN(A553)-LEN(SUBSTITUTE(A553,{"0","1","2"},"")))))))), 0), ROW(INDIRECT("1:"&amp;LEN((LEFT(A553,SUM(LEN(A553)-LEN(SUBSTITUTE(A553,{"0","1","2"},"")))))))))+1, 1) * 10^ROW(INDIRECT("1:"&amp;LEN((LEFT(A553,SUM(LEN(A553)-LEN(SUBSTITUTE(A553,{"0","1","2"},""))))))))/10))*1+1&amp;""&amp;" ,.., "&amp;""&amp;(SUMPRODUCT(MID(0&amp;(--TRIM(RIGHT(SUBSTITUTE(LEFT(A553,_xlfn.AGGREGATE(16,6,FIND({0,1,2,3,4,5,6,7,8,9},A553,ROW(INDIRECT("1:"&amp;LEN(A553)))),1))," ",REPT(" ",LEN(A553))),LEN(A553)))), LARGE(INDEX(ISNUMBER(--MID((--TRIM(RIGHT(SUBSTITUTE(LEFT(A553,_xlfn.AGGREGATE(16,6,FIND({0,1,2,3,4,5,6,7,8,9},A553,ROW(INDIRECT("1:"&amp;LEN(A553)))),1))," ",REPT(" ",LEN(A553))),LEN(A553)))), ROW(INDIRECT("1:"&amp;LEN((--TRIM(RIGHT(SUBSTITUTE(LEFT(A553,_xlfn.AGGREGATE(16,6,FIND({0,1,2,3,4,5,6,7,8,9},A553,ROW(INDIRECT("1:"&amp;LEN(A553)))),1))," ",REPT(" ",LEN(A553))),LEN(A553))))))), 1)) * ROW(INDIRECT("1:"&amp;LEN((--TRIM(RIGHT(SUBSTITUTE(LEFT(A553,_xlfn.AGGREGATE(16,6,FIND({0,1,2,3,4,5,6,7,8,9},A553,ROW(INDIRECT("1:"&amp;LEN(A553)))),1))," ",REPT(" ",LEN(A553))),LEN(A553))))))), 0), ROW(INDIRECT("1:"&amp;LEN((--TRIM(RIGHT(SUBSTITUTE(LEFT(A553,_xlfn.AGGREGATE(16,6,FIND({0,1,2,3,4,5,6,7,8,9},A553,ROW(INDIRECT("1:"&amp;LEN(A553)))),1))," ",REPT(" ",LEN(A553))),LEN(A553))))))))+1, 1) * 10^ROW(INDIRECT("1:"&amp;LEN((--TRIM(RIGHT(SUBSTITUTE(LEFT(A553,_xlfn.AGGREGATE(16,6,FIND({0,1,2,3,4,5,6,7,8,9},A553,ROW(INDIRECT("1:"&amp;LEN(A553)))),1))," ",REPT(" ",LEN(A553))),LEN(A553)))))))/10))*1+1</f>
        <v>302 ,.., 1502</v>
      </c>
      <c r="B554" s="111"/>
      <c r="C554" s="39"/>
      <c r="D554" s="39"/>
      <c r="E554" s="39">
        <v>0</v>
      </c>
      <c r="F554" s="39">
        <f>D554+E554</f>
        <v>0</v>
      </c>
      <c r="G554" s="39">
        <v>0</v>
      </c>
      <c r="H554" s="39">
        <f>F554*(($H$172)+1)+(IF(G554&lt;101,G554,IF(G554&lt;201,G554/2,IF(G554&lt;=301,G554/3,G554/4))))</f>
        <v>0</v>
      </c>
      <c r="I554" s="33"/>
    </row>
    <row r="555" spans="1:20" s="34" customFormat="1" ht="15.75" hidden="1" customHeight="1" x14ac:dyDescent="0.25">
      <c r="A555" s="110" t="str">
        <f ca="1">(SUMPRODUCT(MID(0&amp;(LEFT(A554,SUM(LEN(A554)-LEN(SUBSTITUTE(A554,{"0","1","2"},""))))), LARGE(INDEX(ISNUMBER(--MID((LEFT(A554,SUM(LEN(A554)-LEN(SUBSTITUTE(A554,{"0","1","2"},""))))), ROW(INDIRECT("1:"&amp;LEN((LEFT(A554,SUM(LEN(A554)-LEN(SUBSTITUTE(A554,{"0","1","2"},"")))))))), 1)) * ROW(INDIRECT("1:"&amp;LEN((LEFT(A554,SUM(LEN(A554)-LEN(SUBSTITUTE(A554,{"0","1","2"},"")))))))), 0), ROW(INDIRECT("1:"&amp;LEN((LEFT(A554,SUM(LEN(A554)-LEN(SUBSTITUTE(A554,{"0","1","2"},"")))))))))+1, 1) * 10^ROW(INDIRECT("1:"&amp;LEN((LEFT(A554,SUM(LEN(A554)-LEN(SUBSTITUTE(A554,{"0","1","2"},""))))))))/10))*1+1&amp;""&amp;" ,.., "&amp;""&amp;(SUMPRODUCT(MID(0&amp;(--TRIM(RIGHT(SUBSTITUTE(LEFT(A554,_xlfn.AGGREGATE(16,6,FIND({0,1,2,3,4,5,6,7,8,9},A554,ROW(INDIRECT("1:"&amp;LEN(A554)))),1))," ",REPT(" ",LEN(A554))),LEN(A554)))), LARGE(INDEX(ISNUMBER(--MID((--TRIM(RIGHT(SUBSTITUTE(LEFT(A554,_xlfn.AGGREGATE(16,6,FIND({0,1,2,3,4,5,6,7,8,9},A554,ROW(INDIRECT("1:"&amp;LEN(A554)))),1))," ",REPT(" ",LEN(A554))),LEN(A554)))), ROW(INDIRECT("1:"&amp;LEN((--TRIM(RIGHT(SUBSTITUTE(LEFT(A554,_xlfn.AGGREGATE(16,6,FIND({0,1,2,3,4,5,6,7,8,9},A554,ROW(INDIRECT("1:"&amp;LEN(A554)))),1))," ",REPT(" ",LEN(A554))),LEN(A554))))))), 1)) * ROW(INDIRECT("1:"&amp;LEN((--TRIM(RIGHT(SUBSTITUTE(LEFT(A554,_xlfn.AGGREGATE(16,6,FIND({0,1,2,3,4,5,6,7,8,9},A554,ROW(INDIRECT("1:"&amp;LEN(A554)))),1))," ",REPT(" ",LEN(A554))),LEN(A554))))))), 0), ROW(INDIRECT("1:"&amp;LEN((--TRIM(RIGHT(SUBSTITUTE(LEFT(A554,_xlfn.AGGREGATE(16,6,FIND({0,1,2,3,4,5,6,7,8,9},A554,ROW(INDIRECT("1:"&amp;LEN(A554)))),1))," ",REPT(" ",LEN(A554))),LEN(A554))))))))+1, 1) * 10^ROW(INDIRECT("1:"&amp;LEN((--TRIM(RIGHT(SUBSTITUTE(LEFT(A554,_xlfn.AGGREGATE(16,6,FIND({0,1,2,3,4,5,6,7,8,9},A554,ROW(INDIRECT("1:"&amp;LEN(A554)))),1))," ",REPT(" ",LEN(A554))),LEN(A554)))))))/10))*1+1</f>
        <v>303 ,.., 1503</v>
      </c>
      <c r="B555" s="111"/>
      <c r="C555" s="39"/>
      <c r="D555" s="39"/>
      <c r="E555" s="39">
        <v>0</v>
      </c>
      <c r="F555" s="39">
        <f>D555+E555</f>
        <v>0</v>
      </c>
      <c r="G555" s="39">
        <v>0</v>
      </c>
      <c r="H555" s="39">
        <f>F555*(($H$172)+1)+(IF(G555&lt;101,G555,IF(G555&lt;201,G555/2,IF(G555&lt;=301,G555/3,G555/4))))</f>
        <v>0</v>
      </c>
      <c r="I555" s="33"/>
    </row>
    <row r="556" spans="1:20" s="34" customFormat="1" ht="15.75" hidden="1" customHeight="1" x14ac:dyDescent="0.25">
      <c r="A556" s="110" t="str">
        <f ca="1">(SUMPRODUCT(MID(0&amp;(LEFT(A555,SUM(LEN(A555)-LEN(SUBSTITUTE(A555,{"0","1","2"},""))))), LARGE(INDEX(ISNUMBER(--MID((LEFT(A555,SUM(LEN(A555)-LEN(SUBSTITUTE(A555,{"0","1","2"},""))))), ROW(INDIRECT("1:"&amp;LEN((LEFT(A555,SUM(LEN(A555)-LEN(SUBSTITUTE(A555,{"0","1","2"},"")))))))), 1)) * ROW(INDIRECT("1:"&amp;LEN((LEFT(A555,SUM(LEN(A555)-LEN(SUBSTITUTE(A555,{"0","1","2"},"")))))))), 0), ROW(INDIRECT("1:"&amp;LEN((LEFT(A555,SUM(LEN(A555)-LEN(SUBSTITUTE(A555,{"0","1","2"},"")))))))))+1, 1) * 10^ROW(INDIRECT("1:"&amp;LEN((LEFT(A555,SUM(LEN(A555)-LEN(SUBSTITUTE(A555,{"0","1","2"},""))))))))/10))*1+1&amp;""&amp;" ,.., "&amp;""&amp;(SUMPRODUCT(MID(0&amp;(--TRIM(RIGHT(SUBSTITUTE(LEFT(A555,_xlfn.AGGREGATE(16,6,FIND({0,1,2,3,4,5,6,7,8,9},A555,ROW(INDIRECT("1:"&amp;LEN(A555)))),1))," ",REPT(" ",LEN(A555))),LEN(A555)))), LARGE(INDEX(ISNUMBER(--MID((--TRIM(RIGHT(SUBSTITUTE(LEFT(A555,_xlfn.AGGREGATE(16,6,FIND({0,1,2,3,4,5,6,7,8,9},A555,ROW(INDIRECT("1:"&amp;LEN(A555)))),1))," ",REPT(" ",LEN(A555))),LEN(A555)))), ROW(INDIRECT("1:"&amp;LEN((--TRIM(RIGHT(SUBSTITUTE(LEFT(A555,_xlfn.AGGREGATE(16,6,FIND({0,1,2,3,4,5,6,7,8,9},A555,ROW(INDIRECT("1:"&amp;LEN(A555)))),1))," ",REPT(" ",LEN(A555))),LEN(A555))))))), 1)) * ROW(INDIRECT("1:"&amp;LEN((--TRIM(RIGHT(SUBSTITUTE(LEFT(A555,_xlfn.AGGREGATE(16,6,FIND({0,1,2,3,4,5,6,7,8,9},A555,ROW(INDIRECT("1:"&amp;LEN(A555)))),1))," ",REPT(" ",LEN(A555))),LEN(A555))))))), 0), ROW(INDIRECT("1:"&amp;LEN((--TRIM(RIGHT(SUBSTITUTE(LEFT(A555,_xlfn.AGGREGATE(16,6,FIND({0,1,2,3,4,5,6,7,8,9},A555,ROW(INDIRECT("1:"&amp;LEN(A555)))),1))," ",REPT(" ",LEN(A555))),LEN(A555))))))))+1, 1) * 10^ROW(INDIRECT("1:"&amp;LEN((--TRIM(RIGHT(SUBSTITUTE(LEFT(A555,_xlfn.AGGREGATE(16,6,FIND({0,1,2,3,4,5,6,7,8,9},A555,ROW(INDIRECT("1:"&amp;LEN(A555)))),1))," ",REPT(" ",LEN(A555))),LEN(A555)))))))/10))*1+1</f>
        <v>304 ,.., 1504</v>
      </c>
      <c r="B556" s="111"/>
      <c r="C556" s="39"/>
      <c r="D556" s="39"/>
      <c r="E556" s="39">
        <v>0</v>
      </c>
      <c r="F556" s="39">
        <f>D556+E556</f>
        <v>0</v>
      </c>
      <c r="G556" s="39">
        <v>0</v>
      </c>
      <c r="H556" s="39">
        <f>F556*(($H$172)+1)+(IF(G556&lt;101,G556,IF(G556&lt;201,G556/2,IF(G556&lt;=301,G556/3,G556/4))))</f>
        <v>0</v>
      </c>
      <c r="I556" s="33"/>
    </row>
    <row r="557" spans="1:20" s="34" customFormat="1" ht="15.75" hidden="1" customHeight="1" x14ac:dyDescent="0.25">
      <c r="A557" s="110" t="str">
        <f ca="1">(SUMPRODUCT(MID(0&amp;(LEFT(A556,SUM(LEN(A556)-LEN(SUBSTITUTE(A556,{"0","1","2"},""))))), LARGE(INDEX(ISNUMBER(--MID((LEFT(A556,SUM(LEN(A556)-LEN(SUBSTITUTE(A556,{"0","1","2"},""))))), ROW(INDIRECT("1:"&amp;LEN((LEFT(A556,SUM(LEN(A556)-LEN(SUBSTITUTE(A556,{"0","1","2"},"")))))))), 1)) * ROW(INDIRECT("1:"&amp;LEN((LEFT(A556,SUM(LEN(A556)-LEN(SUBSTITUTE(A556,{"0","1","2"},"")))))))), 0), ROW(INDIRECT("1:"&amp;LEN((LEFT(A556,SUM(LEN(A556)-LEN(SUBSTITUTE(A556,{"0","1","2"},"")))))))))+1, 1) * 10^ROW(INDIRECT("1:"&amp;LEN((LEFT(A556,SUM(LEN(A556)-LEN(SUBSTITUTE(A556,{"0","1","2"},""))))))))/10))*1+1&amp;""&amp;" ,.., "&amp;""&amp;(SUMPRODUCT(MID(0&amp;(--TRIM(RIGHT(SUBSTITUTE(LEFT(A556,_xlfn.AGGREGATE(16,6,FIND({0,1,2,3,4,5,6,7,8,9},A556,ROW(INDIRECT("1:"&amp;LEN(A556)))),1))," ",REPT(" ",LEN(A556))),LEN(A556)))), LARGE(INDEX(ISNUMBER(--MID((--TRIM(RIGHT(SUBSTITUTE(LEFT(A556,_xlfn.AGGREGATE(16,6,FIND({0,1,2,3,4,5,6,7,8,9},A556,ROW(INDIRECT("1:"&amp;LEN(A556)))),1))," ",REPT(" ",LEN(A556))),LEN(A556)))), ROW(INDIRECT("1:"&amp;LEN((--TRIM(RIGHT(SUBSTITUTE(LEFT(A556,_xlfn.AGGREGATE(16,6,FIND({0,1,2,3,4,5,6,7,8,9},A556,ROW(INDIRECT("1:"&amp;LEN(A556)))),1))," ",REPT(" ",LEN(A556))),LEN(A556))))))), 1)) * ROW(INDIRECT("1:"&amp;LEN((--TRIM(RIGHT(SUBSTITUTE(LEFT(A556,_xlfn.AGGREGATE(16,6,FIND({0,1,2,3,4,5,6,7,8,9},A556,ROW(INDIRECT("1:"&amp;LEN(A556)))),1))," ",REPT(" ",LEN(A556))),LEN(A556))))))), 0), ROW(INDIRECT("1:"&amp;LEN((--TRIM(RIGHT(SUBSTITUTE(LEFT(A556,_xlfn.AGGREGATE(16,6,FIND({0,1,2,3,4,5,6,7,8,9},A556,ROW(INDIRECT("1:"&amp;LEN(A556)))),1))," ",REPT(" ",LEN(A556))),LEN(A556))))))))+1, 1) * 10^ROW(INDIRECT("1:"&amp;LEN((--TRIM(RIGHT(SUBSTITUTE(LEFT(A556,_xlfn.AGGREGATE(16,6,FIND({0,1,2,3,4,5,6,7,8,9},A556,ROW(INDIRECT("1:"&amp;LEN(A556)))),1))," ",REPT(" ",LEN(A556))),LEN(A556)))))))/10))*1+1</f>
        <v>305 ,.., 1505</v>
      </c>
      <c r="B557" s="111"/>
      <c r="C557" s="39"/>
      <c r="D557" s="39"/>
      <c r="E557" s="39">
        <v>0</v>
      </c>
      <c r="F557" s="39">
        <f>D557+E557</f>
        <v>0</v>
      </c>
      <c r="G557" s="39">
        <v>0</v>
      </c>
      <c r="H557" s="39">
        <f>F557*(($H$172)+1)+(IF(G557&lt;101,G557,IF(G557&lt;201,G557/2,IF(G557&lt;=301,G557/3,G557/4))))</f>
        <v>0</v>
      </c>
      <c r="I557" s="33"/>
    </row>
    <row r="558" spans="1:20" s="34" customFormat="1" hidden="1" x14ac:dyDescent="0.25">
      <c r="A558" s="107" t="s">
        <v>144</v>
      </c>
      <c r="B558" s="108"/>
      <c r="C558" s="108"/>
      <c r="D558" s="108"/>
      <c r="E558" s="108"/>
      <c r="F558" s="108"/>
      <c r="G558" s="108"/>
      <c r="H558" s="109"/>
      <c r="I558" s="33"/>
    </row>
    <row r="559" spans="1:20" s="34" customFormat="1" ht="15.75" hidden="1" customHeight="1" x14ac:dyDescent="0.25">
      <c r="A559" s="110" t="str">
        <f ca="1">(SUMPRODUCT(MID(0&amp;(LEFT(A558,SUM(LEN(A558)-LEN(SUBSTITUTE(A558,{"0","1","2"},""))))), LARGE(INDEX(ISNUMBER(--MID((LEFT(A558,SUM(LEN(A558)-LEN(SUBSTITUTE(A558,{"0","1","2"},""))))), ROW(INDIRECT("1:"&amp;LEN((LEFT(A558,SUM(LEN(A558)-LEN(SUBSTITUTE(A558,{"0","1","2"},"")))))))), 1)) * ROW(INDIRECT("1:"&amp;LEN((LEFT(A558,SUM(LEN(A558)-LEN(SUBSTITUTE(A558,{"0","1","2"},"")))))))), 0), ROW(INDIRECT("1:"&amp;LEN((LEFT(A558,SUM(LEN(A558)-LEN(SUBSTITUTE(A558,{"0","1","2"},"")))))))))+1, 1) * 10^ROW(INDIRECT("1:"&amp;LEN((LEFT(A558,SUM(LEN(A558)-LEN(SUBSTITUTE(A558,{"0","1","2"},""))))))))/10))*100+1&amp;""&amp;" to "&amp;""&amp;(SUMPRODUCT(MID(0&amp;(--TRIM(RIGHT(SUBSTITUTE(LEFT(A558,_xlfn.AGGREGATE(16,6,FIND({0,1,2,3,4,5,6,7,8,9},A558,ROW(INDIRECT("1:"&amp;LEN(A558)))),1))," ",REPT(" ",LEN(A558))),LEN(A558)))), LARGE(INDEX(ISNUMBER(--MID((--TRIM(RIGHT(SUBSTITUTE(LEFT(A558,_xlfn.AGGREGATE(16,6,FIND({0,1,2,3,4,5,6,7,8,9},A558,ROW(INDIRECT("1:"&amp;LEN(A558)))),1))," ",REPT(" ",LEN(A558))),LEN(A558)))), ROW(INDIRECT("1:"&amp;LEN((--TRIM(RIGHT(SUBSTITUTE(LEFT(A558,_xlfn.AGGREGATE(16,6,FIND({0,1,2,3,4,5,6,7,8,9},A558,ROW(INDIRECT("1:"&amp;LEN(A558)))),1))," ",REPT(" ",LEN(A558))),LEN(A558))))))), 1)) * ROW(INDIRECT("1:"&amp;LEN((--TRIM(RIGHT(SUBSTITUTE(LEFT(A558,_xlfn.AGGREGATE(16,6,FIND({0,1,2,3,4,5,6,7,8,9},A558,ROW(INDIRECT("1:"&amp;LEN(A558)))),1))," ",REPT(" ",LEN(A558))),LEN(A558))))))), 0), ROW(INDIRECT("1:"&amp;LEN((--TRIM(RIGHT(SUBSTITUTE(LEFT(A558,_xlfn.AGGREGATE(16,6,FIND({0,1,2,3,4,5,6,7,8,9},A558,ROW(INDIRECT("1:"&amp;LEN(A558)))),1))," ",REPT(" ",LEN(A558))),LEN(A558))))))))+1, 1) * 10^ROW(INDIRECT("1:"&amp;LEN((--TRIM(RIGHT(SUBSTITUTE(LEFT(A558,_xlfn.AGGREGATE(16,6,FIND({0,1,2,3,4,5,6,7,8,9},A558,ROW(INDIRECT("1:"&amp;LEN(A558)))),1))," ",REPT(" ",LEN(A558))),LEN(A558)))))))/10))*100+1</f>
        <v>201 to 501</v>
      </c>
      <c r="B559" s="111"/>
      <c r="C559" s="39"/>
      <c r="D559" s="39"/>
      <c r="E559" s="39">
        <v>0</v>
      </c>
      <c r="F559" s="39">
        <f>D559+E559</f>
        <v>0</v>
      </c>
      <c r="G559" s="39">
        <v>0</v>
      </c>
      <c r="H559" s="39">
        <f>F559*(($H$172)+1)+(IF(G559&lt;101,G559,IF(G559&lt;201,G559/2,IF(G559&lt;=301,G559/3,G559/4))))</f>
        <v>0</v>
      </c>
      <c r="I559" s="33"/>
    </row>
    <row r="560" spans="1:20" s="34" customFormat="1" ht="15.75" hidden="1" customHeight="1" x14ac:dyDescent="0.25">
      <c r="A560" s="110" t="str">
        <f ca="1">(SUMPRODUCT(MID(0&amp;(LEFT(A559,SUM(LEN(A559)-LEN(SUBSTITUTE(A559,{"0","1","2"},""))))), LARGE(INDEX(ISNUMBER(--MID((LEFT(A559,SUM(LEN(A559)-LEN(SUBSTITUTE(A559,{"0","1","2"},""))))), ROW(INDIRECT("1:"&amp;LEN((LEFT(A559,SUM(LEN(A559)-LEN(SUBSTITUTE(A559,{"0","1","2"},"")))))))), 1)) * ROW(INDIRECT("1:"&amp;LEN((LEFT(A559,SUM(LEN(A559)-LEN(SUBSTITUTE(A559,{"0","1","2"},"")))))))), 0), ROW(INDIRECT("1:"&amp;LEN((LEFT(A559,SUM(LEN(A559)-LEN(SUBSTITUTE(A559,{"0","1","2"},"")))))))))+1, 1) * 10^ROW(INDIRECT("1:"&amp;LEN((LEFT(A559,SUM(LEN(A559)-LEN(SUBSTITUTE(A559,{"0","1","2"},""))))))))/10))*1+1&amp;""&amp;" to "&amp;""&amp;(SUMPRODUCT(MID(0&amp;(--TRIM(RIGHT(SUBSTITUTE(LEFT(A559,_xlfn.AGGREGATE(16,6,FIND({0,1,2,3,4,5,6,7,8,9},A559,ROW(INDIRECT("1:"&amp;LEN(A559)))),1))," ",REPT(" ",LEN(A559))),LEN(A559)))), LARGE(INDEX(ISNUMBER(--MID((--TRIM(RIGHT(SUBSTITUTE(LEFT(A559,_xlfn.AGGREGATE(16,6,FIND({0,1,2,3,4,5,6,7,8,9},A559,ROW(INDIRECT("1:"&amp;LEN(A559)))),1))," ",REPT(" ",LEN(A559))),LEN(A559)))), ROW(INDIRECT("1:"&amp;LEN((--TRIM(RIGHT(SUBSTITUTE(LEFT(A559,_xlfn.AGGREGATE(16,6,FIND({0,1,2,3,4,5,6,7,8,9},A559,ROW(INDIRECT("1:"&amp;LEN(A559)))),1))," ",REPT(" ",LEN(A559))),LEN(A559))))))), 1)) * ROW(INDIRECT("1:"&amp;LEN((--TRIM(RIGHT(SUBSTITUTE(LEFT(A559,_xlfn.AGGREGATE(16,6,FIND({0,1,2,3,4,5,6,7,8,9},A559,ROW(INDIRECT("1:"&amp;LEN(A559)))),1))," ",REPT(" ",LEN(A559))),LEN(A559))))))), 0), ROW(INDIRECT("1:"&amp;LEN((--TRIM(RIGHT(SUBSTITUTE(LEFT(A559,_xlfn.AGGREGATE(16,6,FIND({0,1,2,3,4,5,6,7,8,9},A559,ROW(INDIRECT("1:"&amp;LEN(A559)))),1))," ",REPT(" ",LEN(A559))),LEN(A559))))))))+1, 1) * 10^ROW(INDIRECT("1:"&amp;LEN((--TRIM(RIGHT(SUBSTITUTE(LEFT(A559,_xlfn.AGGREGATE(16,6,FIND({0,1,2,3,4,5,6,7,8,9},A559,ROW(INDIRECT("1:"&amp;LEN(A559)))),1))," ",REPT(" ",LEN(A559))),LEN(A559)))))))/10))*1+1</f>
        <v>202 to 502</v>
      </c>
      <c r="B560" s="111"/>
      <c r="C560" s="39"/>
      <c r="D560" s="39"/>
      <c r="E560" s="39">
        <v>0</v>
      </c>
      <c r="F560" s="39">
        <f>D560+E560</f>
        <v>0</v>
      </c>
      <c r="G560" s="39">
        <v>0</v>
      </c>
      <c r="H560" s="39">
        <f>F560*(($H$172)+1)+(IF(G560&lt;101,G560,IF(G560&lt;201,G560/2,IF(G560&lt;=301,G560/3,G560/4))))</f>
        <v>0</v>
      </c>
      <c r="I560" s="33"/>
    </row>
    <row r="561" spans="1:20" s="34" customFormat="1" ht="15.75" hidden="1" customHeight="1" x14ac:dyDescent="0.25">
      <c r="A561" s="110" t="str">
        <f ca="1">(SUMPRODUCT(MID(0&amp;(LEFT(A560,SUM(LEN(A560)-LEN(SUBSTITUTE(A560,{"0","1","2"},""))))), LARGE(INDEX(ISNUMBER(--MID((LEFT(A560,SUM(LEN(A560)-LEN(SUBSTITUTE(A560,{"0","1","2"},""))))), ROW(INDIRECT("1:"&amp;LEN((LEFT(A560,SUM(LEN(A560)-LEN(SUBSTITUTE(A560,{"0","1","2"},"")))))))), 1)) * ROW(INDIRECT("1:"&amp;LEN((LEFT(A560,SUM(LEN(A560)-LEN(SUBSTITUTE(A560,{"0","1","2"},"")))))))), 0), ROW(INDIRECT("1:"&amp;LEN((LEFT(A560,SUM(LEN(A560)-LEN(SUBSTITUTE(A560,{"0","1","2"},"")))))))))+1, 1) * 10^ROW(INDIRECT("1:"&amp;LEN((LEFT(A560,SUM(LEN(A560)-LEN(SUBSTITUTE(A560,{"0","1","2"},""))))))))/10))*1+1&amp;""&amp;" to "&amp;""&amp;(SUMPRODUCT(MID(0&amp;(--TRIM(RIGHT(SUBSTITUTE(LEFT(A560,_xlfn.AGGREGATE(16,6,FIND({0,1,2,3,4,5,6,7,8,9},A560,ROW(INDIRECT("1:"&amp;LEN(A560)))),1))," ",REPT(" ",LEN(A560))),LEN(A560)))), LARGE(INDEX(ISNUMBER(--MID((--TRIM(RIGHT(SUBSTITUTE(LEFT(A560,_xlfn.AGGREGATE(16,6,FIND({0,1,2,3,4,5,6,7,8,9},A560,ROW(INDIRECT("1:"&amp;LEN(A560)))),1))," ",REPT(" ",LEN(A560))),LEN(A560)))), ROW(INDIRECT("1:"&amp;LEN((--TRIM(RIGHT(SUBSTITUTE(LEFT(A560,_xlfn.AGGREGATE(16,6,FIND({0,1,2,3,4,5,6,7,8,9},A560,ROW(INDIRECT("1:"&amp;LEN(A560)))),1))," ",REPT(" ",LEN(A560))),LEN(A560))))))), 1)) * ROW(INDIRECT("1:"&amp;LEN((--TRIM(RIGHT(SUBSTITUTE(LEFT(A560,_xlfn.AGGREGATE(16,6,FIND({0,1,2,3,4,5,6,7,8,9},A560,ROW(INDIRECT("1:"&amp;LEN(A560)))),1))," ",REPT(" ",LEN(A560))),LEN(A560))))))), 0), ROW(INDIRECT("1:"&amp;LEN((--TRIM(RIGHT(SUBSTITUTE(LEFT(A560,_xlfn.AGGREGATE(16,6,FIND({0,1,2,3,4,5,6,7,8,9},A560,ROW(INDIRECT("1:"&amp;LEN(A560)))),1))," ",REPT(" ",LEN(A560))),LEN(A560))))))))+1, 1) * 10^ROW(INDIRECT("1:"&amp;LEN((--TRIM(RIGHT(SUBSTITUTE(LEFT(A560,_xlfn.AGGREGATE(16,6,FIND({0,1,2,3,4,5,6,7,8,9},A560,ROW(INDIRECT("1:"&amp;LEN(A560)))),1))," ",REPT(" ",LEN(A560))),LEN(A560)))))))/10))*1+1</f>
        <v>203 to 503</v>
      </c>
      <c r="B561" s="111"/>
      <c r="C561" s="39"/>
      <c r="D561" s="39"/>
      <c r="E561" s="39">
        <v>0</v>
      </c>
      <c r="F561" s="39">
        <f>D561+E561</f>
        <v>0</v>
      </c>
      <c r="G561" s="39">
        <v>0</v>
      </c>
      <c r="H561" s="39">
        <f>F561*(($H$172)+1)+(IF(G561&lt;101,G561,IF(G561&lt;201,G561/2,IF(G561&lt;=301,G561/3,G561/4))))</f>
        <v>0</v>
      </c>
      <c r="I561" s="33"/>
    </row>
    <row r="562" spans="1:20" s="34" customFormat="1" ht="15.75" hidden="1" customHeight="1" x14ac:dyDescent="0.25">
      <c r="A562" s="110" t="str">
        <f ca="1">(SUMPRODUCT(MID(0&amp;(LEFT(A561,SUM(LEN(A561)-LEN(SUBSTITUTE(A561,{"0","1","2"},""))))), LARGE(INDEX(ISNUMBER(--MID((LEFT(A561,SUM(LEN(A561)-LEN(SUBSTITUTE(A561,{"0","1","2"},""))))), ROW(INDIRECT("1:"&amp;LEN((LEFT(A561,SUM(LEN(A561)-LEN(SUBSTITUTE(A561,{"0","1","2"},"")))))))), 1)) * ROW(INDIRECT("1:"&amp;LEN((LEFT(A561,SUM(LEN(A561)-LEN(SUBSTITUTE(A561,{"0","1","2"},"")))))))), 0), ROW(INDIRECT("1:"&amp;LEN((LEFT(A561,SUM(LEN(A561)-LEN(SUBSTITUTE(A561,{"0","1","2"},"")))))))))+1, 1) * 10^ROW(INDIRECT("1:"&amp;LEN((LEFT(A561,SUM(LEN(A561)-LEN(SUBSTITUTE(A561,{"0","1","2"},""))))))))/10))*1+1&amp;""&amp;" to "&amp;""&amp;(SUMPRODUCT(MID(0&amp;(--TRIM(RIGHT(SUBSTITUTE(LEFT(A561,_xlfn.AGGREGATE(16,6,FIND({0,1,2,3,4,5,6,7,8,9},A561,ROW(INDIRECT("1:"&amp;LEN(A561)))),1))," ",REPT(" ",LEN(A561))),LEN(A561)))), LARGE(INDEX(ISNUMBER(--MID((--TRIM(RIGHT(SUBSTITUTE(LEFT(A561,_xlfn.AGGREGATE(16,6,FIND({0,1,2,3,4,5,6,7,8,9},A561,ROW(INDIRECT("1:"&amp;LEN(A561)))),1))," ",REPT(" ",LEN(A561))),LEN(A561)))), ROW(INDIRECT("1:"&amp;LEN((--TRIM(RIGHT(SUBSTITUTE(LEFT(A561,_xlfn.AGGREGATE(16,6,FIND({0,1,2,3,4,5,6,7,8,9},A561,ROW(INDIRECT("1:"&amp;LEN(A561)))),1))," ",REPT(" ",LEN(A561))),LEN(A561))))))), 1)) * ROW(INDIRECT("1:"&amp;LEN((--TRIM(RIGHT(SUBSTITUTE(LEFT(A561,_xlfn.AGGREGATE(16,6,FIND({0,1,2,3,4,5,6,7,8,9},A561,ROW(INDIRECT("1:"&amp;LEN(A561)))),1))," ",REPT(" ",LEN(A561))),LEN(A561))))))), 0), ROW(INDIRECT("1:"&amp;LEN((--TRIM(RIGHT(SUBSTITUTE(LEFT(A561,_xlfn.AGGREGATE(16,6,FIND({0,1,2,3,4,5,6,7,8,9},A561,ROW(INDIRECT("1:"&amp;LEN(A561)))),1))," ",REPT(" ",LEN(A561))),LEN(A561))))))))+1, 1) * 10^ROW(INDIRECT("1:"&amp;LEN((--TRIM(RIGHT(SUBSTITUTE(LEFT(A561,_xlfn.AGGREGATE(16,6,FIND({0,1,2,3,4,5,6,7,8,9},A561,ROW(INDIRECT("1:"&amp;LEN(A561)))),1))," ",REPT(" ",LEN(A561))),LEN(A561)))))))/10))*1+1</f>
        <v>204 to 504</v>
      </c>
      <c r="B562" s="111"/>
      <c r="C562" s="39"/>
      <c r="D562" s="39"/>
      <c r="E562" s="39">
        <v>0</v>
      </c>
      <c r="F562" s="39">
        <f>D562+E562</f>
        <v>0</v>
      </c>
      <c r="G562" s="39">
        <v>0</v>
      </c>
      <c r="H562" s="39">
        <f>F562*(($H$172)+1)+(IF(G562&lt;101,G562,IF(G562&lt;201,G562/2,IF(G562&lt;=301,G562/3,G562/4))))</f>
        <v>0</v>
      </c>
      <c r="I562" s="33"/>
    </row>
    <row r="563" spans="1:20" s="34" customFormat="1" ht="15.75" hidden="1" customHeight="1" x14ac:dyDescent="0.25">
      <c r="A563" s="110" t="str">
        <f ca="1">(SUMPRODUCT(MID(0&amp;(LEFT(A562,SUM(LEN(A562)-LEN(SUBSTITUTE(A562,{"0","1","2"},""))))), LARGE(INDEX(ISNUMBER(--MID((LEFT(A562,SUM(LEN(A562)-LEN(SUBSTITUTE(A562,{"0","1","2"},""))))), ROW(INDIRECT("1:"&amp;LEN((LEFT(A562,SUM(LEN(A562)-LEN(SUBSTITUTE(A562,{"0","1","2"},"")))))))), 1)) * ROW(INDIRECT("1:"&amp;LEN((LEFT(A562,SUM(LEN(A562)-LEN(SUBSTITUTE(A562,{"0","1","2"},"")))))))), 0), ROW(INDIRECT("1:"&amp;LEN((LEFT(A562,SUM(LEN(A562)-LEN(SUBSTITUTE(A562,{"0","1","2"},"")))))))))+1, 1) * 10^ROW(INDIRECT("1:"&amp;LEN((LEFT(A562,SUM(LEN(A562)-LEN(SUBSTITUTE(A562,{"0","1","2"},""))))))))/10))*1+1&amp;""&amp;" to "&amp;""&amp;(SUMPRODUCT(MID(0&amp;(--TRIM(RIGHT(SUBSTITUTE(LEFT(A562,_xlfn.AGGREGATE(16,6,FIND({0,1,2,3,4,5,6,7,8,9},A562,ROW(INDIRECT("1:"&amp;LEN(A562)))),1))," ",REPT(" ",LEN(A562))),LEN(A562)))), LARGE(INDEX(ISNUMBER(--MID((--TRIM(RIGHT(SUBSTITUTE(LEFT(A562,_xlfn.AGGREGATE(16,6,FIND({0,1,2,3,4,5,6,7,8,9},A562,ROW(INDIRECT("1:"&amp;LEN(A562)))),1))," ",REPT(" ",LEN(A562))),LEN(A562)))), ROW(INDIRECT("1:"&amp;LEN((--TRIM(RIGHT(SUBSTITUTE(LEFT(A562,_xlfn.AGGREGATE(16,6,FIND({0,1,2,3,4,5,6,7,8,9},A562,ROW(INDIRECT("1:"&amp;LEN(A562)))),1))," ",REPT(" ",LEN(A562))),LEN(A562))))))), 1)) * ROW(INDIRECT("1:"&amp;LEN((--TRIM(RIGHT(SUBSTITUTE(LEFT(A562,_xlfn.AGGREGATE(16,6,FIND({0,1,2,3,4,5,6,7,8,9},A562,ROW(INDIRECT("1:"&amp;LEN(A562)))),1))," ",REPT(" ",LEN(A562))),LEN(A562))))))), 0), ROW(INDIRECT("1:"&amp;LEN((--TRIM(RIGHT(SUBSTITUTE(LEFT(A562,_xlfn.AGGREGATE(16,6,FIND({0,1,2,3,4,5,6,7,8,9},A562,ROW(INDIRECT("1:"&amp;LEN(A562)))),1))," ",REPT(" ",LEN(A562))),LEN(A562))))))))+1, 1) * 10^ROW(INDIRECT("1:"&amp;LEN((--TRIM(RIGHT(SUBSTITUTE(LEFT(A562,_xlfn.AGGREGATE(16,6,FIND({0,1,2,3,4,5,6,7,8,9},A562,ROW(INDIRECT("1:"&amp;LEN(A562)))),1))," ",REPT(" ",LEN(A562))),LEN(A562)))))))/10))*1+1</f>
        <v>205 to 505</v>
      </c>
      <c r="B563" s="111"/>
      <c r="C563" s="39"/>
      <c r="D563" s="39"/>
      <c r="E563" s="39">
        <v>0</v>
      </c>
      <c r="F563" s="39">
        <f>D563+E563</f>
        <v>0</v>
      </c>
      <c r="G563" s="39">
        <v>0</v>
      </c>
      <c r="H563" s="39">
        <f>F563*(($H$172)+1)+(IF(G563&lt;101,G563,IF(G563&lt;201,G563/2,IF(G563&lt;=301,G563/3,G563/4))))</f>
        <v>0</v>
      </c>
      <c r="I563" s="33"/>
    </row>
    <row r="564" spans="1:20" s="34" customFormat="1" hidden="1" x14ac:dyDescent="0.25">
      <c r="A564" s="107" t="s">
        <v>145</v>
      </c>
      <c r="B564" s="108"/>
      <c r="C564" s="108"/>
      <c r="D564" s="108"/>
      <c r="E564" s="108"/>
      <c r="F564" s="108"/>
      <c r="G564" s="108"/>
      <c r="H564" s="109"/>
      <c r="I564" s="33"/>
    </row>
    <row r="565" spans="1:20" s="34" customFormat="1" ht="15.75" hidden="1" customHeight="1" x14ac:dyDescent="0.25">
      <c r="A565" s="110" t="str">
        <f ca="1">(SUMPRODUCT(MID(0&amp;(LEFT(A564,SUM(LEN(A564)-LEN(SUBSTITUTE(A564,{"0","1","2"},""))))), LARGE(INDEX(ISNUMBER(--MID((LEFT(A564,SUM(LEN(A564)-LEN(SUBSTITUTE(A564,{"0","1","2"},""))))), ROW(INDIRECT("1:"&amp;LEN((LEFT(A564,SUM(LEN(A564)-LEN(SUBSTITUTE(A564,{"0","1","2"},"")))))))), 1)) * ROW(INDIRECT("1:"&amp;LEN((LEFT(A564,SUM(LEN(A564)-LEN(SUBSTITUTE(A564,{"0","1","2"},"")))))))), 0), ROW(INDIRECT("1:"&amp;LEN((LEFT(A564,SUM(LEN(A564)-LEN(SUBSTITUTE(A564,{"0","1","2"},"")))))))))+1, 1) * 10^ROW(INDIRECT("1:"&amp;LEN((LEFT(A564,SUM(LEN(A564)-LEN(SUBSTITUTE(A564,{"0","1","2"},""))))))))/10))*100+1&amp;""&amp;" &amp; "&amp;""&amp;(SUMPRODUCT(MID(0&amp;(--TRIM(RIGHT(SUBSTITUTE(LEFT(A564,_xlfn.AGGREGATE(16,6,FIND({0,1,2,3,4,5,6,7,8,9},A564,ROW(INDIRECT("1:"&amp;LEN(A564)))),1))," ",REPT(" ",LEN(A564))),LEN(A564)))), LARGE(INDEX(ISNUMBER(--MID((--TRIM(RIGHT(SUBSTITUTE(LEFT(A564,_xlfn.AGGREGATE(16,6,FIND({0,1,2,3,4,5,6,7,8,9},A564,ROW(INDIRECT("1:"&amp;LEN(A564)))),1))," ",REPT(" ",LEN(A564))),LEN(A564)))), ROW(INDIRECT("1:"&amp;LEN((--TRIM(RIGHT(SUBSTITUTE(LEFT(A564,_xlfn.AGGREGATE(16,6,FIND({0,1,2,3,4,5,6,7,8,9},A564,ROW(INDIRECT("1:"&amp;LEN(A564)))),1))," ",REPT(" ",LEN(A564))),LEN(A564))))))), 1)) * ROW(INDIRECT("1:"&amp;LEN((--TRIM(RIGHT(SUBSTITUTE(LEFT(A564,_xlfn.AGGREGATE(16,6,FIND({0,1,2,3,4,5,6,7,8,9},A564,ROW(INDIRECT("1:"&amp;LEN(A564)))),1))," ",REPT(" ",LEN(A564))),LEN(A564))))))), 0), ROW(INDIRECT("1:"&amp;LEN((--TRIM(RIGHT(SUBSTITUTE(LEFT(A564,_xlfn.AGGREGATE(16,6,FIND({0,1,2,3,4,5,6,7,8,9},A564,ROW(INDIRECT("1:"&amp;LEN(A564)))),1))," ",REPT(" ",LEN(A564))),LEN(A564))))))))+1, 1) * 10^ROW(INDIRECT("1:"&amp;LEN((--TRIM(RIGHT(SUBSTITUTE(LEFT(A564,_xlfn.AGGREGATE(16,6,FIND({0,1,2,3,4,5,6,7,8,9},A564,ROW(INDIRECT("1:"&amp;LEN(A564)))),1))," ",REPT(" ",LEN(A564))),LEN(A564)))))))/10))*100+1</f>
        <v>201 &amp; 501</v>
      </c>
      <c r="B565" s="111"/>
      <c r="C565" s="39"/>
      <c r="D565" s="39"/>
      <c r="E565" s="39">
        <v>0</v>
      </c>
      <c r="F565" s="39">
        <f>D565+E565</f>
        <v>0</v>
      </c>
      <c r="G565" s="39">
        <v>0</v>
      </c>
      <c r="H565" s="39">
        <f>F565*(($H$172)+1)+(IF(G565&lt;101,G565,IF(G565&lt;201,G565/2,IF(G565&lt;=301,G565/3,G565/4))))</f>
        <v>0</v>
      </c>
      <c r="I565" s="33"/>
    </row>
    <row r="566" spans="1:20" s="34" customFormat="1" ht="15.75" hidden="1" customHeight="1" x14ac:dyDescent="0.25">
      <c r="A566" s="110" t="str">
        <f ca="1">(SUMPRODUCT(MID(0&amp;(LEFT(A565,SUM(LEN(A565)-LEN(SUBSTITUTE(A565,{"0","1","2"},""))))), LARGE(INDEX(ISNUMBER(--MID((LEFT(A565,SUM(LEN(A565)-LEN(SUBSTITUTE(A565,{"0","1","2"},""))))), ROW(INDIRECT("1:"&amp;LEN((LEFT(A565,SUM(LEN(A565)-LEN(SUBSTITUTE(A565,{"0","1","2"},"")))))))), 1)) * ROW(INDIRECT("1:"&amp;LEN((LEFT(A565,SUM(LEN(A565)-LEN(SUBSTITUTE(A565,{"0","1","2"},"")))))))), 0), ROW(INDIRECT("1:"&amp;LEN((LEFT(A565,SUM(LEN(A565)-LEN(SUBSTITUTE(A565,{"0","1","2"},"")))))))))+1, 1) * 10^ROW(INDIRECT("1:"&amp;LEN((LEFT(A565,SUM(LEN(A565)-LEN(SUBSTITUTE(A565,{"0","1","2"},""))))))))/10))*1+1&amp;""&amp;" &amp; "&amp;""&amp;(SUMPRODUCT(MID(0&amp;(--TRIM(RIGHT(SUBSTITUTE(LEFT(A565,_xlfn.AGGREGATE(16,6,FIND({0,1,2,3,4,5,6,7,8,9},A565,ROW(INDIRECT("1:"&amp;LEN(A565)))),1))," ",REPT(" ",LEN(A565))),LEN(A565)))), LARGE(INDEX(ISNUMBER(--MID((--TRIM(RIGHT(SUBSTITUTE(LEFT(A565,_xlfn.AGGREGATE(16,6,FIND({0,1,2,3,4,5,6,7,8,9},A565,ROW(INDIRECT("1:"&amp;LEN(A565)))),1))," ",REPT(" ",LEN(A565))),LEN(A565)))), ROW(INDIRECT("1:"&amp;LEN((--TRIM(RIGHT(SUBSTITUTE(LEFT(A565,_xlfn.AGGREGATE(16,6,FIND({0,1,2,3,4,5,6,7,8,9},A565,ROW(INDIRECT("1:"&amp;LEN(A565)))),1))," ",REPT(" ",LEN(A565))),LEN(A565))))))), 1)) * ROW(INDIRECT("1:"&amp;LEN((--TRIM(RIGHT(SUBSTITUTE(LEFT(A565,_xlfn.AGGREGATE(16,6,FIND({0,1,2,3,4,5,6,7,8,9},A565,ROW(INDIRECT("1:"&amp;LEN(A565)))),1))," ",REPT(" ",LEN(A565))),LEN(A565))))))), 0), ROW(INDIRECT("1:"&amp;LEN((--TRIM(RIGHT(SUBSTITUTE(LEFT(A565,_xlfn.AGGREGATE(16,6,FIND({0,1,2,3,4,5,6,7,8,9},A565,ROW(INDIRECT("1:"&amp;LEN(A565)))),1))," ",REPT(" ",LEN(A565))),LEN(A565))))))))+1, 1) * 10^ROW(INDIRECT("1:"&amp;LEN((--TRIM(RIGHT(SUBSTITUTE(LEFT(A565,_xlfn.AGGREGATE(16,6,FIND({0,1,2,3,4,5,6,7,8,9},A565,ROW(INDIRECT("1:"&amp;LEN(A565)))),1))," ",REPT(" ",LEN(A565))),LEN(A565)))))))/10))*1+1</f>
        <v>202 &amp; 502</v>
      </c>
      <c r="B566" s="111"/>
      <c r="C566" s="39"/>
      <c r="D566" s="39"/>
      <c r="E566" s="39">
        <v>0</v>
      </c>
      <c r="F566" s="39">
        <f>D566+E566</f>
        <v>0</v>
      </c>
      <c r="G566" s="39">
        <v>0</v>
      </c>
      <c r="H566" s="39">
        <f>F566*(($H$172)+1)+(IF(G566&lt;101,G566,IF(G566&lt;201,G566/2,IF(G566&lt;=301,G566/3,G566/4))))</f>
        <v>0</v>
      </c>
      <c r="I566" s="33"/>
    </row>
    <row r="567" spans="1:20" s="34" customFormat="1" ht="15.75" hidden="1" customHeight="1" x14ac:dyDescent="0.25">
      <c r="A567" s="110" t="str">
        <f ca="1">(SUMPRODUCT(MID(0&amp;(LEFT(A566,SUM(LEN(A566)-LEN(SUBSTITUTE(A566,{"0","1","2"},""))))), LARGE(INDEX(ISNUMBER(--MID((LEFT(A566,SUM(LEN(A566)-LEN(SUBSTITUTE(A566,{"0","1","2"},""))))), ROW(INDIRECT("1:"&amp;LEN((LEFT(A566,SUM(LEN(A566)-LEN(SUBSTITUTE(A566,{"0","1","2"},"")))))))), 1)) * ROW(INDIRECT("1:"&amp;LEN((LEFT(A566,SUM(LEN(A566)-LEN(SUBSTITUTE(A566,{"0","1","2"},"")))))))), 0), ROW(INDIRECT("1:"&amp;LEN((LEFT(A566,SUM(LEN(A566)-LEN(SUBSTITUTE(A566,{"0","1","2"},"")))))))))+1, 1) * 10^ROW(INDIRECT("1:"&amp;LEN((LEFT(A566,SUM(LEN(A566)-LEN(SUBSTITUTE(A566,{"0","1","2"},""))))))))/10))*1+1&amp;""&amp;" &amp; "&amp;""&amp;(SUMPRODUCT(MID(0&amp;(--TRIM(RIGHT(SUBSTITUTE(LEFT(A566,_xlfn.AGGREGATE(16,6,FIND({0,1,2,3,4,5,6,7,8,9},A566,ROW(INDIRECT("1:"&amp;LEN(A566)))),1))," ",REPT(" ",LEN(A566))),LEN(A566)))), LARGE(INDEX(ISNUMBER(--MID((--TRIM(RIGHT(SUBSTITUTE(LEFT(A566,_xlfn.AGGREGATE(16,6,FIND({0,1,2,3,4,5,6,7,8,9},A566,ROW(INDIRECT("1:"&amp;LEN(A566)))),1))," ",REPT(" ",LEN(A566))),LEN(A566)))), ROW(INDIRECT("1:"&amp;LEN((--TRIM(RIGHT(SUBSTITUTE(LEFT(A566,_xlfn.AGGREGATE(16,6,FIND({0,1,2,3,4,5,6,7,8,9},A566,ROW(INDIRECT("1:"&amp;LEN(A566)))),1))," ",REPT(" ",LEN(A566))),LEN(A566))))))), 1)) * ROW(INDIRECT("1:"&amp;LEN((--TRIM(RIGHT(SUBSTITUTE(LEFT(A566,_xlfn.AGGREGATE(16,6,FIND({0,1,2,3,4,5,6,7,8,9},A566,ROW(INDIRECT("1:"&amp;LEN(A566)))),1))," ",REPT(" ",LEN(A566))),LEN(A566))))))), 0), ROW(INDIRECT("1:"&amp;LEN((--TRIM(RIGHT(SUBSTITUTE(LEFT(A566,_xlfn.AGGREGATE(16,6,FIND({0,1,2,3,4,5,6,7,8,9},A566,ROW(INDIRECT("1:"&amp;LEN(A566)))),1))," ",REPT(" ",LEN(A566))),LEN(A566))))))))+1, 1) * 10^ROW(INDIRECT("1:"&amp;LEN((--TRIM(RIGHT(SUBSTITUTE(LEFT(A566,_xlfn.AGGREGATE(16,6,FIND({0,1,2,3,4,5,6,7,8,9},A566,ROW(INDIRECT("1:"&amp;LEN(A566)))),1))," ",REPT(" ",LEN(A566))),LEN(A566)))))))/10))*1+1</f>
        <v>203 &amp; 503</v>
      </c>
      <c r="B567" s="111"/>
      <c r="C567" s="39"/>
      <c r="D567" s="39"/>
      <c r="E567" s="39">
        <v>0</v>
      </c>
      <c r="F567" s="39">
        <f>D567+E567</f>
        <v>0</v>
      </c>
      <c r="G567" s="39">
        <v>0</v>
      </c>
      <c r="H567" s="39">
        <f>F567*(($H$172)+1)+(IF(G567&lt;101,G567,IF(G567&lt;201,G567/2,IF(G567&lt;=301,G567/3,G567/4))))</f>
        <v>0</v>
      </c>
      <c r="I567" s="33"/>
    </row>
    <row r="568" spans="1:20" s="34" customFormat="1" ht="15.75" hidden="1" customHeight="1" x14ac:dyDescent="0.25">
      <c r="A568" s="110" t="str">
        <f ca="1">(SUMPRODUCT(MID(0&amp;(LEFT(A567,SUM(LEN(A567)-LEN(SUBSTITUTE(A567,{"0","1","2"},""))))), LARGE(INDEX(ISNUMBER(--MID((LEFT(A567,SUM(LEN(A567)-LEN(SUBSTITUTE(A567,{"0","1","2"},""))))), ROW(INDIRECT("1:"&amp;LEN((LEFT(A567,SUM(LEN(A567)-LEN(SUBSTITUTE(A567,{"0","1","2"},"")))))))), 1)) * ROW(INDIRECT("1:"&amp;LEN((LEFT(A567,SUM(LEN(A567)-LEN(SUBSTITUTE(A567,{"0","1","2"},"")))))))), 0), ROW(INDIRECT("1:"&amp;LEN((LEFT(A567,SUM(LEN(A567)-LEN(SUBSTITUTE(A567,{"0","1","2"},"")))))))))+1, 1) * 10^ROW(INDIRECT("1:"&amp;LEN((LEFT(A567,SUM(LEN(A567)-LEN(SUBSTITUTE(A567,{"0","1","2"},""))))))))/10))*1+1&amp;""&amp;" &amp; "&amp;""&amp;(SUMPRODUCT(MID(0&amp;(--TRIM(RIGHT(SUBSTITUTE(LEFT(A567,_xlfn.AGGREGATE(16,6,FIND({0,1,2,3,4,5,6,7,8,9},A567,ROW(INDIRECT("1:"&amp;LEN(A567)))),1))," ",REPT(" ",LEN(A567))),LEN(A567)))), LARGE(INDEX(ISNUMBER(--MID((--TRIM(RIGHT(SUBSTITUTE(LEFT(A567,_xlfn.AGGREGATE(16,6,FIND({0,1,2,3,4,5,6,7,8,9},A567,ROW(INDIRECT("1:"&amp;LEN(A567)))),1))," ",REPT(" ",LEN(A567))),LEN(A567)))), ROW(INDIRECT("1:"&amp;LEN((--TRIM(RIGHT(SUBSTITUTE(LEFT(A567,_xlfn.AGGREGATE(16,6,FIND({0,1,2,3,4,5,6,7,8,9},A567,ROW(INDIRECT("1:"&amp;LEN(A567)))),1))," ",REPT(" ",LEN(A567))),LEN(A567))))))), 1)) * ROW(INDIRECT("1:"&amp;LEN((--TRIM(RIGHT(SUBSTITUTE(LEFT(A567,_xlfn.AGGREGATE(16,6,FIND({0,1,2,3,4,5,6,7,8,9},A567,ROW(INDIRECT("1:"&amp;LEN(A567)))),1))," ",REPT(" ",LEN(A567))),LEN(A567))))))), 0), ROW(INDIRECT("1:"&amp;LEN((--TRIM(RIGHT(SUBSTITUTE(LEFT(A567,_xlfn.AGGREGATE(16,6,FIND({0,1,2,3,4,5,6,7,8,9},A567,ROW(INDIRECT("1:"&amp;LEN(A567)))),1))," ",REPT(" ",LEN(A567))),LEN(A567))))))))+1, 1) * 10^ROW(INDIRECT("1:"&amp;LEN((--TRIM(RIGHT(SUBSTITUTE(LEFT(A567,_xlfn.AGGREGATE(16,6,FIND({0,1,2,3,4,5,6,7,8,9},A567,ROW(INDIRECT("1:"&amp;LEN(A567)))),1))," ",REPT(" ",LEN(A567))),LEN(A567)))))))/10))*1+1</f>
        <v>204 &amp; 504</v>
      </c>
      <c r="B568" s="111"/>
      <c r="C568" s="39"/>
      <c r="D568" s="39"/>
      <c r="E568" s="39">
        <v>0</v>
      </c>
      <c r="F568" s="39">
        <f>D568+E568</f>
        <v>0</v>
      </c>
      <c r="G568" s="39">
        <v>0</v>
      </c>
      <c r="H568" s="39">
        <f>F568*(($H$172)+1)+(IF(G568&lt;101,G568,IF(G568&lt;201,G568/2,IF(G568&lt;=301,G568/3,G568/4))))</f>
        <v>0</v>
      </c>
      <c r="I568" s="33"/>
    </row>
    <row r="569" spans="1:20" s="34" customFormat="1" ht="15.75" hidden="1" customHeight="1" x14ac:dyDescent="0.25">
      <c r="A569" s="110" t="str">
        <f ca="1">(SUMPRODUCT(MID(0&amp;(LEFT(A568,SUM(LEN(A568)-LEN(SUBSTITUTE(A568,{"0","1","2"},""))))), LARGE(INDEX(ISNUMBER(--MID((LEFT(A568,SUM(LEN(A568)-LEN(SUBSTITUTE(A568,{"0","1","2"},""))))), ROW(INDIRECT("1:"&amp;LEN((LEFT(A568,SUM(LEN(A568)-LEN(SUBSTITUTE(A568,{"0","1","2"},"")))))))), 1)) * ROW(INDIRECT("1:"&amp;LEN((LEFT(A568,SUM(LEN(A568)-LEN(SUBSTITUTE(A568,{"0","1","2"},"")))))))), 0), ROW(INDIRECT("1:"&amp;LEN((LEFT(A568,SUM(LEN(A568)-LEN(SUBSTITUTE(A568,{"0","1","2"},"")))))))))+1, 1) * 10^ROW(INDIRECT("1:"&amp;LEN((LEFT(A568,SUM(LEN(A568)-LEN(SUBSTITUTE(A568,{"0","1","2"},""))))))))/10))*1+1&amp;""&amp;" &amp; "&amp;""&amp;(SUMPRODUCT(MID(0&amp;(--TRIM(RIGHT(SUBSTITUTE(LEFT(A568,_xlfn.AGGREGATE(16,6,FIND({0,1,2,3,4,5,6,7,8,9},A568,ROW(INDIRECT("1:"&amp;LEN(A568)))),1))," ",REPT(" ",LEN(A568))),LEN(A568)))), LARGE(INDEX(ISNUMBER(--MID((--TRIM(RIGHT(SUBSTITUTE(LEFT(A568,_xlfn.AGGREGATE(16,6,FIND({0,1,2,3,4,5,6,7,8,9},A568,ROW(INDIRECT("1:"&amp;LEN(A568)))),1))," ",REPT(" ",LEN(A568))),LEN(A568)))), ROW(INDIRECT("1:"&amp;LEN((--TRIM(RIGHT(SUBSTITUTE(LEFT(A568,_xlfn.AGGREGATE(16,6,FIND({0,1,2,3,4,5,6,7,8,9},A568,ROW(INDIRECT("1:"&amp;LEN(A568)))),1))," ",REPT(" ",LEN(A568))),LEN(A568))))))), 1)) * ROW(INDIRECT("1:"&amp;LEN((--TRIM(RIGHT(SUBSTITUTE(LEFT(A568,_xlfn.AGGREGATE(16,6,FIND({0,1,2,3,4,5,6,7,8,9},A568,ROW(INDIRECT("1:"&amp;LEN(A568)))),1))," ",REPT(" ",LEN(A568))),LEN(A568))))))), 0), ROW(INDIRECT("1:"&amp;LEN((--TRIM(RIGHT(SUBSTITUTE(LEFT(A568,_xlfn.AGGREGATE(16,6,FIND({0,1,2,3,4,5,6,7,8,9},A568,ROW(INDIRECT("1:"&amp;LEN(A568)))),1))," ",REPT(" ",LEN(A568))),LEN(A568))))))))+1, 1) * 10^ROW(INDIRECT("1:"&amp;LEN((--TRIM(RIGHT(SUBSTITUTE(LEFT(A568,_xlfn.AGGREGATE(16,6,FIND({0,1,2,3,4,5,6,7,8,9},A568,ROW(INDIRECT("1:"&amp;LEN(A568)))),1))," ",REPT(" ",LEN(A568))),LEN(A568)))))))/10))*1+1</f>
        <v>205 &amp; 505</v>
      </c>
      <c r="B569" s="111"/>
      <c r="C569" s="39"/>
      <c r="D569" s="39"/>
      <c r="E569" s="39">
        <v>0</v>
      </c>
      <c r="F569" s="39">
        <f>D569+E569</f>
        <v>0</v>
      </c>
      <c r="G569" s="39">
        <v>0</v>
      </c>
      <c r="H569" s="39">
        <f>F569*(($H$172)+1)+(IF(G569&lt;101,G569,IF(G569&lt;201,G569/2,IF(G569&lt;=301,G569/3,G569/4))))</f>
        <v>0</v>
      </c>
      <c r="I569" s="33"/>
    </row>
    <row r="570" spans="1:20" s="32" customFormat="1" x14ac:dyDescent="0.25">
      <c r="A570" s="169" t="s">
        <v>65</v>
      </c>
      <c r="B570" s="169"/>
      <c r="C570" s="169"/>
      <c r="D570" s="169"/>
      <c r="E570" s="169"/>
      <c r="F570" s="169"/>
      <c r="G570" s="169"/>
      <c r="H570" s="169"/>
      <c r="T570" s="34"/>
    </row>
    <row r="571" spans="1:20" s="32" customFormat="1" ht="33" customHeight="1" x14ac:dyDescent="0.25">
      <c r="A571" s="41" t="s">
        <v>154</v>
      </c>
      <c r="B571" s="104" t="s">
        <v>481</v>
      </c>
      <c r="C571" s="105"/>
      <c r="D571" s="105"/>
      <c r="E571" s="105"/>
      <c r="F571" s="105"/>
      <c r="G571" s="105"/>
      <c r="H571" s="106"/>
      <c r="T571" s="34"/>
    </row>
    <row r="572" spans="1:20" s="32" customFormat="1" x14ac:dyDescent="0.25">
      <c r="A572" s="41" t="s">
        <v>154</v>
      </c>
      <c r="B572" s="104" t="str">
        <f>(IF(H171="Saleable area Loading :","We have considered Saleable area of Flats as per our Calculation.","We considered Saleable area of Flat as per Builder area Sheet."))</f>
        <v>We have considered Saleable area of Flats as per our Calculation.</v>
      </c>
      <c r="C572" s="105"/>
      <c r="D572" s="105"/>
      <c r="E572" s="105"/>
      <c r="F572" s="105"/>
      <c r="G572" s="105"/>
      <c r="H572" s="106"/>
      <c r="T572" s="34"/>
    </row>
    <row r="573" spans="1:20" s="32" customFormat="1" hidden="1" x14ac:dyDescent="0.25">
      <c r="A573" s="41" t="s">
        <v>154</v>
      </c>
      <c r="B573" s="104" t="str">
        <f>(IF(H163="Saleable area Loading :","We have considered Saleable area of Commercial as per our Calculation.","We considered Saleable area of Commercial as per Builder area Sheet."))</f>
        <v>We have considered Saleable area of Commercial as per our Calculation.</v>
      </c>
      <c r="C573" s="105"/>
      <c r="D573" s="105"/>
      <c r="E573" s="105"/>
      <c r="F573" s="105"/>
      <c r="G573" s="105"/>
      <c r="H573" s="106"/>
      <c r="T573" s="34"/>
    </row>
    <row r="574" spans="1:20" s="32" customFormat="1" x14ac:dyDescent="0.25">
      <c r="A574" s="41" t="s">
        <v>154</v>
      </c>
      <c r="B574" s="161" t="s">
        <v>121</v>
      </c>
      <c r="C574" s="162"/>
      <c r="D574" s="162"/>
      <c r="E574" s="162"/>
      <c r="F574" s="162"/>
      <c r="G574" s="162"/>
      <c r="H574" s="163"/>
      <c r="T574" s="34"/>
    </row>
    <row r="575" spans="1:20" s="32" customFormat="1" x14ac:dyDescent="0.25">
      <c r="A575" s="41" t="s">
        <v>154</v>
      </c>
      <c r="B575" s="161" t="s">
        <v>425</v>
      </c>
      <c r="C575" s="162"/>
      <c r="D575" s="162"/>
      <c r="E575" s="162"/>
      <c r="F575" s="162"/>
      <c r="G575" s="162"/>
      <c r="H575" s="163"/>
      <c r="T575" s="34"/>
    </row>
    <row r="576" spans="1:20" s="32" customFormat="1" x14ac:dyDescent="0.25">
      <c r="A576" s="41" t="s">
        <v>154</v>
      </c>
      <c r="B576" s="161" t="s">
        <v>153</v>
      </c>
      <c r="C576" s="162"/>
      <c r="D576" s="162"/>
      <c r="E576" s="162"/>
      <c r="F576" s="162"/>
      <c r="G576" s="162"/>
      <c r="H576" s="163"/>
    </row>
    <row r="577" spans="1:20" s="32" customFormat="1" x14ac:dyDescent="0.25">
      <c r="A577" s="41" t="s">
        <v>154</v>
      </c>
      <c r="B577" s="161" t="s">
        <v>122</v>
      </c>
      <c r="C577" s="162"/>
      <c r="D577" s="162"/>
      <c r="E577" s="162"/>
      <c r="F577" s="162"/>
      <c r="G577" s="162"/>
      <c r="H577" s="163"/>
    </row>
    <row r="578" spans="1:20" s="32" customFormat="1" ht="34.5" customHeight="1" x14ac:dyDescent="0.25">
      <c r="A578" s="41" t="s">
        <v>154</v>
      </c>
      <c r="B578" s="161" t="s">
        <v>155</v>
      </c>
      <c r="C578" s="162"/>
      <c r="D578" s="162"/>
      <c r="E578" s="162"/>
      <c r="F578" s="162"/>
      <c r="G578" s="162"/>
      <c r="H578" s="163"/>
    </row>
    <row r="579" spans="1:20" s="32" customFormat="1" x14ac:dyDescent="0.25">
      <c r="A579" s="41" t="s">
        <v>154</v>
      </c>
      <c r="B579" s="161" t="s">
        <v>123</v>
      </c>
      <c r="C579" s="162"/>
      <c r="D579" s="162"/>
      <c r="E579" s="162"/>
      <c r="F579" s="162"/>
      <c r="G579" s="162"/>
      <c r="H579" s="163"/>
    </row>
    <row r="580" spans="1:20" s="32" customFormat="1" ht="32.25" hidden="1" customHeight="1" x14ac:dyDescent="0.25">
      <c r="A580" s="41" t="s">
        <v>154</v>
      </c>
      <c r="B580" s="175" t="s">
        <v>180</v>
      </c>
      <c r="C580" s="176"/>
      <c r="D580" s="176"/>
      <c r="E580" s="176"/>
      <c r="F580" s="176"/>
      <c r="G580" s="176"/>
      <c r="H580" s="177"/>
    </row>
    <row r="581" spans="1:20" s="32" customFormat="1" ht="17.25" customHeight="1" x14ac:dyDescent="0.25">
      <c r="A581" s="41" t="s">
        <v>154</v>
      </c>
      <c r="B581" s="104" t="s">
        <v>460</v>
      </c>
      <c r="C581" s="105"/>
      <c r="D581" s="105"/>
      <c r="E581" s="105"/>
      <c r="F581" s="105"/>
      <c r="G581" s="105"/>
      <c r="H581" s="106"/>
    </row>
    <row r="582" spans="1:20" s="82" customFormat="1" ht="32.25" customHeight="1" x14ac:dyDescent="0.25">
      <c r="A582" s="81" t="s">
        <v>154</v>
      </c>
      <c r="B582" s="104" t="s">
        <v>470</v>
      </c>
      <c r="C582" s="105"/>
      <c r="D582" s="105"/>
      <c r="E582" s="105"/>
      <c r="F582" s="105"/>
      <c r="G582" s="105"/>
      <c r="H582" s="106"/>
    </row>
    <row r="583" spans="1:20" s="82" customFormat="1" x14ac:dyDescent="0.25">
      <c r="A583" s="81" t="s">
        <v>154</v>
      </c>
      <c r="B583" s="104" t="s">
        <v>467</v>
      </c>
      <c r="C583" s="105"/>
      <c r="D583" s="105"/>
      <c r="E583" s="105"/>
      <c r="F583" s="105"/>
      <c r="G583" s="105"/>
      <c r="H583" s="106"/>
    </row>
    <row r="584" spans="1:20" s="82" customFormat="1" ht="32.25" customHeight="1" x14ac:dyDescent="0.25">
      <c r="A584" s="81" t="s">
        <v>154</v>
      </c>
      <c r="B584" s="104" t="s">
        <v>479</v>
      </c>
      <c r="C584" s="105"/>
      <c r="D584" s="105"/>
      <c r="E584" s="105"/>
      <c r="F584" s="105"/>
      <c r="G584" s="105"/>
      <c r="H584" s="106"/>
    </row>
    <row r="585" spans="1:20" x14ac:dyDescent="0.25">
      <c r="A585" s="185" t="s">
        <v>58</v>
      </c>
      <c r="B585" s="185"/>
      <c r="C585" s="185"/>
      <c r="D585" s="185"/>
      <c r="E585" s="185"/>
      <c r="F585" s="185"/>
      <c r="G585" s="185"/>
      <c r="H585" s="185"/>
      <c r="T585" s="32"/>
    </row>
    <row r="586" spans="1:20" x14ac:dyDescent="0.25">
      <c r="A586" s="132" t="s">
        <v>59</v>
      </c>
      <c r="B586" s="132"/>
      <c r="C586" s="132"/>
      <c r="D586" s="132"/>
      <c r="E586" s="132"/>
      <c r="F586" s="132"/>
      <c r="G586" s="132"/>
      <c r="H586" s="132"/>
      <c r="T586" s="32"/>
    </row>
    <row r="587" spans="1:20" ht="15.75" customHeight="1" x14ac:dyDescent="0.25">
      <c r="A587" s="182" t="s">
        <v>60</v>
      </c>
      <c r="B587" s="182"/>
      <c r="C587" s="182"/>
      <c r="D587" s="182"/>
      <c r="E587" s="182"/>
      <c r="F587" s="182"/>
      <c r="G587" s="182"/>
      <c r="H587" s="182"/>
      <c r="T587" s="32"/>
    </row>
    <row r="588" spans="1:20" x14ac:dyDescent="0.25">
      <c r="A588" s="132" t="s">
        <v>61</v>
      </c>
      <c r="B588" s="132"/>
      <c r="C588" s="132"/>
      <c r="D588" s="132"/>
      <c r="E588" s="132"/>
      <c r="F588" s="132"/>
      <c r="G588" s="132"/>
      <c r="H588" s="132"/>
      <c r="T588" s="32"/>
    </row>
    <row r="589" spans="1:20" x14ac:dyDescent="0.25">
      <c r="A589" s="132" t="s">
        <v>62</v>
      </c>
      <c r="B589" s="132"/>
      <c r="C589" s="132"/>
      <c r="D589" s="132"/>
      <c r="E589" s="132"/>
      <c r="F589" s="132"/>
      <c r="G589" s="132"/>
      <c r="H589" s="132"/>
      <c r="T589" s="32"/>
    </row>
    <row r="590" spans="1:20" x14ac:dyDescent="0.25">
      <c r="A590" s="132" t="s">
        <v>124</v>
      </c>
      <c r="B590" s="132"/>
      <c r="C590" s="132"/>
      <c r="D590" s="132"/>
      <c r="E590" s="132"/>
      <c r="F590" s="132"/>
      <c r="G590" s="132"/>
      <c r="H590" s="132"/>
      <c r="T590" s="32"/>
    </row>
    <row r="591" spans="1:20" ht="33.950000000000003" customHeight="1" x14ac:dyDescent="0.25">
      <c r="A591" s="124" t="s">
        <v>125</v>
      </c>
      <c r="B591" s="124"/>
      <c r="C591" s="124"/>
      <c r="D591" s="124"/>
      <c r="E591" s="124"/>
      <c r="F591" s="124"/>
      <c r="G591" s="124"/>
      <c r="H591" s="124"/>
    </row>
    <row r="592" spans="1:20" x14ac:dyDescent="0.25">
      <c r="A592" s="171" t="s">
        <v>74</v>
      </c>
      <c r="B592" s="171"/>
      <c r="C592" s="171" t="s">
        <v>436</v>
      </c>
      <c r="D592" s="171"/>
      <c r="E592" s="171" t="s">
        <v>103</v>
      </c>
      <c r="F592" s="171"/>
      <c r="G592" s="172" t="s">
        <v>482</v>
      </c>
      <c r="H592" s="172"/>
    </row>
    <row r="593" spans="1:8" x14ac:dyDescent="0.25">
      <c r="A593" s="170" t="s">
        <v>76</v>
      </c>
      <c r="B593" s="170"/>
      <c r="C593" s="170"/>
      <c r="D593" s="170"/>
      <c r="E593" s="170"/>
      <c r="F593" s="170"/>
      <c r="G593" s="170"/>
      <c r="H593" s="170"/>
    </row>
    <row r="594" spans="1:8" x14ac:dyDescent="0.25">
      <c r="A594" s="170"/>
      <c r="B594" s="170"/>
      <c r="C594" s="170"/>
      <c r="D594" s="170"/>
      <c r="E594" s="170"/>
      <c r="F594" s="170"/>
      <c r="G594" s="170"/>
      <c r="H594" s="170"/>
    </row>
    <row r="595" spans="1:8" x14ac:dyDescent="0.25">
      <c r="A595" s="170"/>
      <c r="B595" s="170"/>
      <c r="C595" s="170"/>
      <c r="D595" s="170"/>
      <c r="E595" s="170"/>
      <c r="F595" s="170"/>
      <c r="G595" s="170"/>
      <c r="H595" s="170"/>
    </row>
    <row r="596" spans="1:8" x14ac:dyDescent="0.25">
      <c r="A596" s="170"/>
      <c r="B596" s="170"/>
      <c r="C596" s="170"/>
      <c r="D596" s="170"/>
      <c r="E596" s="170"/>
      <c r="F596" s="170"/>
      <c r="G596" s="170"/>
      <c r="H596" s="170"/>
    </row>
    <row r="597" spans="1:8" x14ac:dyDescent="0.25">
      <c r="A597" s="35" t="s">
        <v>63</v>
      </c>
      <c r="B597" s="36"/>
      <c r="C597" s="36"/>
      <c r="D597" s="35" t="str">
        <f>E9</f>
        <v>Hiranandani Westgate Phase 1</v>
      </c>
      <c r="F597" s="36"/>
      <c r="G597" s="36"/>
      <c r="H597" s="36"/>
    </row>
    <row r="598" spans="1:8" x14ac:dyDescent="0.25">
      <c r="A598" s="36"/>
      <c r="B598" s="36"/>
      <c r="C598" s="36"/>
      <c r="D598" s="36"/>
      <c r="E598" s="36"/>
      <c r="F598" s="36"/>
      <c r="G598" s="36"/>
      <c r="H598" s="36"/>
    </row>
    <row r="599" spans="1:8" x14ac:dyDescent="0.25">
      <c r="A599" s="36"/>
      <c r="B599" s="36"/>
      <c r="C599" s="36"/>
      <c r="D599" s="36"/>
      <c r="E599" s="36"/>
      <c r="F599" s="36"/>
      <c r="G599" s="36"/>
      <c r="H599" s="36"/>
    </row>
    <row r="600" spans="1:8" ht="15" customHeight="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41" spans="1:1" x14ac:dyDescent="0.25">
      <c r="A641" s="38" t="s">
        <v>165</v>
      </c>
    </row>
    <row r="683" spans="1:1" x14ac:dyDescent="0.25">
      <c r="A683" s="38" t="s">
        <v>64</v>
      </c>
    </row>
  </sheetData>
  <mergeCells count="1098">
    <mergeCell ref="B584:H584"/>
    <mergeCell ref="C533:G533"/>
    <mergeCell ref="A482:H482"/>
    <mergeCell ref="C365:G365"/>
    <mergeCell ref="C366:G367"/>
    <mergeCell ref="C368:G368"/>
    <mergeCell ref="C351:G351"/>
    <mergeCell ref="C337:G337"/>
    <mergeCell ref="C323:G323"/>
    <mergeCell ref="C276:G276"/>
    <mergeCell ref="C262:G262"/>
    <mergeCell ref="C248:G248"/>
    <mergeCell ref="B581:H581"/>
    <mergeCell ref="C307:G307"/>
    <mergeCell ref="C312:G313"/>
    <mergeCell ref="A282:H282"/>
    <mergeCell ref="A290:B290"/>
    <mergeCell ref="C290:G290"/>
    <mergeCell ref="A303:B303"/>
    <mergeCell ref="A272:B272"/>
    <mergeCell ref="A265:B265"/>
    <mergeCell ref="A364:B364"/>
    <mergeCell ref="A365:B365"/>
    <mergeCell ref="A366:B366"/>
    <mergeCell ref="A367:B367"/>
    <mergeCell ref="A368:B368"/>
    <mergeCell ref="A369:B369"/>
    <mergeCell ref="A569:B569"/>
    <mergeCell ref="A568:B568"/>
    <mergeCell ref="B571:H571"/>
    <mergeCell ref="A320:B320"/>
    <mergeCell ref="A274:B274"/>
    <mergeCell ref="B572:H572"/>
    <mergeCell ref="L307:M307"/>
    <mergeCell ref="C305:G306"/>
    <mergeCell ref="H230:H231"/>
    <mergeCell ref="L230:M230"/>
    <mergeCell ref="A231:B231"/>
    <mergeCell ref="L231:M231"/>
    <mergeCell ref="C230:G231"/>
    <mergeCell ref="C237:G238"/>
    <mergeCell ref="A232:B232"/>
    <mergeCell ref="L232:M232"/>
    <mergeCell ref="C232:G232"/>
    <mergeCell ref="A216:B216"/>
    <mergeCell ref="L216:M216"/>
    <mergeCell ref="A217:B217"/>
    <mergeCell ref="L217:M217"/>
    <mergeCell ref="A218:B218"/>
    <mergeCell ref="L218:M218"/>
    <mergeCell ref="C216:G218"/>
    <mergeCell ref="A222:B222"/>
    <mergeCell ref="L222:M222"/>
    <mergeCell ref="A223:B223"/>
    <mergeCell ref="L223:M223"/>
    <mergeCell ref="A224:B224"/>
    <mergeCell ref="L224:M224"/>
    <mergeCell ref="H216:H218"/>
    <mergeCell ref="A238:B238"/>
    <mergeCell ref="L238:M238"/>
    <mergeCell ref="A225:B225"/>
    <mergeCell ref="L225:M225"/>
    <mergeCell ref="L290:M290"/>
    <mergeCell ref="A291:B291"/>
    <mergeCell ref="H237:H238"/>
    <mergeCell ref="L229:M229"/>
    <mergeCell ref="A260:B260"/>
    <mergeCell ref="L260:M260"/>
    <mergeCell ref="A261:H261"/>
    <mergeCell ref="A262:B262"/>
    <mergeCell ref="L262:M262"/>
    <mergeCell ref="A279:B279"/>
    <mergeCell ref="L279:M279"/>
    <mergeCell ref="A263:B263"/>
    <mergeCell ref="L263:M263"/>
    <mergeCell ref="A264:B264"/>
    <mergeCell ref="L264:M264"/>
    <mergeCell ref="A319:B319"/>
    <mergeCell ref="L319:M319"/>
    <mergeCell ref="A304:B304"/>
    <mergeCell ref="L304:M304"/>
    <mergeCell ref="A313:B313"/>
    <mergeCell ref="L313:M313"/>
    <mergeCell ref="A314:B314"/>
    <mergeCell ref="L314:M314"/>
    <mergeCell ref="A305:B305"/>
    <mergeCell ref="L305:M305"/>
    <mergeCell ref="A306:B306"/>
    <mergeCell ref="L306:M306"/>
    <mergeCell ref="H305:H306"/>
    <mergeCell ref="H312:H313"/>
    <mergeCell ref="A308:H308"/>
    <mergeCell ref="A309:B309"/>
    <mergeCell ref="L303:M303"/>
    <mergeCell ref="L311:M311"/>
    <mergeCell ref="A307:B307"/>
    <mergeCell ref="L309:M309"/>
    <mergeCell ref="A310:B310"/>
    <mergeCell ref="L310:M310"/>
    <mergeCell ref="A311:B311"/>
    <mergeCell ref="A239:B239"/>
    <mergeCell ref="L239:M239"/>
    <mergeCell ref="A312:B312"/>
    <mergeCell ref="L312:M312"/>
    <mergeCell ref="A285:H285"/>
    <mergeCell ref="A286:H286"/>
    <mergeCell ref="A287:H287"/>
    <mergeCell ref="A288:B288"/>
    <mergeCell ref="L288:M288"/>
    <mergeCell ref="A289:B289"/>
    <mergeCell ref="L289:M289"/>
    <mergeCell ref="A294:H294"/>
    <mergeCell ref="A295:B295"/>
    <mergeCell ref="L295:M295"/>
    <mergeCell ref="A296:B296"/>
    <mergeCell ref="L296:M296"/>
    <mergeCell ref="A301:H301"/>
    <mergeCell ref="A280:B280"/>
    <mergeCell ref="L280:M280"/>
    <mergeCell ref="A281:B281"/>
    <mergeCell ref="L281:M281"/>
    <mergeCell ref="A268:H268"/>
    <mergeCell ref="A269:B269"/>
    <mergeCell ref="L269:M269"/>
    <mergeCell ref="A270:B270"/>
    <mergeCell ref="L270:M270"/>
    <mergeCell ref="A271:B271"/>
    <mergeCell ref="L271:M271"/>
    <mergeCell ref="L320:M320"/>
    <mergeCell ref="A321:B321"/>
    <mergeCell ref="L321:M321"/>
    <mergeCell ref="A315:H315"/>
    <mergeCell ref="A316:B316"/>
    <mergeCell ref="L316:M316"/>
    <mergeCell ref="A317:B317"/>
    <mergeCell ref="L317:M317"/>
    <mergeCell ref="A318:B318"/>
    <mergeCell ref="L318:M318"/>
    <mergeCell ref="A546:B546"/>
    <mergeCell ref="A543:B543"/>
    <mergeCell ref="L543:M543"/>
    <mergeCell ref="A544:B544"/>
    <mergeCell ref="L544:M544"/>
    <mergeCell ref="A545:B545"/>
    <mergeCell ref="L545:M545"/>
    <mergeCell ref="L362:M362"/>
    <mergeCell ref="L363:M363"/>
    <mergeCell ref="L364:M364"/>
    <mergeCell ref="L365:M365"/>
    <mergeCell ref="L366:M366"/>
    <mergeCell ref="L367:M367"/>
    <mergeCell ref="L368:M368"/>
    <mergeCell ref="H366:H367"/>
    <mergeCell ref="A370:H370"/>
    <mergeCell ref="A371:B371"/>
    <mergeCell ref="A363:B363"/>
    <mergeCell ref="C492:G493"/>
    <mergeCell ref="C494:G494"/>
    <mergeCell ref="C519:G520"/>
    <mergeCell ref="L274:M274"/>
    <mergeCell ref="A275:H275"/>
    <mergeCell ref="A276:B276"/>
    <mergeCell ref="L276:M276"/>
    <mergeCell ref="A277:B277"/>
    <mergeCell ref="L277:M277"/>
    <mergeCell ref="A278:B278"/>
    <mergeCell ref="L278:M278"/>
    <mergeCell ref="A302:B302"/>
    <mergeCell ref="L302:M302"/>
    <mergeCell ref="A300:B300"/>
    <mergeCell ref="L300:M300"/>
    <mergeCell ref="C297:G300"/>
    <mergeCell ref="H297:H300"/>
    <mergeCell ref="L272:M272"/>
    <mergeCell ref="A273:B273"/>
    <mergeCell ref="L273:M273"/>
    <mergeCell ref="H291:H293"/>
    <mergeCell ref="L291:M291"/>
    <mergeCell ref="A292:B292"/>
    <mergeCell ref="L292:M292"/>
    <mergeCell ref="A293:B293"/>
    <mergeCell ref="L293:M293"/>
    <mergeCell ref="A297:B297"/>
    <mergeCell ref="L297:M297"/>
    <mergeCell ref="A298:B298"/>
    <mergeCell ref="L298:M298"/>
    <mergeCell ref="A299:B299"/>
    <mergeCell ref="L299:M299"/>
    <mergeCell ref="A283:H283"/>
    <mergeCell ref="A284:H284"/>
    <mergeCell ref="C291:G293"/>
    <mergeCell ref="L547:M547"/>
    <mergeCell ref="A155:B155"/>
    <mergeCell ref="C155:D155"/>
    <mergeCell ref="E155:F155"/>
    <mergeCell ref="G155:H155"/>
    <mergeCell ref="A156:B156"/>
    <mergeCell ref="C156:D156"/>
    <mergeCell ref="E156:F156"/>
    <mergeCell ref="G156:H156"/>
    <mergeCell ref="A157:B157"/>
    <mergeCell ref="C157:D157"/>
    <mergeCell ref="E157:F157"/>
    <mergeCell ref="G157:H157"/>
    <mergeCell ref="A158:B158"/>
    <mergeCell ref="C158:D158"/>
    <mergeCell ref="E158:F158"/>
    <mergeCell ref="G158:H158"/>
    <mergeCell ref="A247:H247"/>
    <mergeCell ref="A248:B248"/>
    <mergeCell ref="A253:B253"/>
    <mergeCell ref="L253:M253"/>
    <mergeCell ref="A254:H254"/>
    <mergeCell ref="A255:B255"/>
    <mergeCell ref="L255:M255"/>
    <mergeCell ref="A256:B256"/>
    <mergeCell ref="L256:M256"/>
    <mergeCell ref="A257:B257"/>
    <mergeCell ref="L257:M257"/>
    <mergeCell ref="L248:M248"/>
    <mergeCell ref="A249:B249"/>
    <mergeCell ref="L542:M542"/>
    <mergeCell ref="A362:B362"/>
    <mergeCell ref="A237:B237"/>
    <mergeCell ref="L237:M237"/>
    <mergeCell ref="A240:H240"/>
    <mergeCell ref="A241:B241"/>
    <mergeCell ref="L241:M241"/>
    <mergeCell ref="A242:B242"/>
    <mergeCell ref="L242:M242"/>
    <mergeCell ref="A243:B243"/>
    <mergeCell ref="L243:M243"/>
    <mergeCell ref="A244:B244"/>
    <mergeCell ref="L244:M244"/>
    <mergeCell ref="A357:H357"/>
    <mergeCell ref="A245:B245"/>
    <mergeCell ref="L245:M245"/>
    <mergeCell ref="A246:B246"/>
    <mergeCell ref="L246:M246"/>
    <mergeCell ref="L249:M249"/>
    <mergeCell ref="A250:B250"/>
    <mergeCell ref="L250:M250"/>
    <mergeCell ref="A251:B251"/>
    <mergeCell ref="L251:M251"/>
    <mergeCell ref="A252:B252"/>
    <mergeCell ref="L252:M252"/>
    <mergeCell ref="A258:B258"/>
    <mergeCell ref="L258:M258"/>
    <mergeCell ref="A259:B259"/>
    <mergeCell ref="L259:M259"/>
    <mergeCell ref="L265:M265"/>
    <mergeCell ref="A266:B266"/>
    <mergeCell ref="L266:M266"/>
    <mergeCell ref="A267:B267"/>
    <mergeCell ref="L267:M267"/>
    <mergeCell ref="A226:H226"/>
    <mergeCell ref="A211:H211"/>
    <mergeCell ref="A212:H212"/>
    <mergeCell ref="A213:B213"/>
    <mergeCell ref="L213:M213"/>
    <mergeCell ref="A214:B214"/>
    <mergeCell ref="L214:M214"/>
    <mergeCell ref="A215:B215"/>
    <mergeCell ref="L215:M215"/>
    <mergeCell ref="L234:M234"/>
    <mergeCell ref="A235:B235"/>
    <mergeCell ref="L235:M235"/>
    <mergeCell ref="A236:B236"/>
    <mergeCell ref="L236:M236"/>
    <mergeCell ref="C222:G225"/>
    <mergeCell ref="H222:H225"/>
    <mergeCell ref="A230:B230"/>
    <mergeCell ref="L227:M227"/>
    <mergeCell ref="A228:B228"/>
    <mergeCell ref="L228:M228"/>
    <mergeCell ref="A229:B229"/>
    <mergeCell ref="A219:H219"/>
    <mergeCell ref="A220:B220"/>
    <mergeCell ref="L220:M220"/>
    <mergeCell ref="A191:B191"/>
    <mergeCell ref="L194:M194"/>
    <mergeCell ref="A195:B195"/>
    <mergeCell ref="L195:M195"/>
    <mergeCell ref="A221:B221"/>
    <mergeCell ref="L221:M221"/>
    <mergeCell ref="A198:H198"/>
    <mergeCell ref="A199:B199"/>
    <mergeCell ref="L199:M199"/>
    <mergeCell ref="A200:B200"/>
    <mergeCell ref="L200:M200"/>
    <mergeCell ref="L201:M201"/>
    <mergeCell ref="A202:B202"/>
    <mergeCell ref="L202:M202"/>
    <mergeCell ref="A196:B196"/>
    <mergeCell ref="L196:M196"/>
    <mergeCell ref="A197:B197"/>
    <mergeCell ref="L197:M197"/>
    <mergeCell ref="C191:G191"/>
    <mergeCell ref="C192:G192"/>
    <mergeCell ref="C196:G197"/>
    <mergeCell ref="C215:G215"/>
    <mergeCell ref="L207:M207"/>
    <mergeCell ref="A209:H209"/>
    <mergeCell ref="A210:H210"/>
    <mergeCell ref="E123:F132"/>
    <mergeCell ref="B171:B172"/>
    <mergeCell ref="A183:H183"/>
    <mergeCell ref="A184:B184"/>
    <mergeCell ref="L184:M184"/>
    <mergeCell ref="A185:B185"/>
    <mergeCell ref="L185:M185"/>
    <mergeCell ref="A186:B186"/>
    <mergeCell ref="L186:M186"/>
    <mergeCell ref="A187:B187"/>
    <mergeCell ref="L187:M187"/>
    <mergeCell ref="A188:H188"/>
    <mergeCell ref="A189:B189"/>
    <mergeCell ref="L189:M189"/>
    <mergeCell ref="A190:B190"/>
    <mergeCell ref="L190:M190"/>
    <mergeCell ref="A173:H173"/>
    <mergeCell ref="C181:G182"/>
    <mergeCell ref="C186:G187"/>
    <mergeCell ref="A182:B182"/>
    <mergeCell ref="C153:D153"/>
    <mergeCell ref="E153:F153"/>
    <mergeCell ref="G153:H153"/>
    <mergeCell ref="A134:E134"/>
    <mergeCell ref="D163:D164"/>
    <mergeCell ref="A137:E137"/>
    <mergeCell ref="C163:C164"/>
    <mergeCell ref="A168:B168"/>
    <mergeCell ref="A139:E139"/>
    <mergeCell ref="G123:H132"/>
    <mergeCell ref="A124:B124"/>
    <mergeCell ref="A126:B126"/>
    <mergeCell ref="D73:H73"/>
    <mergeCell ref="L169:M169"/>
    <mergeCell ref="L168:M168"/>
    <mergeCell ref="A203:H203"/>
    <mergeCell ref="A204:B204"/>
    <mergeCell ref="L204:M204"/>
    <mergeCell ref="A205:B205"/>
    <mergeCell ref="L205:M205"/>
    <mergeCell ref="A206:B206"/>
    <mergeCell ref="L206:M206"/>
    <mergeCell ref="A207:B207"/>
    <mergeCell ref="A91:B91"/>
    <mergeCell ref="L191:M191"/>
    <mergeCell ref="A192:B192"/>
    <mergeCell ref="L192:M192"/>
    <mergeCell ref="A177:H177"/>
    <mergeCell ref="A178:H178"/>
    <mergeCell ref="A175:H175"/>
    <mergeCell ref="A176:H176"/>
    <mergeCell ref="A193:H193"/>
    <mergeCell ref="A113:B113"/>
    <mergeCell ref="A114:B114"/>
    <mergeCell ref="A115:B115"/>
    <mergeCell ref="A116:B116"/>
    <mergeCell ref="A117:B117"/>
    <mergeCell ref="G163:G164"/>
    <mergeCell ref="L167:M167"/>
    <mergeCell ref="L166:M166"/>
    <mergeCell ref="A122:B122"/>
    <mergeCell ref="E122:F122"/>
    <mergeCell ref="G122:H122"/>
    <mergeCell ref="A123:B123"/>
    <mergeCell ref="A127:B127"/>
    <mergeCell ref="A128:B128"/>
    <mergeCell ref="A165:H165"/>
    <mergeCell ref="E163:E164"/>
    <mergeCell ref="F135:H135"/>
    <mergeCell ref="A135:E135"/>
    <mergeCell ref="D69:H69"/>
    <mergeCell ref="A65:C69"/>
    <mergeCell ref="A119:B119"/>
    <mergeCell ref="C119:H119"/>
    <mergeCell ref="A121:B121"/>
    <mergeCell ref="C121:H121"/>
    <mergeCell ref="A118:B118"/>
    <mergeCell ref="A93:B93"/>
    <mergeCell ref="A83:B83"/>
    <mergeCell ref="E81:F90"/>
    <mergeCell ref="G81:H90"/>
    <mergeCell ref="D71:H71"/>
    <mergeCell ref="D65:H65"/>
    <mergeCell ref="D66:H66"/>
    <mergeCell ref="A79:B79"/>
    <mergeCell ref="A77:B77"/>
    <mergeCell ref="C77:H77"/>
    <mergeCell ref="A72:C72"/>
    <mergeCell ref="D72:H72"/>
    <mergeCell ref="C79:H79"/>
    <mergeCell ref="G109:H118"/>
    <mergeCell ref="A110:B110"/>
    <mergeCell ref="A111:B111"/>
    <mergeCell ref="A112:B112"/>
    <mergeCell ref="A73:C73"/>
    <mergeCell ref="F139:H139"/>
    <mergeCell ref="L181:M181"/>
    <mergeCell ref="C55:H55"/>
    <mergeCell ref="A88:B88"/>
    <mergeCell ref="C91:H91"/>
    <mergeCell ref="A95:B95"/>
    <mergeCell ref="C93:H93"/>
    <mergeCell ref="A96:B96"/>
    <mergeCell ref="A97:B97"/>
    <mergeCell ref="G95:H104"/>
    <mergeCell ref="A98:B98"/>
    <mergeCell ref="A100:B100"/>
    <mergeCell ref="A102:B102"/>
    <mergeCell ref="B582:H582"/>
    <mergeCell ref="A138:E138"/>
    <mergeCell ref="A159:B159"/>
    <mergeCell ref="E159:F159"/>
    <mergeCell ref="A143:E143"/>
    <mergeCell ref="G159:H159"/>
    <mergeCell ref="C149:D149"/>
    <mergeCell ref="E149:F149"/>
    <mergeCell ref="G149:H149"/>
    <mergeCell ref="A150:B150"/>
    <mergeCell ref="C150:D150"/>
    <mergeCell ref="E150:F150"/>
    <mergeCell ref="G150:H150"/>
    <mergeCell ref="A154:B154"/>
    <mergeCell ref="C154:D154"/>
    <mergeCell ref="E154:F154"/>
    <mergeCell ref="G154:H154"/>
    <mergeCell ref="B578:H578"/>
    <mergeCell ref="A179:B179"/>
    <mergeCell ref="A169:B169"/>
    <mergeCell ref="A141:E141"/>
    <mergeCell ref="B573:H573"/>
    <mergeCell ref="A201:B201"/>
    <mergeCell ref="A208:H208"/>
    <mergeCell ref="A227:B227"/>
    <mergeCell ref="A233:H233"/>
    <mergeCell ref="A234:B234"/>
    <mergeCell ref="A542:B542"/>
    <mergeCell ref="A566:B566"/>
    <mergeCell ref="L546:M546"/>
    <mergeCell ref="A551:B551"/>
    <mergeCell ref="A548:B548"/>
    <mergeCell ref="A549:B549"/>
    <mergeCell ref="A559:B559"/>
    <mergeCell ref="F163:F164"/>
    <mergeCell ref="C148:D148"/>
    <mergeCell ref="E148:F148"/>
    <mergeCell ref="B163:B164"/>
    <mergeCell ref="A163:A164"/>
    <mergeCell ref="C171:C172"/>
    <mergeCell ref="G171:G172"/>
    <mergeCell ref="L182:M182"/>
    <mergeCell ref="L179:M179"/>
    <mergeCell ref="A180:B180"/>
    <mergeCell ref="G160:H160"/>
    <mergeCell ref="L180:M180"/>
    <mergeCell ref="A181:B181"/>
    <mergeCell ref="A562:B562"/>
    <mergeCell ref="A563:B563"/>
    <mergeCell ref="A558:H558"/>
    <mergeCell ref="A552:H552"/>
    <mergeCell ref="A567:B567"/>
    <mergeCell ref="A136:E136"/>
    <mergeCell ref="A133:E133"/>
    <mergeCell ref="F137:H137"/>
    <mergeCell ref="G94:H94"/>
    <mergeCell ref="F133:H133"/>
    <mergeCell ref="A131:B131"/>
    <mergeCell ref="A132:B132"/>
    <mergeCell ref="A129:B129"/>
    <mergeCell ref="A130:B130"/>
    <mergeCell ref="A49:B49"/>
    <mergeCell ref="C49:H49"/>
    <mergeCell ref="G52:H52"/>
    <mergeCell ref="A61:H61"/>
    <mergeCell ref="A62:C62"/>
    <mergeCell ref="A63:C63"/>
    <mergeCell ref="A38:H38"/>
    <mergeCell ref="A86:B86"/>
    <mergeCell ref="A80:B80"/>
    <mergeCell ref="A94:B94"/>
    <mergeCell ref="E94:F94"/>
    <mergeCell ref="E95:F104"/>
    <mergeCell ref="A105:B105"/>
    <mergeCell ref="C105:H105"/>
    <mergeCell ref="A107:B107"/>
    <mergeCell ref="C107:H107"/>
    <mergeCell ref="A108:B108"/>
    <mergeCell ref="A103:B103"/>
    <mergeCell ref="E108:F108"/>
    <mergeCell ref="G108:H108"/>
    <mergeCell ref="A109:B109"/>
    <mergeCell ref="E109:F118"/>
    <mergeCell ref="A125:B125"/>
    <mergeCell ref="A37:B37"/>
    <mergeCell ref="C37:E37"/>
    <mergeCell ref="A42:D42"/>
    <mergeCell ref="E42:H42"/>
    <mergeCell ref="A41:H41"/>
    <mergeCell ref="A70:C70"/>
    <mergeCell ref="A71:C71"/>
    <mergeCell ref="D70:H70"/>
    <mergeCell ref="F37:H37"/>
    <mergeCell ref="C51:E51"/>
    <mergeCell ref="C50:E50"/>
    <mergeCell ref="G50:H50"/>
    <mergeCell ref="A51:B51"/>
    <mergeCell ref="G56:H56"/>
    <mergeCell ref="A58:B59"/>
    <mergeCell ref="C58:E58"/>
    <mergeCell ref="G58:H58"/>
    <mergeCell ref="G51:H51"/>
    <mergeCell ref="A52:B53"/>
    <mergeCell ref="A39:B39"/>
    <mergeCell ref="C39:H39"/>
    <mergeCell ref="A46:D46"/>
    <mergeCell ref="A47:D47"/>
    <mergeCell ref="C53:H53"/>
    <mergeCell ref="D68:H68"/>
    <mergeCell ref="A50:B50"/>
    <mergeCell ref="D67:H67"/>
    <mergeCell ref="C52:E52"/>
    <mergeCell ref="A40:B40"/>
    <mergeCell ref="C40:H40"/>
    <mergeCell ref="C33:E33"/>
    <mergeCell ref="F36:H36"/>
    <mergeCell ref="F33:H33"/>
    <mergeCell ref="A34:B34"/>
    <mergeCell ref="A33:B33"/>
    <mergeCell ref="C34:E34"/>
    <mergeCell ref="A35:B35"/>
    <mergeCell ref="C35:E35"/>
    <mergeCell ref="F34:H34"/>
    <mergeCell ref="F35:H35"/>
    <mergeCell ref="A76:C76"/>
    <mergeCell ref="D76:H76"/>
    <mergeCell ref="A75:C75"/>
    <mergeCell ref="A36:B36"/>
    <mergeCell ref="C36:E36"/>
    <mergeCell ref="A31:D31"/>
    <mergeCell ref="E31:H31"/>
    <mergeCell ref="A32:D32"/>
    <mergeCell ref="E32:H32"/>
    <mergeCell ref="E43:H43"/>
    <mergeCell ref="A43:D43"/>
    <mergeCell ref="A44:D44"/>
    <mergeCell ref="E44:H44"/>
    <mergeCell ref="E45:H45"/>
    <mergeCell ref="E46:H46"/>
    <mergeCell ref="E47:H47"/>
    <mergeCell ref="C57:H57"/>
    <mergeCell ref="C59:H59"/>
    <mergeCell ref="A48:H48"/>
    <mergeCell ref="D64:H64"/>
    <mergeCell ref="A64:C64"/>
    <mergeCell ref="A45:D45"/>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28:D28"/>
    <mergeCell ref="E28:H28"/>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585:H585"/>
    <mergeCell ref="G152:H152"/>
    <mergeCell ref="B576:H576"/>
    <mergeCell ref="A561:B561"/>
    <mergeCell ref="A550:B550"/>
    <mergeCell ref="A557:B557"/>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361:H361"/>
    <mergeCell ref="A593:H596"/>
    <mergeCell ref="A592:B592"/>
    <mergeCell ref="E592:F592"/>
    <mergeCell ref="C592:D592"/>
    <mergeCell ref="G592:H592"/>
    <mergeCell ref="A146:H146"/>
    <mergeCell ref="A144:E144"/>
    <mergeCell ref="F144:H144"/>
    <mergeCell ref="A145:E145"/>
    <mergeCell ref="F145:H145"/>
    <mergeCell ref="A153:B153"/>
    <mergeCell ref="A555:B555"/>
    <mergeCell ref="A148:B148"/>
    <mergeCell ref="A588:H588"/>
    <mergeCell ref="A151:H151"/>
    <mergeCell ref="A591:H591"/>
    <mergeCell ref="A589:H589"/>
    <mergeCell ref="A586:H586"/>
    <mergeCell ref="B580:H580"/>
    <mergeCell ref="A160:B160"/>
    <mergeCell ref="C160:D160"/>
    <mergeCell ref="E160:F160"/>
    <mergeCell ref="B579:H579"/>
    <mergeCell ref="B577:H577"/>
    <mergeCell ref="A590:H590"/>
    <mergeCell ref="A587:H587"/>
    <mergeCell ref="A547:B547"/>
    <mergeCell ref="D171:D172"/>
    <mergeCell ref="E171:E172"/>
    <mergeCell ref="A556:B556"/>
    <mergeCell ref="B575:H575"/>
    <mergeCell ref="A565:B565"/>
    <mergeCell ref="B574:H574"/>
    <mergeCell ref="A328:B328"/>
    <mergeCell ref="A340:B340"/>
    <mergeCell ref="A350:H350"/>
    <mergeCell ref="A351:B351"/>
    <mergeCell ref="A170:H170"/>
    <mergeCell ref="A161:H161"/>
    <mergeCell ref="A171:A172"/>
    <mergeCell ref="F171:F172"/>
    <mergeCell ref="A553:B553"/>
    <mergeCell ref="A166:B166"/>
    <mergeCell ref="A356:B356"/>
    <mergeCell ref="A358:H358"/>
    <mergeCell ref="A384:B384"/>
    <mergeCell ref="A393:B393"/>
    <mergeCell ref="A402:B402"/>
    <mergeCell ref="A419:B419"/>
    <mergeCell ref="A437:H437"/>
    <mergeCell ref="A438:B438"/>
    <mergeCell ref="A489:B489"/>
    <mergeCell ref="A467:B467"/>
    <mergeCell ref="A505:H505"/>
    <mergeCell ref="A506:B506"/>
    <mergeCell ref="A532:H532"/>
    <mergeCell ref="A533:B533"/>
    <mergeCell ref="A540:B540"/>
    <mergeCell ref="A560:B560"/>
    <mergeCell ref="A194:B194"/>
    <mergeCell ref="A397:H397"/>
    <mergeCell ref="A398:B398"/>
    <mergeCell ref="A408:B408"/>
    <mergeCell ref="A570:H570"/>
    <mergeCell ref="I15:P15"/>
    <mergeCell ref="F143:H143"/>
    <mergeCell ref="F141:H141"/>
    <mergeCell ref="A554:B554"/>
    <mergeCell ref="A162:H162"/>
    <mergeCell ref="G147:H147"/>
    <mergeCell ref="A142:E142"/>
    <mergeCell ref="A167:B167"/>
    <mergeCell ref="A60:B60"/>
    <mergeCell ref="C60:E60"/>
    <mergeCell ref="D62:H62"/>
    <mergeCell ref="F142:H142"/>
    <mergeCell ref="E147:F147"/>
    <mergeCell ref="A147:B147"/>
    <mergeCell ref="A149:B149"/>
    <mergeCell ref="C152:D152"/>
    <mergeCell ref="D74:H74"/>
    <mergeCell ref="D63:H63"/>
    <mergeCell ref="G60:H60"/>
    <mergeCell ref="A54:B55"/>
    <mergeCell ref="C54:E54"/>
    <mergeCell ref="G54:H54"/>
    <mergeCell ref="A56:B57"/>
    <mergeCell ref="C56:E56"/>
    <mergeCell ref="A99:B99"/>
    <mergeCell ref="A101:B101"/>
    <mergeCell ref="F134:H134"/>
    <mergeCell ref="G148:H148"/>
    <mergeCell ref="A104:B104"/>
    <mergeCell ref="F140:H140"/>
    <mergeCell ref="C147:D147"/>
    <mergeCell ref="C159:D159"/>
    <mergeCell ref="A564:H564"/>
    <mergeCell ref="A74:C74"/>
    <mergeCell ref="D75:H75"/>
    <mergeCell ref="A81:B81"/>
    <mergeCell ref="G80:H80"/>
    <mergeCell ref="A89:B89"/>
    <mergeCell ref="A90:B90"/>
    <mergeCell ref="A85:B85"/>
    <mergeCell ref="A82:B82"/>
    <mergeCell ref="A84:B84"/>
    <mergeCell ref="E80:F80"/>
    <mergeCell ref="A87:B87"/>
    <mergeCell ref="A322:H322"/>
    <mergeCell ref="A323:B323"/>
    <mergeCell ref="A174:H174"/>
    <mergeCell ref="F136:H136"/>
    <mergeCell ref="A140:E140"/>
    <mergeCell ref="E152:F152"/>
    <mergeCell ref="A152:B152"/>
    <mergeCell ref="A359:H359"/>
    <mergeCell ref="A424:H424"/>
    <mergeCell ref="A360:H360"/>
    <mergeCell ref="A336:H336"/>
    <mergeCell ref="A337:B337"/>
    <mergeCell ref="A342:B342"/>
    <mergeCell ref="A541:H541"/>
    <mergeCell ref="A428:H428"/>
    <mergeCell ref="A429:B429"/>
    <mergeCell ref="C474:G474"/>
    <mergeCell ref="H510:H511"/>
    <mergeCell ref="F138:H138"/>
    <mergeCell ref="A468:B468"/>
    <mergeCell ref="L337:M337"/>
    <mergeCell ref="A338:B338"/>
    <mergeCell ref="L338:M338"/>
    <mergeCell ref="A339:B339"/>
    <mergeCell ref="L339:M339"/>
    <mergeCell ref="L323:M323"/>
    <mergeCell ref="A324:B324"/>
    <mergeCell ref="L324:M324"/>
    <mergeCell ref="A325:B325"/>
    <mergeCell ref="L325:M325"/>
    <mergeCell ref="A326:B326"/>
    <mergeCell ref="L326:M326"/>
    <mergeCell ref="A327:B327"/>
    <mergeCell ref="L327:M327"/>
    <mergeCell ref="L340:M340"/>
    <mergeCell ref="A341:B341"/>
    <mergeCell ref="L341:M341"/>
    <mergeCell ref="L328:M328"/>
    <mergeCell ref="L342:M342"/>
    <mergeCell ref="A329:H329"/>
    <mergeCell ref="A330:B330"/>
    <mergeCell ref="L330:M330"/>
    <mergeCell ref="A331:B331"/>
    <mergeCell ref="L331:M331"/>
    <mergeCell ref="A332:B332"/>
    <mergeCell ref="L332:M332"/>
    <mergeCell ref="A333:B333"/>
    <mergeCell ref="L333:M333"/>
    <mergeCell ref="A334:B334"/>
    <mergeCell ref="L334:M334"/>
    <mergeCell ref="A335:B335"/>
    <mergeCell ref="L335:M335"/>
    <mergeCell ref="L356:M356"/>
    <mergeCell ref="A343:H343"/>
    <mergeCell ref="A344:B344"/>
    <mergeCell ref="L344:M344"/>
    <mergeCell ref="A345:B345"/>
    <mergeCell ref="L345:M345"/>
    <mergeCell ref="A346:B346"/>
    <mergeCell ref="L346:M346"/>
    <mergeCell ref="A347:B347"/>
    <mergeCell ref="L347:M347"/>
    <mergeCell ref="A348:B348"/>
    <mergeCell ref="L348:M348"/>
    <mergeCell ref="A349:B349"/>
    <mergeCell ref="L349:M349"/>
    <mergeCell ref="L351:M351"/>
    <mergeCell ref="A352:B352"/>
    <mergeCell ref="L352:M352"/>
    <mergeCell ref="A353:B353"/>
    <mergeCell ref="L353:M353"/>
    <mergeCell ref="A354:B354"/>
    <mergeCell ref="L354:M354"/>
    <mergeCell ref="A355:B355"/>
    <mergeCell ref="L355:M355"/>
    <mergeCell ref="L384:M384"/>
    <mergeCell ref="A385:B385"/>
    <mergeCell ref="L385:M385"/>
    <mergeCell ref="A386:B386"/>
    <mergeCell ref="A387:B387"/>
    <mergeCell ref="H384:H385"/>
    <mergeCell ref="A379:H379"/>
    <mergeCell ref="A380:B380"/>
    <mergeCell ref="L380:M380"/>
    <mergeCell ref="A381:B381"/>
    <mergeCell ref="L381:M381"/>
    <mergeCell ref="A382:B382"/>
    <mergeCell ref="L382:M382"/>
    <mergeCell ref="A383:B383"/>
    <mergeCell ref="L383:M383"/>
    <mergeCell ref="L371:M371"/>
    <mergeCell ref="A372:B372"/>
    <mergeCell ref="L372:M372"/>
    <mergeCell ref="A373:B373"/>
    <mergeCell ref="L373:M373"/>
    <mergeCell ref="A378:B378"/>
    <mergeCell ref="L378:M378"/>
    <mergeCell ref="A374:B374"/>
    <mergeCell ref="L374:M374"/>
    <mergeCell ref="A375:B375"/>
    <mergeCell ref="L375:M375"/>
    <mergeCell ref="A376:B376"/>
    <mergeCell ref="L376:M376"/>
    <mergeCell ref="A377:B377"/>
    <mergeCell ref="L377:M377"/>
    <mergeCell ref="H374:H377"/>
    <mergeCell ref="L398:M398"/>
    <mergeCell ref="A399:B399"/>
    <mergeCell ref="L399:M399"/>
    <mergeCell ref="A400:B400"/>
    <mergeCell ref="L400:M400"/>
    <mergeCell ref="A401:B401"/>
    <mergeCell ref="L401:M401"/>
    <mergeCell ref="L393:M393"/>
    <mergeCell ref="A394:B394"/>
    <mergeCell ref="L394:M394"/>
    <mergeCell ref="A395:B395"/>
    <mergeCell ref="A396:B396"/>
    <mergeCell ref="H393:H394"/>
    <mergeCell ref="A388:H388"/>
    <mergeCell ref="A389:B389"/>
    <mergeCell ref="L389:M389"/>
    <mergeCell ref="A390:B390"/>
    <mergeCell ref="L390:M390"/>
    <mergeCell ref="A391:B391"/>
    <mergeCell ref="L391:M391"/>
    <mergeCell ref="A392:B392"/>
    <mergeCell ref="L392:M392"/>
    <mergeCell ref="L408:M408"/>
    <mergeCell ref="A409:B409"/>
    <mergeCell ref="L409:M409"/>
    <mergeCell ref="A410:B410"/>
    <mergeCell ref="L410:M410"/>
    <mergeCell ref="A411:B411"/>
    <mergeCell ref="L411:M411"/>
    <mergeCell ref="A412:B412"/>
    <mergeCell ref="L412:M412"/>
    <mergeCell ref="L402:M402"/>
    <mergeCell ref="A403:B403"/>
    <mergeCell ref="L403:M403"/>
    <mergeCell ref="A404:B404"/>
    <mergeCell ref="A405:B405"/>
    <mergeCell ref="A406:H406"/>
    <mergeCell ref="A407:B407"/>
    <mergeCell ref="L407:M407"/>
    <mergeCell ref="C407:G407"/>
    <mergeCell ref="L419:M419"/>
    <mergeCell ref="A420:B420"/>
    <mergeCell ref="L420:M420"/>
    <mergeCell ref="A421:B421"/>
    <mergeCell ref="L421:M421"/>
    <mergeCell ref="A422:B422"/>
    <mergeCell ref="A423:B423"/>
    <mergeCell ref="A413:B413"/>
    <mergeCell ref="A414:B414"/>
    <mergeCell ref="A415:H415"/>
    <mergeCell ref="A416:B416"/>
    <mergeCell ref="L416:M416"/>
    <mergeCell ref="A417:B417"/>
    <mergeCell ref="L417:M417"/>
    <mergeCell ref="A418:B418"/>
    <mergeCell ref="L418:M418"/>
    <mergeCell ref="H442:H443"/>
    <mergeCell ref="L438:M438"/>
    <mergeCell ref="A439:B439"/>
    <mergeCell ref="L439:M439"/>
    <mergeCell ref="A440:B440"/>
    <mergeCell ref="L440:M440"/>
    <mergeCell ref="A441:B441"/>
    <mergeCell ref="L441:M441"/>
    <mergeCell ref="A425:H425"/>
    <mergeCell ref="A426:H426"/>
    <mergeCell ref="A427:H427"/>
    <mergeCell ref="H433:H434"/>
    <mergeCell ref="C416:G416"/>
    <mergeCell ref="C432:G432"/>
    <mergeCell ref="C435:G435"/>
    <mergeCell ref="C433:G434"/>
    <mergeCell ref="L429:M429"/>
    <mergeCell ref="A430:B430"/>
    <mergeCell ref="L430:M430"/>
    <mergeCell ref="A431:B431"/>
    <mergeCell ref="L431:M431"/>
    <mergeCell ref="A432:B432"/>
    <mergeCell ref="L432:M432"/>
    <mergeCell ref="A433:B433"/>
    <mergeCell ref="L433:M433"/>
    <mergeCell ref="A434:B434"/>
    <mergeCell ref="L434:M434"/>
    <mergeCell ref="A435:B435"/>
    <mergeCell ref="A436:B436"/>
    <mergeCell ref="A474:B474"/>
    <mergeCell ref="L474:M474"/>
    <mergeCell ref="A475:B475"/>
    <mergeCell ref="A466:B466"/>
    <mergeCell ref="L466:M466"/>
    <mergeCell ref="L447:M447"/>
    <mergeCell ref="A448:B448"/>
    <mergeCell ref="L448:M448"/>
    <mergeCell ref="A449:B449"/>
    <mergeCell ref="L449:M449"/>
    <mergeCell ref="A450:B450"/>
    <mergeCell ref="L450:M450"/>
    <mergeCell ref="A442:B442"/>
    <mergeCell ref="L442:M442"/>
    <mergeCell ref="A443:B443"/>
    <mergeCell ref="A446:H446"/>
    <mergeCell ref="C441:G441"/>
    <mergeCell ref="C460:G461"/>
    <mergeCell ref="A473:H473"/>
    <mergeCell ref="L443:M443"/>
    <mergeCell ref="A444:B444"/>
    <mergeCell ref="A445:B445"/>
    <mergeCell ref="A455:H455"/>
    <mergeCell ref="A456:B456"/>
    <mergeCell ref="L456:M456"/>
    <mergeCell ref="A457:B457"/>
    <mergeCell ref="L457:M457"/>
    <mergeCell ref="A458:B458"/>
    <mergeCell ref="L458:M458"/>
    <mergeCell ref="A459:B459"/>
    <mergeCell ref="L459:M459"/>
    <mergeCell ref="A451:B451"/>
    <mergeCell ref="L451:M451"/>
    <mergeCell ref="A452:B452"/>
    <mergeCell ref="L452:M452"/>
    <mergeCell ref="A453:B453"/>
    <mergeCell ref="A454:B454"/>
    <mergeCell ref="H451:H452"/>
    <mergeCell ref="A447:B447"/>
    <mergeCell ref="C442:G443"/>
    <mergeCell ref="C444:G444"/>
    <mergeCell ref="C451:G452"/>
    <mergeCell ref="A492:B492"/>
    <mergeCell ref="C500:G503"/>
    <mergeCell ref="C491:G491"/>
    <mergeCell ref="A460:B460"/>
    <mergeCell ref="L460:M460"/>
    <mergeCell ref="A461:B461"/>
    <mergeCell ref="L461:M461"/>
    <mergeCell ref="A462:B462"/>
    <mergeCell ref="A463:B463"/>
    <mergeCell ref="A483:H483"/>
    <mergeCell ref="A488:B488"/>
    <mergeCell ref="L488:M488"/>
    <mergeCell ref="L475:M475"/>
    <mergeCell ref="A476:B476"/>
    <mergeCell ref="L476:M476"/>
    <mergeCell ref="A477:B477"/>
    <mergeCell ref="L477:M477"/>
    <mergeCell ref="A478:B478"/>
    <mergeCell ref="L478:M478"/>
    <mergeCell ref="A479:B479"/>
    <mergeCell ref="H460:H461"/>
    <mergeCell ref="A464:H464"/>
    <mergeCell ref="A465:B465"/>
    <mergeCell ref="L465:M465"/>
    <mergeCell ref="L479:M479"/>
    <mergeCell ref="A480:B480"/>
    <mergeCell ref="A481:B481"/>
    <mergeCell ref="A484:H484"/>
    <mergeCell ref="A485:H485"/>
    <mergeCell ref="A486:H486"/>
    <mergeCell ref="A472:B472"/>
    <mergeCell ref="L467:M467"/>
    <mergeCell ref="A502:B502"/>
    <mergeCell ref="L502:M502"/>
    <mergeCell ref="A503:B503"/>
    <mergeCell ref="A504:B504"/>
    <mergeCell ref="A530:B530"/>
    <mergeCell ref="A531:B531"/>
    <mergeCell ref="C510:G511"/>
    <mergeCell ref="L468:M468"/>
    <mergeCell ref="A469:B469"/>
    <mergeCell ref="L469:M469"/>
    <mergeCell ref="A470:B470"/>
    <mergeCell ref="L470:M470"/>
    <mergeCell ref="A471:B471"/>
    <mergeCell ref="H492:H493"/>
    <mergeCell ref="H500:H503"/>
    <mergeCell ref="A487:H487"/>
    <mergeCell ref="A496:H496"/>
    <mergeCell ref="A497:B497"/>
    <mergeCell ref="L497:M497"/>
    <mergeCell ref="A498:B498"/>
    <mergeCell ref="L498:M498"/>
    <mergeCell ref="A499:B499"/>
    <mergeCell ref="L499:M499"/>
    <mergeCell ref="A500:B500"/>
    <mergeCell ref="L500:M500"/>
    <mergeCell ref="A494:B494"/>
    <mergeCell ref="A495:B495"/>
    <mergeCell ref="L489:M489"/>
    <mergeCell ref="A490:B490"/>
    <mergeCell ref="L490:M490"/>
    <mergeCell ref="A491:B491"/>
    <mergeCell ref="L491:M491"/>
    <mergeCell ref="L492:M492"/>
    <mergeCell ref="A493:B493"/>
    <mergeCell ref="L493:M493"/>
    <mergeCell ref="L534:M534"/>
    <mergeCell ref="A525:B525"/>
    <mergeCell ref="L525:M525"/>
    <mergeCell ref="A526:B526"/>
    <mergeCell ref="L526:M526"/>
    <mergeCell ref="A527:B527"/>
    <mergeCell ref="L527:M527"/>
    <mergeCell ref="A528:B528"/>
    <mergeCell ref="L528:M528"/>
    <mergeCell ref="A529:B529"/>
    <mergeCell ref="L529:M529"/>
    <mergeCell ref="A510:B510"/>
    <mergeCell ref="L510:M510"/>
    <mergeCell ref="A511:B511"/>
    <mergeCell ref="L511:M511"/>
    <mergeCell ref="A512:B512"/>
    <mergeCell ref="A513:B513"/>
    <mergeCell ref="A523:H523"/>
    <mergeCell ref="A524:B524"/>
    <mergeCell ref="L524:M524"/>
    <mergeCell ref="L506:M506"/>
    <mergeCell ref="A507:B507"/>
    <mergeCell ref="L507:M507"/>
    <mergeCell ref="A508:B508"/>
    <mergeCell ref="L508:M508"/>
    <mergeCell ref="A509:B509"/>
    <mergeCell ref="L509:M509"/>
    <mergeCell ref="A501:B501"/>
    <mergeCell ref="L501:M501"/>
    <mergeCell ref="I369:M369"/>
    <mergeCell ref="C374:G377"/>
    <mergeCell ref="C384:G385"/>
    <mergeCell ref="C393:G394"/>
    <mergeCell ref="B583:H583"/>
    <mergeCell ref="A514:H514"/>
    <mergeCell ref="A515:B515"/>
    <mergeCell ref="L515:M515"/>
    <mergeCell ref="A516:B516"/>
    <mergeCell ref="L516:M516"/>
    <mergeCell ref="A517:B517"/>
    <mergeCell ref="L517:M517"/>
    <mergeCell ref="A518:B518"/>
    <mergeCell ref="L518:M518"/>
    <mergeCell ref="A519:B519"/>
    <mergeCell ref="L519:M519"/>
    <mergeCell ref="A520:B520"/>
    <mergeCell ref="L520:M520"/>
    <mergeCell ref="A521:B521"/>
    <mergeCell ref="A522:B522"/>
    <mergeCell ref="H519:H520"/>
    <mergeCell ref="A535:B535"/>
    <mergeCell ref="L535:M535"/>
    <mergeCell ref="A536:B536"/>
    <mergeCell ref="L536:M536"/>
    <mergeCell ref="A537:B537"/>
    <mergeCell ref="L537:M537"/>
    <mergeCell ref="A538:B538"/>
    <mergeCell ref="L538:M538"/>
    <mergeCell ref="A539:B539"/>
    <mergeCell ref="L533:M533"/>
    <mergeCell ref="A534:B534"/>
  </mergeCells>
  <dataValidations count="17">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63:E164" xr:uid="{00000000-0002-0000-0000-000003000000}">
      <formula1>"Attached Loft area,Attached Otla area,Attached Mezzanine area"</formula1>
    </dataValidation>
    <dataValidation type="list" allowBlank="1" showInputMessage="1" showErrorMessage="1" sqref="G592:H592" xr:uid="{00000000-0002-0000-0000-000004000000}">
      <formula1>"Kunal Kadam,Pranita Mhatre,Shruti Fule,Pooja Kawale,Gaurav Panchal,Shruti Tathare, Hitakshi Mhatre, Sachin Sawant"</formula1>
    </dataValidation>
    <dataValidation type="list" allowBlank="1" showInputMessage="1" showErrorMessage="1" sqref="F133:H133" xr:uid="{00000000-0002-0000-0000-000005000000}">
      <formula1>"On Saleable Area,On Builtup Area,On Carpet Area,On Plot Area"</formula1>
    </dataValidation>
    <dataValidation type="list" allowBlank="1" showInputMessage="1" showErrorMessage="1" sqref="F144:H144" xr:uid="{00000000-0002-0000-0000-000006000000}">
      <formula1>OFFSET($S$133,1,MATCH($G20,$S$133:$W$133,0)-1,15,1)</formula1>
    </dataValidation>
    <dataValidation type="list" allowBlank="1" showInputMessage="1" showErrorMessage="1" sqref="B163:B164" xr:uid="{00000000-0002-0000-0000-000007000000}">
      <formula1>"Shop No. (Sale Plan),Sale / Rehab,Sale / Mhada"</formula1>
    </dataValidation>
    <dataValidation type="list" allowBlank="1" showInputMessage="1" showErrorMessage="1" sqref="B171:B172"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171:E172" xr:uid="{00000000-0002-0000-0000-00000B000000}">
      <formula1>"Deck Area,Balcony Area,Chajja Area,Cornice Area,AP Area,WS Area"</formula1>
    </dataValidation>
    <dataValidation type="list" allowBlank="1" showInputMessage="1" showErrorMessage="1" sqref="H164 H172"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 type="list" allowBlank="1" showInputMessage="1" showErrorMessage="1" sqref="H163 H171" xr:uid="{00000000-0002-0000-0000-00000F000000}">
      <formula1>"Saleable area Loading :,Builder Saleable Area"</formula1>
    </dataValidation>
    <dataValidation type="list" allowBlank="1" showInputMessage="1" showErrorMessage="1" sqref="D163:D164 D171:D172" xr:uid="{00000000-0002-0000-0000-000010000000}">
      <formula1>"Carpet area,RERA Carpet area"</formula1>
    </dataValidation>
  </dataValidations>
  <hyperlinks>
    <hyperlink ref="C40" r:id="rId1" xr:uid="{00000000-0004-0000-0000-000000000000}"/>
    <hyperlink ref="K73" display="https://www.westgatethane.com/?utm_source=google&amp;utm_medium=cpc&amp;utm_campaign=Hiranandani%20Westgate%20Thane&amp;utm_term=hiranandani%20westgate&amp;utm_Physical_Location=9198122&amp;utm_Targetid=kwd-2391654686877&amp;utm_Target=&amp;utm_Placement=&amp;utm_Adposition=&amp;gad_source=" xr:uid="{00000000-0004-0000-0000-000001000000}"/>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8" manualBreakCount="8">
    <brk id="55" max="7" man="1"/>
    <brk id="76" max="16383" man="1"/>
    <brk id="118" max="16383" man="1"/>
    <brk id="180" max="16383" man="1"/>
    <brk id="584" max="16383" man="1"/>
    <brk id="596" max="16383" man="1"/>
    <brk id="640" max="16383" man="1"/>
    <brk id="682"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C18" sqref="C18"/>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72" t="s">
        <v>104</v>
      </c>
      <c r="C3" s="272"/>
      <c r="D3" s="272"/>
      <c r="E3" s="272"/>
      <c r="F3" s="272"/>
      <c r="G3" s="272"/>
      <c r="H3" s="272"/>
    </row>
    <row r="4" spans="1:9" x14ac:dyDescent="0.25">
      <c r="A4" s="2"/>
      <c r="B4" s="3" t="s">
        <v>105</v>
      </c>
      <c r="C4" s="3" t="s">
        <v>106</v>
      </c>
      <c r="D4" s="3" t="s">
        <v>66</v>
      </c>
      <c r="E4" s="3" t="s">
        <v>107</v>
      </c>
      <c r="F4" s="3" t="s">
        <v>113</v>
      </c>
      <c r="G4" s="3" t="s">
        <v>114</v>
      </c>
      <c r="H4" s="3" t="s">
        <v>108</v>
      </c>
    </row>
    <row r="5" spans="1:9" ht="15" customHeight="1" x14ac:dyDescent="0.25">
      <c r="A5" s="2"/>
      <c r="B5" s="5" t="s">
        <v>109</v>
      </c>
      <c r="C5" s="6"/>
      <c r="D5" s="5"/>
      <c r="E5" s="5"/>
      <c r="F5" s="7">
        <f>E5*1.6</f>
        <v>0</v>
      </c>
      <c r="G5" s="7" t="e">
        <f>H5/F5</f>
        <v>#DIV/0!</v>
      </c>
      <c r="H5" s="8"/>
    </row>
    <row r="6" spans="1:9" x14ac:dyDescent="0.25">
      <c r="A6" s="2"/>
      <c r="B6" s="5" t="s">
        <v>109</v>
      </c>
      <c r="C6" s="9"/>
      <c r="D6" s="5"/>
      <c r="E6" s="5"/>
      <c r="F6" s="7">
        <f t="shared" ref="F6:F11" si="0">E6*1.6</f>
        <v>0</v>
      </c>
      <c r="G6" s="7" t="e">
        <f t="shared" ref="G6:G11" si="1">H6/F6</f>
        <v>#DIV/0!</v>
      </c>
      <c r="H6" s="8"/>
    </row>
    <row r="7" spans="1:9" ht="15" customHeight="1" x14ac:dyDescent="0.25">
      <c r="A7" s="2"/>
      <c r="B7" s="5" t="s">
        <v>109</v>
      </c>
      <c r="C7" s="6"/>
      <c r="D7" s="5"/>
      <c r="E7" s="5"/>
      <c r="F7" s="7">
        <f t="shared" si="0"/>
        <v>0</v>
      </c>
      <c r="G7" s="7" t="e">
        <f t="shared" si="1"/>
        <v>#DIV/0!</v>
      </c>
      <c r="H7" s="8"/>
    </row>
    <row r="8" spans="1:9" x14ac:dyDescent="0.25">
      <c r="A8" s="2"/>
      <c r="B8" s="5" t="s">
        <v>109</v>
      </c>
      <c r="C8" s="9"/>
      <c r="D8" s="5"/>
      <c r="E8" s="5"/>
      <c r="F8" s="7">
        <f t="shared" si="0"/>
        <v>0</v>
      </c>
      <c r="G8" s="7" t="e">
        <f t="shared" si="1"/>
        <v>#DIV/0!</v>
      </c>
      <c r="H8" s="8"/>
    </row>
    <row r="9" spans="1:9" ht="15" customHeight="1" x14ac:dyDescent="0.25">
      <c r="A9" s="2"/>
      <c r="B9" s="5" t="s">
        <v>109</v>
      </c>
      <c r="C9" s="9"/>
      <c r="D9" s="5"/>
      <c r="E9" s="5"/>
      <c r="F9" s="7">
        <f t="shared" si="0"/>
        <v>0</v>
      </c>
      <c r="G9" s="7" t="e">
        <f t="shared" si="1"/>
        <v>#DIV/0!</v>
      </c>
      <c r="H9" s="8"/>
    </row>
    <row r="10" spans="1:9" ht="15" customHeight="1" x14ac:dyDescent="0.25">
      <c r="A10" s="2"/>
      <c r="B10" s="5" t="s">
        <v>110</v>
      </c>
      <c r="C10" s="6"/>
      <c r="D10" s="5"/>
      <c r="E10" s="5"/>
      <c r="F10" s="7">
        <f t="shared" si="0"/>
        <v>0</v>
      </c>
      <c r="G10" s="7" t="e">
        <f t="shared" si="1"/>
        <v>#DIV/0!</v>
      </c>
      <c r="H10" s="8"/>
    </row>
    <row r="11" spans="1:9" ht="15" customHeight="1" x14ac:dyDescent="0.25">
      <c r="A11" s="2"/>
      <c r="B11" s="5" t="s">
        <v>110</v>
      </c>
      <c r="C11" s="6"/>
      <c r="D11" s="5"/>
      <c r="E11" s="5"/>
      <c r="F11" s="7">
        <f t="shared" si="0"/>
        <v>0</v>
      </c>
      <c r="G11" s="7" t="e">
        <f t="shared" si="1"/>
        <v>#DIV/0!</v>
      </c>
      <c r="H11" s="8"/>
    </row>
    <row r="12" spans="1:9" ht="15" customHeight="1" x14ac:dyDescent="0.25">
      <c r="A12" s="2"/>
      <c r="B12" s="10" t="s">
        <v>111</v>
      </c>
      <c r="C12" s="5"/>
      <c r="D12" s="5"/>
      <c r="E12" s="5"/>
      <c r="F12" s="5"/>
      <c r="G12" s="11" t="e">
        <f>AVERAGE(G5:G11)</f>
        <v>#DIV/0!</v>
      </c>
      <c r="H12" s="5"/>
    </row>
    <row r="13" spans="1:9" ht="15" customHeight="1" x14ac:dyDescent="0.25">
      <c r="B13" s="10" t="s">
        <v>112</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7"/>
      <c r="C4" s="47" t="s">
        <v>11</v>
      </c>
      <c r="D4" s="48" t="s">
        <v>181</v>
      </c>
      <c r="E4" s="48" t="s">
        <v>191</v>
      </c>
      <c r="F4" s="48" t="s">
        <v>175</v>
      </c>
      <c r="G4" s="48" t="s">
        <v>196</v>
      </c>
      <c r="H4" s="48" t="s">
        <v>214</v>
      </c>
      <c r="J4" t="s">
        <v>196</v>
      </c>
      <c r="K4" t="s">
        <v>212</v>
      </c>
    </row>
    <row r="5" spans="2:11" x14ac:dyDescent="0.25">
      <c r="B5" s="47"/>
      <c r="C5" s="47"/>
      <c r="D5" s="48" t="s">
        <v>182</v>
      </c>
      <c r="E5" s="48" t="s">
        <v>189</v>
      </c>
      <c r="F5" s="48" t="s">
        <v>211</v>
      </c>
      <c r="G5" s="48" t="s">
        <v>197</v>
      </c>
      <c r="H5" s="48" t="s">
        <v>215</v>
      </c>
    </row>
    <row r="6" spans="2:11" x14ac:dyDescent="0.25">
      <c r="B6" s="47"/>
      <c r="C6" s="47"/>
      <c r="D6" s="48" t="s">
        <v>183</v>
      </c>
      <c r="E6" s="48" t="s">
        <v>190</v>
      </c>
      <c r="F6" s="48" t="s">
        <v>212</v>
      </c>
      <c r="G6" s="48" t="s">
        <v>198</v>
      </c>
      <c r="H6" s="48" t="s">
        <v>228</v>
      </c>
    </row>
    <row r="7" spans="2:11" x14ac:dyDescent="0.25">
      <c r="B7" s="47"/>
      <c r="C7" s="47"/>
      <c r="D7" s="48" t="s">
        <v>184</v>
      </c>
      <c r="E7" s="48" t="s">
        <v>192</v>
      </c>
      <c r="F7" s="48" t="s">
        <v>213</v>
      </c>
      <c r="G7" s="48" t="s">
        <v>199</v>
      </c>
      <c r="H7" s="48" t="s">
        <v>216</v>
      </c>
    </row>
    <row r="8" spans="2:11" x14ac:dyDescent="0.25">
      <c r="B8" s="47"/>
      <c r="C8" s="47"/>
      <c r="D8" s="48" t="s">
        <v>185</v>
      </c>
      <c r="E8" s="48" t="s">
        <v>193</v>
      </c>
      <c r="F8" s="48"/>
      <c r="G8" s="48" t="s">
        <v>200</v>
      </c>
      <c r="H8" s="48" t="s">
        <v>217</v>
      </c>
    </row>
    <row r="9" spans="2:11" x14ac:dyDescent="0.25">
      <c r="B9" s="47"/>
      <c r="C9" s="47"/>
      <c r="D9" s="48" t="s">
        <v>186</v>
      </c>
      <c r="E9" s="48" t="s">
        <v>191</v>
      </c>
      <c r="F9" s="48"/>
      <c r="G9" s="48" t="s">
        <v>201</v>
      </c>
      <c r="H9" s="48" t="s">
        <v>218</v>
      </c>
    </row>
    <row r="10" spans="2:11" x14ac:dyDescent="0.25">
      <c r="B10" s="47"/>
      <c r="C10" s="47"/>
      <c r="D10" s="48" t="s">
        <v>187</v>
      </c>
      <c r="E10" s="48" t="s">
        <v>194</v>
      </c>
      <c r="F10" s="48"/>
      <c r="G10" s="48" t="s">
        <v>202</v>
      </c>
      <c r="H10" s="48" t="s">
        <v>219</v>
      </c>
    </row>
    <row r="11" spans="2:11" x14ac:dyDescent="0.25">
      <c r="B11" s="47"/>
      <c r="C11" s="47"/>
      <c r="D11" s="48" t="s">
        <v>188</v>
      </c>
      <c r="E11" s="48" t="s">
        <v>195</v>
      </c>
      <c r="F11" s="48"/>
      <c r="G11" s="48" t="s">
        <v>203</v>
      </c>
      <c r="H11" s="48" t="s">
        <v>220</v>
      </c>
    </row>
    <row r="12" spans="2:11" x14ac:dyDescent="0.25">
      <c r="B12" s="47"/>
      <c r="C12" s="47"/>
      <c r="D12" s="48"/>
      <c r="E12" s="48"/>
      <c r="F12" s="48"/>
      <c r="G12" s="48" t="s">
        <v>204</v>
      </c>
      <c r="H12" s="48" t="s">
        <v>221</v>
      </c>
    </row>
    <row r="13" spans="2:11" x14ac:dyDescent="0.25">
      <c r="B13" s="47"/>
      <c r="C13" s="47"/>
      <c r="D13" s="48"/>
      <c r="E13" s="48"/>
      <c r="F13" s="48"/>
      <c r="G13" s="48" t="s">
        <v>205</v>
      </c>
      <c r="H13" s="48" t="s">
        <v>222</v>
      </c>
    </row>
    <row r="14" spans="2:11" x14ac:dyDescent="0.25">
      <c r="B14" s="47"/>
      <c r="C14" s="47"/>
      <c r="D14" s="48"/>
      <c r="E14" s="48"/>
      <c r="F14" s="48"/>
      <c r="G14" s="48" t="s">
        <v>206</v>
      </c>
      <c r="H14" s="48" t="s">
        <v>223</v>
      </c>
    </row>
    <row r="15" spans="2:11" x14ac:dyDescent="0.25">
      <c r="B15" s="47"/>
      <c r="C15" s="47"/>
      <c r="D15" s="48"/>
      <c r="E15" s="48"/>
      <c r="F15" s="48"/>
      <c r="G15" s="48" t="s">
        <v>207</v>
      </c>
      <c r="H15" s="48" t="s">
        <v>224</v>
      </c>
    </row>
    <row r="16" spans="2:11" x14ac:dyDescent="0.25">
      <c r="B16" s="47"/>
      <c r="C16" s="47"/>
      <c r="D16" s="48"/>
      <c r="E16" s="48"/>
      <c r="F16" s="48"/>
      <c r="G16" s="48" t="s">
        <v>208</v>
      </c>
      <c r="H16" s="48" t="s">
        <v>225</v>
      </c>
    </row>
    <row r="17" spans="2:8" x14ac:dyDescent="0.25">
      <c r="B17" s="47"/>
      <c r="C17" s="47"/>
      <c r="D17" s="48"/>
      <c r="E17" s="48"/>
      <c r="F17" s="48"/>
      <c r="G17" s="48" t="s">
        <v>209</v>
      </c>
      <c r="H17" s="48" t="s">
        <v>226</v>
      </c>
    </row>
    <row r="18" spans="2:8" x14ac:dyDescent="0.25">
      <c r="B18" s="47"/>
      <c r="C18" s="47"/>
      <c r="D18" s="48"/>
      <c r="E18" s="48"/>
      <c r="F18" s="48"/>
      <c r="G18" s="48" t="s">
        <v>210</v>
      </c>
      <c r="H18" s="48" t="s">
        <v>227</v>
      </c>
    </row>
    <row r="24" spans="2:8" x14ac:dyDescent="0.25">
      <c r="C24" t="s">
        <v>172</v>
      </c>
    </row>
    <row r="25" spans="2:8" x14ac:dyDescent="0.25">
      <c r="C25" t="s">
        <v>229</v>
      </c>
    </row>
    <row r="26" spans="2:8" x14ac:dyDescent="0.25">
      <c r="C26" t="s">
        <v>230</v>
      </c>
    </row>
    <row r="27" spans="2:8" x14ac:dyDescent="0.25">
      <c r="C27" t="s">
        <v>231</v>
      </c>
    </row>
    <row r="28" spans="2:8" x14ac:dyDescent="0.25">
      <c r="C28" t="s">
        <v>232</v>
      </c>
    </row>
    <row r="29" spans="2:8" x14ac:dyDescent="0.25">
      <c r="C29" t="s">
        <v>233</v>
      </c>
    </row>
    <row r="30" spans="2:8" x14ac:dyDescent="0.25">
      <c r="C30" t="s">
        <v>172</v>
      </c>
    </row>
    <row r="33" spans="3:11" x14ac:dyDescent="0.25">
      <c r="J33">
        <v>1</v>
      </c>
      <c r="K33">
        <v>2</v>
      </c>
    </row>
    <row r="34" spans="3:11" x14ac:dyDescent="0.25">
      <c r="C34" s="50" t="s">
        <v>238</v>
      </c>
      <c r="D34" s="48" t="s">
        <v>236</v>
      </c>
      <c r="E34" s="48" t="s">
        <v>241</v>
      </c>
      <c r="F34" s="48" t="s">
        <v>239</v>
      </c>
      <c r="G34" s="48" t="s">
        <v>240</v>
      </c>
      <c r="H34" s="48" t="s">
        <v>242</v>
      </c>
      <c r="J34" t="s">
        <v>196</v>
      </c>
      <c r="K34" t="s">
        <v>212</v>
      </c>
    </row>
    <row r="35" spans="3:11" x14ac:dyDescent="0.25">
      <c r="C35" s="47" t="s">
        <v>237</v>
      </c>
      <c r="D35" s="48" t="s">
        <v>173</v>
      </c>
      <c r="E35" s="48" t="s">
        <v>246</v>
      </c>
      <c r="F35" s="48" t="s">
        <v>248</v>
      </c>
      <c r="G35" s="48" t="s">
        <v>250</v>
      </c>
      <c r="H35" s="48"/>
    </row>
    <row r="36" spans="3:11" x14ac:dyDescent="0.25">
      <c r="C36" s="47"/>
      <c r="D36" s="48" t="s">
        <v>243</v>
      </c>
      <c r="E36" s="48" t="s">
        <v>247</v>
      </c>
      <c r="F36" s="48" t="s">
        <v>249</v>
      </c>
      <c r="G36" s="48" t="s">
        <v>251</v>
      </c>
      <c r="H36" s="48"/>
    </row>
    <row r="37" spans="3:11" x14ac:dyDescent="0.25">
      <c r="C37" s="47"/>
      <c r="D37" s="48" t="s">
        <v>244</v>
      </c>
      <c r="E37" s="48"/>
      <c r="F37" s="48"/>
      <c r="G37" s="48" t="s">
        <v>252</v>
      </c>
      <c r="H37" s="48"/>
    </row>
    <row r="38" spans="3:11" x14ac:dyDescent="0.25">
      <c r="C38" s="47"/>
      <c r="D38" s="48" t="s">
        <v>245</v>
      </c>
      <c r="E38" s="48"/>
      <c r="F38" s="48"/>
      <c r="G38" s="48" t="s">
        <v>252</v>
      </c>
      <c r="H38" s="48"/>
    </row>
    <row r="39" spans="3:11" x14ac:dyDescent="0.25">
      <c r="C39" s="47"/>
      <c r="D39" s="48"/>
      <c r="E39" s="48"/>
      <c r="F39" s="48"/>
      <c r="G39" s="48" t="s">
        <v>253</v>
      </c>
      <c r="H39" s="48"/>
    </row>
    <row r="40" spans="3:11" x14ac:dyDescent="0.25">
      <c r="C40" s="47"/>
      <c r="D40" s="48"/>
      <c r="E40" s="48"/>
      <c r="F40" s="48"/>
      <c r="G40" s="48" t="s">
        <v>254</v>
      </c>
      <c r="H40" s="48"/>
    </row>
    <row r="41" spans="3:11" x14ac:dyDescent="0.25">
      <c r="C41" s="47"/>
      <c r="D41" s="48"/>
      <c r="E41" s="48"/>
      <c r="F41" s="48"/>
      <c r="G41" s="48"/>
      <c r="H41" s="48"/>
    </row>
    <row r="43" spans="3:11" x14ac:dyDescent="0.25">
      <c r="C43" t="s">
        <v>255</v>
      </c>
    </row>
    <row r="44" spans="3:11" x14ac:dyDescent="0.25">
      <c r="C44" t="s">
        <v>175</v>
      </c>
      <c r="D44" t="s">
        <v>256</v>
      </c>
    </row>
    <row r="45" spans="3:11" x14ac:dyDescent="0.25">
      <c r="D45" t="s">
        <v>257</v>
      </c>
    </row>
    <row r="46" spans="3:11" x14ac:dyDescent="0.25">
      <c r="D46" t="s">
        <v>258</v>
      </c>
    </row>
    <row r="47" spans="3:11" x14ac:dyDescent="0.25">
      <c r="D47" t="s">
        <v>259</v>
      </c>
    </row>
    <row r="48" spans="3:11" x14ac:dyDescent="0.25">
      <c r="D48" t="s">
        <v>260</v>
      </c>
    </row>
    <row r="49" spans="3:4" x14ac:dyDescent="0.25">
      <c r="C49" t="s">
        <v>181</v>
      </c>
      <c r="D49" t="s">
        <v>261</v>
      </c>
    </row>
    <row r="50" spans="3:4" x14ac:dyDescent="0.25">
      <c r="D50" t="s">
        <v>262</v>
      </c>
    </row>
    <row r="51" spans="3:4" x14ac:dyDescent="0.25">
      <c r="D51" t="s">
        <v>263</v>
      </c>
    </row>
    <row r="52" spans="3:4" x14ac:dyDescent="0.25">
      <c r="D52" t="s">
        <v>266</v>
      </c>
    </row>
    <row r="53" spans="3:4" x14ac:dyDescent="0.25">
      <c r="D53" t="s">
        <v>264</v>
      </c>
    </row>
    <row r="54" spans="3:4" x14ac:dyDescent="0.25">
      <c r="D54" t="s">
        <v>265</v>
      </c>
    </row>
    <row r="55" spans="3:4" x14ac:dyDescent="0.25">
      <c r="D55" t="s">
        <v>267</v>
      </c>
    </row>
    <row r="56" spans="3:4" x14ac:dyDescent="0.25">
      <c r="D56" t="s">
        <v>268</v>
      </c>
    </row>
    <row r="57" spans="3:4" x14ac:dyDescent="0.25">
      <c r="D57" t="s">
        <v>269</v>
      </c>
    </row>
    <row r="58" spans="3:4" x14ac:dyDescent="0.25">
      <c r="D58" t="s">
        <v>271</v>
      </c>
    </row>
    <row r="59" spans="3:4" x14ac:dyDescent="0.25">
      <c r="D59" t="s">
        <v>280</v>
      </c>
    </row>
    <row r="60" spans="3:4" x14ac:dyDescent="0.25">
      <c r="C60" t="s">
        <v>196</v>
      </c>
      <c r="D60" t="s">
        <v>272</v>
      </c>
    </row>
    <row r="61" spans="3:4" x14ac:dyDescent="0.25">
      <c r="D61" t="s">
        <v>270</v>
      </c>
    </row>
    <row r="62" spans="3:4" x14ac:dyDescent="0.25">
      <c r="D62" t="s">
        <v>260</v>
      </c>
    </row>
    <row r="63" spans="3:4" x14ac:dyDescent="0.25">
      <c r="D63" t="s">
        <v>273</v>
      </c>
    </row>
    <row r="64" spans="3:4" x14ac:dyDescent="0.25">
      <c r="D64" t="s">
        <v>274</v>
      </c>
    </row>
    <row r="65" spans="3:4" x14ac:dyDescent="0.25">
      <c r="D65" t="s">
        <v>275</v>
      </c>
    </row>
    <row r="66" spans="3:4" x14ac:dyDescent="0.25">
      <c r="D66" t="s">
        <v>276</v>
      </c>
    </row>
    <row r="67" spans="3:4" x14ac:dyDescent="0.25">
      <c r="C67" t="s">
        <v>191</v>
      </c>
      <c r="D67" t="s">
        <v>277</v>
      </c>
    </row>
    <row r="68" spans="3:4" x14ac:dyDescent="0.25">
      <c r="D68" t="s">
        <v>278</v>
      </c>
    </row>
    <row r="69" spans="3:4" x14ac:dyDescent="0.25">
      <c r="D69" t="s">
        <v>279</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35"/>
  <sheetViews>
    <sheetView workbookViewId="0">
      <selection activeCell="C31" sqref="C31"/>
    </sheetView>
  </sheetViews>
  <sheetFormatPr defaultRowHeight="15" x14ac:dyDescent="0.25"/>
  <cols>
    <col min="2" max="2" width="3" bestFit="1" customWidth="1"/>
    <col min="3" max="3" width="155.28515625" customWidth="1"/>
  </cols>
  <sheetData>
    <row r="2" spans="2:3" ht="15" customHeight="1" x14ac:dyDescent="0.25">
      <c r="B2" s="51">
        <v>1</v>
      </c>
      <c r="C2" s="53" t="s">
        <v>286</v>
      </c>
    </row>
    <row r="3" spans="2:3" x14ac:dyDescent="0.25">
      <c r="B3" s="51">
        <v>2</v>
      </c>
      <c r="C3" s="52" t="s">
        <v>287</v>
      </c>
    </row>
    <row r="4" spans="2:3" x14ac:dyDescent="0.25">
      <c r="B4" s="51">
        <v>3</v>
      </c>
      <c r="C4" s="51" t="s">
        <v>288</v>
      </c>
    </row>
    <row r="5" spans="2:3" x14ac:dyDescent="0.25">
      <c r="B5" s="51">
        <v>4</v>
      </c>
      <c r="C5" s="52" t="s">
        <v>289</v>
      </c>
    </row>
    <row r="6" spans="2:3" x14ac:dyDescent="0.25">
      <c r="B6" s="51">
        <v>5</v>
      </c>
      <c r="C6" s="51" t="s">
        <v>290</v>
      </c>
    </row>
    <row r="7" spans="2:3" ht="30" x14ac:dyDescent="0.25">
      <c r="B7" s="51">
        <v>6</v>
      </c>
      <c r="C7" s="52" t="s">
        <v>291</v>
      </c>
    </row>
    <row r="8" spans="2:3" ht="75" x14ac:dyDescent="0.25">
      <c r="B8" s="51">
        <v>7</v>
      </c>
      <c r="C8" s="52" t="s">
        <v>292</v>
      </c>
    </row>
    <row r="9" spans="2:3" x14ac:dyDescent="0.25">
      <c r="B9" s="51">
        <v>8</v>
      </c>
      <c r="C9" s="51" t="s">
        <v>293</v>
      </c>
    </row>
    <row r="10" spans="2:3" x14ac:dyDescent="0.25">
      <c r="B10" s="51">
        <v>9</v>
      </c>
      <c r="C10" s="51" t="s">
        <v>294</v>
      </c>
    </row>
    <row r="11" spans="2:3" x14ac:dyDescent="0.25">
      <c r="B11" s="51">
        <v>10</v>
      </c>
      <c r="C11" s="51" t="s">
        <v>295</v>
      </c>
    </row>
    <row r="12" spans="2:3" x14ac:dyDescent="0.25">
      <c r="B12" s="51">
        <v>11</v>
      </c>
      <c r="C12" s="51" t="s">
        <v>296</v>
      </c>
    </row>
    <row r="13" spans="2:3" x14ac:dyDescent="0.25">
      <c r="B13" s="51">
        <v>12</v>
      </c>
      <c r="C13" s="51" t="s">
        <v>297</v>
      </c>
    </row>
    <row r="14" spans="2:3" x14ac:dyDescent="0.25">
      <c r="B14" s="51">
        <v>13</v>
      </c>
      <c r="C14" s="51" t="s">
        <v>298</v>
      </c>
    </row>
    <row r="15" spans="2:3" x14ac:dyDescent="0.25">
      <c r="B15" s="51">
        <v>14</v>
      </c>
      <c r="C15" s="51" t="s">
        <v>288</v>
      </c>
    </row>
    <row r="16" spans="2:3" x14ac:dyDescent="0.25">
      <c r="B16" s="51">
        <v>15</v>
      </c>
      <c r="C16" s="51" t="s">
        <v>300</v>
      </c>
    </row>
    <row r="17" spans="2:3" x14ac:dyDescent="0.25">
      <c r="B17" s="71">
        <v>16</v>
      </c>
      <c r="C17" s="56" t="s">
        <v>301</v>
      </c>
    </row>
    <row r="18" spans="2:3" x14ac:dyDescent="0.25">
      <c r="B18" s="55">
        <v>17</v>
      </c>
      <c r="C18" s="56" t="s">
        <v>302</v>
      </c>
    </row>
    <row r="19" spans="2:3" x14ac:dyDescent="0.25">
      <c r="B19" s="54">
        <v>18</v>
      </c>
      <c r="C19" s="51" t="s">
        <v>303</v>
      </c>
    </row>
    <row r="20" spans="2:3" x14ac:dyDescent="0.25">
      <c r="B20" s="55">
        <v>19</v>
      </c>
      <c r="C20" s="51" t="s">
        <v>339</v>
      </c>
    </row>
    <row r="21" spans="2:3" x14ac:dyDescent="0.25">
      <c r="B21" s="51">
        <v>20</v>
      </c>
      <c r="C21" s="51" t="s">
        <v>304</v>
      </c>
    </row>
    <row r="22" spans="2:3" x14ac:dyDescent="0.25">
      <c r="B22" s="55">
        <v>21</v>
      </c>
      <c r="C22" s="51" t="s">
        <v>303</v>
      </c>
    </row>
    <row r="23" spans="2:3" s="66" customFormat="1" ht="29.25" customHeight="1" x14ac:dyDescent="0.25">
      <c r="B23" s="65">
        <v>22</v>
      </c>
      <c r="C23" s="53" t="s">
        <v>331</v>
      </c>
    </row>
    <row r="24" spans="2:3" s="66" customFormat="1" ht="30.75" customHeight="1" x14ac:dyDescent="0.25">
      <c r="B24" s="67">
        <v>23</v>
      </c>
      <c r="C24" s="53" t="s">
        <v>332</v>
      </c>
    </row>
    <row r="25" spans="2:3" x14ac:dyDescent="0.25">
      <c r="B25" s="51">
        <v>24</v>
      </c>
      <c r="C25" s="51" t="s">
        <v>335</v>
      </c>
    </row>
    <row r="26" spans="2:3" x14ac:dyDescent="0.25">
      <c r="B26" s="55">
        <v>25</v>
      </c>
      <c r="C26" s="51" t="s">
        <v>333</v>
      </c>
    </row>
    <row r="27" spans="2:3" x14ac:dyDescent="0.25">
      <c r="B27" s="67">
        <v>26</v>
      </c>
      <c r="C27" s="51" t="s">
        <v>334</v>
      </c>
    </row>
    <row r="28" spans="2:3" x14ac:dyDescent="0.25">
      <c r="B28" s="55">
        <v>27</v>
      </c>
      <c r="C28" s="51" t="s">
        <v>336</v>
      </c>
    </row>
    <row r="29" spans="2:3" ht="60" x14ac:dyDescent="0.25">
      <c r="B29" s="70">
        <v>28</v>
      </c>
      <c r="C29" s="52" t="s">
        <v>337</v>
      </c>
    </row>
    <row r="30" spans="2:3" x14ac:dyDescent="0.25">
      <c r="B30" s="67">
        <v>29</v>
      </c>
      <c r="C30" s="51" t="s">
        <v>338</v>
      </c>
    </row>
    <row r="31" spans="2:3" ht="30" x14ac:dyDescent="0.25">
      <c r="B31" s="67">
        <v>30</v>
      </c>
      <c r="C31" s="52" t="s">
        <v>340</v>
      </c>
    </row>
    <row r="32" spans="2:3" x14ac:dyDescent="0.25">
      <c r="B32" s="67">
        <v>31</v>
      </c>
      <c r="C32" s="51" t="s">
        <v>341</v>
      </c>
    </row>
    <row r="33" spans="2:3" x14ac:dyDescent="0.25">
      <c r="B33" s="67">
        <v>32</v>
      </c>
      <c r="C33" s="51" t="s">
        <v>342</v>
      </c>
    </row>
    <row r="34" spans="2:3" ht="36.75" customHeight="1" x14ac:dyDescent="0.25">
      <c r="B34" s="67">
        <v>33</v>
      </c>
      <c r="C34" s="56" t="s">
        <v>343</v>
      </c>
    </row>
    <row r="35" spans="2:3" x14ac:dyDescent="0.25">
      <c r="B35" s="67">
        <v>34</v>
      </c>
      <c r="C35" s="51"/>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sqref="A1:XFD1048576"/>
    </sheetView>
  </sheetViews>
  <sheetFormatPr defaultColWidth="9.140625" defaultRowHeight="15" x14ac:dyDescent="0.25"/>
  <cols>
    <col min="1" max="1" width="9.140625" style="47"/>
    <col min="2" max="2" width="12.28515625" style="47" customWidth="1"/>
    <col min="3" max="16384" width="9.140625" style="47"/>
  </cols>
  <sheetData>
    <row r="2" spans="1:12" x14ac:dyDescent="0.25">
      <c r="B2" s="59" t="s">
        <v>305</v>
      </c>
      <c r="C2" s="273"/>
      <c r="D2" s="273"/>
    </row>
    <row r="3" spans="1:12" x14ac:dyDescent="0.25">
      <c r="D3" s="60"/>
      <c r="E3" s="60"/>
      <c r="F3" s="60"/>
      <c r="G3" s="60"/>
      <c r="H3" s="60"/>
      <c r="I3" s="60"/>
    </row>
    <row r="4" spans="1:12" x14ac:dyDescent="0.25">
      <c r="A4" s="59" t="s">
        <v>66</v>
      </c>
      <c r="B4" s="61" t="s">
        <v>306</v>
      </c>
      <c r="C4" s="274" t="s">
        <v>307</v>
      </c>
      <c r="D4" s="274"/>
      <c r="E4" s="274"/>
      <c r="F4" s="61"/>
      <c r="G4" s="275" t="s">
        <v>308</v>
      </c>
      <c r="H4" s="275"/>
      <c r="I4" s="275"/>
      <c r="J4" s="276" t="s">
        <v>309</v>
      </c>
      <c r="K4" s="276"/>
      <c r="L4" s="276"/>
    </row>
    <row r="5" spans="1:12" x14ac:dyDescent="0.25">
      <c r="A5" s="59"/>
      <c r="B5" s="61"/>
      <c r="C5" s="61" t="s">
        <v>310</v>
      </c>
      <c r="D5" s="61" t="s">
        <v>311</v>
      </c>
      <c r="E5" s="61" t="s">
        <v>312</v>
      </c>
      <c r="F5" s="61"/>
      <c r="G5" s="61" t="s">
        <v>310</v>
      </c>
      <c r="H5" s="61" t="s">
        <v>311</v>
      </c>
      <c r="I5" s="61" t="s">
        <v>312</v>
      </c>
      <c r="J5" s="61" t="s">
        <v>310</v>
      </c>
      <c r="K5" s="61" t="s">
        <v>311</v>
      </c>
      <c r="L5" s="61" t="s">
        <v>312</v>
      </c>
    </row>
    <row r="6" spans="1:12" x14ac:dyDescent="0.25">
      <c r="B6" s="48" t="s">
        <v>313</v>
      </c>
      <c r="C6" s="48"/>
      <c r="D6" s="48"/>
      <c r="E6" s="48">
        <f>C6*D6</f>
        <v>0</v>
      </c>
      <c r="F6" s="48" t="s">
        <v>330</v>
      </c>
      <c r="G6" s="48"/>
      <c r="H6" s="48"/>
      <c r="I6" s="48">
        <f>G6*H6</f>
        <v>0</v>
      </c>
      <c r="J6" s="48"/>
      <c r="K6" s="48"/>
      <c r="L6" s="48">
        <f>J6*K6</f>
        <v>0</v>
      </c>
    </row>
    <row r="7" spans="1:12" x14ac:dyDescent="0.25">
      <c r="B7" s="48"/>
      <c r="C7" s="48"/>
      <c r="D7" s="48"/>
      <c r="E7" s="48">
        <f t="shared" ref="E7:E41" si="0">C7*D7</f>
        <v>0</v>
      </c>
      <c r="F7" s="48" t="s">
        <v>330</v>
      </c>
      <c r="G7" s="48"/>
      <c r="H7" s="48"/>
      <c r="I7" s="48">
        <f t="shared" ref="I7:I35" si="1">G7*H7</f>
        <v>0</v>
      </c>
      <c r="J7" s="48"/>
      <c r="K7" s="48"/>
      <c r="L7" s="48">
        <f t="shared" ref="L7:L35" si="2">J7*K7</f>
        <v>0</v>
      </c>
    </row>
    <row r="8" spans="1:12" x14ac:dyDescent="0.25">
      <c r="B8" s="48"/>
      <c r="C8" s="48"/>
      <c r="D8" s="48"/>
      <c r="E8" s="48">
        <f t="shared" si="0"/>
        <v>0</v>
      </c>
      <c r="F8" s="48"/>
      <c r="G8" s="48"/>
      <c r="H8" s="48"/>
      <c r="I8" s="48">
        <f t="shared" si="1"/>
        <v>0</v>
      </c>
      <c r="J8" s="48"/>
      <c r="K8" s="48"/>
      <c r="L8" s="48">
        <f t="shared" si="2"/>
        <v>0</v>
      </c>
    </row>
    <row r="9" spans="1:12" x14ac:dyDescent="0.25">
      <c r="B9" s="48"/>
      <c r="C9" s="48"/>
      <c r="D9" s="48"/>
      <c r="E9" s="48">
        <f t="shared" si="0"/>
        <v>0</v>
      </c>
      <c r="F9" s="48" t="s">
        <v>314</v>
      </c>
      <c r="G9" s="48"/>
      <c r="H9" s="48"/>
      <c r="I9" s="48">
        <f t="shared" si="1"/>
        <v>0</v>
      </c>
      <c r="J9" s="48"/>
      <c r="K9" s="48"/>
      <c r="L9" s="48">
        <f t="shared" si="2"/>
        <v>0</v>
      </c>
    </row>
    <row r="10" spans="1:12" x14ac:dyDescent="0.25">
      <c r="B10" s="48" t="s">
        <v>315</v>
      </c>
      <c r="C10" s="48"/>
      <c r="D10" s="48"/>
      <c r="E10" s="48">
        <f t="shared" si="0"/>
        <v>0</v>
      </c>
      <c r="F10" s="48" t="s">
        <v>314</v>
      </c>
      <c r="G10" s="48"/>
      <c r="H10" s="48"/>
      <c r="I10" s="48">
        <f t="shared" si="1"/>
        <v>0</v>
      </c>
      <c r="J10" s="48"/>
      <c r="K10" s="48"/>
      <c r="L10" s="48">
        <f t="shared" si="2"/>
        <v>0</v>
      </c>
    </row>
    <row r="11" spans="1:12" x14ac:dyDescent="0.25">
      <c r="B11" s="48"/>
      <c r="C11" s="48"/>
      <c r="D11" s="48"/>
      <c r="E11" s="48">
        <f t="shared" si="0"/>
        <v>0</v>
      </c>
      <c r="F11" s="48" t="s">
        <v>316</v>
      </c>
      <c r="G11" s="48"/>
      <c r="H11" s="48"/>
      <c r="I11" s="48">
        <f t="shared" si="1"/>
        <v>0</v>
      </c>
      <c r="J11" s="48"/>
      <c r="K11" s="48"/>
      <c r="L11" s="48">
        <f t="shared" si="2"/>
        <v>0</v>
      </c>
    </row>
    <row r="12" spans="1:12" x14ac:dyDescent="0.25">
      <c r="B12" s="48"/>
      <c r="C12" s="48"/>
      <c r="D12" s="48"/>
      <c r="E12" s="48">
        <f t="shared" si="0"/>
        <v>0</v>
      </c>
      <c r="F12" s="48"/>
      <c r="G12" s="48"/>
      <c r="H12" s="48"/>
      <c r="I12" s="48">
        <f t="shared" si="1"/>
        <v>0</v>
      </c>
      <c r="J12" s="48"/>
      <c r="K12" s="48"/>
      <c r="L12" s="48">
        <f t="shared" si="2"/>
        <v>0</v>
      </c>
    </row>
    <row r="13" spans="1:12" x14ac:dyDescent="0.25">
      <c r="B13" s="48"/>
      <c r="C13" s="48"/>
      <c r="D13" s="48"/>
      <c r="E13" s="48">
        <f t="shared" si="0"/>
        <v>0</v>
      </c>
      <c r="F13" s="48"/>
      <c r="G13" s="48"/>
      <c r="H13" s="48"/>
      <c r="I13" s="48">
        <f t="shared" si="1"/>
        <v>0</v>
      </c>
      <c r="J13" s="48"/>
      <c r="K13" s="48"/>
      <c r="L13" s="48">
        <f t="shared" si="2"/>
        <v>0</v>
      </c>
    </row>
    <row r="14" spans="1:12" x14ac:dyDescent="0.25">
      <c r="B14" s="48" t="s">
        <v>317</v>
      </c>
      <c r="C14" s="48"/>
      <c r="D14" s="48"/>
      <c r="E14" s="48">
        <f t="shared" si="0"/>
        <v>0</v>
      </c>
      <c r="F14" s="48" t="s">
        <v>314</v>
      </c>
      <c r="G14" s="48"/>
      <c r="H14" s="48"/>
      <c r="I14" s="48">
        <f t="shared" si="1"/>
        <v>0</v>
      </c>
      <c r="J14" s="48"/>
      <c r="K14" s="48"/>
      <c r="L14" s="48">
        <f t="shared" si="2"/>
        <v>0</v>
      </c>
    </row>
    <row r="15" spans="1:12" x14ac:dyDescent="0.25">
      <c r="B15" s="48"/>
      <c r="C15" s="48"/>
      <c r="D15" s="48"/>
      <c r="E15" s="48">
        <f t="shared" si="0"/>
        <v>0</v>
      </c>
      <c r="F15" s="48" t="s">
        <v>316</v>
      </c>
      <c r="G15" s="48"/>
      <c r="H15" s="48"/>
      <c r="I15" s="48">
        <f t="shared" si="1"/>
        <v>0</v>
      </c>
      <c r="J15" s="48"/>
      <c r="K15" s="48"/>
      <c r="L15" s="48">
        <f t="shared" si="2"/>
        <v>0</v>
      </c>
    </row>
    <row r="16" spans="1:12" x14ac:dyDescent="0.25">
      <c r="B16" s="48"/>
      <c r="C16" s="48"/>
      <c r="D16" s="48"/>
      <c r="E16" s="48">
        <f t="shared" si="0"/>
        <v>0</v>
      </c>
      <c r="F16" s="48"/>
      <c r="G16" s="48"/>
      <c r="H16" s="48"/>
      <c r="I16" s="48">
        <f t="shared" si="1"/>
        <v>0</v>
      </c>
      <c r="J16" s="48"/>
      <c r="K16" s="48"/>
      <c r="L16" s="48">
        <f t="shared" si="2"/>
        <v>0</v>
      </c>
    </row>
    <row r="17" spans="2:12" x14ac:dyDescent="0.25">
      <c r="B17" s="48"/>
      <c r="C17" s="48"/>
      <c r="D17" s="48"/>
      <c r="E17" s="48">
        <f t="shared" si="0"/>
        <v>0</v>
      </c>
      <c r="F17" s="48"/>
      <c r="G17" s="48"/>
      <c r="H17" s="48"/>
      <c r="I17" s="48">
        <f t="shared" si="1"/>
        <v>0</v>
      </c>
      <c r="J17" s="48"/>
      <c r="K17" s="48"/>
      <c r="L17" s="48">
        <f t="shared" si="2"/>
        <v>0</v>
      </c>
    </row>
    <row r="18" spans="2:12" x14ac:dyDescent="0.25">
      <c r="B18" s="48" t="s">
        <v>318</v>
      </c>
      <c r="C18" s="48"/>
      <c r="D18" s="48"/>
      <c r="E18" s="48">
        <f t="shared" si="0"/>
        <v>0</v>
      </c>
      <c r="F18" s="48" t="s">
        <v>314</v>
      </c>
      <c r="G18" s="48"/>
      <c r="H18" s="48"/>
      <c r="I18" s="48">
        <f t="shared" si="1"/>
        <v>0</v>
      </c>
      <c r="J18" s="48"/>
      <c r="K18" s="48"/>
      <c r="L18" s="48">
        <f t="shared" si="2"/>
        <v>0</v>
      </c>
    </row>
    <row r="19" spans="2:12" x14ac:dyDescent="0.25">
      <c r="B19" s="48"/>
      <c r="C19" s="48"/>
      <c r="D19" s="48"/>
      <c r="E19" s="48">
        <f t="shared" si="0"/>
        <v>0</v>
      </c>
      <c r="F19" s="48" t="s">
        <v>316</v>
      </c>
      <c r="G19" s="48"/>
      <c r="H19" s="48"/>
      <c r="I19" s="48">
        <f t="shared" si="1"/>
        <v>0</v>
      </c>
      <c r="J19" s="48"/>
      <c r="K19" s="48"/>
      <c r="L19" s="48">
        <f t="shared" si="2"/>
        <v>0</v>
      </c>
    </row>
    <row r="20" spans="2:12" x14ac:dyDescent="0.25">
      <c r="B20" s="48"/>
      <c r="C20" s="48"/>
      <c r="D20" s="48"/>
      <c r="E20" s="48">
        <f t="shared" si="0"/>
        <v>0</v>
      </c>
      <c r="F20" s="48"/>
      <c r="G20" s="48"/>
      <c r="H20" s="48"/>
      <c r="I20" s="48">
        <f t="shared" si="1"/>
        <v>0</v>
      </c>
      <c r="J20" s="48"/>
      <c r="K20" s="48"/>
      <c r="L20" s="48">
        <f t="shared" si="2"/>
        <v>0</v>
      </c>
    </row>
    <row r="21" spans="2:12" x14ac:dyDescent="0.25">
      <c r="B21" s="48" t="s">
        <v>319</v>
      </c>
      <c r="C21" s="48"/>
      <c r="D21" s="48"/>
      <c r="E21" s="48">
        <f t="shared" si="0"/>
        <v>0</v>
      </c>
      <c r="F21" s="48" t="s">
        <v>314</v>
      </c>
      <c r="G21" s="48"/>
      <c r="H21" s="48"/>
      <c r="I21" s="48">
        <f t="shared" si="1"/>
        <v>0</v>
      </c>
      <c r="J21" s="48"/>
      <c r="K21" s="48"/>
      <c r="L21" s="48">
        <f t="shared" si="2"/>
        <v>0</v>
      </c>
    </row>
    <row r="22" spans="2:12" x14ac:dyDescent="0.25">
      <c r="B22" s="48"/>
      <c r="C22" s="48"/>
      <c r="D22" s="48"/>
      <c r="E22" s="48">
        <f t="shared" si="0"/>
        <v>0</v>
      </c>
      <c r="F22" s="48" t="s">
        <v>316</v>
      </c>
      <c r="G22" s="48"/>
      <c r="H22" s="48"/>
      <c r="I22" s="48">
        <f t="shared" si="1"/>
        <v>0</v>
      </c>
      <c r="J22" s="48"/>
      <c r="K22" s="48"/>
      <c r="L22" s="48">
        <f t="shared" si="2"/>
        <v>0</v>
      </c>
    </row>
    <row r="23" spans="2:12" x14ac:dyDescent="0.25">
      <c r="B23" s="48"/>
      <c r="C23" s="48"/>
      <c r="D23" s="48"/>
      <c r="E23" s="48">
        <f t="shared" si="0"/>
        <v>0</v>
      </c>
      <c r="F23" s="48"/>
      <c r="G23" s="48"/>
      <c r="H23" s="48"/>
      <c r="I23" s="48">
        <f t="shared" si="1"/>
        <v>0</v>
      </c>
      <c r="J23" s="48"/>
      <c r="K23" s="48"/>
      <c r="L23" s="48">
        <f t="shared" si="2"/>
        <v>0</v>
      </c>
    </row>
    <row r="24" spans="2:12" x14ac:dyDescent="0.25">
      <c r="B24" s="48" t="s">
        <v>320</v>
      </c>
      <c r="C24" s="48"/>
      <c r="D24" s="48"/>
      <c r="E24" s="48">
        <f t="shared" si="0"/>
        <v>0</v>
      </c>
      <c r="F24" s="48" t="s">
        <v>321</v>
      </c>
      <c r="G24" s="48"/>
      <c r="H24" s="48"/>
      <c r="I24" s="48">
        <f t="shared" si="1"/>
        <v>0</v>
      </c>
      <c r="J24" s="48"/>
      <c r="K24" s="48"/>
      <c r="L24" s="48">
        <f t="shared" si="2"/>
        <v>0</v>
      </c>
    </row>
    <row r="25" spans="2:12" x14ac:dyDescent="0.25">
      <c r="B25" s="48"/>
      <c r="C25" s="48"/>
      <c r="D25" s="48"/>
      <c r="E25" s="48">
        <f t="shared" ref="E25:E27" si="3">C25*D25</f>
        <v>0</v>
      </c>
      <c r="F25" s="48" t="s">
        <v>321</v>
      </c>
      <c r="G25" s="48"/>
      <c r="H25" s="48"/>
      <c r="I25" s="48">
        <f t="shared" ref="I25:I27" si="4">G25*H25</f>
        <v>0</v>
      </c>
      <c r="J25" s="48"/>
      <c r="K25" s="48"/>
      <c r="L25" s="48">
        <f t="shared" ref="L25:L27" si="5">J25*K25</f>
        <v>0</v>
      </c>
    </row>
    <row r="26" spans="2:12" x14ac:dyDescent="0.25">
      <c r="B26" s="48"/>
      <c r="C26" s="48"/>
      <c r="D26" s="48"/>
      <c r="E26" s="48">
        <f t="shared" si="3"/>
        <v>0</v>
      </c>
      <c r="F26" s="48" t="s">
        <v>321</v>
      </c>
      <c r="G26" s="48"/>
      <c r="H26" s="48"/>
      <c r="I26" s="48">
        <f t="shared" si="4"/>
        <v>0</v>
      </c>
      <c r="J26" s="48"/>
      <c r="K26" s="48"/>
      <c r="L26" s="48">
        <f t="shared" si="5"/>
        <v>0</v>
      </c>
    </row>
    <row r="27" spans="2:12" x14ac:dyDescent="0.25">
      <c r="B27" s="48"/>
      <c r="C27" s="48"/>
      <c r="D27" s="48"/>
      <c r="E27" s="48">
        <f t="shared" si="3"/>
        <v>0</v>
      </c>
      <c r="F27" s="48" t="s">
        <v>321</v>
      </c>
      <c r="G27" s="48"/>
      <c r="H27" s="48"/>
      <c r="I27" s="48">
        <f t="shared" si="4"/>
        <v>0</v>
      </c>
      <c r="J27" s="48"/>
      <c r="K27" s="48"/>
      <c r="L27" s="48">
        <f t="shared" si="5"/>
        <v>0</v>
      </c>
    </row>
    <row r="28" spans="2:12" x14ac:dyDescent="0.25">
      <c r="B28" s="48" t="s">
        <v>322</v>
      </c>
      <c r="C28" s="48"/>
      <c r="D28" s="48"/>
      <c r="E28" s="48">
        <f t="shared" si="0"/>
        <v>0</v>
      </c>
      <c r="F28" s="48" t="s">
        <v>321</v>
      </c>
      <c r="G28" s="48"/>
      <c r="H28" s="48"/>
      <c r="I28" s="48">
        <f t="shared" si="1"/>
        <v>0</v>
      </c>
      <c r="J28" s="48"/>
      <c r="K28" s="48"/>
      <c r="L28" s="48">
        <f t="shared" si="2"/>
        <v>0</v>
      </c>
    </row>
    <row r="29" spans="2:12" x14ac:dyDescent="0.25">
      <c r="B29" s="48" t="s">
        <v>323</v>
      </c>
      <c r="C29" s="48"/>
      <c r="D29" s="48"/>
      <c r="E29" s="48">
        <f t="shared" si="0"/>
        <v>0</v>
      </c>
      <c r="F29" s="48" t="s">
        <v>321</v>
      </c>
      <c r="G29" s="48"/>
      <c r="H29" s="48"/>
      <c r="I29" s="48">
        <f t="shared" si="1"/>
        <v>0</v>
      </c>
      <c r="J29" s="48"/>
      <c r="K29" s="48"/>
      <c r="L29" s="48">
        <f t="shared" si="2"/>
        <v>0</v>
      </c>
    </row>
    <row r="30" spans="2:12" x14ac:dyDescent="0.25">
      <c r="B30" s="48" t="s">
        <v>327</v>
      </c>
      <c r="C30" s="48"/>
      <c r="D30" s="48"/>
      <c r="E30" s="48">
        <f t="shared" si="0"/>
        <v>0</v>
      </c>
      <c r="F30" s="48"/>
      <c r="G30" s="48"/>
      <c r="H30" s="48"/>
      <c r="I30" s="48">
        <f t="shared" si="1"/>
        <v>0</v>
      </c>
      <c r="J30" s="48"/>
      <c r="K30" s="48"/>
      <c r="L30" s="48">
        <f t="shared" si="2"/>
        <v>0</v>
      </c>
    </row>
    <row r="31" spans="2:12" x14ac:dyDescent="0.25">
      <c r="B31" s="48"/>
      <c r="C31" s="48"/>
      <c r="D31" s="48"/>
      <c r="E31" s="48">
        <f t="shared" ref="E31:E32" si="6">C31*D31</f>
        <v>0</v>
      </c>
      <c r="F31" s="48"/>
      <c r="G31" s="48"/>
      <c r="H31" s="48"/>
      <c r="I31" s="48">
        <f t="shared" ref="I31:I32" si="7">G31*H31</f>
        <v>0</v>
      </c>
      <c r="J31" s="48"/>
      <c r="K31" s="48"/>
      <c r="L31" s="48">
        <f t="shared" ref="L31:L32" si="8">J31*K31</f>
        <v>0</v>
      </c>
    </row>
    <row r="32" spans="2:12" x14ac:dyDescent="0.25">
      <c r="B32" s="48"/>
      <c r="C32" s="48"/>
      <c r="D32" s="48"/>
      <c r="E32" s="48">
        <f t="shared" si="6"/>
        <v>0</v>
      </c>
      <c r="F32" s="48"/>
      <c r="G32" s="48"/>
      <c r="H32" s="48"/>
      <c r="I32" s="48">
        <f t="shared" si="7"/>
        <v>0</v>
      </c>
      <c r="J32" s="48"/>
      <c r="K32" s="48"/>
      <c r="L32" s="48">
        <f t="shared" si="8"/>
        <v>0</v>
      </c>
    </row>
    <row r="33" spans="2:12" x14ac:dyDescent="0.25">
      <c r="B33" s="48" t="s">
        <v>324</v>
      </c>
      <c r="C33" s="48"/>
      <c r="D33" s="48"/>
      <c r="E33" s="48">
        <f t="shared" si="0"/>
        <v>0</v>
      </c>
      <c r="F33" s="48"/>
      <c r="G33" s="48"/>
      <c r="H33" s="48"/>
      <c r="I33" s="48">
        <f t="shared" si="1"/>
        <v>0</v>
      </c>
      <c r="J33" s="48"/>
      <c r="K33" s="48"/>
      <c r="L33" s="48">
        <f t="shared" si="2"/>
        <v>0</v>
      </c>
    </row>
    <row r="34" spans="2:12" x14ac:dyDescent="0.25">
      <c r="B34" s="48" t="s">
        <v>328</v>
      </c>
      <c r="C34" s="48"/>
      <c r="D34" s="48"/>
      <c r="E34" s="48">
        <f t="shared" si="0"/>
        <v>0</v>
      </c>
      <c r="F34" s="48"/>
      <c r="G34" s="48"/>
      <c r="H34" s="48"/>
      <c r="I34" s="48">
        <f t="shared" si="1"/>
        <v>0</v>
      </c>
      <c r="J34" s="48"/>
      <c r="K34" s="48"/>
      <c r="L34" s="48">
        <f t="shared" si="2"/>
        <v>0</v>
      </c>
    </row>
    <row r="35" spans="2:12" x14ac:dyDescent="0.25">
      <c r="B35" s="48" t="s">
        <v>325</v>
      </c>
      <c r="C35" s="48"/>
      <c r="D35" s="48"/>
      <c r="E35" s="48">
        <f t="shared" si="0"/>
        <v>0</v>
      </c>
      <c r="F35" s="48"/>
      <c r="G35" s="48"/>
      <c r="H35" s="48"/>
      <c r="I35" s="48">
        <f t="shared" si="1"/>
        <v>0</v>
      </c>
      <c r="J35" s="48"/>
      <c r="K35" s="48"/>
      <c r="L35" s="48">
        <f t="shared" si="2"/>
        <v>0</v>
      </c>
    </row>
    <row r="36" spans="2:12" x14ac:dyDescent="0.25">
      <c r="B36" s="48" t="s">
        <v>326</v>
      </c>
      <c r="C36" s="48"/>
      <c r="D36" s="48"/>
      <c r="E36" s="48">
        <f t="shared" si="0"/>
        <v>0</v>
      </c>
      <c r="F36" s="48"/>
      <c r="G36" s="48"/>
      <c r="H36" s="48"/>
      <c r="I36" s="48">
        <f>G36*H36</f>
        <v>0</v>
      </c>
      <c r="J36" s="48"/>
      <c r="K36" s="48"/>
      <c r="L36" s="48">
        <f>J36*K36</f>
        <v>0</v>
      </c>
    </row>
    <row r="37" spans="2:12" x14ac:dyDescent="0.25">
      <c r="B37" s="48"/>
      <c r="C37" s="48"/>
      <c r="D37" s="48"/>
      <c r="E37" s="48">
        <f t="shared" ref="E37:E38" si="9">C37*D37</f>
        <v>0</v>
      </c>
      <c r="F37" s="48"/>
      <c r="G37" s="48"/>
      <c r="H37" s="48"/>
      <c r="I37" s="48">
        <f t="shared" ref="I37:I38" si="10">G37*H37</f>
        <v>0</v>
      </c>
      <c r="J37" s="48"/>
      <c r="K37" s="48"/>
      <c r="L37" s="48">
        <f t="shared" ref="L37:L38" si="11">J37*K37</f>
        <v>0</v>
      </c>
    </row>
    <row r="38" spans="2:12" x14ac:dyDescent="0.25">
      <c r="B38" s="48" t="s">
        <v>329</v>
      </c>
      <c r="C38" s="48"/>
      <c r="D38" s="48"/>
      <c r="E38" s="48">
        <f t="shared" si="9"/>
        <v>0</v>
      </c>
      <c r="F38" s="48"/>
      <c r="G38" s="48"/>
      <c r="H38" s="48"/>
      <c r="I38" s="48">
        <f t="shared" si="10"/>
        <v>0</v>
      </c>
      <c r="J38" s="48"/>
      <c r="K38" s="48"/>
      <c r="L38" s="48">
        <f t="shared" si="11"/>
        <v>0</v>
      </c>
    </row>
    <row r="39" spans="2:12" x14ac:dyDescent="0.25">
      <c r="B39" s="48"/>
      <c r="C39" s="48"/>
      <c r="D39" s="48"/>
      <c r="E39" s="48">
        <f t="shared" si="0"/>
        <v>0</v>
      </c>
      <c r="F39" s="48"/>
      <c r="G39" s="48"/>
      <c r="H39" s="48"/>
      <c r="I39" s="48">
        <f>G39*H39</f>
        <v>0</v>
      </c>
      <c r="J39" s="48"/>
      <c r="K39" s="48"/>
      <c r="L39" s="48">
        <f>J39*K39</f>
        <v>0</v>
      </c>
    </row>
    <row r="40" spans="2:12" x14ac:dyDescent="0.25">
      <c r="B40" s="48"/>
      <c r="C40" s="48"/>
      <c r="D40" s="48"/>
      <c r="E40" s="48">
        <f t="shared" si="0"/>
        <v>0</v>
      </c>
      <c r="F40" s="48"/>
      <c r="G40" s="48"/>
      <c r="H40" s="48"/>
      <c r="I40" s="48">
        <f>G40*H40</f>
        <v>0</v>
      </c>
      <c r="J40" s="48"/>
      <c r="K40" s="48"/>
      <c r="L40" s="48">
        <f>J40*K40</f>
        <v>0</v>
      </c>
    </row>
    <row r="41" spans="2:12" x14ac:dyDescent="0.25">
      <c r="B41" s="48"/>
      <c r="C41" s="48"/>
      <c r="D41" s="48"/>
      <c r="E41" s="48">
        <f t="shared" si="0"/>
        <v>0</v>
      </c>
      <c r="F41" s="48"/>
      <c r="G41" s="48"/>
      <c r="H41" s="48"/>
      <c r="I41" s="48">
        <f>G41*H41</f>
        <v>0</v>
      </c>
      <c r="J41" s="48"/>
      <c r="K41" s="48"/>
      <c r="L41" s="48">
        <f>J41*K41</f>
        <v>0</v>
      </c>
    </row>
    <row r="42" spans="2:12" x14ac:dyDescent="0.25">
      <c r="B42" s="48" t="s">
        <v>151</v>
      </c>
      <c r="C42" s="48"/>
      <c r="D42" s="48">
        <f>E42*10.764</f>
        <v>0</v>
      </c>
      <c r="E42" s="64">
        <f>SUM(E6:E41)</f>
        <v>0</v>
      </c>
      <c r="F42" s="48"/>
      <c r="G42" s="48"/>
      <c r="H42" s="48">
        <f>I42*10.764</f>
        <v>0</v>
      </c>
      <c r="I42" s="63">
        <f>SUM(I6:I41)</f>
        <v>0</v>
      </c>
      <c r="J42" s="48"/>
      <c r="K42" s="48">
        <f>L42*10.764</f>
        <v>0</v>
      </c>
      <c r="L42" s="62">
        <f>SUM(L6:L41)</f>
        <v>0</v>
      </c>
    </row>
    <row r="44" spans="2:12" x14ac:dyDescent="0.25">
      <c r="D44" s="47">
        <f>D42+H42</f>
        <v>0</v>
      </c>
      <c r="E44" s="47">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madhurapanchal77@gmail.com</cp:lastModifiedBy>
  <cp:lastPrinted>2025-08-12T11:55:42Z</cp:lastPrinted>
  <dcterms:created xsi:type="dcterms:W3CDTF">2019-07-16T09:29:46Z</dcterms:created>
  <dcterms:modified xsi:type="dcterms:W3CDTF">2025-08-12T11:57:18Z</dcterms:modified>
</cp:coreProperties>
</file>