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9870" windowHeight="478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C85" i="1" s="1"/>
  <c r="C71" i="1"/>
  <c r="C73" i="1" l="1"/>
  <c r="C72" i="1"/>
  <c r="C87" i="1"/>
  <c r="C86" i="1"/>
  <c r="I116" i="1"/>
  <c r="I41" i="1" l="1"/>
  <c r="J119" i="1"/>
  <c r="I43" i="1"/>
  <c r="I147" i="1" l="1"/>
  <c r="D156" i="1"/>
  <c r="I44" i="1" l="1"/>
  <c r="D52" i="1" l="1"/>
  <c r="D154" i="1"/>
  <c r="D153" i="1"/>
  <c r="D152" i="1"/>
  <c r="D151" i="1"/>
  <c r="D150" i="1"/>
  <c r="D149" i="1"/>
  <c r="D147" i="1"/>
  <c r="D146" i="1"/>
  <c r="D145" i="1"/>
  <c r="D144" i="1"/>
  <c r="D143" i="1"/>
  <c r="D142" i="1"/>
  <c r="D141" i="1"/>
  <c r="D140" i="1"/>
  <c r="I140" i="1"/>
  <c r="D135" i="1"/>
  <c r="D133" i="1"/>
  <c r="D132" i="1"/>
  <c r="D131" i="1"/>
  <c r="D130" i="1"/>
  <c r="D129" i="1"/>
  <c r="D128" i="1"/>
  <c r="D123" i="1"/>
  <c r="D126" i="1"/>
  <c r="D125" i="1"/>
  <c r="D124" i="1"/>
  <c r="D122" i="1"/>
  <c r="D121" i="1"/>
  <c r="D120" i="1"/>
  <c r="D119" i="1"/>
  <c r="C108" i="1" l="1"/>
  <c r="E108" i="1"/>
  <c r="C109" i="1"/>
  <c r="E109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G5" i="5"/>
  <c r="F5" i="5"/>
  <c r="D182" i="1"/>
  <c r="A161" i="1"/>
  <c r="A162" i="1" s="1"/>
  <c r="A163" i="1" s="1"/>
  <c r="B159" i="1"/>
  <c r="A159" i="1"/>
  <c r="F156" i="1"/>
  <c r="F154" i="1"/>
  <c r="F153" i="1"/>
  <c r="F152" i="1"/>
  <c r="I152" i="1" s="1"/>
  <c r="F151" i="1"/>
  <c r="F150" i="1"/>
  <c r="G149" i="1"/>
  <c r="F149" i="1"/>
  <c r="F147" i="1"/>
  <c r="F146" i="1"/>
  <c r="F145" i="1"/>
  <c r="F144" i="1"/>
  <c r="F143" i="1"/>
  <c r="F142" i="1"/>
  <c r="F141" i="1"/>
  <c r="G140" i="1"/>
  <c r="G141" i="1" s="1"/>
  <c r="G142" i="1" s="1"/>
  <c r="G143" i="1" s="1"/>
  <c r="G144" i="1" s="1"/>
  <c r="G145" i="1" s="1"/>
  <c r="G146" i="1" s="1"/>
  <c r="G147" i="1" s="1"/>
  <c r="F140" i="1"/>
  <c r="F135" i="1"/>
  <c r="F133" i="1"/>
  <c r="F132" i="1"/>
  <c r="F131" i="1"/>
  <c r="F130" i="1"/>
  <c r="F129" i="1"/>
  <c r="I129" i="1" s="1"/>
  <c r="G128" i="1"/>
  <c r="G129" i="1" s="1"/>
  <c r="G130" i="1" s="1"/>
  <c r="G131" i="1" s="1"/>
  <c r="G132" i="1" s="1"/>
  <c r="G133" i="1" s="1"/>
  <c r="G134" i="1" s="1"/>
  <c r="G135" i="1" s="1"/>
  <c r="F128" i="1"/>
  <c r="F126" i="1"/>
  <c r="F125" i="1"/>
  <c r="I125" i="1" s="1"/>
  <c r="F124" i="1"/>
  <c r="I124" i="1" s="1"/>
  <c r="F123" i="1"/>
  <c r="F121" i="1"/>
  <c r="F120" i="1"/>
  <c r="I119" i="1"/>
  <c r="G119" i="1"/>
  <c r="F119" i="1"/>
  <c r="I108" i="1"/>
  <c r="F105" i="1"/>
  <c r="J89" i="1"/>
  <c r="J88" i="1"/>
  <c r="J75" i="1"/>
  <c r="J74" i="1"/>
  <c r="D58" i="1"/>
  <c r="G47" i="1"/>
  <c r="G48" i="1" s="1"/>
  <c r="C47" i="1"/>
  <c r="C48" i="1" s="1"/>
  <c r="E41" i="1"/>
  <c r="E42" i="1" s="1"/>
  <c r="E25" i="1"/>
  <c r="E23" i="1"/>
  <c r="C14" i="1"/>
  <c r="E7" i="1"/>
  <c r="E3" i="1"/>
  <c r="O149" i="1"/>
  <c r="P140" i="1"/>
  <c r="O140" i="1"/>
  <c r="H79" i="1"/>
  <c r="O119" i="1"/>
  <c r="H65" i="1"/>
  <c r="P149" i="1"/>
  <c r="P119" i="1"/>
  <c r="P128" i="1"/>
  <c r="O128" i="1"/>
  <c r="G12" i="5" l="1"/>
  <c r="G109" i="1"/>
  <c r="F122" i="1"/>
  <c r="G108" i="1" s="1"/>
  <c r="D91" i="1"/>
  <c r="D90" i="1"/>
  <c r="D89" i="1"/>
  <c r="D88" i="1"/>
  <c r="D87" i="1"/>
  <c r="D86" i="1"/>
  <c r="D85" i="1"/>
  <c r="D84" i="1"/>
  <c r="D83" i="1"/>
  <c r="G82" i="1"/>
  <c r="D82" i="1"/>
  <c r="J84" i="1"/>
  <c r="J85" i="1" s="1"/>
  <c r="J90" i="1" s="1"/>
  <c r="J83" i="1"/>
  <c r="J82" i="1"/>
  <c r="E82" i="1"/>
  <c r="J81" i="1"/>
  <c r="J70" i="1"/>
  <c r="J69" i="1"/>
  <c r="C68" i="1" s="1"/>
  <c r="J68" i="1"/>
  <c r="D77" i="1"/>
  <c r="D76" i="1"/>
  <c r="D75" i="1"/>
  <c r="D74" i="1"/>
  <c r="D73" i="1"/>
  <c r="D72" i="1"/>
  <c r="D71" i="1"/>
  <c r="D70" i="1"/>
  <c r="J67" i="1"/>
  <c r="P120" i="1"/>
  <c r="P121" i="1" s="1"/>
  <c r="P122" i="1" s="1"/>
  <c r="P123" i="1" s="1"/>
  <c r="P124" i="1" s="1"/>
  <c r="P125" i="1" s="1"/>
  <c r="P126" i="1" s="1"/>
  <c r="O120" i="1"/>
  <c r="N119" i="1"/>
  <c r="P129" i="1"/>
  <c r="P130" i="1" s="1"/>
  <c r="P131" i="1" s="1"/>
  <c r="P132" i="1" s="1"/>
  <c r="P133" i="1" s="1"/>
  <c r="P134" i="1" s="1"/>
  <c r="P135" i="1" s="1"/>
  <c r="N140" i="1"/>
  <c r="O141" i="1"/>
  <c r="N149" i="1"/>
  <c r="O150" i="1"/>
  <c r="O129" i="1"/>
  <c r="N128" i="1"/>
  <c r="P141" i="1"/>
  <c r="P142" i="1" s="1"/>
  <c r="P143" i="1" s="1"/>
  <c r="P144" i="1" s="1"/>
  <c r="P145" i="1" s="1"/>
  <c r="P146" i="1" s="1"/>
  <c r="P147" i="1" s="1"/>
  <c r="P150" i="1"/>
  <c r="P151" i="1" s="1"/>
  <c r="P152" i="1" s="1"/>
  <c r="P153" i="1" s="1"/>
  <c r="P154" i="1" s="1"/>
  <c r="P155" i="1" s="1"/>
  <c r="P156" i="1" s="1"/>
  <c r="J86" i="1" l="1"/>
  <c r="J87" i="1" s="1"/>
  <c r="G110" i="1"/>
  <c r="C110" i="1"/>
  <c r="E110" i="1"/>
  <c r="J71" i="1"/>
  <c r="D68" i="1"/>
  <c r="A165" i="1"/>
  <c r="N129" i="1"/>
  <c r="O130" i="1"/>
  <c r="N150" i="1"/>
  <c r="O151" i="1"/>
  <c r="N141" i="1"/>
  <c r="O142" i="1"/>
  <c r="O121" i="1"/>
  <c r="N120" i="1"/>
  <c r="J91" i="1" l="1"/>
  <c r="I78" i="1" s="1"/>
  <c r="C80" i="1" s="1"/>
  <c r="J76" i="1"/>
  <c r="J72" i="1"/>
  <c r="O122" i="1"/>
  <c r="N121" i="1"/>
  <c r="N130" i="1"/>
  <c r="O131" i="1"/>
  <c r="N142" i="1"/>
  <c r="O143" i="1"/>
  <c r="O152" i="1"/>
  <c r="N151" i="1"/>
  <c r="J73" i="1" l="1"/>
  <c r="N143" i="1"/>
  <c r="O144" i="1"/>
  <c r="N131" i="1"/>
  <c r="O132" i="1"/>
  <c r="O153" i="1"/>
  <c r="N152" i="1"/>
  <c r="O123" i="1"/>
  <c r="N122" i="1"/>
  <c r="J77" i="1" l="1"/>
  <c r="E68" i="1"/>
  <c r="D69" i="1"/>
  <c r="N132" i="1"/>
  <c r="O133" i="1"/>
  <c r="N144" i="1"/>
  <c r="O145" i="1"/>
  <c r="O124" i="1"/>
  <c r="N123" i="1"/>
  <c r="O154" i="1"/>
  <c r="N153" i="1"/>
  <c r="I64" i="1" l="1"/>
  <c r="C66" i="1" s="1"/>
  <c r="G68" i="1"/>
  <c r="D62" i="1" s="1"/>
  <c r="F63" i="1" s="1"/>
  <c r="N145" i="1"/>
  <c r="O146" i="1"/>
  <c r="N133" i="1"/>
  <c r="O134" i="1"/>
  <c r="O155" i="1"/>
  <c r="N154" i="1"/>
  <c r="O125" i="1"/>
  <c r="N124" i="1"/>
  <c r="D63" i="1" l="1"/>
  <c r="N134" i="1"/>
  <c r="O135" i="1"/>
  <c r="N135" i="1" s="1"/>
  <c r="N146" i="1"/>
  <c r="O147" i="1"/>
  <c r="N147" i="1" s="1"/>
  <c r="O126" i="1"/>
  <c r="N126" i="1" s="1"/>
  <c r="N125" i="1"/>
  <c r="O156" i="1"/>
  <c r="N156" i="1" s="1"/>
  <c r="N155" i="1"/>
</calcChain>
</file>

<file path=xl/sharedStrings.xml><?xml version="1.0" encoding="utf-8"?>
<sst xmlns="http://schemas.openxmlformats.org/spreadsheetml/2006/main" count="327" uniqueCount="234">
  <si>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</si>
  <si>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</si>
  <si>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</si>
  <si>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</si>
  <si>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</si>
  <si>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</si>
  <si>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</si>
  <si>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</si>
  <si>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</si>
  <si>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</si>
  <si>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</si>
  <si>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</si>
  <si>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</si>
  <si>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</si>
  <si>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</si>
  <si>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</si>
  <si>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</si>
  <si>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</si>
  <si>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</si>
  <si>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</si>
  <si>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</si>
  <si>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</si>
  <si>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</si>
  <si>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</si>
  <si>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</si>
  <si>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</si>
  <si>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</si>
  <si>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</si>
  <si>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</si>
  <si>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</si>
  <si>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</si>
  <si>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</si>
  <si>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</si>
  <si>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</si>
  <si>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</si>
  <si>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</si>
  <si>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</si>
  <si>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</si>
  <si>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</si>
  <si>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</si>
  <si>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</si>
  <si>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</si>
  <si>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</si>
  <si>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</si>
  <si>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</si>
  <si>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</si>
  <si>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</si>
  <si>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</si>
  <si>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</si>
  <si>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</si>
  <si>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</si>
  <si>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</si>
  <si>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</si>
  <si>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</si>
  <si>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</si>
  <si>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</si>
  <si>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</si>
  <si>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</si>
  <si>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</si>
  <si>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</si>
  <si>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</si>
  <si>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</si>
  <si>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</si>
  <si>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</si>
  <si>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</si>
  <si>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</si>
  <si>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</si>
  <si>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</si>
  <si>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</si>
  <si>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</si>
  <si>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</si>
  <si>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</si>
  <si>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</si>
  <si>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</si>
  <si>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</si>
  <si>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</si>
  <si>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</si>
  <si>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</si>
  <si>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</si>
  <si>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</si>
  <si>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</si>
  <si>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</si>
  <si>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</si>
  <si>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</si>
  <si>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</si>
  <si>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</si>
  <si>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</si>
  <si>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</si>
  <si>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</si>
  <si>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</si>
  <si>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</si>
  <si>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</si>
  <si>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</si>
  <si>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</si>
  <si>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</si>
  <si>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</si>
  <si>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</si>
  <si>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</si>
  <si>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</si>
  <si>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</si>
  <si>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</si>
  <si>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</si>
  <si>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</si>
  <si>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</si>
  <si>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</si>
  <si>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</si>
  <si>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</si>
  <si>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</si>
  <si>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</si>
  <si>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</si>
  <si>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</si>
  <si>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</si>
  <si>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</si>
  <si>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</si>
  <si>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</si>
  <si>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</si>
  <si>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</si>
  <si>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</si>
  <si>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</si>
  <si>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</si>
  <si>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</si>
  <si>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</si>
  <si>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</si>
  <si>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</si>
  <si>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</si>
  <si>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</si>
  <si>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</si>
  <si>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</si>
  <si>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</si>
  <si>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</si>
  <si>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</si>
  <si>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</si>
  <si>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</si>
  <si>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</si>
  <si>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</si>
  <si>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</si>
  <si>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</si>
  <si>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</si>
  <si>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</si>
  <si>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</si>
  <si>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</si>
  <si>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</si>
  <si>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</si>
  <si>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</si>
  <si>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</si>
  <si>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</si>
  <si>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</si>
  <si>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</si>
  <si>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</si>
  <si>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</si>
  <si>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</si>
  <si>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</si>
  <si>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</si>
  <si>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</si>
  <si>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Open Plot</t>
  </si>
  <si>
    <t>Thane West</t>
  </si>
  <si>
    <t>Thane</t>
  </si>
  <si>
    <t>Mr. Prathmesh Ghawane - 9152034971</t>
  </si>
  <si>
    <t>Survey No</t>
  </si>
  <si>
    <t xml:space="preserve">As per RERA - 30/12/2031 </t>
  </si>
  <si>
    <t>2BHK</t>
  </si>
  <si>
    <t>1BHK</t>
  </si>
  <si>
    <t>Refuge Area</t>
  </si>
  <si>
    <t>Total</t>
  </si>
  <si>
    <t>Residential</t>
  </si>
  <si>
    <t>1bhk</t>
  </si>
  <si>
    <t>2bhk</t>
  </si>
  <si>
    <t>KIPL Morya</t>
  </si>
  <si>
    <t>5,00,000/-</t>
  </si>
  <si>
    <t>Recommended rate should be considered as all inclusive rate if other charges are not mentioned. (Excluding GST &amp; other government Taxes).</t>
  </si>
  <si>
    <t>2 Building</t>
  </si>
  <si>
    <t>On Site, we meet Ms. Aashna (sales) -  8169789669</t>
  </si>
  <si>
    <t>Ajay Songare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</si>
  <si>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</si>
  <si>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Latitude, Longitude</t>
  </si>
  <si>
    <t>Location Link</t>
  </si>
  <si>
    <t>2nd &amp; 1st Lower Ground Floor For Parking</t>
  </si>
  <si>
    <t>Ground Floor For Entrance Lobby, Society Office, Fire Control Room, Meter Room, Driver's Room &amp; Parking</t>
  </si>
  <si>
    <t>3rd, 8th, 13th, 18th, 23rd, 28th, 33rd &amp; 38th Floor (Part Refuge Area)</t>
  </si>
  <si>
    <t xml:space="preserve">We considered Gross carpet area = Net carpet </t>
  </si>
  <si>
    <t>45/2/A, 45/2/B, 45/4, 45/5, 45/9/A, 45/9/B, 45/10/A &amp; Amp; 45/10/B</t>
  </si>
  <si>
    <t>19.262722,72.956250</t>
  </si>
  <si>
    <t>https://maps.app.goo.gl/aru7kYMfXdAY5mFy5</t>
  </si>
  <si>
    <t>10.1 KM from Thane Railway Station</t>
  </si>
  <si>
    <t>As per Layout</t>
  </si>
  <si>
    <t xml:space="preserve">Open Plot/Aarambh Apartment
</t>
  </si>
  <si>
    <t>Layout :</t>
  </si>
  <si>
    <t>Internal Road</t>
  </si>
  <si>
    <t>40.0 M Wide D.P Road</t>
  </si>
  <si>
    <t>Building Type B</t>
  </si>
  <si>
    <t>Open Plot/KIPL Morya</t>
  </si>
  <si>
    <t>Other Plot</t>
  </si>
  <si>
    <t>without club house</t>
  </si>
  <si>
    <t>Approved Builtup Area of Building 
A1 &amp; A2 (Sq.Mt)</t>
  </si>
  <si>
    <t>TMCB/RB/2023/APL/00086</t>
  </si>
  <si>
    <t>Commencement Certificate No.
Valid Up to:</t>
  </si>
  <si>
    <t xml:space="preserve">Building Type A1 = LG2 &amp; LG1 + Gr/St + 1st to 40th Floor
Building Type A2 = LG2 &amp; LG1 + Gr/St + 1st to 40th Floor
                   </t>
  </si>
  <si>
    <t>https://housing.com/in/buy/projects/page/96142-ikigai-by-puraniks-builders-pvt-ltd-in-kasarvadavali-thane-west</t>
  </si>
  <si>
    <t>Compound Wall, M.S Gate, Jogging Track, Sewage Treatment Plant, Rain Water Harvesting, Car Parking, Club Housem, Gymnasium, 24x7 Security, Yoga/Meditation Area, Landscaping &amp; Tree Planting, Fire Fighting System, Flower Garden, 24X7 Water Supply, Power Backup, Fire Sprinklers, Children's Play Area, Closed Car Parking, Swimming Pool, Lifts etc.</t>
  </si>
  <si>
    <t>Site Person - Contact Details (Name &amp; Contact No.)</t>
  </si>
  <si>
    <t>Flats - 624</t>
  </si>
  <si>
    <t>Building Type A1</t>
  </si>
  <si>
    <t>Building Type A2</t>
  </si>
  <si>
    <t>Building Type A1 (Hana)</t>
  </si>
  <si>
    <t>Building Type A2 ( Ayami)</t>
  </si>
  <si>
    <t>Building Type A1 (Hana )
Building Type A2 (Ayami)</t>
  </si>
  <si>
    <t>Building Type A2 = LG2 &amp; LG1 + Gr/St + 1st to 40th Floor</t>
  </si>
  <si>
    <t>https://puraniks-ikigai.com/?cstm_ppc_keyword=Ikigai%20thane&amp;cstm_ppc_placement=ProjectNewPrice&amp;cstm_ppc_device=c&amp;cstm_ppc_campaign=Brand&amp;cstm_ppc_channel=GoogleSearch&amp;SRD=7019F000000MKWaQAO&amp;gclid=Cj0KCQiA2KitBhCIARIsAPPMEhL845gBifpM2ZUm6xg-8Ze5S2QFEyziYNSzExXGgXnDzEnkIFK9l9saAkHjEALw_wcB&amp;utm_source=googlesearch&amp;utm_medium=cpc&amp;utm_campaign=brand</t>
  </si>
  <si>
    <t xml:space="preserve">Since Project's Builtup Area is above 20000 Sq.M. Please check for Environment Clearance Certificate.
</t>
  </si>
  <si>
    <t>Owale</t>
  </si>
  <si>
    <t>Approved Plans, CC</t>
  </si>
  <si>
    <t>Puranik Tokyo Bay Private Limited</t>
  </si>
  <si>
    <t>Axis Thane</t>
  </si>
  <si>
    <t>We have done APF Report for Phase1 (Building Type A1 &amp; A2) as it is registered on RERA.</t>
  </si>
  <si>
    <t>IKIGAI Phase 1</t>
  </si>
  <si>
    <t>We have updated revised approved plan &amp; CC for Building Type A1 &amp; A2 (on 20/01/2024)</t>
  </si>
  <si>
    <t>Building Type A1 (Hana) = LG2 &amp; LG1 + Gr/St + 1st to 40th Floor
Building Type A2 (Ayami) = LG2 &amp; LG1 + Gr/St + 1st to 40th Floor</t>
  </si>
  <si>
    <t>Building Type A1(Hana) &amp; A2(Ayami) = LG2 &amp; LG1 + Gr/St + 1st to 40th Floor</t>
  </si>
  <si>
    <t>RERA Name/No.</t>
  </si>
  <si>
    <t>IKIGAI Phase 1  
Building Type A1 (Hana )
Building Type A2 (Ayami) 
P51700006605</t>
  </si>
  <si>
    <t>1st, 2nd, 4th to 7th, 9th to 12th, 14th to 17th, 19th to 22nd, 24th to 27th, 29th to 32nd, 34th to 37th, 39th &amp; 40th Floor</t>
  </si>
  <si>
    <t>8900 to 10000</t>
  </si>
  <si>
    <t>Viraj</t>
  </si>
  <si>
    <t>Electric Meter Installation</t>
  </si>
  <si>
    <t>Water Connection Charges</t>
  </si>
  <si>
    <t>Advance Maintenance Charges (For 2Years)</t>
  </si>
  <si>
    <t>Clubhouse Maintenance</t>
  </si>
  <si>
    <t xml:space="preserve">Recommended Rates/Other Charges of the Property have been revised on 31/03/2024.
</t>
  </si>
  <si>
    <t>Building Type A2(Ayami) = LG2 &amp; LG1 + Gr/St + 1st to 40th Floor</t>
  </si>
  <si>
    <t>Construction % is given extra plz check while next visit.</t>
  </si>
  <si>
    <t>Security</t>
  </si>
  <si>
    <t>Building Type A1(Hana) = LG2 &amp; LG1 + Gr/St + 1st to 40th Floor
Building Type A2(Ayami) = LG2 &amp; LG1 + Gr/St + 1st to 40th Floor</t>
  </si>
  <si>
    <t>Gaurav Panchal</t>
  </si>
  <si>
    <t xml:space="preserve">Construction work is in process at the time of visit. (Internal visit not allowed)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</si>
</sst>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05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Border="1" applyAlignment="1" applyProtection="1">
      <alignment vertical="top"/>
      <protection locked="0"/>
    </xf>
    <xf numFmtId="0" fontId="9" fillId="0" borderId="0" xfId="1" applyFont="1" applyBorder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Border="1" applyProtection="1">
      <protection hidden="1"/>
    </xf>
    <xf numFmtId="0" fontId="6" fillId="0" borderId="0" xfId="4" applyFont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9" fontId="9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9" fillId="0" borderId="2" xfId="1" applyNumberFormat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0" borderId="0" xfId="1" applyNumberFormat="1" applyFont="1"/>
    <xf numFmtId="1" fontId="8" fillId="0" borderId="0" xfId="1" applyNumberFormat="1" applyFont="1"/>
    <xf numFmtId="0" fontId="8" fillId="0" borderId="0" xfId="1" applyNumberFormat="1" applyFont="1"/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Protection="1">
      <protection hidden="1"/>
    </xf>
    <xf numFmtId="0" fontId="13" fillId="0" borderId="3" xfId="1" applyFont="1" applyFill="1" applyBorder="1" applyAlignment="1" applyProtection="1">
      <alignment horizontal="center" vertical="top"/>
      <protection locked="0"/>
    </xf>
    <xf numFmtId="0" fontId="8" fillId="0" borderId="0" xfId="1" applyFont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center" vertical="top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8" fillId="0" borderId="0" xfId="1" applyNumberFormat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0" xfId="1" applyFont="1" applyFill="1" applyBorder="1" applyProtection="1">
      <protection hidden="1"/>
    </xf>
    <xf numFmtId="0" fontId="13" fillId="0" borderId="12" xfId="1" applyFont="1" applyBorder="1" applyProtection="1"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Protection="1">
      <protection hidden="1"/>
    </xf>
    <xf numFmtId="0" fontId="13" fillId="0" borderId="12" xfId="1" applyFont="1" applyBorder="1"/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2" xfId="0" applyNumberFormat="1" applyFont="1" applyBorder="1" applyProtection="1"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1" fontId="24" fillId="0" borderId="12" xfId="0" applyNumberFormat="1" applyFont="1" applyBorder="1"/>
    <xf numFmtId="1" fontId="24" fillId="0" borderId="12" xfId="0" applyNumberFormat="1" applyFont="1" applyBorder="1" applyAlignment="1">
      <alignment horizontal="right"/>
    </xf>
    <xf numFmtId="0" fontId="13" fillId="0" borderId="6" xfId="1" applyFont="1" applyBorder="1" applyAlignment="1" applyProtection="1">
      <alignment horizontal="center" wrapText="1"/>
      <protection locked="0"/>
    </xf>
    <xf numFmtId="9" fontId="13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3" xfId="0" applyFont="1" applyFill="1" applyBorder="1" applyProtection="1">
      <protection hidden="1"/>
    </xf>
    <xf numFmtId="1" fontId="24" fillId="0" borderId="14" xfId="0" applyNumberFormat="1" applyFont="1" applyBorder="1"/>
    <xf numFmtId="0" fontId="13" fillId="0" borderId="10" xfId="1" applyFont="1" applyFill="1" applyBorder="1" applyProtection="1">
      <protection hidden="1"/>
    </xf>
    <xf numFmtId="0" fontId="13" fillId="0" borderId="11" xfId="1" applyFont="1" applyBorder="1" applyProtection="1">
      <protection hidden="1"/>
    </xf>
    <xf numFmtId="0" fontId="1" fillId="0" borderId="1" xfId="5" applyFont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Alignment="1">
      <alignment horizontal="center" vertical="center"/>
    </xf>
    <xf numFmtId="0" fontId="25" fillId="0" borderId="0" xfId="9"/>
    <xf numFmtId="0" fontId="25" fillId="0" borderId="0" xfId="9" applyNumberFormat="1"/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14" fillId="0" borderId="8" xfId="0" applyNumberFormat="1" applyFont="1" applyFill="1" applyBorder="1" applyAlignment="1" applyProtection="1">
      <alignment vertical="top" wrapText="1"/>
      <protection locked="0"/>
    </xf>
    <xf numFmtId="1" fontId="14" fillId="0" borderId="23" xfId="0" applyNumberFormat="1" applyFont="1" applyFill="1" applyBorder="1" applyAlignment="1" applyProtection="1">
      <alignment vertical="top" wrapText="1"/>
      <protection locked="0"/>
    </xf>
    <xf numFmtId="1" fontId="14" fillId="0" borderId="9" xfId="0" applyNumberFormat="1" applyFont="1" applyFill="1" applyBorder="1" applyAlignment="1" applyProtection="1">
      <alignment vertical="top" wrapText="1"/>
      <protection locked="0"/>
    </xf>
    <xf numFmtId="0" fontId="14" fillId="0" borderId="3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9" fillId="0" borderId="8" xfId="0" applyNumberFormat="1" applyFont="1" applyFill="1" applyBorder="1" applyAlignment="1" applyProtection="1">
      <alignment vertical="top" wrapText="1"/>
      <protection locked="0"/>
    </xf>
    <xf numFmtId="1" fontId="9" fillId="0" borderId="23" xfId="0" applyNumberFormat="1" applyFont="1" applyFill="1" applyBorder="1" applyAlignment="1" applyProtection="1">
      <alignment vertical="top" wrapText="1"/>
      <protection locked="0"/>
    </xf>
    <xf numFmtId="1" fontId="9" fillId="0" borderId="9" xfId="0" applyNumberFormat="1" applyFont="1" applyFill="1" applyBorder="1" applyAlignment="1" applyProtection="1">
      <alignment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left"/>
      <protection locked="0"/>
    </xf>
    <xf numFmtId="2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165" fontId="7" fillId="0" borderId="1" xfId="1" applyNumberFormat="1" applyFont="1" applyFill="1" applyBorder="1" applyAlignment="1" applyProtection="1">
      <alignment horizontal="left" vertical="top"/>
      <protection locked="0"/>
    </xf>
    <xf numFmtId="2" fontId="8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2" xfId="1" applyFont="1" applyFill="1" applyBorder="1" applyAlignment="1" applyProtection="1">
      <alignment horizontal="left" vertical="top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vertical="top"/>
      <protection locked="0"/>
    </xf>
    <xf numFmtId="0" fontId="13" fillId="2" borderId="8" xfId="1" applyFont="1" applyFill="1" applyBorder="1" applyAlignment="1" applyProtection="1">
      <alignment horizontal="left" vertical="top" wrapText="1"/>
      <protection locked="0"/>
    </xf>
    <xf numFmtId="0" fontId="13" fillId="2" borderId="23" xfId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25" fillId="0" borderId="1" xfId="9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167" fontId="14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1" fontId="9" fillId="0" borderId="19" xfId="1" applyNumberFormat="1" applyFont="1" applyFill="1" applyBorder="1" applyAlignment="1" applyProtection="1">
      <alignment horizontal="center" vertical="top" wrapText="1"/>
      <protection locked="0"/>
    </xf>
    <xf numFmtId="1" fontId="9" fillId="0" borderId="21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6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5" xfId="1" applyFont="1" applyFill="1" applyBorder="1" applyAlignment="1" applyProtection="1">
      <alignment horizontal="left" vertical="top" wrapText="1"/>
      <protection locked="0"/>
    </xf>
    <xf numFmtId="0" fontId="14" fillId="0" borderId="16" xfId="1" applyFont="1" applyFill="1" applyBorder="1" applyAlignment="1" applyProtection="1">
      <alignment horizontal="left" vertical="top" wrapText="1"/>
      <protection locked="0"/>
    </xf>
    <xf numFmtId="0" fontId="14" fillId="0" borderId="25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2" xfId="1" applyNumberFormat="1" applyFont="1" applyFill="1" applyBorder="1" applyAlignment="1" applyProtection="1">
      <alignment horizontal="center" vertical="top" wrapText="1"/>
      <protection locked="0"/>
    </xf>
    <xf numFmtId="1" fontId="9" fillId="0" borderId="18" xfId="1" applyNumberFormat="1" applyFont="1" applyFill="1" applyBorder="1" applyAlignment="1" applyProtection="1">
      <alignment horizontal="center" vertical="top" wrapText="1"/>
      <protection locked="0"/>
    </xf>
    <xf numFmtId="1" fontId="5" fillId="0" borderId="2" xfId="1" applyNumberFormat="1" applyFont="1" applyFill="1" applyBorder="1" applyAlignment="1" applyProtection="1">
      <alignment horizontal="center" vertical="top" wrapText="1"/>
      <protection locked="0"/>
    </xf>
    <xf numFmtId="1" fontId="5" fillId="0" borderId="18" xfId="1" applyNumberFormat="1" applyFont="1" applyFill="1" applyBorder="1" applyAlignment="1" applyProtection="1">
      <alignment horizontal="center" vertical="top" wrapText="1"/>
      <protection locked="0"/>
    </xf>
    <xf numFmtId="1" fontId="9" fillId="0" borderId="20" xfId="1" applyNumberFormat="1" applyFont="1" applyFill="1" applyBorder="1" applyAlignment="1" applyProtection="1">
      <alignment horizontal="center" vertical="top" wrapText="1"/>
      <protection locked="0"/>
    </xf>
    <xf numFmtId="1" fontId="9" fillId="0" borderId="22" xfId="1" applyNumberFormat="1" applyFont="1" applyFill="1" applyBorder="1" applyAlignment="1" applyProtection="1">
      <alignment horizontal="center" vertical="top" wrapText="1"/>
      <protection locked="0"/>
    </xf>
    <xf numFmtId="1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3" fillId="0" borderId="27" xfId="1" applyFont="1" applyFill="1" applyBorder="1" applyAlignment="1" applyProtection="1">
      <alignment horizontal="left" vertical="top" wrapText="1"/>
      <protection locked="0"/>
    </xf>
    <xf numFmtId="0" fontId="13" fillId="0" borderId="0" xfId="1" applyFont="1" applyFill="1" applyBorder="1" applyAlignment="1" applyProtection="1">
      <alignment horizontal="left" vertical="top" wrapText="1"/>
      <protection locked="0"/>
    </xf>
    <xf numFmtId="0" fontId="16" fillId="0" borderId="2" xfId="1" applyFont="1" applyFill="1" applyBorder="1" applyAlignment="1" applyProtection="1">
      <alignment horizontal="left" vertical="top" wrapText="1"/>
      <protection locked="0"/>
    </xf>
    <xf numFmtId="0" fontId="16" fillId="0" borderId="2" xfId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1" fontId="7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24" xfId="1" applyFont="1" applyFill="1" applyBorder="1" applyAlignment="1" applyProtection="1">
      <alignment horizontal="left" vertical="top" wrapText="1"/>
      <protection locked="0"/>
    </xf>
    <xf numFmtId="0" fontId="14" fillId="0" borderId="17" xfId="1" applyFont="1" applyFill="1" applyBorder="1" applyAlignment="1" applyProtection="1">
      <alignment horizontal="left" vertical="top" wrapText="1"/>
      <protection locked="0"/>
    </xf>
    <xf numFmtId="0" fontId="14" fillId="0" borderId="4" xfId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705519</xdr:colOff>
      <xdr:row>284</xdr:row>
      <xdr:rowOff>52440</xdr:rowOff>
    </xdr:from>
    <xdr:to>
      <xdr:col>3</xdr:col>
      <xdr:colOff>890250</xdr:colOff>
      <xdr:row>286</xdr:row>
      <xdr:rowOff>21722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3115344" y="53287665"/>
          <a:ext cx="18473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 editAs="oneCell">
    <xdr:from>
      <xdr:col>1</xdr:col>
      <xdr:colOff>723492</xdr:colOff>
      <xdr:row>224</xdr:row>
      <xdr:rowOff>190499</xdr:rowOff>
    </xdr:from>
    <xdr:to>
      <xdr:col>5</xdr:col>
      <xdr:colOff>602528</xdr:colOff>
      <xdr:row>240</xdr:row>
      <xdr:rowOff>83275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492" y="42073285"/>
          <a:ext cx="3240000" cy="315849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0</xdr:col>
      <xdr:colOff>508196</xdr:colOff>
      <xdr:row>240</xdr:row>
      <xdr:rowOff>192958</xdr:rowOff>
    </xdr:from>
    <xdr:to>
      <xdr:col>7</xdr:col>
      <xdr:colOff>234017</xdr:colOff>
      <xdr:row>261</xdr:row>
      <xdr:rowOff>4953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508196" y="49827733"/>
          <a:ext cx="5421771" cy="4012520"/>
          <a:chOff x="557892" y="44463502"/>
          <a:chExt cx="5415973" cy="3986429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57892" y="44463502"/>
            <a:ext cx="5415973" cy="3986429"/>
          </a:xfrm>
          <a:prstGeom prst="rect">
            <a:avLst/>
          </a:prstGeom>
          <a:ln w="9525">
            <a:solidFill>
              <a:schemeClr val="tx1"/>
            </a:solidFill>
          </a:ln>
        </xdr:spPr>
      </xdr:pic>
      <xdr:sp macro="" textlink="">
        <xdr:nvSpPr>
          <xdr:cNvPr id="21" name="Cross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/>
        </xdr:nvSpPr>
        <xdr:spPr>
          <a:xfrm rot="2580096">
            <a:off x="2195646" y="45096605"/>
            <a:ext cx="801747" cy="755695"/>
          </a:xfrm>
          <a:prstGeom prst="plus">
            <a:avLst/>
          </a:prstGeom>
          <a:noFill/>
          <a:ln w="28575">
            <a:solidFill>
              <a:srgbClr val="CC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2" name="Cross 21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/>
        </xdr:nvSpPr>
        <xdr:spPr>
          <a:xfrm rot="2580096">
            <a:off x="2819783" y="45603594"/>
            <a:ext cx="733185" cy="792784"/>
          </a:xfrm>
          <a:prstGeom prst="plus">
            <a:avLst/>
          </a:prstGeom>
          <a:noFill/>
          <a:ln w="28575">
            <a:solidFill>
              <a:srgbClr val="0066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3" name="TextBox 18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 txBox="1"/>
        </xdr:nvSpPr>
        <xdr:spPr>
          <a:xfrm rot="2531295">
            <a:off x="2387290" y="45003641"/>
            <a:ext cx="1229893" cy="25096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C00000"/>
                </a:solidFill>
              </a:rPr>
              <a:t>Building Type A1</a:t>
            </a:r>
            <a:endParaRPr lang="en-IN" sz="1100" b="1">
              <a:solidFill>
                <a:srgbClr val="C00000"/>
              </a:solidFill>
            </a:endParaRPr>
          </a:p>
        </xdr:txBody>
      </xdr:sp>
      <xdr:sp macro="" textlink="">
        <xdr:nvSpPr>
          <xdr:cNvPr id="24" name="TextBox 19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 txBox="1"/>
        </xdr:nvSpPr>
        <xdr:spPr>
          <a:xfrm rot="2531295">
            <a:off x="2366189" y="46408684"/>
            <a:ext cx="1214581" cy="25628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0066FF"/>
                </a:solidFill>
              </a:rPr>
              <a:t>Building Type A2</a:t>
            </a:r>
            <a:endParaRPr lang="en-IN" sz="1100" b="1">
              <a:solidFill>
                <a:srgbClr val="0066FF"/>
              </a:solidFill>
            </a:endParaRPr>
          </a:p>
        </xdr:txBody>
      </xdr:sp>
    </xdr:grpSp>
    <xdr:clientData/>
  </xdr:twoCellAnchor>
  <xdr:twoCellAnchor editAs="oneCell">
    <xdr:from>
      <xdr:col>8</xdr:col>
      <xdr:colOff>226944</xdr:colOff>
      <xdr:row>105</xdr:row>
      <xdr:rowOff>114714</xdr:rowOff>
    </xdr:from>
    <xdr:to>
      <xdr:col>18</xdr:col>
      <xdr:colOff>495669</xdr:colOff>
      <xdr:row>113</xdr:row>
      <xdr:rowOff>98838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51569" y="20355339"/>
          <a:ext cx="5612250" cy="1984374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10</xdr:row>
      <xdr:rowOff>247650</xdr:rowOff>
    </xdr:from>
    <xdr:to>
      <xdr:col>17</xdr:col>
      <xdr:colOff>124459</xdr:colOff>
      <xdr:row>13</xdr:row>
      <xdr:rowOff>400276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38950" y="2638425"/>
          <a:ext cx="4544059" cy="1619476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279</xdr:row>
      <xdr:rowOff>190141</xdr:rowOff>
    </xdr:from>
    <xdr:to>
      <xdr:col>6</xdr:col>
      <xdr:colOff>698550</xdr:colOff>
      <xdr:row>298</xdr:row>
      <xdr:rowOff>57150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GrpSpPr/>
      </xdr:nvGrpSpPr>
      <xdr:grpSpPr>
        <a:xfrm>
          <a:off x="933450" y="57625891"/>
          <a:ext cx="4680000" cy="3667484"/>
          <a:chOff x="928878" y="3714391"/>
          <a:chExt cx="5400000" cy="3667484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28878" y="3714391"/>
            <a:ext cx="5400000" cy="3667484"/>
          </a:xfrm>
          <a:prstGeom prst="rect">
            <a:avLst/>
          </a:prstGeom>
          <a:ln w="6350">
            <a:solidFill>
              <a:schemeClr val="tx1"/>
            </a:solidFill>
          </a:ln>
        </xdr:spPr>
      </xdr:pic>
      <xdr:sp macro="" textlink="">
        <xdr:nvSpPr>
          <xdr:cNvPr id="33" name="Freeform 32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SpPr/>
        </xdr:nvSpPr>
        <xdr:spPr>
          <a:xfrm rot="158445">
            <a:off x="2462056" y="4307885"/>
            <a:ext cx="1506958" cy="2292646"/>
          </a:xfrm>
          <a:custGeom>
            <a:avLst/>
            <a:gdLst>
              <a:gd name="connsiteX0" fmla="*/ 0 w 1562100"/>
              <a:gd name="connsiteY0" fmla="*/ 704850 h 2524125"/>
              <a:gd name="connsiteX1" fmla="*/ 485775 w 1562100"/>
              <a:gd name="connsiteY1" fmla="*/ 533400 h 2524125"/>
              <a:gd name="connsiteX2" fmla="*/ 447675 w 1562100"/>
              <a:gd name="connsiteY2" fmla="*/ 838200 h 2524125"/>
              <a:gd name="connsiteX3" fmla="*/ 657225 w 1562100"/>
              <a:gd name="connsiteY3" fmla="*/ 857250 h 2524125"/>
              <a:gd name="connsiteX4" fmla="*/ 895350 w 1562100"/>
              <a:gd name="connsiteY4" fmla="*/ 47625 h 2524125"/>
              <a:gd name="connsiteX5" fmla="*/ 1266825 w 1562100"/>
              <a:gd name="connsiteY5" fmla="*/ 0 h 2524125"/>
              <a:gd name="connsiteX6" fmla="*/ 1543050 w 1562100"/>
              <a:gd name="connsiteY6" fmla="*/ 76200 h 2524125"/>
              <a:gd name="connsiteX7" fmla="*/ 1562100 w 1562100"/>
              <a:gd name="connsiteY7" fmla="*/ 523875 h 2524125"/>
              <a:gd name="connsiteX8" fmla="*/ 1438275 w 1562100"/>
              <a:gd name="connsiteY8" fmla="*/ 695325 h 2524125"/>
              <a:gd name="connsiteX9" fmla="*/ 1514475 w 1562100"/>
              <a:gd name="connsiteY9" fmla="*/ 942975 h 2524125"/>
              <a:gd name="connsiteX10" fmla="*/ 1314450 w 1562100"/>
              <a:gd name="connsiteY10" fmla="*/ 1200150 h 2524125"/>
              <a:gd name="connsiteX11" fmla="*/ 1257300 w 1562100"/>
              <a:gd name="connsiteY11" fmla="*/ 1304925 h 2524125"/>
              <a:gd name="connsiteX12" fmla="*/ 1171575 w 1562100"/>
              <a:gd name="connsiteY12" fmla="*/ 2390775 h 2524125"/>
              <a:gd name="connsiteX13" fmla="*/ 828675 w 1562100"/>
              <a:gd name="connsiteY13" fmla="*/ 2524125 h 2524125"/>
              <a:gd name="connsiteX14" fmla="*/ 762000 w 1562100"/>
              <a:gd name="connsiteY14" fmla="*/ 2305050 h 2524125"/>
              <a:gd name="connsiteX15" fmla="*/ 790575 w 1562100"/>
              <a:gd name="connsiteY15" fmla="*/ 2152650 h 2524125"/>
              <a:gd name="connsiteX16" fmla="*/ 828675 w 1562100"/>
              <a:gd name="connsiteY16" fmla="*/ 2076450 h 2524125"/>
              <a:gd name="connsiteX17" fmla="*/ 733425 w 1562100"/>
              <a:gd name="connsiteY17" fmla="*/ 1885950 h 2524125"/>
              <a:gd name="connsiteX18" fmla="*/ 638175 w 1562100"/>
              <a:gd name="connsiteY18" fmla="*/ 1619250 h 2524125"/>
              <a:gd name="connsiteX19" fmla="*/ 723900 w 1562100"/>
              <a:gd name="connsiteY19" fmla="*/ 1447800 h 2524125"/>
              <a:gd name="connsiteX20" fmla="*/ 304800 w 1562100"/>
              <a:gd name="connsiteY20" fmla="*/ 1638300 h 2524125"/>
              <a:gd name="connsiteX21" fmla="*/ 0 w 1562100"/>
              <a:gd name="connsiteY21" fmla="*/ 704850 h 2524125"/>
              <a:gd name="connsiteX0" fmla="*/ 0 w 1562100"/>
              <a:gd name="connsiteY0" fmla="*/ 704850 h 2524125"/>
              <a:gd name="connsiteX1" fmla="*/ 485775 w 1562100"/>
              <a:gd name="connsiteY1" fmla="*/ 533400 h 2524125"/>
              <a:gd name="connsiteX2" fmla="*/ 447675 w 1562100"/>
              <a:gd name="connsiteY2" fmla="*/ 838200 h 2524125"/>
              <a:gd name="connsiteX3" fmla="*/ 657225 w 1562100"/>
              <a:gd name="connsiteY3" fmla="*/ 857250 h 2524125"/>
              <a:gd name="connsiteX4" fmla="*/ 895350 w 1562100"/>
              <a:gd name="connsiteY4" fmla="*/ 47625 h 2524125"/>
              <a:gd name="connsiteX5" fmla="*/ 1266825 w 1562100"/>
              <a:gd name="connsiteY5" fmla="*/ 0 h 2524125"/>
              <a:gd name="connsiteX6" fmla="*/ 1543050 w 1562100"/>
              <a:gd name="connsiteY6" fmla="*/ 76200 h 2524125"/>
              <a:gd name="connsiteX7" fmla="*/ 1562100 w 1562100"/>
              <a:gd name="connsiteY7" fmla="*/ 523875 h 2524125"/>
              <a:gd name="connsiteX8" fmla="*/ 1438275 w 1562100"/>
              <a:gd name="connsiteY8" fmla="*/ 695325 h 2524125"/>
              <a:gd name="connsiteX9" fmla="*/ 1514475 w 1562100"/>
              <a:gd name="connsiteY9" fmla="*/ 942975 h 2524125"/>
              <a:gd name="connsiteX10" fmla="*/ 1314450 w 1562100"/>
              <a:gd name="connsiteY10" fmla="*/ 1200150 h 2524125"/>
              <a:gd name="connsiteX11" fmla="*/ 1257300 w 1562100"/>
              <a:gd name="connsiteY11" fmla="*/ 1304925 h 2524125"/>
              <a:gd name="connsiteX12" fmla="*/ 1384935 w 1562100"/>
              <a:gd name="connsiteY12" fmla="*/ 2390775 h 2524125"/>
              <a:gd name="connsiteX13" fmla="*/ 828675 w 1562100"/>
              <a:gd name="connsiteY13" fmla="*/ 2524125 h 2524125"/>
              <a:gd name="connsiteX14" fmla="*/ 762000 w 1562100"/>
              <a:gd name="connsiteY14" fmla="*/ 2305050 h 2524125"/>
              <a:gd name="connsiteX15" fmla="*/ 790575 w 1562100"/>
              <a:gd name="connsiteY15" fmla="*/ 2152650 h 2524125"/>
              <a:gd name="connsiteX16" fmla="*/ 828675 w 1562100"/>
              <a:gd name="connsiteY16" fmla="*/ 2076450 h 2524125"/>
              <a:gd name="connsiteX17" fmla="*/ 733425 w 1562100"/>
              <a:gd name="connsiteY17" fmla="*/ 1885950 h 2524125"/>
              <a:gd name="connsiteX18" fmla="*/ 638175 w 1562100"/>
              <a:gd name="connsiteY18" fmla="*/ 1619250 h 2524125"/>
              <a:gd name="connsiteX19" fmla="*/ 723900 w 1562100"/>
              <a:gd name="connsiteY19" fmla="*/ 1447800 h 2524125"/>
              <a:gd name="connsiteX20" fmla="*/ 304800 w 1562100"/>
              <a:gd name="connsiteY20" fmla="*/ 1638300 h 2524125"/>
              <a:gd name="connsiteX21" fmla="*/ 0 w 1562100"/>
              <a:gd name="connsiteY21" fmla="*/ 704850 h 2524125"/>
              <a:gd name="connsiteX0" fmla="*/ 0 w 1562100"/>
              <a:gd name="connsiteY0" fmla="*/ 704850 h 2524125"/>
              <a:gd name="connsiteX1" fmla="*/ 485775 w 1562100"/>
              <a:gd name="connsiteY1" fmla="*/ 533400 h 2524125"/>
              <a:gd name="connsiteX2" fmla="*/ 447675 w 1562100"/>
              <a:gd name="connsiteY2" fmla="*/ 838200 h 2524125"/>
              <a:gd name="connsiteX3" fmla="*/ 657225 w 1562100"/>
              <a:gd name="connsiteY3" fmla="*/ 857250 h 2524125"/>
              <a:gd name="connsiteX4" fmla="*/ 895350 w 1562100"/>
              <a:gd name="connsiteY4" fmla="*/ 47625 h 2524125"/>
              <a:gd name="connsiteX5" fmla="*/ 1266825 w 1562100"/>
              <a:gd name="connsiteY5" fmla="*/ 0 h 2524125"/>
              <a:gd name="connsiteX6" fmla="*/ 1543050 w 1562100"/>
              <a:gd name="connsiteY6" fmla="*/ 76200 h 2524125"/>
              <a:gd name="connsiteX7" fmla="*/ 1562100 w 1562100"/>
              <a:gd name="connsiteY7" fmla="*/ 523875 h 2524125"/>
              <a:gd name="connsiteX8" fmla="*/ 1438275 w 1562100"/>
              <a:gd name="connsiteY8" fmla="*/ 695325 h 2524125"/>
              <a:gd name="connsiteX9" fmla="*/ 1514475 w 1562100"/>
              <a:gd name="connsiteY9" fmla="*/ 942975 h 2524125"/>
              <a:gd name="connsiteX10" fmla="*/ 1314450 w 1562100"/>
              <a:gd name="connsiteY10" fmla="*/ 1200150 h 2524125"/>
              <a:gd name="connsiteX11" fmla="*/ 1257300 w 1562100"/>
              <a:gd name="connsiteY11" fmla="*/ 1304925 h 2524125"/>
              <a:gd name="connsiteX12" fmla="*/ 1365885 w 1562100"/>
              <a:gd name="connsiteY12" fmla="*/ 2327275 h 2524125"/>
              <a:gd name="connsiteX13" fmla="*/ 828675 w 1562100"/>
              <a:gd name="connsiteY13" fmla="*/ 2524125 h 2524125"/>
              <a:gd name="connsiteX14" fmla="*/ 762000 w 1562100"/>
              <a:gd name="connsiteY14" fmla="*/ 2305050 h 2524125"/>
              <a:gd name="connsiteX15" fmla="*/ 790575 w 1562100"/>
              <a:gd name="connsiteY15" fmla="*/ 2152650 h 2524125"/>
              <a:gd name="connsiteX16" fmla="*/ 828675 w 1562100"/>
              <a:gd name="connsiteY16" fmla="*/ 2076450 h 2524125"/>
              <a:gd name="connsiteX17" fmla="*/ 733425 w 1562100"/>
              <a:gd name="connsiteY17" fmla="*/ 1885950 h 2524125"/>
              <a:gd name="connsiteX18" fmla="*/ 638175 w 1562100"/>
              <a:gd name="connsiteY18" fmla="*/ 1619250 h 2524125"/>
              <a:gd name="connsiteX19" fmla="*/ 723900 w 1562100"/>
              <a:gd name="connsiteY19" fmla="*/ 1447800 h 2524125"/>
              <a:gd name="connsiteX20" fmla="*/ 304800 w 1562100"/>
              <a:gd name="connsiteY20" fmla="*/ 1638300 h 2524125"/>
              <a:gd name="connsiteX21" fmla="*/ 0 w 1562100"/>
              <a:gd name="connsiteY21" fmla="*/ 704850 h 25241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14450 w 1562100"/>
              <a:gd name="connsiteY10" fmla="*/ 1200150 h 2473325"/>
              <a:gd name="connsiteX11" fmla="*/ 1257300 w 1562100"/>
              <a:gd name="connsiteY11" fmla="*/ 1304925 h 2473325"/>
              <a:gd name="connsiteX12" fmla="*/ 1365885 w 1562100"/>
              <a:gd name="connsiteY12" fmla="*/ 2327275 h 2473325"/>
              <a:gd name="connsiteX13" fmla="*/ 822325 w 1562100"/>
              <a:gd name="connsiteY13" fmla="*/ 2473325 h 2473325"/>
              <a:gd name="connsiteX14" fmla="*/ 762000 w 1562100"/>
              <a:gd name="connsiteY14" fmla="*/ 2305050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52550 w 1562100"/>
              <a:gd name="connsiteY10" fmla="*/ 1209958 h 2473325"/>
              <a:gd name="connsiteX11" fmla="*/ 1257300 w 1562100"/>
              <a:gd name="connsiteY11" fmla="*/ 1304925 h 2473325"/>
              <a:gd name="connsiteX12" fmla="*/ 1365885 w 1562100"/>
              <a:gd name="connsiteY12" fmla="*/ 2327275 h 2473325"/>
              <a:gd name="connsiteX13" fmla="*/ 822325 w 1562100"/>
              <a:gd name="connsiteY13" fmla="*/ 2473325 h 2473325"/>
              <a:gd name="connsiteX14" fmla="*/ 762000 w 1562100"/>
              <a:gd name="connsiteY14" fmla="*/ 2305050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52550 w 1562100"/>
              <a:gd name="connsiteY10" fmla="*/ 1209958 h 2473325"/>
              <a:gd name="connsiteX11" fmla="*/ 1257300 w 1562100"/>
              <a:gd name="connsiteY11" fmla="*/ 1304925 h 2473325"/>
              <a:gd name="connsiteX12" fmla="*/ 1365885 w 1562100"/>
              <a:gd name="connsiteY12" fmla="*/ 2327275 h 2473325"/>
              <a:gd name="connsiteX13" fmla="*/ 822325 w 1562100"/>
              <a:gd name="connsiteY13" fmla="*/ 2473325 h 2473325"/>
              <a:gd name="connsiteX14" fmla="*/ 762000 w 1562100"/>
              <a:gd name="connsiteY14" fmla="*/ 2305050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52550 w 1562100"/>
              <a:gd name="connsiteY10" fmla="*/ 1209958 h 2473325"/>
              <a:gd name="connsiteX11" fmla="*/ 1257300 w 1562100"/>
              <a:gd name="connsiteY11" fmla="*/ 1304925 h 2473325"/>
              <a:gd name="connsiteX12" fmla="*/ 1365885 w 1562100"/>
              <a:gd name="connsiteY12" fmla="*/ 2327275 h 2473325"/>
              <a:gd name="connsiteX13" fmla="*/ 822325 w 1562100"/>
              <a:gd name="connsiteY13" fmla="*/ 2473325 h 2473325"/>
              <a:gd name="connsiteX14" fmla="*/ 714375 w 1562100"/>
              <a:gd name="connsiteY14" fmla="*/ 2334476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  <a:gd name="connsiteX0" fmla="*/ 0 w 1562100"/>
              <a:gd name="connsiteY0" fmla="*/ 704850 h 2473325"/>
              <a:gd name="connsiteX1" fmla="*/ 485775 w 1562100"/>
              <a:gd name="connsiteY1" fmla="*/ 533400 h 2473325"/>
              <a:gd name="connsiteX2" fmla="*/ 447675 w 1562100"/>
              <a:gd name="connsiteY2" fmla="*/ 838200 h 2473325"/>
              <a:gd name="connsiteX3" fmla="*/ 657225 w 1562100"/>
              <a:gd name="connsiteY3" fmla="*/ 857250 h 2473325"/>
              <a:gd name="connsiteX4" fmla="*/ 895350 w 1562100"/>
              <a:gd name="connsiteY4" fmla="*/ 47625 h 2473325"/>
              <a:gd name="connsiteX5" fmla="*/ 1266825 w 1562100"/>
              <a:gd name="connsiteY5" fmla="*/ 0 h 2473325"/>
              <a:gd name="connsiteX6" fmla="*/ 1543050 w 1562100"/>
              <a:gd name="connsiteY6" fmla="*/ 76200 h 2473325"/>
              <a:gd name="connsiteX7" fmla="*/ 1562100 w 1562100"/>
              <a:gd name="connsiteY7" fmla="*/ 523875 h 2473325"/>
              <a:gd name="connsiteX8" fmla="*/ 1438275 w 1562100"/>
              <a:gd name="connsiteY8" fmla="*/ 695325 h 2473325"/>
              <a:gd name="connsiteX9" fmla="*/ 1514475 w 1562100"/>
              <a:gd name="connsiteY9" fmla="*/ 942975 h 2473325"/>
              <a:gd name="connsiteX10" fmla="*/ 1352550 w 1562100"/>
              <a:gd name="connsiteY10" fmla="*/ 1209958 h 2473325"/>
              <a:gd name="connsiteX11" fmla="*/ 1257300 w 1562100"/>
              <a:gd name="connsiteY11" fmla="*/ 1304925 h 2473325"/>
              <a:gd name="connsiteX12" fmla="*/ 1317678 w 1562100"/>
              <a:gd name="connsiteY12" fmla="*/ 2321187 h 2473325"/>
              <a:gd name="connsiteX13" fmla="*/ 822325 w 1562100"/>
              <a:gd name="connsiteY13" fmla="*/ 2473325 h 2473325"/>
              <a:gd name="connsiteX14" fmla="*/ 714375 w 1562100"/>
              <a:gd name="connsiteY14" fmla="*/ 2334476 h 2473325"/>
              <a:gd name="connsiteX15" fmla="*/ 790575 w 1562100"/>
              <a:gd name="connsiteY15" fmla="*/ 2152650 h 2473325"/>
              <a:gd name="connsiteX16" fmla="*/ 828675 w 1562100"/>
              <a:gd name="connsiteY16" fmla="*/ 2076450 h 2473325"/>
              <a:gd name="connsiteX17" fmla="*/ 733425 w 1562100"/>
              <a:gd name="connsiteY17" fmla="*/ 1885950 h 2473325"/>
              <a:gd name="connsiteX18" fmla="*/ 638175 w 1562100"/>
              <a:gd name="connsiteY18" fmla="*/ 1619250 h 2473325"/>
              <a:gd name="connsiteX19" fmla="*/ 723900 w 1562100"/>
              <a:gd name="connsiteY19" fmla="*/ 1447800 h 2473325"/>
              <a:gd name="connsiteX20" fmla="*/ 304800 w 1562100"/>
              <a:gd name="connsiteY20" fmla="*/ 1638300 h 2473325"/>
              <a:gd name="connsiteX21" fmla="*/ 0 w 1562100"/>
              <a:gd name="connsiteY21" fmla="*/ 704850 h 24733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</a:cxnLst>
            <a:rect l="l" t="t" r="r" b="b"/>
            <a:pathLst>
              <a:path w="1562100" h="2473325">
                <a:moveTo>
                  <a:pt x="0" y="704850"/>
                </a:moveTo>
                <a:lnTo>
                  <a:pt x="485775" y="533400"/>
                </a:lnTo>
                <a:lnTo>
                  <a:pt x="447675" y="838200"/>
                </a:lnTo>
                <a:lnTo>
                  <a:pt x="657225" y="857250"/>
                </a:lnTo>
                <a:lnTo>
                  <a:pt x="895350" y="47625"/>
                </a:lnTo>
                <a:lnTo>
                  <a:pt x="1266825" y="0"/>
                </a:lnTo>
                <a:lnTo>
                  <a:pt x="1543050" y="76200"/>
                </a:lnTo>
                <a:lnTo>
                  <a:pt x="1562100" y="523875"/>
                </a:lnTo>
                <a:lnTo>
                  <a:pt x="1438275" y="695325"/>
                </a:lnTo>
                <a:lnTo>
                  <a:pt x="1514475" y="942975"/>
                </a:lnTo>
                <a:cubicBezTo>
                  <a:pt x="1460500" y="1031969"/>
                  <a:pt x="1425575" y="1150390"/>
                  <a:pt x="1352550" y="1209958"/>
                </a:cubicBezTo>
                <a:lnTo>
                  <a:pt x="1257300" y="1304925"/>
                </a:lnTo>
                <a:lnTo>
                  <a:pt x="1317678" y="2321187"/>
                </a:lnTo>
                <a:lnTo>
                  <a:pt x="822325" y="2473325"/>
                </a:lnTo>
                <a:lnTo>
                  <a:pt x="714375" y="2334476"/>
                </a:lnTo>
                <a:lnTo>
                  <a:pt x="790575" y="2152650"/>
                </a:lnTo>
                <a:lnTo>
                  <a:pt x="828675" y="2076450"/>
                </a:lnTo>
                <a:lnTo>
                  <a:pt x="733425" y="1885950"/>
                </a:lnTo>
                <a:lnTo>
                  <a:pt x="638175" y="1619250"/>
                </a:lnTo>
                <a:lnTo>
                  <a:pt x="723900" y="1447800"/>
                </a:lnTo>
                <a:lnTo>
                  <a:pt x="304800" y="1638300"/>
                </a:lnTo>
                <a:lnTo>
                  <a:pt x="0" y="704850"/>
                </a:lnTo>
                <a:close/>
              </a:path>
            </a:pathLst>
          </a:cu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1</xdr:col>
      <xdr:colOff>515607</xdr:colOff>
      <xdr:row>265</xdr:row>
      <xdr:rowOff>57150</xdr:rowOff>
    </xdr:from>
    <xdr:to>
      <xdr:col>6</xdr:col>
      <xdr:colOff>322707</xdr:colOff>
      <xdr:row>279</xdr:row>
      <xdr:rowOff>37425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7607" y="53244750"/>
          <a:ext cx="3960000" cy="278062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8</xdr:col>
      <xdr:colOff>1038225</xdr:colOff>
      <xdr:row>182</xdr:row>
      <xdr:rowOff>28575</xdr:rowOff>
    </xdr:from>
    <xdr:to>
      <xdr:col>21</xdr:col>
      <xdr:colOff>361950</xdr:colOff>
      <xdr:row>213</xdr:row>
      <xdr:rowOff>108333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pSpPr/>
      </xdr:nvGrpSpPr>
      <xdr:grpSpPr>
        <a:xfrm>
          <a:off x="7562850" y="38071425"/>
          <a:ext cx="6496050" cy="6271008"/>
          <a:chOff x="533400" y="40833675"/>
          <a:chExt cx="6496050" cy="6271008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GrpSpPr/>
        </xdr:nvGrpSpPr>
        <xdr:grpSpPr>
          <a:xfrm>
            <a:off x="533400" y="40833675"/>
            <a:ext cx="5349941" cy="6271008"/>
            <a:chOff x="533400" y="40833675"/>
            <a:chExt cx="5349941" cy="6271008"/>
          </a:xfrm>
        </xdr:grpSpPr>
        <xdr:pic>
          <xdr:nvPicPr>
            <xdr:cNvPr id="43" name="Picture 42" descr="insp-207620-1525.jpg (959×1280)">
              <a:extLst>
                <a:ext uri="{FF2B5EF4-FFF2-40B4-BE49-F238E27FC236}">
                  <a16:creationId xmlns:a16="http://schemas.microsoft.com/office/drawing/2014/main" xmlns="" id="{00000000-0008-0000-0000-00002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95310" y="44584683"/>
              <a:ext cx="1888031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Picture 43" descr="insp-207620-843.jpg (1079×810)">
              <a:extLst>
                <a:ext uri="{FF2B5EF4-FFF2-40B4-BE49-F238E27FC236}">
                  <a16:creationId xmlns:a16="http://schemas.microsoft.com/office/drawing/2014/main" xmlns="" id="{00000000-0008-0000-0000-00002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0105" y="40833675"/>
              <a:ext cx="4795554" cy="360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 descr="insp-207620-851.jpg (1079×810)">
              <a:extLst>
                <a:ext uri="{FF2B5EF4-FFF2-40B4-BE49-F238E27FC236}">
                  <a16:creationId xmlns:a16="http://schemas.microsoft.com/office/drawing/2014/main" xmlns="" id="{00000000-0008-0000-0000-00002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3400" y="44584683"/>
              <a:ext cx="3356888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xmlns="" id="{00000000-0008-0000-0000-00002E000000}"/>
              </a:ext>
            </a:extLst>
          </xdr:cNvPr>
          <xdr:cNvSpPr/>
        </xdr:nvSpPr>
        <xdr:spPr>
          <a:xfrm>
            <a:off x="1981200" y="40922575"/>
            <a:ext cx="1885950" cy="7397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2000" b="1">
                <a:solidFill>
                  <a:srgbClr val="C00000"/>
                </a:solidFill>
              </a:rPr>
              <a:t>A2</a:t>
            </a: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xmlns="" id="{00000000-0008-0000-0000-000035000000}"/>
              </a:ext>
            </a:extLst>
          </xdr:cNvPr>
          <xdr:cNvSpPr/>
        </xdr:nvSpPr>
        <xdr:spPr>
          <a:xfrm>
            <a:off x="5168900" y="40967025"/>
            <a:ext cx="1860550" cy="7429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2000" b="1">
                <a:solidFill>
                  <a:srgbClr val="C00000"/>
                </a:solidFill>
              </a:rPr>
              <a:t>A1</a:t>
            </a:r>
          </a:p>
        </xdr:txBody>
      </xdr:sp>
      <xdr:cxnSp macro="">
        <xdr:nvCxnSpPr>
          <xdr:cNvPr id="54" name="Straight Arrow Connector 53">
            <a:extLst>
              <a:ext uri="{FF2B5EF4-FFF2-40B4-BE49-F238E27FC236}">
                <a16:creationId xmlns:a16="http://schemas.microsoft.com/office/drawing/2014/main" xmlns="" id="{00000000-0008-0000-0000-000036000000}"/>
              </a:ext>
            </a:extLst>
          </xdr:cNvPr>
          <xdr:cNvCxnSpPr/>
        </xdr:nvCxnSpPr>
        <xdr:spPr>
          <a:xfrm>
            <a:off x="2238375" y="41170225"/>
            <a:ext cx="895350" cy="1073150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Straight Arrow Connector 54">
            <a:extLst>
              <a:ext uri="{FF2B5EF4-FFF2-40B4-BE49-F238E27FC236}">
                <a16:creationId xmlns:a16="http://schemas.microsoft.com/office/drawing/2014/main" xmlns="" id="{00000000-0008-0000-0000-000037000000}"/>
              </a:ext>
            </a:extLst>
          </xdr:cNvPr>
          <xdr:cNvCxnSpPr/>
        </xdr:nvCxnSpPr>
        <xdr:spPr>
          <a:xfrm flipH="1">
            <a:off x="4883150" y="41313100"/>
            <a:ext cx="463550" cy="739775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577850</xdr:colOff>
      <xdr:row>176</xdr:row>
      <xdr:rowOff>47625</xdr:rowOff>
    </xdr:from>
    <xdr:to>
      <xdr:col>16</xdr:col>
      <xdr:colOff>266700</xdr:colOff>
      <xdr:row>178</xdr:row>
      <xdr:rowOff>38100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10915650" y="39493825"/>
          <a:ext cx="514350" cy="384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solidFill>
                <a:srgbClr val="C00000"/>
              </a:solidFill>
            </a:rPr>
            <a:t>A1</a:t>
          </a:r>
        </a:p>
      </xdr:txBody>
    </xdr:sp>
    <xdr:clientData/>
  </xdr:twoCellAnchor>
  <xdr:twoCellAnchor>
    <xdr:from>
      <xdr:col>12</xdr:col>
      <xdr:colOff>292100</xdr:colOff>
      <xdr:row>177</xdr:row>
      <xdr:rowOff>193675</xdr:rowOff>
    </xdr:from>
    <xdr:to>
      <xdr:col>12</xdr:col>
      <xdr:colOff>755650</xdr:colOff>
      <xdr:row>181</xdr:row>
      <xdr:rowOff>136525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CxnSpPr/>
      </xdr:nvCxnSpPr>
      <xdr:spPr>
        <a:xfrm flipH="1">
          <a:off x="10629900" y="39836725"/>
          <a:ext cx="463550" cy="73025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311150</xdr:colOff>
      <xdr:row>195</xdr:row>
      <xdr:rowOff>57150</xdr:rowOff>
    </xdr:from>
    <xdr:ext cx="1108765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7156450" y="43237150"/>
          <a:ext cx="11087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Lower Ground 2</a:t>
          </a:r>
        </a:p>
      </xdr:txBody>
    </xdr:sp>
    <xdr:clientData/>
  </xdr:oneCellAnchor>
  <xdr:twoCellAnchor>
    <xdr:from>
      <xdr:col>8</xdr:col>
      <xdr:colOff>400301</xdr:colOff>
      <xdr:row>182</xdr:row>
      <xdr:rowOff>85725</xdr:rowOff>
    </xdr:from>
    <xdr:to>
      <xdr:col>16</xdr:col>
      <xdr:colOff>118559</xdr:colOff>
      <xdr:row>217</xdr:row>
      <xdr:rowOff>17998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pSpPr/>
      </xdr:nvGrpSpPr>
      <xdr:grpSpPr>
        <a:xfrm>
          <a:off x="6924926" y="38128575"/>
          <a:ext cx="3842583" cy="6923623"/>
          <a:chOff x="1371851" y="40760650"/>
          <a:chExt cx="4045783" cy="6815673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38552" y="46285933"/>
            <a:ext cx="966785" cy="12903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71851" y="40760650"/>
            <a:ext cx="4045783" cy="54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4850" y="46285933"/>
            <a:ext cx="1718927" cy="12903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xmlns="" id="{00000000-0008-0000-0000-000044000000}"/>
              </a:ext>
            </a:extLst>
          </xdr:cNvPr>
          <xdr:cNvSpPr txBox="1"/>
        </xdr:nvSpPr>
        <xdr:spPr>
          <a:xfrm>
            <a:off x="2356101" y="44043600"/>
            <a:ext cx="9466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Ground Floor</a:t>
            </a:r>
          </a:p>
        </xdr:txBody>
      </xdr:sp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xmlns="" id="{00000000-0008-0000-0000-000045000000}"/>
              </a:ext>
            </a:extLst>
          </xdr:cNvPr>
          <xdr:cNvSpPr txBox="1"/>
        </xdr:nvSpPr>
        <xdr:spPr>
          <a:xfrm>
            <a:off x="2432301" y="44424600"/>
            <a:ext cx="110876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Lower Ground 1</a:t>
            </a:r>
          </a:p>
        </xdr:txBody>
      </xdr:sp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xmlns="" id="{00000000-0008-0000-0000-000046000000}"/>
              </a:ext>
            </a:extLst>
          </xdr:cNvPr>
          <xdr:cNvSpPr txBox="1"/>
        </xdr:nvSpPr>
        <xdr:spPr>
          <a:xfrm>
            <a:off x="2514851" y="44672250"/>
            <a:ext cx="110876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Lower Ground 2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190500</xdr:rowOff>
    </xdr:from>
    <xdr:to>
      <xdr:col>7</xdr:col>
      <xdr:colOff>524887</xdr:colOff>
      <xdr:row>211</xdr:row>
      <xdr:rowOff>195706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xmlns="" id="{D7EAB0B7-AC79-4E89-A2FD-5CEEF060D831}"/>
            </a:ext>
          </a:extLst>
        </xdr:cNvPr>
        <xdr:cNvGrpSpPr/>
      </xdr:nvGrpSpPr>
      <xdr:grpSpPr>
        <a:xfrm>
          <a:off x="257175" y="38233350"/>
          <a:ext cx="5963662" cy="5796406"/>
          <a:chOff x="145592" y="0"/>
          <a:chExt cx="5963662" cy="5796406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xmlns="" id="{56440091-5553-4C8D-96F0-2A2211D0D9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2137" y="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xmlns="" id="{996F0C92-AC3B-44E3-8921-100BC6128E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49691" y="0"/>
            <a:ext cx="2697188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xmlns="" id="{EA2FA2F0-71CC-41D6-A8F4-108DF8C915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62748" y="381640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xmlns="" id="{41F6054E-3EE7-4DAF-AFBA-13855C1679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5801" y="3804683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xmlns="" id="{7CDD013B-4E58-4AFD-A745-B823F5262B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5592" y="3816406"/>
            <a:ext cx="2637556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5</xdr:col>
      <xdr:colOff>190751</xdr:colOff>
      <xdr:row>195</xdr:row>
      <xdr:rowOff>66675</xdr:rowOff>
    </xdr:from>
    <xdr:to>
      <xdr:col>6</xdr:col>
      <xdr:colOff>308764</xdr:colOff>
      <xdr:row>196</xdr:row>
      <xdr:rowOff>135400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8507BAC3-3D06-4BD0-8BD4-5498FA5A626C}"/>
            </a:ext>
          </a:extLst>
        </xdr:cNvPr>
        <xdr:cNvSpPr txBox="1"/>
      </xdr:nvSpPr>
      <xdr:spPr>
        <a:xfrm>
          <a:off x="4324601" y="40700325"/>
          <a:ext cx="899063" cy="268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Ground Floor</a:t>
          </a:r>
        </a:p>
      </xdr:txBody>
    </xdr:sp>
    <xdr:clientData/>
  </xdr:twoCellAnchor>
  <xdr:twoCellAnchor>
    <xdr:from>
      <xdr:col>5</xdr:col>
      <xdr:colOff>63099</xdr:colOff>
      <xdr:row>196</xdr:row>
      <xdr:rowOff>63184</xdr:rowOff>
    </xdr:from>
    <xdr:to>
      <xdr:col>6</xdr:col>
      <xdr:colOff>335126</xdr:colOff>
      <xdr:row>197</xdr:row>
      <xdr:rowOff>131909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A7FD0D86-9B52-49FB-9E17-C006BFA0E7E9}"/>
            </a:ext>
          </a:extLst>
        </xdr:cNvPr>
        <xdr:cNvSpPr txBox="1"/>
      </xdr:nvSpPr>
      <xdr:spPr>
        <a:xfrm>
          <a:off x="4196949" y="40896859"/>
          <a:ext cx="1053077" cy="268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Lower Ground 1</a:t>
          </a:r>
        </a:p>
      </xdr:txBody>
    </xdr:sp>
    <xdr:clientData/>
  </xdr:twoCellAnchor>
  <xdr:twoCellAnchor>
    <xdr:from>
      <xdr:col>5</xdr:col>
      <xdr:colOff>112928</xdr:colOff>
      <xdr:row>197</xdr:row>
      <xdr:rowOff>67107</xdr:rowOff>
    </xdr:from>
    <xdr:to>
      <xdr:col>6</xdr:col>
      <xdr:colOff>384955</xdr:colOff>
      <xdr:row>198</xdr:row>
      <xdr:rowOff>135832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299E135D-5190-4119-AB63-A6E6C977653A}"/>
            </a:ext>
          </a:extLst>
        </xdr:cNvPr>
        <xdr:cNvSpPr txBox="1"/>
      </xdr:nvSpPr>
      <xdr:spPr>
        <a:xfrm>
          <a:off x="4246778" y="41100807"/>
          <a:ext cx="1053077" cy="268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Lower Ground 2</a:t>
          </a:r>
        </a:p>
      </xdr:txBody>
    </xdr:sp>
    <xdr:clientData/>
  </xdr:twoCellAnchor>
  <xdr:twoCellAnchor>
    <xdr:from>
      <xdr:col>0</xdr:col>
      <xdr:colOff>561975</xdr:colOff>
      <xdr:row>184</xdr:row>
      <xdr:rowOff>47625</xdr:rowOff>
    </xdr:from>
    <xdr:to>
      <xdr:col>2</xdr:col>
      <xdr:colOff>171450</xdr:colOff>
      <xdr:row>186</xdr:row>
      <xdr:rowOff>66675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xmlns="" id="{1A78B658-B133-4ED8-A551-B572ABB5304E}"/>
            </a:ext>
          </a:extLst>
        </xdr:cNvPr>
        <xdr:cNvSpPr/>
      </xdr:nvSpPr>
      <xdr:spPr>
        <a:xfrm>
          <a:off x="561975" y="38490525"/>
          <a:ext cx="1171575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solidFill>
                <a:srgbClr val="C00000"/>
              </a:solidFill>
            </a:rPr>
            <a:t>A1 &amp; A2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856256</xdr:colOff>
      <xdr:row>14</xdr:row>
      <xdr:rowOff>0</xdr:rowOff>
    </xdr:from>
    <xdr:to>
      <xdr:col>17</xdr:col>
      <xdr:colOff>38227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21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96142-ikigai-by-puraniks-builders-pvt-ltd-in-kasarvadavali-thane-west" TargetMode="External"/><Relationship Id="rId1" Type="http://schemas.openxmlformats.org/officeDocument/2006/relationships/hyperlink" Target="https://maps.app.goo.gl/aru7kYMfXdAY5mFy5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09"/>
  <sheetViews>
    <sheetView tabSelected="1" showWhiteSpace="0" view="pageBreakPreview" topLeftCell="A152" zoomScaleNormal="100" zoomScaleSheetLayoutView="100" zoomScalePageLayoutView="85" workbookViewId="0">
      <selection activeCell="K158" sqref="K158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2.42578125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hidden="1" customWidth="1"/>
    <col min="15" max="15" width="9.85546875" style="3" hidden="1" customWidth="1"/>
    <col min="16" max="16" width="11.7109375" style="3" hidden="1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9" ht="46.5" customHeight="1" x14ac:dyDescent="0.25">
      <c r="A1" s="154" t="s">
        <v>173</v>
      </c>
      <c r="B1" s="154"/>
      <c r="C1" s="154"/>
      <c r="D1" s="154"/>
      <c r="E1" s="154"/>
      <c r="F1" s="154"/>
      <c r="G1" s="154"/>
      <c r="H1" s="154"/>
    </row>
    <row r="2" spans="1:9" ht="16.5" customHeight="1" x14ac:dyDescent="0.25">
      <c r="A2" s="155" t="s">
        <v>0</v>
      </c>
      <c r="B2" s="155"/>
      <c r="C2" s="155"/>
      <c r="D2" s="155"/>
      <c r="E2" s="155"/>
      <c r="F2" s="155"/>
      <c r="G2" s="155"/>
      <c r="H2" s="155"/>
    </row>
    <row r="3" spans="1:9" x14ac:dyDescent="0.25">
      <c r="A3" s="152" t="s">
        <v>1</v>
      </c>
      <c r="B3" s="152"/>
      <c r="C3" s="152"/>
      <c r="D3" s="152"/>
      <c r="E3" s="153" t="str">
        <f ca="1">TEXT(TODAY(),"DD/MM/YYYY")</f>
        <v>13/08/2025</v>
      </c>
      <c r="F3" s="153"/>
      <c r="G3" s="153"/>
      <c r="H3" s="153"/>
    </row>
    <row r="4" spans="1:9" ht="15" customHeight="1" x14ac:dyDescent="0.25">
      <c r="A4" s="152" t="s">
        <v>2</v>
      </c>
      <c r="B4" s="152"/>
      <c r="C4" s="152"/>
      <c r="D4" s="152"/>
      <c r="E4" s="138" t="s">
        <v>212</v>
      </c>
      <c r="F4" s="138"/>
      <c r="G4" s="138"/>
      <c r="H4" s="138"/>
    </row>
    <row r="5" spans="1:9" x14ac:dyDescent="0.25">
      <c r="A5" s="152" t="s">
        <v>3</v>
      </c>
      <c r="B5" s="152"/>
      <c r="C5" s="152"/>
      <c r="D5" s="152"/>
      <c r="E5" s="153">
        <v>45880</v>
      </c>
      <c r="F5" s="153"/>
      <c r="G5" s="153"/>
      <c r="H5" s="153"/>
      <c r="I5" s="3" t="s">
        <v>229</v>
      </c>
    </row>
    <row r="6" spans="1:9" ht="16.5" customHeight="1" x14ac:dyDescent="0.25">
      <c r="A6" s="152" t="s">
        <v>4</v>
      </c>
      <c r="B6" s="152"/>
      <c r="C6" s="152"/>
      <c r="D6" s="152"/>
      <c r="E6" s="143" t="s">
        <v>211</v>
      </c>
      <c r="F6" s="143"/>
      <c r="G6" s="143"/>
      <c r="H6" s="143"/>
    </row>
    <row r="7" spans="1:9" ht="15" customHeight="1" x14ac:dyDescent="0.25">
      <c r="A7" s="152" t="s">
        <v>5</v>
      </c>
      <c r="B7" s="152"/>
      <c r="C7" s="152"/>
      <c r="D7" s="152"/>
      <c r="E7" s="143" t="str">
        <f>E6</f>
        <v>Puranik Tokyo Bay Private Limited</v>
      </c>
      <c r="F7" s="143"/>
      <c r="G7" s="143"/>
      <c r="H7" s="143"/>
    </row>
    <row r="8" spans="1:9" x14ac:dyDescent="0.25">
      <c r="A8" s="152" t="s">
        <v>6</v>
      </c>
      <c r="B8" s="152"/>
      <c r="C8" s="152"/>
      <c r="D8" s="152"/>
      <c r="E8" s="156" t="s">
        <v>214</v>
      </c>
      <c r="F8" s="156"/>
      <c r="G8" s="156"/>
      <c r="H8" s="156"/>
    </row>
    <row r="9" spans="1:9" x14ac:dyDescent="0.25">
      <c r="A9" s="152" t="s">
        <v>125</v>
      </c>
      <c r="B9" s="152"/>
      <c r="C9" s="152"/>
      <c r="D9" s="152"/>
      <c r="E9" s="152" t="s">
        <v>157</v>
      </c>
      <c r="F9" s="152"/>
      <c r="G9" s="152"/>
      <c r="H9" s="152"/>
    </row>
    <row r="10" spans="1:9" x14ac:dyDescent="0.25">
      <c r="A10" s="152" t="s">
        <v>199</v>
      </c>
      <c r="B10" s="152"/>
      <c r="C10" s="152"/>
      <c r="D10" s="152"/>
      <c r="E10" s="152" t="s">
        <v>230</v>
      </c>
      <c r="F10" s="152"/>
      <c r="G10" s="152"/>
      <c r="H10" s="152"/>
    </row>
    <row r="11" spans="1:9" ht="35.1" customHeight="1" x14ac:dyDescent="0.25">
      <c r="A11" s="150" t="s">
        <v>7</v>
      </c>
      <c r="B11" s="150"/>
      <c r="C11" s="150"/>
      <c r="D11" s="150"/>
      <c r="E11" s="151" t="s">
        <v>205</v>
      </c>
      <c r="F11" s="150"/>
      <c r="G11" s="150"/>
      <c r="H11" s="150"/>
    </row>
    <row r="12" spans="1:9" x14ac:dyDescent="0.25">
      <c r="A12" s="152" t="s">
        <v>8</v>
      </c>
      <c r="B12" s="152"/>
      <c r="C12" s="152"/>
      <c r="D12" s="152"/>
      <c r="E12" s="141" t="s">
        <v>210</v>
      </c>
      <c r="F12" s="142"/>
      <c r="G12" s="142"/>
      <c r="H12" s="142"/>
    </row>
    <row r="13" spans="1:9" ht="65.25" customHeight="1" x14ac:dyDescent="0.25">
      <c r="A13" s="152" t="s">
        <v>218</v>
      </c>
      <c r="B13" s="152"/>
      <c r="C13" s="152"/>
      <c r="D13" s="152"/>
      <c r="E13" s="141" t="s">
        <v>219</v>
      </c>
      <c r="F13" s="142"/>
      <c r="G13" s="142"/>
      <c r="H13" s="142"/>
    </row>
    <row r="14" spans="1:9" ht="35.25" customHeight="1" x14ac:dyDescent="0.25">
      <c r="A14" s="143" t="s">
        <v>9</v>
      </c>
      <c r="B14" s="143"/>
      <c r="C14" s="143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IKIGAI Phase 1, Survey No.45/2/A, 45/2/B, 45/4, 45/5, 45/9/A, 45/9/B, 45/10/A &amp; Amp; 45/10/B, near KIPL Morya, Internal Road, Owale, Thane West, Thane, Thane.</v>
      </c>
      <c r="D14" s="143"/>
      <c r="E14" s="143"/>
      <c r="F14" s="143"/>
      <c r="G14" s="143"/>
      <c r="H14" s="143"/>
    </row>
    <row r="15" spans="1:9" ht="15.75" customHeight="1" x14ac:dyDescent="0.25">
      <c r="A15" s="149" t="s">
        <v>158</v>
      </c>
      <c r="B15" s="149"/>
      <c r="C15" s="144" t="s">
        <v>180</v>
      </c>
      <c r="D15" s="145"/>
      <c r="E15" s="145"/>
      <c r="F15" s="145"/>
      <c r="G15" s="145"/>
      <c r="H15" s="146"/>
    </row>
    <row r="16" spans="1:9" ht="15.75" customHeight="1" x14ac:dyDescent="0.25">
      <c r="A16" s="113" t="s">
        <v>10</v>
      </c>
      <c r="B16" s="113"/>
      <c r="C16" s="117" t="s">
        <v>187</v>
      </c>
      <c r="D16" s="117"/>
      <c r="E16" s="113" t="s">
        <v>75</v>
      </c>
      <c r="F16" s="113"/>
      <c r="G16" s="124" t="s">
        <v>209</v>
      </c>
      <c r="H16" s="124"/>
    </row>
    <row r="17" spans="1:8" x14ac:dyDescent="0.25">
      <c r="A17" s="104" t="s">
        <v>12</v>
      </c>
      <c r="B17" s="104"/>
      <c r="C17" s="124" t="s">
        <v>155</v>
      </c>
      <c r="D17" s="124"/>
      <c r="E17" s="113" t="s">
        <v>11</v>
      </c>
      <c r="F17" s="113"/>
      <c r="G17" s="147" t="s">
        <v>156</v>
      </c>
      <c r="H17" s="147"/>
    </row>
    <row r="18" spans="1:8" x14ac:dyDescent="0.25">
      <c r="A18" s="104" t="s">
        <v>76</v>
      </c>
      <c r="B18" s="104"/>
      <c r="C18" s="124" t="s">
        <v>156</v>
      </c>
      <c r="D18" s="124"/>
      <c r="E18" s="113" t="s">
        <v>13</v>
      </c>
      <c r="F18" s="113"/>
      <c r="G18" s="124">
        <v>400615</v>
      </c>
      <c r="H18" s="124"/>
    </row>
    <row r="19" spans="1:8" ht="32.25" customHeight="1" x14ac:dyDescent="0.25">
      <c r="A19" s="104" t="s">
        <v>126</v>
      </c>
      <c r="B19" s="104"/>
      <c r="C19" s="148" t="s">
        <v>167</v>
      </c>
      <c r="D19" s="148"/>
      <c r="E19" s="113" t="s">
        <v>14</v>
      </c>
      <c r="F19" s="113"/>
      <c r="G19" s="149" t="s">
        <v>183</v>
      </c>
      <c r="H19" s="149"/>
    </row>
    <row r="20" spans="1:8" ht="15" customHeight="1" x14ac:dyDescent="0.25">
      <c r="A20" s="113" t="s">
        <v>79</v>
      </c>
      <c r="B20" s="113"/>
      <c r="C20" s="113"/>
      <c r="D20" s="113"/>
      <c r="E20" s="117" t="s">
        <v>15</v>
      </c>
      <c r="F20" s="117"/>
      <c r="G20" s="117"/>
      <c r="H20" s="117"/>
    </row>
    <row r="21" spans="1:8" ht="18.75" customHeight="1" x14ac:dyDescent="0.25">
      <c r="A21" s="113"/>
      <c r="B21" s="113"/>
      <c r="C21" s="113"/>
      <c r="D21" s="113"/>
      <c r="E21" s="117"/>
      <c r="F21" s="117"/>
      <c r="G21" s="117"/>
      <c r="H21" s="117"/>
    </row>
    <row r="22" spans="1:8" ht="15" customHeight="1" x14ac:dyDescent="0.25">
      <c r="A22" s="113" t="s">
        <v>16</v>
      </c>
      <c r="B22" s="113"/>
      <c r="C22" s="113"/>
      <c r="D22" s="113"/>
      <c r="E22" s="124" t="s">
        <v>17</v>
      </c>
      <c r="F22" s="124"/>
      <c r="G22" s="124"/>
      <c r="H22" s="124"/>
    </row>
    <row r="23" spans="1:8" ht="15" customHeight="1" x14ac:dyDescent="0.25">
      <c r="A23" s="104" t="s">
        <v>18</v>
      </c>
      <c r="B23" s="104"/>
      <c r="C23" s="104"/>
      <c r="D23" s="104"/>
      <c r="E23" s="124" t="str">
        <f>IF(AND(G17="Mumbai"),"Upper Class","Middle Class")</f>
        <v>Middle Class</v>
      </c>
      <c r="F23" s="124"/>
      <c r="G23" s="124"/>
      <c r="H23" s="124"/>
    </row>
    <row r="24" spans="1:8" x14ac:dyDescent="0.25">
      <c r="A24" s="104" t="s">
        <v>19</v>
      </c>
      <c r="B24" s="104"/>
      <c r="C24" s="104"/>
      <c r="D24" s="104"/>
      <c r="E24" s="124" t="s">
        <v>20</v>
      </c>
      <c r="F24" s="124"/>
      <c r="G24" s="124"/>
      <c r="H24" s="124"/>
    </row>
    <row r="25" spans="1:8" ht="15.75" customHeight="1" x14ac:dyDescent="0.25">
      <c r="A25" s="104" t="s">
        <v>21</v>
      </c>
      <c r="B25" s="104"/>
      <c r="C25" s="104"/>
      <c r="D25" s="104"/>
      <c r="E25" s="124" t="str">
        <f>IF(AND(G17="Mumbai"),"Developed","Developing")</f>
        <v>Developing</v>
      </c>
      <c r="F25" s="124"/>
      <c r="G25" s="124"/>
      <c r="H25" s="124"/>
    </row>
    <row r="26" spans="1:8" x14ac:dyDescent="0.25">
      <c r="A26" s="104" t="s">
        <v>22</v>
      </c>
      <c r="B26" s="104"/>
      <c r="C26" s="104"/>
      <c r="D26" s="104"/>
      <c r="E26" s="124" t="s">
        <v>23</v>
      </c>
      <c r="F26" s="124"/>
      <c r="G26" s="124"/>
      <c r="H26" s="124"/>
    </row>
    <row r="27" spans="1:8" x14ac:dyDescent="0.25">
      <c r="A27" s="104" t="s">
        <v>86</v>
      </c>
      <c r="B27" s="104"/>
      <c r="C27" s="104"/>
      <c r="D27" s="104"/>
      <c r="E27" s="124" t="s">
        <v>87</v>
      </c>
      <c r="F27" s="124"/>
      <c r="G27" s="124"/>
      <c r="H27" s="124"/>
    </row>
    <row r="28" spans="1:8" ht="15" customHeight="1" x14ac:dyDescent="0.25">
      <c r="A28" s="113" t="s">
        <v>31</v>
      </c>
      <c r="B28" s="113"/>
      <c r="C28" s="113"/>
      <c r="D28" s="113"/>
      <c r="E28" s="138" t="s">
        <v>164</v>
      </c>
      <c r="F28" s="138"/>
      <c r="G28" s="138"/>
      <c r="H28" s="138"/>
    </row>
    <row r="29" spans="1:8" x14ac:dyDescent="0.25">
      <c r="A29" s="113" t="s">
        <v>97</v>
      </c>
      <c r="B29" s="113"/>
      <c r="C29" s="113"/>
      <c r="D29" s="113"/>
      <c r="E29" s="113" t="s">
        <v>32</v>
      </c>
      <c r="F29" s="113"/>
      <c r="G29" s="113"/>
      <c r="H29" s="113"/>
    </row>
    <row r="30" spans="1:8" s="6" customFormat="1" x14ac:dyDescent="0.25">
      <c r="A30" s="140" t="s">
        <v>98</v>
      </c>
      <c r="B30" s="140"/>
      <c r="C30" s="139" t="s">
        <v>184</v>
      </c>
      <c r="D30" s="139"/>
      <c r="E30" s="139"/>
      <c r="F30" s="139" t="s">
        <v>29</v>
      </c>
      <c r="G30" s="139"/>
      <c r="H30" s="139"/>
    </row>
    <row r="31" spans="1:8" s="6" customFormat="1" x14ac:dyDescent="0.25">
      <c r="A31" s="109" t="s">
        <v>24</v>
      </c>
      <c r="B31" s="109" t="s">
        <v>28</v>
      </c>
      <c r="C31" s="110" t="s">
        <v>191</v>
      </c>
      <c r="D31" s="110"/>
      <c r="E31" s="110"/>
      <c r="F31" s="103" t="s">
        <v>185</v>
      </c>
      <c r="G31" s="110"/>
      <c r="H31" s="110"/>
    </row>
    <row r="32" spans="1:8" x14ac:dyDescent="0.25">
      <c r="A32" s="109" t="s">
        <v>25</v>
      </c>
      <c r="B32" s="109" t="s">
        <v>28</v>
      </c>
      <c r="C32" s="110" t="s">
        <v>188</v>
      </c>
      <c r="D32" s="110"/>
      <c r="E32" s="110"/>
      <c r="F32" s="110" t="s">
        <v>187</v>
      </c>
      <c r="G32" s="110"/>
      <c r="H32" s="110"/>
    </row>
    <row r="33" spans="1:10" s="6" customFormat="1" x14ac:dyDescent="0.25">
      <c r="A33" s="109" t="s">
        <v>27</v>
      </c>
      <c r="B33" s="109" t="s">
        <v>28</v>
      </c>
      <c r="C33" s="110" t="s">
        <v>191</v>
      </c>
      <c r="D33" s="110"/>
      <c r="E33" s="110"/>
      <c r="F33" s="110" t="s">
        <v>154</v>
      </c>
      <c r="G33" s="110"/>
      <c r="H33" s="110"/>
    </row>
    <row r="34" spans="1:10" x14ac:dyDescent="0.25">
      <c r="A34" s="109" t="s">
        <v>26</v>
      </c>
      <c r="B34" s="109" t="s">
        <v>28</v>
      </c>
      <c r="C34" s="110" t="s">
        <v>189</v>
      </c>
      <c r="D34" s="110"/>
      <c r="E34" s="110"/>
      <c r="F34" s="110" t="s">
        <v>190</v>
      </c>
      <c r="G34" s="110"/>
      <c r="H34" s="110"/>
    </row>
    <row r="35" spans="1:10" x14ac:dyDescent="0.25">
      <c r="A35" s="104" t="s">
        <v>30</v>
      </c>
      <c r="B35" s="104"/>
      <c r="C35" s="104"/>
      <c r="D35" s="104"/>
      <c r="E35" s="104"/>
      <c r="F35" s="104"/>
      <c r="G35" s="104"/>
      <c r="H35" s="104"/>
    </row>
    <row r="36" spans="1:10" ht="15.75" customHeight="1" x14ac:dyDescent="0.25">
      <c r="A36" s="126" t="s">
        <v>174</v>
      </c>
      <c r="B36" s="126"/>
      <c r="C36" s="111" t="s">
        <v>181</v>
      </c>
      <c r="D36" s="111"/>
      <c r="E36" s="111"/>
      <c r="F36" s="111"/>
      <c r="G36" s="111"/>
      <c r="H36" s="111"/>
    </row>
    <row r="37" spans="1:10" ht="15.75" customHeight="1" x14ac:dyDescent="0.25">
      <c r="A37" s="126" t="s">
        <v>175</v>
      </c>
      <c r="B37" s="126"/>
      <c r="C37" s="135" t="s">
        <v>182</v>
      </c>
      <c r="D37" s="136"/>
      <c r="E37" s="136"/>
      <c r="F37" s="136"/>
      <c r="G37" s="136"/>
      <c r="H37" s="136"/>
    </row>
    <row r="38" spans="1:10" x14ac:dyDescent="0.25">
      <c r="A38" s="125" t="s">
        <v>33</v>
      </c>
      <c r="B38" s="125"/>
      <c r="C38" s="125"/>
      <c r="D38" s="125"/>
      <c r="E38" s="125"/>
      <c r="F38" s="125"/>
      <c r="G38" s="125"/>
      <c r="H38" s="125"/>
    </row>
    <row r="39" spans="1:10" x14ac:dyDescent="0.25">
      <c r="A39" s="104" t="s">
        <v>34</v>
      </c>
      <c r="B39" s="104"/>
      <c r="C39" s="104"/>
      <c r="D39" s="104"/>
      <c r="E39" s="112">
        <v>9921.1</v>
      </c>
      <c r="F39" s="112"/>
      <c r="G39" s="112"/>
      <c r="H39" s="112"/>
    </row>
    <row r="40" spans="1:10" x14ac:dyDescent="0.25">
      <c r="A40" s="104" t="s">
        <v>35</v>
      </c>
      <c r="B40" s="104"/>
      <c r="C40" s="104"/>
      <c r="D40" s="104"/>
      <c r="E40" s="115">
        <v>1.1000000000000001</v>
      </c>
      <c r="F40" s="115"/>
      <c r="G40" s="115"/>
      <c r="H40" s="115"/>
    </row>
    <row r="41" spans="1:10" x14ac:dyDescent="0.25">
      <c r="A41" s="104" t="s">
        <v>36</v>
      </c>
      <c r="B41" s="104"/>
      <c r="C41" s="104"/>
      <c r="D41" s="104"/>
      <c r="E41" s="115">
        <f>E43/E39-E40</f>
        <v>4.3398302607573758</v>
      </c>
      <c r="F41" s="115"/>
      <c r="G41" s="115"/>
      <c r="H41" s="115"/>
      <c r="I41" s="3">
        <f>E43/E39</f>
        <v>5.4398302607573754</v>
      </c>
    </row>
    <row r="42" spans="1:10" x14ac:dyDescent="0.25">
      <c r="A42" s="104" t="s">
        <v>37</v>
      </c>
      <c r="B42" s="104"/>
      <c r="C42" s="104"/>
      <c r="D42" s="104"/>
      <c r="E42" s="115">
        <f>E40+E41</f>
        <v>5.4398302607573754</v>
      </c>
      <c r="F42" s="115"/>
      <c r="G42" s="115"/>
      <c r="H42" s="115"/>
    </row>
    <row r="43" spans="1:10" x14ac:dyDescent="0.25">
      <c r="A43" s="104" t="s">
        <v>96</v>
      </c>
      <c r="B43" s="104"/>
      <c r="C43" s="104"/>
      <c r="D43" s="104"/>
      <c r="E43" s="116">
        <v>53969.1</v>
      </c>
      <c r="F43" s="116"/>
      <c r="G43" s="116"/>
      <c r="H43" s="116"/>
      <c r="I43" s="3">
        <f>53969.1/E39</f>
        <v>5.4398302607573754</v>
      </c>
      <c r="J43" s="3" t="s">
        <v>192</v>
      </c>
    </row>
    <row r="44" spans="1:10" x14ac:dyDescent="0.25">
      <c r="A44" s="117" t="s">
        <v>38</v>
      </c>
      <c r="B44" s="117"/>
      <c r="C44" s="117"/>
      <c r="D44" s="117"/>
      <c r="E44" s="117" t="s">
        <v>170</v>
      </c>
      <c r="F44" s="117"/>
      <c r="G44" s="117"/>
      <c r="H44" s="117"/>
      <c r="I44" s="3">
        <f>199.82+284.31+17308.37+17295.26+18881.34+122.58</f>
        <v>54091.679999999993</v>
      </c>
    </row>
    <row r="45" spans="1:10" x14ac:dyDescent="0.25">
      <c r="A45" s="93" t="s">
        <v>39</v>
      </c>
      <c r="B45" s="93"/>
      <c r="C45" s="93"/>
      <c r="D45" s="93"/>
      <c r="E45" s="93"/>
      <c r="F45" s="93"/>
      <c r="G45" s="93"/>
      <c r="H45" s="93"/>
    </row>
    <row r="46" spans="1:10" x14ac:dyDescent="0.25">
      <c r="A46" s="124" t="s">
        <v>40</v>
      </c>
      <c r="B46" s="124"/>
      <c r="C46" s="127" t="s">
        <v>194</v>
      </c>
      <c r="D46" s="127"/>
      <c r="E46" s="127"/>
      <c r="F46" s="59" t="s">
        <v>41</v>
      </c>
      <c r="G46" s="123">
        <v>45230</v>
      </c>
      <c r="H46" s="123"/>
    </row>
    <row r="47" spans="1:10" x14ac:dyDescent="0.25">
      <c r="A47" s="117" t="s">
        <v>42</v>
      </c>
      <c r="B47" s="117"/>
      <c r="C47" s="127" t="str">
        <f>C46</f>
        <v>TMCB/RB/2023/APL/00086</v>
      </c>
      <c r="D47" s="127"/>
      <c r="E47" s="127"/>
      <c r="F47" s="59" t="s">
        <v>41</v>
      </c>
      <c r="G47" s="123">
        <f>G46</f>
        <v>45230</v>
      </c>
      <c r="H47" s="123"/>
    </row>
    <row r="48" spans="1:10" s="5" customFormat="1" x14ac:dyDescent="0.25">
      <c r="A48" s="124" t="s">
        <v>195</v>
      </c>
      <c r="B48" s="124"/>
      <c r="C48" s="127" t="str">
        <f>C47</f>
        <v>TMCB/RB/2023/APL/00086</v>
      </c>
      <c r="D48" s="94"/>
      <c r="E48" s="94"/>
      <c r="F48" s="8" t="s">
        <v>41</v>
      </c>
      <c r="G48" s="123">
        <f>G47</f>
        <v>45230</v>
      </c>
      <c r="H48" s="123"/>
      <c r="I48" s="3"/>
    </row>
    <row r="49" spans="1:14" s="5" customFormat="1" ht="36" customHeight="1" x14ac:dyDescent="0.25">
      <c r="A49" s="124"/>
      <c r="B49" s="124"/>
      <c r="C49" s="132" t="s">
        <v>196</v>
      </c>
      <c r="D49" s="133"/>
      <c r="E49" s="133"/>
      <c r="F49" s="133"/>
      <c r="G49" s="133"/>
      <c r="H49" s="134"/>
    </row>
    <row r="50" spans="1:14" x14ac:dyDescent="0.25">
      <c r="A50" s="128" t="s">
        <v>43</v>
      </c>
      <c r="B50" s="128"/>
      <c r="C50" s="129" t="s">
        <v>109</v>
      </c>
      <c r="D50" s="130"/>
      <c r="E50" s="130" t="s">
        <v>44</v>
      </c>
      <c r="F50" s="79" t="s">
        <v>41</v>
      </c>
      <c r="G50" s="137" t="s">
        <v>28</v>
      </c>
      <c r="H50" s="137"/>
    </row>
    <row r="51" spans="1:14" x14ac:dyDescent="0.25">
      <c r="A51" s="131" t="s">
        <v>46</v>
      </c>
      <c r="B51" s="131"/>
      <c r="C51" s="131"/>
      <c r="D51" s="131"/>
      <c r="E51" s="131"/>
      <c r="F51" s="131"/>
      <c r="G51" s="131"/>
      <c r="H51" s="131"/>
    </row>
    <row r="52" spans="1:14" ht="33" customHeight="1" x14ac:dyDescent="0.25">
      <c r="A52" s="124" t="s">
        <v>193</v>
      </c>
      <c r="B52" s="124"/>
      <c r="C52" s="124"/>
      <c r="D52" s="117">
        <f>18881.34+17295.26</f>
        <v>36176.6</v>
      </c>
      <c r="E52" s="117"/>
      <c r="F52" s="117"/>
      <c r="G52" s="117"/>
      <c r="H52" s="117"/>
    </row>
    <row r="53" spans="1:14" x14ac:dyDescent="0.25">
      <c r="A53" s="124" t="s">
        <v>47</v>
      </c>
      <c r="B53" s="117"/>
      <c r="C53" s="117"/>
      <c r="D53" s="117" t="s">
        <v>200</v>
      </c>
      <c r="E53" s="117"/>
      <c r="F53" s="117"/>
      <c r="G53" s="117"/>
      <c r="H53" s="117"/>
      <c r="I53" s="39"/>
    </row>
    <row r="54" spans="1:14" ht="32.25" customHeight="1" x14ac:dyDescent="0.25">
      <c r="A54" s="120" t="s">
        <v>48</v>
      </c>
      <c r="B54" s="121"/>
      <c r="C54" s="122"/>
      <c r="D54" s="118" t="s">
        <v>216</v>
      </c>
      <c r="E54" s="119"/>
      <c r="F54" s="119"/>
      <c r="G54" s="119"/>
      <c r="H54" s="119"/>
      <c r="I54" s="40"/>
    </row>
    <row r="55" spans="1:14" ht="32.25" customHeight="1" x14ac:dyDescent="0.25">
      <c r="A55" s="120" t="s">
        <v>94</v>
      </c>
      <c r="B55" s="121"/>
      <c r="C55" s="121"/>
      <c r="D55" s="118" t="s">
        <v>217</v>
      </c>
      <c r="E55" s="119"/>
      <c r="F55" s="119"/>
      <c r="G55" s="119"/>
      <c r="H55" s="119"/>
      <c r="I55" s="85" t="s">
        <v>207</v>
      </c>
    </row>
    <row r="56" spans="1:14" ht="15.75" hidden="1" customHeight="1" x14ac:dyDescent="0.25">
      <c r="A56" s="194"/>
      <c r="B56" s="195"/>
      <c r="C56" s="195"/>
      <c r="D56" s="196" t="s">
        <v>206</v>
      </c>
      <c r="E56" s="197"/>
      <c r="F56" s="197"/>
      <c r="G56" s="197"/>
      <c r="H56" s="197"/>
      <c r="I56" s="40"/>
    </row>
    <row r="57" spans="1:14" ht="15.75" customHeight="1" x14ac:dyDescent="0.25">
      <c r="A57" s="104" t="s">
        <v>45</v>
      </c>
      <c r="B57" s="104"/>
      <c r="C57" s="104"/>
      <c r="D57" s="113" t="s">
        <v>159</v>
      </c>
      <c r="E57" s="113"/>
      <c r="F57" s="113"/>
      <c r="G57" s="113"/>
      <c r="H57" s="113"/>
      <c r="J57" s="38"/>
      <c r="K57" s="39"/>
      <c r="N57" s="39"/>
    </row>
    <row r="58" spans="1:14" ht="15.75" customHeight="1" x14ac:dyDescent="0.25">
      <c r="A58" s="104" t="s">
        <v>92</v>
      </c>
      <c r="B58" s="104"/>
      <c r="C58" s="104"/>
      <c r="D58" s="114" t="str">
        <f>(IF(G50="NA","60 Years After Completion",IF(G50&lt;&gt;"NA",""&amp;60-ROUNDDOWN((E3-G50)/360,0)&amp;" Years"," ")))</f>
        <v>60 Years After Completion</v>
      </c>
      <c r="E58" s="114"/>
      <c r="F58" s="114"/>
      <c r="G58" s="114"/>
      <c r="H58" s="114"/>
      <c r="N58" s="39"/>
    </row>
    <row r="59" spans="1:14" ht="15.75" customHeight="1" x14ac:dyDescent="0.25">
      <c r="A59" s="104" t="s">
        <v>93</v>
      </c>
      <c r="B59" s="104"/>
      <c r="C59" s="104"/>
      <c r="D59" s="113" t="s">
        <v>23</v>
      </c>
      <c r="E59" s="113"/>
      <c r="F59" s="113"/>
      <c r="G59" s="113"/>
      <c r="H59" s="113"/>
      <c r="J59" s="13"/>
      <c r="K59" s="13"/>
    </row>
    <row r="60" spans="1:14" ht="97.5" customHeight="1" x14ac:dyDescent="0.25">
      <c r="A60" s="104" t="s">
        <v>77</v>
      </c>
      <c r="B60" s="104"/>
      <c r="C60" s="104"/>
      <c r="D60" s="124" t="s">
        <v>198</v>
      </c>
      <c r="E60" s="113"/>
      <c r="F60" s="113"/>
      <c r="G60" s="113"/>
      <c r="H60" s="113"/>
      <c r="I60" s="84" t="s">
        <v>197</v>
      </c>
    </row>
    <row r="61" spans="1:14" x14ac:dyDescent="0.25">
      <c r="A61" s="113" t="s">
        <v>152</v>
      </c>
      <c r="B61" s="113"/>
      <c r="C61" s="113"/>
      <c r="D61" s="113" t="s">
        <v>28</v>
      </c>
      <c r="E61" s="113"/>
      <c r="F61" s="113"/>
      <c r="G61" s="113"/>
      <c r="H61" s="113"/>
      <c r="I61" s="51"/>
      <c r="J61" s="51"/>
      <c r="K61" s="51"/>
      <c r="L61" s="51"/>
      <c r="M61" s="51"/>
      <c r="N61" s="51"/>
    </row>
    <row r="62" spans="1:14" ht="15.75" customHeight="1" x14ac:dyDescent="0.25">
      <c r="A62" s="104" t="s">
        <v>91</v>
      </c>
      <c r="B62" s="104"/>
      <c r="C62" s="104"/>
      <c r="D62" s="124" t="str">
        <f ca="1">(IF(G68&gt;95%,"Nothing",IF(G68&gt;0%,"Cement, Aggregate, Steel, etc",IF(G68=0%,"Work not yet Started"))))</f>
        <v>Cement, Aggregate, Steel, etc</v>
      </c>
      <c r="E62" s="124"/>
      <c r="F62" s="124"/>
      <c r="G62" s="124"/>
      <c r="H62" s="124"/>
      <c r="J62" s="13"/>
    </row>
    <row r="63" spans="1:14" ht="33.75" customHeight="1" thickBot="1" x14ac:dyDescent="0.3">
      <c r="A63" s="113" t="s">
        <v>122</v>
      </c>
      <c r="B63" s="113"/>
      <c r="C63" s="113"/>
      <c r="D63" s="124" t="str">
        <f ca="1">(IF(D62="Nothing","Yes",IF(D62="Cement, Aggregate, Steel, etc","Under Construction",IF(D62="Work not yet Started","Work not yet Started"))))</f>
        <v>Under Construction</v>
      </c>
      <c r="E63" s="124"/>
      <c r="F63" s="124" t="str">
        <f ca="1">(IF(D62="Nothing","Yes",IF(D62="Cement, Aggregate, Steel, etc","Under Construction",IF(D62="Work not yet Started","Work not yet Started"))))</f>
        <v>Under Construction</v>
      </c>
      <c r="G63" s="124"/>
      <c r="H63" s="124"/>
    </row>
    <row r="64" spans="1:14" ht="30.75" customHeight="1" x14ac:dyDescent="0.25">
      <c r="A64" s="128" t="s">
        <v>144</v>
      </c>
      <c r="B64" s="128"/>
      <c r="C64" s="167" t="s">
        <v>231</v>
      </c>
      <c r="D64" s="167"/>
      <c r="E64" s="167"/>
      <c r="F64" s="167"/>
      <c r="G64" s="167"/>
      <c r="H64" s="167"/>
      <c r="I64" s="44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Excavation work Completed. Plinth work completed, RCC upto 15 Slab, Brickwork upto 13 Floor, Internal Plaster upto 9.75 Floor, External Plaster upto 9.1 Floor Completed</v>
      </c>
      <c r="J64" s="15"/>
    </row>
    <row r="65" spans="1:10" s="5" customFormat="1" x14ac:dyDescent="0.25">
      <c r="A65" s="88" t="s">
        <v>146</v>
      </c>
      <c r="B65" s="88">
        <v>2</v>
      </c>
      <c r="C65" s="88" t="s">
        <v>74</v>
      </c>
      <c r="D65" s="88">
        <v>1</v>
      </c>
      <c r="E65" s="88" t="s">
        <v>73</v>
      </c>
      <c r="F65" s="88">
        <v>0</v>
      </c>
      <c r="G65" s="88" t="s">
        <v>85</v>
      </c>
      <c r="H65" s="88">
        <f ca="1">--TRIM(RIGHT(SUBSTITUTE(LEFT(C64,_xlfn.AGGREGATE(16,6,FIND({0,1,2,3,4,5,6,7,8,9},C64,ROW(INDIRECT("1:"&amp;LEN(C64)))),1))," ",REPT(" ",LEN(C64))),LEN(C64)))</f>
        <v>40</v>
      </c>
      <c r="I65" s="60"/>
      <c r="J65" s="61"/>
    </row>
    <row r="66" spans="1:10" s="5" customFormat="1" ht="46.5" customHeight="1" x14ac:dyDescent="0.25">
      <c r="A66" s="166" t="s">
        <v>95</v>
      </c>
      <c r="B66" s="166"/>
      <c r="C66" s="128" t="str">
        <f ca="1">I64</f>
        <v>Excavation work Completed. Plinth work completed, RCC upto 15 Slab, Brickwork upto 13 Floor, Internal Plaster upto 9.75 Floor, External Plaster upto 9.1 Floor Completed</v>
      </c>
      <c r="D66" s="128"/>
      <c r="E66" s="128"/>
      <c r="F66" s="128"/>
      <c r="G66" s="128"/>
      <c r="H66" s="128"/>
      <c r="I66" s="60" t="s">
        <v>108</v>
      </c>
      <c r="J66" s="61"/>
    </row>
    <row r="67" spans="1:10" s="5" customFormat="1" ht="15.75" customHeight="1" x14ac:dyDescent="0.25">
      <c r="A67" s="103" t="s">
        <v>49</v>
      </c>
      <c r="B67" s="103"/>
      <c r="C67" s="62" t="s">
        <v>143</v>
      </c>
      <c r="D67" s="87" t="s">
        <v>88</v>
      </c>
      <c r="E67" s="103" t="s">
        <v>90</v>
      </c>
      <c r="F67" s="103"/>
      <c r="G67" s="103" t="s">
        <v>89</v>
      </c>
      <c r="H67" s="103"/>
      <c r="I67" s="64" t="s">
        <v>145</v>
      </c>
      <c r="J67" s="65">
        <f ca="1">H65*25%</f>
        <v>10</v>
      </c>
    </row>
    <row r="68" spans="1:10" s="5" customFormat="1" x14ac:dyDescent="0.25">
      <c r="A68" s="102" t="s">
        <v>132</v>
      </c>
      <c r="B68" s="103"/>
      <c r="C68" s="66">
        <f ca="1">J69</f>
        <v>40</v>
      </c>
      <c r="D68" s="67">
        <f ca="1">((100/H65)*C68)/100</f>
        <v>1</v>
      </c>
      <c r="E68" s="98">
        <f ca="1">(((C69/H65*10)+(40/(D65+F65+H65)*C70)+(7.5/(H65)*C71)+(7.5/(H65)*C72)+(10/H65*C73)+(10/H65*C74)+(5/H65*C75)+(5/H65*C76)+(5/H65*C77))/100)</f>
        <v>0.31174771341463414</v>
      </c>
      <c r="F68" s="98"/>
      <c r="G68" s="98">
        <f ca="1">((((C68/H65)*20)+((C69/H65)*25)+(30/(H65+F65+D65)*C70)+(5/H65*C71)+(5/H65*C72)+(5/H65*C73)+(5/H65*C74)+(0/H65*C75)+(0/H65*C76)+(5/H65*C77))/100)</f>
        <v>0.59956859756097569</v>
      </c>
      <c r="H68" s="99"/>
      <c r="I68" s="64" t="s">
        <v>103</v>
      </c>
      <c r="J68" s="68">
        <f ca="1">H65*50%</f>
        <v>20</v>
      </c>
    </row>
    <row r="69" spans="1:10" s="5" customFormat="1" x14ac:dyDescent="0.25">
      <c r="A69" s="102" t="s">
        <v>50</v>
      </c>
      <c r="B69" s="103"/>
      <c r="C69" s="69">
        <v>40</v>
      </c>
      <c r="D69" s="67">
        <f ca="1">((100/H65)*C69)/100</f>
        <v>1</v>
      </c>
      <c r="E69" s="98"/>
      <c r="F69" s="98"/>
      <c r="G69" s="98"/>
      <c r="H69" s="99"/>
      <c r="I69" s="64" t="s">
        <v>104</v>
      </c>
      <c r="J69" s="68">
        <f ca="1">H65</f>
        <v>40</v>
      </c>
    </row>
    <row r="70" spans="1:10" s="5" customFormat="1" ht="15.75" customHeight="1" x14ac:dyDescent="0.25">
      <c r="A70" s="102" t="s">
        <v>133</v>
      </c>
      <c r="B70" s="103"/>
      <c r="C70" s="69">
        <v>15</v>
      </c>
      <c r="D70" s="67">
        <f ca="1">((100/(D65+F65+H65))*C70)/100</f>
        <v>0.36585365853658536</v>
      </c>
      <c r="E70" s="98"/>
      <c r="F70" s="98"/>
      <c r="G70" s="98"/>
      <c r="H70" s="99"/>
      <c r="I70" s="64" t="s">
        <v>105</v>
      </c>
      <c r="J70" s="70">
        <f ca="1">(IF(B65&gt;1,(H65/(B65+2)),H65/4))</f>
        <v>10</v>
      </c>
    </row>
    <row r="71" spans="1:10" s="5" customFormat="1" ht="15.75" customHeight="1" x14ac:dyDescent="0.25">
      <c r="A71" s="102" t="s">
        <v>140</v>
      </c>
      <c r="B71" s="103" t="s">
        <v>134</v>
      </c>
      <c r="C71" s="69">
        <f>C70-D65-1</f>
        <v>13</v>
      </c>
      <c r="D71" s="67">
        <f ca="1">((100/H65)*C71)/100</f>
        <v>0.32500000000000001</v>
      </c>
      <c r="E71" s="98"/>
      <c r="F71" s="98"/>
      <c r="G71" s="98"/>
      <c r="H71" s="99"/>
      <c r="I71" s="64" t="s">
        <v>106</v>
      </c>
      <c r="J71" s="70">
        <f ca="1">(IF(B65&gt;1,(H65/(B65+2)+J70),H65/4+J70))</f>
        <v>20</v>
      </c>
    </row>
    <row r="72" spans="1:10" s="5" customFormat="1" ht="15.75" customHeight="1" x14ac:dyDescent="0.25">
      <c r="A72" s="102" t="s">
        <v>141</v>
      </c>
      <c r="B72" s="103" t="s">
        <v>134</v>
      </c>
      <c r="C72" s="69">
        <f>C71*0.75</f>
        <v>9.75</v>
      </c>
      <c r="D72" s="67">
        <f ca="1">((100/H65)*C72)/100</f>
        <v>0.24374999999999999</v>
      </c>
      <c r="E72" s="98"/>
      <c r="F72" s="98"/>
      <c r="G72" s="98"/>
      <c r="H72" s="99"/>
      <c r="I72" s="64" t="s">
        <v>150</v>
      </c>
      <c r="J72" s="70">
        <f ca="1">(IF(B65&gt;1,(H65/(B65+2)+J71),0))</f>
        <v>30</v>
      </c>
    </row>
    <row r="73" spans="1:10" s="5" customFormat="1" ht="15" customHeight="1" x14ac:dyDescent="0.25">
      <c r="A73" s="102" t="s">
        <v>139</v>
      </c>
      <c r="B73" s="103" t="s">
        <v>136</v>
      </c>
      <c r="C73" s="69">
        <f>C71*0.7</f>
        <v>9.1</v>
      </c>
      <c r="D73" s="67">
        <f ca="1">((100/(H65))*C73)/100</f>
        <v>0.22750000000000001</v>
      </c>
      <c r="E73" s="98"/>
      <c r="F73" s="98"/>
      <c r="G73" s="98"/>
      <c r="H73" s="99"/>
      <c r="I73" s="64" t="s">
        <v>147</v>
      </c>
      <c r="J73" s="70">
        <f>(IF(B65&gt;2,(H65/(B65+2)+J72),0))</f>
        <v>0</v>
      </c>
    </row>
    <row r="74" spans="1:10" s="5" customFormat="1" ht="15.75" customHeight="1" x14ac:dyDescent="0.25">
      <c r="A74" s="102" t="s">
        <v>135</v>
      </c>
      <c r="B74" s="103" t="s">
        <v>135</v>
      </c>
      <c r="C74" s="66">
        <v>0</v>
      </c>
      <c r="D74" s="67">
        <f ca="1">((100/H65)*C74)/100</f>
        <v>0</v>
      </c>
      <c r="E74" s="98"/>
      <c r="F74" s="98"/>
      <c r="G74" s="98"/>
      <c r="H74" s="99"/>
      <c r="I74" s="64" t="s">
        <v>148</v>
      </c>
      <c r="J74" s="71">
        <f>(IF(B65&gt;3,(H65/(B65+2)+J73),0))</f>
        <v>0</v>
      </c>
    </row>
    <row r="75" spans="1:10" s="5" customFormat="1" ht="15.75" customHeight="1" x14ac:dyDescent="0.25">
      <c r="A75" s="102" t="s">
        <v>142</v>
      </c>
      <c r="B75" s="103"/>
      <c r="C75" s="66">
        <v>0</v>
      </c>
      <c r="D75" s="67">
        <f ca="1">((100/H65)*C75)/100</f>
        <v>0</v>
      </c>
      <c r="E75" s="98"/>
      <c r="F75" s="98"/>
      <c r="G75" s="98"/>
      <c r="H75" s="99"/>
      <c r="I75" s="64" t="s">
        <v>149</v>
      </c>
      <c r="J75" s="70">
        <f>(IF(B65&gt;4,(H65/(B65+2)+J74),0))</f>
        <v>0</v>
      </c>
    </row>
    <row r="76" spans="1:10" s="5" customFormat="1" ht="15.75" customHeight="1" x14ac:dyDescent="0.25">
      <c r="A76" s="102" t="s">
        <v>137</v>
      </c>
      <c r="B76" s="103" t="s">
        <v>137</v>
      </c>
      <c r="C76" s="66">
        <v>0</v>
      </c>
      <c r="D76" s="67">
        <f ca="1">((100/(H65))*C76)/100</f>
        <v>0</v>
      </c>
      <c r="E76" s="98"/>
      <c r="F76" s="98"/>
      <c r="G76" s="98"/>
      <c r="H76" s="99"/>
      <c r="I76" s="64" t="s">
        <v>151</v>
      </c>
      <c r="J76" s="70">
        <f>(IF(B65=1,(H65/(B65+3)+J71),IF(B65=0,(H65/4+J71),IF(B65&gt;1,0))))</f>
        <v>0</v>
      </c>
    </row>
    <row r="77" spans="1:10" s="5" customFormat="1" ht="16.5" thickBot="1" x14ac:dyDescent="0.3">
      <c r="A77" s="168" t="s">
        <v>138</v>
      </c>
      <c r="B77" s="169"/>
      <c r="C77" s="72">
        <v>0</v>
      </c>
      <c r="D77" s="73">
        <f ca="1">((100/(H65))*C77)/100</f>
        <v>0</v>
      </c>
      <c r="E77" s="100"/>
      <c r="F77" s="100"/>
      <c r="G77" s="100"/>
      <c r="H77" s="101"/>
      <c r="I77" s="74" t="s">
        <v>107</v>
      </c>
      <c r="J77" s="75">
        <f ca="1">(IF(B65&gt;1.5,(H65/(B65+2)+J71+MAX(0,J72-J71)+MAX(0,J73-J72)+MAX(0,J74-J73)+MAX(0,J75-J74)+MAX(0,J76-J75)),IF(B65=1,(H65/(B65+3)+J76),IF(B65=0,H65/4+J76))))</f>
        <v>40</v>
      </c>
    </row>
    <row r="78" spans="1:10" s="5" customFormat="1" ht="15.75" hidden="1" customHeight="1" x14ac:dyDescent="0.25">
      <c r="A78" s="200" t="s">
        <v>144</v>
      </c>
      <c r="B78" s="201"/>
      <c r="C78" s="176" t="s">
        <v>228</v>
      </c>
      <c r="D78" s="177"/>
      <c r="E78" s="177"/>
      <c r="F78" s="177"/>
      <c r="G78" s="177"/>
      <c r="H78" s="178"/>
      <c r="I78" s="76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Excavation work Completed. Plinth work completed, RCC upto 8 Slab, Brickwork upto 6 Floor, Internal Plaster upto 4.5 Floor, External Plaster upto 4.2 Floor Completed</v>
      </c>
      <c r="J78" s="77"/>
    </row>
    <row r="79" spans="1:10" s="5" customFormat="1" hidden="1" x14ac:dyDescent="0.25">
      <c r="A79" s="45" t="s">
        <v>146</v>
      </c>
      <c r="B79" s="55">
        <v>2</v>
      </c>
      <c r="C79" s="55" t="s">
        <v>74</v>
      </c>
      <c r="D79" s="55">
        <v>1</v>
      </c>
      <c r="E79" s="55" t="s">
        <v>73</v>
      </c>
      <c r="F79" s="55">
        <v>0</v>
      </c>
      <c r="G79" s="55" t="s">
        <v>85</v>
      </c>
      <c r="H79" s="48">
        <f ca="1">--TRIM(RIGHT(SUBSTITUTE(LEFT(C78,_xlfn.AGGREGATE(16,6,FIND({0,1,2,3,4,5,6,7,8,9},C78,ROW(INDIRECT("1:"&amp;LEN(C78)))),1))," ",REPT(" ",LEN(C78))),LEN(C78)))</f>
        <v>40</v>
      </c>
      <c r="I79" s="60"/>
      <c r="J79" s="61"/>
    </row>
    <row r="80" spans="1:10" s="5" customFormat="1" ht="46.5" hidden="1" customHeight="1" x14ac:dyDescent="0.25">
      <c r="A80" s="92" t="s">
        <v>95</v>
      </c>
      <c r="B80" s="93"/>
      <c r="C80" s="128" t="str">
        <f ca="1">I78</f>
        <v>Excavation work Completed. Plinth work completed, RCC upto 8 Slab, Brickwork upto 6 Floor, Internal Plaster upto 4.5 Floor, External Plaster upto 4.2 Floor Completed</v>
      </c>
      <c r="D80" s="128"/>
      <c r="E80" s="128"/>
      <c r="F80" s="128"/>
      <c r="G80" s="128"/>
      <c r="H80" s="202"/>
      <c r="I80" s="60" t="s">
        <v>108</v>
      </c>
      <c r="J80" s="61"/>
    </row>
    <row r="81" spans="1:11" s="5" customFormat="1" ht="15.75" hidden="1" customHeight="1" x14ac:dyDescent="0.25">
      <c r="A81" s="102" t="s">
        <v>49</v>
      </c>
      <c r="B81" s="103"/>
      <c r="C81" s="62" t="s">
        <v>143</v>
      </c>
      <c r="D81" s="63" t="s">
        <v>88</v>
      </c>
      <c r="E81" s="103" t="s">
        <v>90</v>
      </c>
      <c r="F81" s="103"/>
      <c r="G81" s="103" t="s">
        <v>89</v>
      </c>
      <c r="H81" s="198"/>
      <c r="I81" s="64" t="s">
        <v>145</v>
      </c>
      <c r="J81" s="65">
        <f ca="1">H79*25%</f>
        <v>10</v>
      </c>
    </row>
    <row r="82" spans="1:11" s="5" customFormat="1" hidden="1" x14ac:dyDescent="0.25">
      <c r="A82" s="102" t="s">
        <v>132</v>
      </c>
      <c r="B82" s="103"/>
      <c r="C82" s="66">
        <v>40</v>
      </c>
      <c r="D82" s="67">
        <f ca="1">((100/H79)*C82)/100</f>
        <v>1</v>
      </c>
      <c r="E82" s="98">
        <f ca="1">(((C83/H79*10)+(40/(D79+F79+H79)*C84)+(7.5/(H79)*C85)+(7.5/(H79)*C86)+(10/H79*C87)+(10/H79*C88)+(5/H79*C89)+(5/H79*C90)+(5/H79*C91))/100)</f>
        <v>0.20823628048780488</v>
      </c>
      <c r="F82" s="98"/>
      <c r="G82" s="98">
        <f ca="1">((((C82/H79)*20)+((C83/H79)*25)+(30/(H79+F79+D79)*C84)+(5/H79*C85)+(5/H79*C86)+(5/H79*C87)+(5/H79*C88)+(0/H79*C89)+(0/H79*C90)+(5/H79*C91))/100)</f>
        <v>0.52691158536585359</v>
      </c>
      <c r="H82" s="99"/>
      <c r="I82" s="64" t="s">
        <v>103</v>
      </c>
      <c r="J82" s="68">
        <f ca="1">H79*50%</f>
        <v>20</v>
      </c>
    </row>
    <row r="83" spans="1:11" s="5" customFormat="1" hidden="1" x14ac:dyDescent="0.25">
      <c r="A83" s="102" t="s">
        <v>50</v>
      </c>
      <c r="B83" s="103"/>
      <c r="C83" s="69">
        <v>40</v>
      </c>
      <c r="D83" s="67">
        <f ca="1">((100/H79)*C83)/100</f>
        <v>1</v>
      </c>
      <c r="E83" s="98"/>
      <c r="F83" s="98"/>
      <c r="G83" s="98"/>
      <c r="H83" s="99"/>
      <c r="I83" s="64" t="s">
        <v>104</v>
      </c>
      <c r="J83" s="68">
        <f ca="1">H79</f>
        <v>40</v>
      </c>
    </row>
    <row r="84" spans="1:11" s="5" customFormat="1" ht="15.75" hidden="1" customHeight="1" x14ac:dyDescent="0.25">
      <c r="A84" s="102" t="s">
        <v>133</v>
      </c>
      <c r="B84" s="103"/>
      <c r="C84" s="69">
        <f>D79+7</f>
        <v>8</v>
      </c>
      <c r="D84" s="67">
        <f ca="1">((100/(D79+F79+H79))*C84)/100</f>
        <v>0.1951219512195122</v>
      </c>
      <c r="E84" s="98"/>
      <c r="F84" s="98"/>
      <c r="G84" s="98"/>
      <c r="H84" s="99"/>
      <c r="I84" s="64" t="s">
        <v>105</v>
      </c>
      <c r="J84" s="70">
        <f ca="1">(IF(B79&gt;1,(H79/(B79+2)),H79/4))</f>
        <v>10</v>
      </c>
    </row>
    <row r="85" spans="1:11" s="5" customFormat="1" ht="15.75" hidden="1" customHeight="1" x14ac:dyDescent="0.25">
      <c r="A85" s="102" t="s">
        <v>140</v>
      </c>
      <c r="B85" s="103" t="s">
        <v>134</v>
      </c>
      <c r="C85" s="69">
        <f>C84-D79-1</f>
        <v>6</v>
      </c>
      <c r="D85" s="67">
        <f ca="1">((100/H79)*C85)/100</f>
        <v>0.15</v>
      </c>
      <c r="E85" s="98"/>
      <c r="F85" s="98"/>
      <c r="G85" s="98"/>
      <c r="H85" s="99"/>
      <c r="I85" s="64" t="s">
        <v>106</v>
      </c>
      <c r="J85" s="70">
        <f ca="1">(IF(B79&gt;1,(H79/(B79+2)+J84),H79/4+J84))</f>
        <v>20</v>
      </c>
    </row>
    <row r="86" spans="1:11" s="5" customFormat="1" ht="15.75" hidden="1" customHeight="1" x14ac:dyDescent="0.25">
      <c r="A86" s="102" t="s">
        <v>141</v>
      </c>
      <c r="B86" s="103" t="s">
        <v>134</v>
      </c>
      <c r="C86" s="69">
        <f>C85*0.75</f>
        <v>4.5</v>
      </c>
      <c r="D86" s="67">
        <f ca="1">((100/H79)*C86)/100</f>
        <v>0.1125</v>
      </c>
      <c r="E86" s="98"/>
      <c r="F86" s="98"/>
      <c r="G86" s="98"/>
      <c r="H86" s="99"/>
      <c r="I86" s="64" t="s">
        <v>150</v>
      </c>
      <c r="J86" s="70">
        <f ca="1">(IF(B79&gt;1,(H79/(B79+2)+J85),0))</f>
        <v>30</v>
      </c>
    </row>
    <row r="87" spans="1:11" s="5" customFormat="1" ht="15" hidden="1" customHeight="1" x14ac:dyDescent="0.25">
      <c r="A87" s="102" t="s">
        <v>139</v>
      </c>
      <c r="B87" s="103" t="s">
        <v>136</v>
      </c>
      <c r="C87" s="69">
        <f>C85*0.7</f>
        <v>4.1999999999999993</v>
      </c>
      <c r="D87" s="67">
        <f ca="1">((100/(H79))*C87)/100</f>
        <v>0.10499999999999998</v>
      </c>
      <c r="E87" s="98"/>
      <c r="F87" s="98"/>
      <c r="G87" s="98"/>
      <c r="H87" s="99"/>
      <c r="I87" s="64" t="s">
        <v>147</v>
      </c>
      <c r="J87" s="70">
        <f>(IF(B79&gt;2,(H79/(B79+2)+J86),0))</f>
        <v>0</v>
      </c>
    </row>
    <row r="88" spans="1:11" s="5" customFormat="1" ht="15.75" hidden="1" customHeight="1" x14ac:dyDescent="0.25">
      <c r="A88" s="102" t="s">
        <v>135</v>
      </c>
      <c r="B88" s="103" t="s">
        <v>135</v>
      </c>
      <c r="C88" s="66">
        <v>0</v>
      </c>
      <c r="D88" s="67">
        <f ca="1">((100/H79)*C88)/100</f>
        <v>0</v>
      </c>
      <c r="E88" s="98"/>
      <c r="F88" s="98"/>
      <c r="G88" s="98"/>
      <c r="H88" s="99"/>
      <c r="I88" s="64" t="s">
        <v>148</v>
      </c>
      <c r="J88" s="71">
        <f>(IF(B79&gt;3,(H79/(B79+2)+J87),0))</f>
        <v>0</v>
      </c>
    </row>
    <row r="89" spans="1:11" s="5" customFormat="1" ht="15.75" hidden="1" customHeight="1" x14ac:dyDescent="0.25">
      <c r="A89" s="102" t="s">
        <v>142</v>
      </c>
      <c r="B89" s="103"/>
      <c r="C89" s="66">
        <v>0</v>
      </c>
      <c r="D89" s="67">
        <f ca="1">((100/H79)*C89)/100</f>
        <v>0</v>
      </c>
      <c r="E89" s="98"/>
      <c r="F89" s="98"/>
      <c r="G89" s="98"/>
      <c r="H89" s="99"/>
      <c r="I89" s="64" t="s">
        <v>149</v>
      </c>
      <c r="J89" s="70">
        <f>(IF(B79&gt;4,(H79/(B79+2)+J88),0))</f>
        <v>0</v>
      </c>
    </row>
    <row r="90" spans="1:11" s="5" customFormat="1" ht="15.75" hidden="1" customHeight="1" x14ac:dyDescent="0.25">
      <c r="A90" s="102" t="s">
        <v>137</v>
      </c>
      <c r="B90" s="103" t="s">
        <v>137</v>
      </c>
      <c r="C90" s="66">
        <v>0</v>
      </c>
      <c r="D90" s="67">
        <f ca="1">((100/(H79))*C90)/100</f>
        <v>0</v>
      </c>
      <c r="E90" s="98"/>
      <c r="F90" s="98"/>
      <c r="G90" s="98"/>
      <c r="H90" s="99"/>
      <c r="I90" s="64" t="s">
        <v>151</v>
      </c>
      <c r="J90" s="70">
        <f>(IF(B79=1,(H79/(B79+3)+J85),IF(B79=0,(H79/4+J85),IF(B79&gt;1,0))))</f>
        <v>0</v>
      </c>
    </row>
    <row r="91" spans="1:11" s="5" customFormat="1" ht="16.5" hidden="1" thickBot="1" x14ac:dyDescent="0.3">
      <c r="A91" s="168" t="s">
        <v>138</v>
      </c>
      <c r="B91" s="169"/>
      <c r="C91" s="72">
        <v>0</v>
      </c>
      <c r="D91" s="73">
        <f ca="1">((100/(H79))*C91)/100</f>
        <v>0</v>
      </c>
      <c r="E91" s="100"/>
      <c r="F91" s="100"/>
      <c r="G91" s="100"/>
      <c r="H91" s="101"/>
      <c r="I91" s="74" t="s">
        <v>107</v>
      </c>
      <c r="J91" s="75">
        <f ca="1">(IF(B79&gt;1.5,(H79/(B79+2)+J85+MAX(0,J86-J85)+MAX(0,J87-J86)+MAX(0,J88-J87)+MAX(0,J89-J88)+MAX(0,J90-J89)),IF(B79=1,(H79/(B79+3)+J90),IF(B79=0,H79/4+J90))))</f>
        <v>40</v>
      </c>
    </row>
    <row r="92" spans="1:11" x14ac:dyDescent="0.25">
      <c r="A92" s="125" t="s">
        <v>51</v>
      </c>
      <c r="B92" s="125"/>
      <c r="C92" s="125"/>
      <c r="D92" s="125"/>
      <c r="E92" s="125"/>
      <c r="F92" s="125"/>
      <c r="G92" s="125"/>
      <c r="H92" s="125"/>
    </row>
    <row r="93" spans="1:11" x14ac:dyDescent="0.25">
      <c r="A93" s="104" t="s">
        <v>78</v>
      </c>
      <c r="B93" s="104"/>
      <c r="C93" s="104"/>
      <c r="D93" s="104"/>
      <c r="E93" s="104"/>
      <c r="F93" s="130">
        <v>10000</v>
      </c>
      <c r="G93" s="130"/>
      <c r="H93" s="130"/>
      <c r="I93" s="3" t="s">
        <v>221</v>
      </c>
      <c r="J93" s="38">
        <v>45382</v>
      </c>
      <c r="K93" s="3" t="s">
        <v>222</v>
      </c>
    </row>
    <row r="94" spans="1:11" hidden="1" x14ac:dyDescent="0.25">
      <c r="A94" s="104" t="s">
        <v>83</v>
      </c>
      <c r="B94" s="104"/>
      <c r="C94" s="104"/>
      <c r="D94" s="104"/>
      <c r="E94" s="104"/>
      <c r="F94" s="94"/>
      <c r="G94" s="94"/>
      <c r="H94" s="94"/>
    </row>
    <row r="95" spans="1:11" hidden="1" x14ac:dyDescent="0.25">
      <c r="A95" s="104" t="s">
        <v>84</v>
      </c>
      <c r="B95" s="104"/>
      <c r="C95" s="104"/>
      <c r="D95" s="104"/>
      <c r="E95" s="104"/>
      <c r="F95" s="94"/>
      <c r="G95" s="94"/>
      <c r="H95" s="94"/>
    </row>
    <row r="96" spans="1:11" s="7" customFormat="1" hidden="1" x14ac:dyDescent="0.25">
      <c r="A96" s="104" t="s">
        <v>99</v>
      </c>
      <c r="B96" s="104"/>
      <c r="C96" s="104"/>
      <c r="D96" s="104"/>
      <c r="E96" s="104"/>
      <c r="F96" s="94" t="s">
        <v>28</v>
      </c>
      <c r="G96" s="94"/>
      <c r="H96" s="94"/>
    </row>
    <row r="97" spans="1:9" s="7" customFormat="1" x14ac:dyDescent="0.25">
      <c r="A97" s="104" t="s">
        <v>100</v>
      </c>
      <c r="B97" s="104"/>
      <c r="C97" s="104"/>
      <c r="D97" s="104"/>
      <c r="E97" s="104"/>
      <c r="F97" s="94">
        <v>300000</v>
      </c>
      <c r="G97" s="94"/>
      <c r="H97" s="94"/>
    </row>
    <row r="98" spans="1:9" s="7" customFormat="1" x14ac:dyDescent="0.25">
      <c r="A98" s="104" t="s">
        <v>226</v>
      </c>
      <c r="B98" s="104"/>
      <c r="C98" s="104"/>
      <c r="D98" s="104"/>
      <c r="E98" s="104"/>
      <c r="F98" s="94">
        <v>25000</v>
      </c>
      <c r="G98" s="94"/>
      <c r="H98" s="94"/>
    </row>
    <row r="99" spans="1:9" s="7" customFormat="1" x14ac:dyDescent="0.25">
      <c r="A99" s="104" t="s">
        <v>224</v>
      </c>
      <c r="B99" s="104"/>
      <c r="C99" s="104"/>
      <c r="D99" s="104"/>
      <c r="E99" s="104"/>
      <c r="F99" s="94">
        <v>25000</v>
      </c>
      <c r="G99" s="94"/>
      <c r="H99" s="94"/>
    </row>
    <row r="100" spans="1:9" s="7" customFormat="1" hidden="1" x14ac:dyDescent="0.25">
      <c r="A100" s="104" t="s">
        <v>101</v>
      </c>
      <c r="B100" s="104"/>
      <c r="C100" s="104"/>
      <c r="D100" s="104"/>
      <c r="E100" s="104"/>
      <c r="F100" s="94" t="s">
        <v>28</v>
      </c>
      <c r="G100" s="94"/>
      <c r="H100" s="94"/>
    </row>
    <row r="101" spans="1:9" s="7" customFormat="1" x14ac:dyDescent="0.25">
      <c r="A101" s="104" t="s">
        <v>223</v>
      </c>
      <c r="B101" s="104"/>
      <c r="C101" s="104"/>
      <c r="D101" s="104"/>
      <c r="E101" s="104"/>
      <c r="F101" s="94">
        <v>30000</v>
      </c>
      <c r="G101" s="94"/>
      <c r="H101" s="94"/>
    </row>
    <row r="102" spans="1:9" s="7" customFormat="1" x14ac:dyDescent="0.25">
      <c r="A102" s="104" t="s">
        <v>102</v>
      </c>
      <c r="B102" s="104"/>
      <c r="C102" s="104"/>
      <c r="D102" s="104"/>
      <c r="E102" s="104"/>
      <c r="F102" s="94">
        <v>10000</v>
      </c>
      <c r="G102" s="94"/>
      <c r="H102" s="94"/>
    </row>
    <row r="103" spans="1:9" s="7" customFormat="1" x14ac:dyDescent="0.25">
      <c r="A103" s="104" t="s">
        <v>225</v>
      </c>
      <c r="B103" s="104"/>
      <c r="C103" s="104"/>
      <c r="D103" s="104"/>
      <c r="E103" s="104"/>
      <c r="F103" s="94">
        <v>30000</v>
      </c>
      <c r="G103" s="94"/>
      <c r="H103" s="94"/>
    </row>
    <row r="104" spans="1:9" x14ac:dyDescent="0.25">
      <c r="A104" s="104" t="s">
        <v>52</v>
      </c>
      <c r="B104" s="104"/>
      <c r="C104" s="104"/>
      <c r="D104" s="104"/>
      <c r="E104" s="104"/>
      <c r="F104" s="127" t="s">
        <v>168</v>
      </c>
      <c r="G104" s="127"/>
      <c r="H104" s="127"/>
    </row>
    <row r="105" spans="1:9" s="4" customFormat="1" x14ac:dyDescent="0.25">
      <c r="A105" s="125" t="s">
        <v>53</v>
      </c>
      <c r="B105" s="125"/>
      <c r="C105" s="125"/>
      <c r="D105" s="125"/>
      <c r="E105" s="125"/>
      <c r="F105" s="94">
        <f>F93*0.8</f>
        <v>8000</v>
      </c>
      <c r="G105" s="94"/>
      <c r="H105" s="94"/>
    </row>
    <row r="106" spans="1:9" s="1" customFormat="1" x14ac:dyDescent="0.25">
      <c r="A106" s="161" t="s">
        <v>72</v>
      </c>
      <c r="B106" s="161"/>
      <c r="C106" s="161"/>
      <c r="D106" s="161"/>
      <c r="E106" s="161"/>
      <c r="F106" s="161"/>
      <c r="G106" s="161"/>
      <c r="H106" s="161"/>
    </row>
    <row r="107" spans="1:9" s="1" customFormat="1" ht="15.75" customHeight="1" x14ac:dyDescent="0.25">
      <c r="A107" s="175" t="s">
        <v>54</v>
      </c>
      <c r="B107" s="175"/>
      <c r="C107" s="203" t="s">
        <v>81</v>
      </c>
      <c r="D107" s="203"/>
      <c r="E107" s="174" t="s">
        <v>55</v>
      </c>
      <c r="F107" s="174"/>
      <c r="G107" s="175" t="s">
        <v>56</v>
      </c>
      <c r="H107" s="175"/>
    </row>
    <row r="108" spans="1:9" s="1" customFormat="1" x14ac:dyDescent="0.25">
      <c r="A108" s="165" t="s">
        <v>201</v>
      </c>
      <c r="B108" s="165"/>
      <c r="C108" s="108">
        <f>COUNT(D119:D126)*32+COUNT(D128:D133,D135)*8</f>
        <v>312</v>
      </c>
      <c r="D108" s="108"/>
      <c r="E108" s="170">
        <f>SUM(D119:D126)*32+SUM(D128:D133,D135)*8</f>
        <v>131894.30591999998</v>
      </c>
      <c r="F108" s="170"/>
      <c r="G108" s="170">
        <f>SUM(F119:F126)*32+SUM(F128:F133,F135)*8</f>
        <v>197841.45887999999</v>
      </c>
      <c r="H108" s="170"/>
      <c r="I108" s="1">
        <f>144+50</f>
        <v>194</v>
      </c>
    </row>
    <row r="109" spans="1:9" s="1" customFormat="1" x14ac:dyDescent="0.25">
      <c r="A109" s="165" t="s">
        <v>202</v>
      </c>
      <c r="B109" s="165"/>
      <c r="C109" s="108">
        <f>COUNT(D140:D147)*32+COUNT(D149:D154,D156)*8</f>
        <v>312</v>
      </c>
      <c r="D109" s="108"/>
      <c r="E109" s="170">
        <f>SUM(D140:D147)*32+SUM(D149:D154,D156)*8</f>
        <v>118420.36127999998</v>
      </c>
      <c r="F109" s="170"/>
      <c r="G109" s="170">
        <f>SUM(F140:F147)*32+SUM(F149:F154,F156)*8</f>
        <v>177630.54191999999</v>
      </c>
      <c r="H109" s="170"/>
    </row>
    <row r="110" spans="1:9" s="80" customFormat="1" x14ac:dyDescent="0.25">
      <c r="A110" s="161" t="s">
        <v>163</v>
      </c>
      <c r="B110" s="161"/>
      <c r="C110" s="172">
        <f>SUM(C108:D109)</f>
        <v>624</v>
      </c>
      <c r="D110" s="172"/>
      <c r="E110" s="173">
        <f>SUM(E108:F109)</f>
        <v>250314.66719999997</v>
      </c>
      <c r="F110" s="174"/>
      <c r="G110" s="175">
        <f>SUM(G108:H109)</f>
        <v>375472.00079999998</v>
      </c>
      <c r="H110" s="175"/>
    </row>
    <row r="111" spans="1:9" s="4" customFormat="1" x14ac:dyDescent="0.25">
      <c r="A111" s="126" t="s">
        <v>57</v>
      </c>
      <c r="B111" s="126"/>
      <c r="C111" s="126"/>
      <c r="D111" s="126"/>
      <c r="E111" s="126"/>
      <c r="F111" s="126"/>
      <c r="G111" s="126"/>
      <c r="H111" s="126"/>
    </row>
    <row r="112" spans="1:9" x14ac:dyDescent="0.25">
      <c r="A112" s="126" t="s">
        <v>58</v>
      </c>
      <c r="B112" s="126"/>
      <c r="C112" s="126"/>
      <c r="D112" s="126"/>
      <c r="E112" s="126"/>
      <c r="F112" s="126"/>
      <c r="G112" s="126"/>
      <c r="H112" s="126"/>
    </row>
    <row r="113" spans="1:16" ht="47.25" customHeight="1" x14ac:dyDescent="0.25">
      <c r="A113" s="163" t="s">
        <v>123</v>
      </c>
      <c r="B113" s="163" t="s">
        <v>124</v>
      </c>
      <c r="C113" s="180" t="s">
        <v>59</v>
      </c>
      <c r="D113" s="180" t="s">
        <v>60</v>
      </c>
      <c r="E113" s="182" t="s">
        <v>61</v>
      </c>
      <c r="F113" s="35" t="s">
        <v>153</v>
      </c>
      <c r="G113" s="163" t="s">
        <v>62</v>
      </c>
      <c r="H113" s="184"/>
      <c r="I113" s="32"/>
    </row>
    <row r="114" spans="1:16" s="34" customFormat="1" x14ac:dyDescent="0.25">
      <c r="A114" s="164"/>
      <c r="B114" s="164"/>
      <c r="C114" s="181"/>
      <c r="D114" s="181"/>
      <c r="E114" s="183"/>
      <c r="F114" s="30">
        <v>0.5</v>
      </c>
      <c r="G114" s="164"/>
      <c r="H114" s="185"/>
      <c r="I114" s="32"/>
    </row>
    <row r="115" spans="1:16" s="54" customFormat="1" x14ac:dyDescent="0.25">
      <c r="A115" s="105" t="s">
        <v>203</v>
      </c>
      <c r="B115" s="106"/>
      <c r="C115" s="106"/>
      <c r="D115" s="106"/>
      <c r="E115" s="106"/>
      <c r="F115" s="106"/>
      <c r="G115" s="106"/>
      <c r="H115" s="107"/>
      <c r="J115" s="32"/>
    </row>
    <row r="116" spans="1:16" s="54" customFormat="1" x14ac:dyDescent="0.25">
      <c r="A116" s="105" t="s">
        <v>176</v>
      </c>
      <c r="B116" s="106"/>
      <c r="C116" s="106"/>
      <c r="D116" s="106"/>
      <c r="E116" s="106"/>
      <c r="F116" s="106"/>
      <c r="G116" s="106"/>
      <c r="H116" s="107"/>
      <c r="I116" s="54">
        <f>40*8-8</f>
        <v>312</v>
      </c>
      <c r="J116" s="32"/>
    </row>
    <row r="117" spans="1:16" s="54" customFormat="1" ht="33.75" customHeight="1" x14ac:dyDescent="0.25">
      <c r="A117" s="105" t="s">
        <v>177</v>
      </c>
      <c r="B117" s="106"/>
      <c r="C117" s="106"/>
      <c r="D117" s="106"/>
      <c r="E117" s="106"/>
      <c r="F117" s="106"/>
      <c r="G117" s="106"/>
      <c r="H117" s="107"/>
      <c r="J117" s="32"/>
    </row>
    <row r="118" spans="1:16" s="2" customFormat="1" ht="30" customHeight="1" x14ac:dyDescent="0.25">
      <c r="A118" s="105" t="s">
        <v>220</v>
      </c>
      <c r="B118" s="106"/>
      <c r="C118" s="106"/>
      <c r="D118" s="106"/>
      <c r="E118" s="106"/>
      <c r="F118" s="106"/>
      <c r="G118" s="106"/>
      <c r="H118" s="107"/>
      <c r="I118" s="32"/>
      <c r="L118" s="41"/>
      <c r="M118" s="41"/>
      <c r="P118" s="33"/>
    </row>
    <row r="119" spans="1:16" s="2" customFormat="1" x14ac:dyDescent="0.25">
      <c r="A119" s="159">
        <v>1</v>
      </c>
      <c r="B119" s="160"/>
      <c r="C119" s="14" t="s">
        <v>160</v>
      </c>
      <c r="D119" s="14">
        <f>(43.57)*10.764</f>
        <v>468.98747999999995</v>
      </c>
      <c r="E119" s="42">
        <v>0</v>
      </c>
      <c r="F119" s="50">
        <f t="shared" ref="F119:F126" si="0">D119*(($F$114)+1)+(IF(E119&lt;101,E119,IF(E119&lt;201,E119/2,IF(E119&lt;=301,E119/3,E119/4))))</f>
        <v>703.48121999999989</v>
      </c>
      <c r="G119" s="186" t="str">
        <f>A118</f>
        <v>1st, 2nd, 4th to 7th, 9th to 12th, 14th to 17th, 19th to 22nd, 24th to 27th, 29th to 32nd, 34th to 37th, 39th &amp; 40th Floor</v>
      </c>
      <c r="H119" s="187"/>
      <c r="I119" s="57">
        <f>2.885*4.55+2.3*2.825+3*2.825+2.8*2.9+1.2*2+2.1*1.2</f>
        <v>41.139249999999997</v>
      </c>
      <c r="J119" s="2">
        <f>2.89*4.58+2.3*2.85+3*2.85+2.83*2.92+1.2*2+2.13*1.2</f>
        <v>41.560799999999993</v>
      </c>
      <c r="M119" s="41"/>
      <c r="N119" s="41" t="str">
        <f t="shared" ref="N119:N124" ca="1" si="1">O119&amp;""&amp;",..,"&amp;""&amp;P119</f>
        <v>12401,..,4001</v>
      </c>
      <c r="O119" s="49">
        <f ca="1">(SUMPRODUCT(MID(0&amp;(LEFT(A118,SUM(LEN(A118)-LEN(SUBSTITUTE(A118,{0,1,2},""))))), LARGE(INDEX(ISNUMBER(--MID((LEFT(A118,SUM(LEN(A118)-LEN(SUBSTITUTE(A118,{0,1,2},""))))), ROW(INDIRECT("1:"&amp;LEN((LEFT(A118,SUM(LEN(A118)-LEN(SUBSTITUTE(A118,{0,1,2},"")))))))), 1)) * ROW(INDIRECT("1:"&amp;LEN((LEFT(A118,SUM(LEN(A118)-LEN(SUBSTITUTE(A118,{0,1,2},"")))))))), 0), ROW(INDIRECT("1:"&amp;LEN((LEFT(A118,SUM(LEN(A118)-LEN(SUBSTITUTE(A118,{0,1,2},"")))))))))+1, 1) * 10^ROW(INDIRECT("1:"&amp;LEN((LEFT(A118,SUM(LEN(A118)-LEN(SUBSTITUTE(A118,{0,1,2},""))))))))/10))*100+1</f>
        <v>12401</v>
      </c>
      <c r="P119" s="49">
        <f ca="1">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4001</v>
      </c>
    </row>
    <row r="120" spans="1:16" s="2" customFormat="1" ht="15.75" customHeight="1" x14ac:dyDescent="0.25">
      <c r="A120" s="159">
        <v>2</v>
      </c>
      <c r="B120" s="160"/>
      <c r="C120" s="14" t="s">
        <v>160</v>
      </c>
      <c r="D120" s="58">
        <f>(43.57)*10.764</f>
        <v>468.98747999999995</v>
      </c>
      <c r="E120" s="42">
        <v>0</v>
      </c>
      <c r="F120" s="52">
        <f t="shared" si="0"/>
        <v>703.48121999999989</v>
      </c>
      <c r="G120" s="188"/>
      <c r="H120" s="189"/>
      <c r="I120" s="32"/>
      <c r="M120" s="41"/>
      <c r="N120" s="46" t="str">
        <f t="shared" ca="1" si="1"/>
        <v>12402,..,4002</v>
      </c>
      <c r="O120" s="2">
        <f t="shared" ref="O120:P123" ca="1" si="2">O119+1</f>
        <v>12402</v>
      </c>
      <c r="P120" s="2">
        <f t="shared" ca="1" si="2"/>
        <v>4002</v>
      </c>
    </row>
    <row r="121" spans="1:16" s="2" customFormat="1" ht="15.75" customHeight="1" x14ac:dyDescent="0.25">
      <c r="A121" s="159">
        <v>3</v>
      </c>
      <c r="B121" s="160"/>
      <c r="C121" s="53" t="s">
        <v>160</v>
      </c>
      <c r="D121" s="14">
        <f>(45.61)*10.764</f>
        <v>490.94603999999998</v>
      </c>
      <c r="E121" s="42">
        <v>0</v>
      </c>
      <c r="F121" s="52">
        <f t="shared" si="0"/>
        <v>736.41905999999994</v>
      </c>
      <c r="G121" s="188"/>
      <c r="H121" s="189"/>
      <c r="I121" s="32"/>
      <c r="M121" s="41"/>
      <c r="N121" s="46" t="str">
        <f t="shared" ca="1" si="1"/>
        <v>12403,..,4003</v>
      </c>
      <c r="O121" s="2">
        <f t="shared" ca="1" si="2"/>
        <v>12403</v>
      </c>
      <c r="P121" s="2">
        <f t="shared" ca="1" si="2"/>
        <v>4003</v>
      </c>
    </row>
    <row r="122" spans="1:16" s="2" customFormat="1" ht="15.75" customHeight="1" x14ac:dyDescent="0.25">
      <c r="A122" s="159">
        <v>4</v>
      </c>
      <c r="B122" s="160"/>
      <c r="C122" s="53" t="s">
        <v>160</v>
      </c>
      <c r="D122" s="58">
        <f>(45.63)*10.764</f>
        <v>491.16131999999999</v>
      </c>
      <c r="E122" s="42">
        <v>0</v>
      </c>
      <c r="F122" s="52">
        <f t="shared" si="0"/>
        <v>736.74198000000001</v>
      </c>
      <c r="G122" s="188"/>
      <c r="H122" s="189"/>
      <c r="I122" s="32"/>
      <c r="M122" s="41"/>
      <c r="N122" s="46" t="str">
        <f t="shared" ca="1" si="1"/>
        <v>12404,..,4004</v>
      </c>
      <c r="O122" s="2">
        <f t="shared" ca="1" si="2"/>
        <v>12404</v>
      </c>
      <c r="P122" s="2">
        <f t="shared" ca="1" si="2"/>
        <v>4004</v>
      </c>
    </row>
    <row r="123" spans="1:16" s="2" customFormat="1" ht="15.75" customHeight="1" x14ac:dyDescent="0.25">
      <c r="A123" s="159">
        <v>5</v>
      </c>
      <c r="B123" s="160"/>
      <c r="C123" s="31" t="s">
        <v>161</v>
      </c>
      <c r="D123" s="31">
        <f>(27.11)*10.764</f>
        <v>291.81203999999997</v>
      </c>
      <c r="E123" s="42">
        <v>0</v>
      </c>
      <c r="F123" s="52">
        <f t="shared" si="0"/>
        <v>437.71805999999992</v>
      </c>
      <c r="G123" s="188"/>
      <c r="H123" s="189"/>
      <c r="I123" s="32"/>
      <c r="M123" s="41"/>
      <c r="N123" s="46" t="str">
        <f t="shared" ca="1" si="1"/>
        <v>12405,..,4005</v>
      </c>
      <c r="O123" s="2">
        <f t="shared" ca="1" si="2"/>
        <v>12405</v>
      </c>
      <c r="P123" s="2">
        <f t="shared" ca="1" si="2"/>
        <v>4005</v>
      </c>
    </row>
    <row r="124" spans="1:16" s="36" customFormat="1" ht="15.75" customHeight="1" x14ac:dyDescent="0.25">
      <c r="A124" s="159">
        <v>6</v>
      </c>
      <c r="B124" s="160"/>
      <c r="C124" s="37" t="s">
        <v>161</v>
      </c>
      <c r="D124" s="53">
        <f>(27.11)*10.764</f>
        <v>291.81203999999997</v>
      </c>
      <c r="E124" s="42">
        <v>0</v>
      </c>
      <c r="F124" s="52">
        <f t="shared" si="0"/>
        <v>437.71805999999992</v>
      </c>
      <c r="G124" s="188"/>
      <c r="H124" s="189"/>
      <c r="I124" s="32">
        <f>4000000/F124</f>
        <v>9138.3024040634755</v>
      </c>
      <c r="M124" s="41"/>
      <c r="N124" s="46" t="str">
        <f t="shared" ca="1" si="1"/>
        <v>12406,..,4006</v>
      </c>
      <c r="O124" s="36">
        <f t="shared" ref="O124:P126" ca="1" si="3">O123+1</f>
        <v>12406</v>
      </c>
      <c r="P124" s="36">
        <f t="shared" ca="1" si="3"/>
        <v>4006</v>
      </c>
    </row>
    <row r="125" spans="1:16" s="54" customFormat="1" ht="15.75" customHeight="1" x14ac:dyDescent="0.25">
      <c r="A125" s="159">
        <v>7</v>
      </c>
      <c r="B125" s="160"/>
      <c r="C125" s="53" t="s">
        <v>161</v>
      </c>
      <c r="D125" s="53">
        <f>(35.79)*10.764</f>
        <v>385.24355999999995</v>
      </c>
      <c r="E125" s="53">
        <v>0</v>
      </c>
      <c r="F125" s="53">
        <f t="shared" si="0"/>
        <v>577.86533999999995</v>
      </c>
      <c r="G125" s="188"/>
      <c r="H125" s="189"/>
      <c r="I125" s="32">
        <f>5400000/F125</f>
        <v>9344.7376511628136</v>
      </c>
      <c r="N125" s="54" t="str">
        <f ca="1">O125&amp;""&amp;",..,"&amp;""&amp;P125</f>
        <v>12407,..,4007</v>
      </c>
      <c r="O125" s="54">
        <f t="shared" ca="1" si="3"/>
        <v>12407</v>
      </c>
      <c r="P125" s="54">
        <f t="shared" ca="1" si="3"/>
        <v>4007</v>
      </c>
    </row>
    <row r="126" spans="1:16" s="54" customFormat="1" ht="15.75" customHeight="1" x14ac:dyDescent="0.25">
      <c r="A126" s="159">
        <v>8</v>
      </c>
      <c r="B126" s="160"/>
      <c r="C126" s="53" t="s">
        <v>160</v>
      </c>
      <c r="D126" s="53">
        <f>(45.1)*10.764</f>
        <v>485.45639999999997</v>
      </c>
      <c r="E126" s="53">
        <v>0</v>
      </c>
      <c r="F126" s="53">
        <f t="shared" si="0"/>
        <v>728.18459999999993</v>
      </c>
      <c r="G126" s="190"/>
      <c r="H126" s="191"/>
      <c r="I126" s="32"/>
      <c r="N126" s="54" t="str">
        <f ca="1">O126&amp;""&amp;",..,"&amp;""&amp;P126</f>
        <v>12408,..,4008</v>
      </c>
      <c r="O126" s="54">
        <f t="shared" ca="1" si="3"/>
        <v>12408</v>
      </c>
      <c r="P126" s="54">
        <f t="shared" ca="1" si="3"/>
        <v>4008</v>
      </c>
    </row>
    <row r="127" spans="1:16" s="54" customFormat="1" ht="15.75" customHeight="1" x14ac:dyDescent="0.25">
      <c r="A127" s="105" t="s">
        <v>178</v>
      </c>
      <c r="B127" s="106"/>
      <c r="C127" s="106"/>
      <c r="D127" s="106"/>
      <c r="E127" s="106"/>
      <c r="F127" s="106"/>
      <c r="G127" s="106"/>
      <c r="H127" s="107"/>
      <c r="I127" s="32"/>
      <c r="P127" s="33"/>
    </row>
    <row r="128" spans="1:16" s="54" customFormat="1" ht="15.75" customHeight="1" x14ac:dyDescent="0.25">
      <c r="A128" s="159">
        <v>1</v>
      </c>
      <c r="B128" s="160"/>
      <c r="C128" s="53" t="s">
        <v>160</v>
      </c>
      <c r="D128" s="58">
        <f>(43.57)*10.764</f>
        <v>468.98747999999995</v>
      </c>
      <c r="E128" s="53">
        <v>0</v>
      </c>
      <c r="F128" s="53">
        <f t="shared" ref="F128:F133" si="4">D128*(($F$114)+1)+(IF(E128&lt;101,E128,IF(E128&lt;201,E128/2,IF(E128&lt;=301,E128/3,E128/4))))</f>
        <v>703.48121999999989</v>
      </c>
      <c r="G128" s="186" t="str">
        <f>A127</f>
        <v>3rd, 8th, 13th, 18th, 23rd, 28th, 33rd &amp; 38th Floor (Part Refuge Area)</v>
      </c>
      <c r="H128" s="187"/>
      <c r="I128" s="57"/>
      <c r="N128" s="54" t="str">
        <f t="shared" ref="N128:N135" ca="1" si="5">O128&amp;""&amp;",..,"&amp;""&amp;P128</f>
        <v>301,..,3801</v>
      </c>
      <c r="O128" s="54">
        <f ca="1">(SUMPRODUCT(MID(0&amp;(LEFT(A127,SUM(LEN(A127)-LEN(SUBSTITUTE(A127,{0,1,2},""))))), LARGE(INDEX(ISNUMBER(--MID((LEFT(A127,SUM(LEN(A127)-LEN(SUBSTITUTE(A127,{0,1,2},""))))), ROW(INDIRECT("1:"&amp;LEN((LEFT(A127,SUM(LEN(A127)-LEN(SUBSTITUTE(A127,{0,1,2},"")))))))), 1)) * ROW(INDIRECT("1:"&amp;LEN((LEFT(A127,SUM(LEN(A127)-LEN(SUBSTITUTE(A127,{0,1,2},"")))))))), 0), ROW(INDIRECT("1:"&amp;LEN((LEFT(A127,SUM(LEN(A127)-LEN(SUBSTITUTE(A127,{0,1,2},"")))))))))+1, 1) * 10^ROW(INDIRECT("1:"&amp;LEN((LEFT(A127,SUM(LEN(A127)-LEN(SUBSTITUTE(A127,{0,1,2},""))))))))/10))*100+1</f>
        <v>301</v>
      </c>
      <c r="P128" s="54">
        <f ca="1">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3801</v>
      </c>
    </row>
    <row r="129" spans="1:16" s="54" customFormat="1" ht="15.75" customHeight="1" x14ac:dyDescent="0.25">
      <c r="A129" s="159">
        <v>2</v>
      </c>
      <c r="B129" s="160"/>
      <c r="C129" s="53" t="s">
        <v>160</v>
      </c>
      <c r="D129" s="58">
        <f>(43.57)*10.764</f>
        <v>468.98747999999995</v>
      </c>
      <c r="E129" s="53">
        <v>0</v>
      </c>
      <c r="F129" s="53">
        <f t="shared" si="4"/>
        <v>703.48121999999989</v>
      </c>
      <c r="G129" s="188" t="str">
        <f t="shared" ref="G129:G135" si="6">G128</f>
        <v>3rd, 8th, 13th, 18th, 23rd, 28th, 33rd &amp; 38th Floor (Part Refuge Area)</v>
      </c>
      <c r="H129" s="189"/>
      <c r="I129" s="32">
        <f>6800000/F129</f>
        <v>9666.2139751221803</v>
      </c>
      <c r="N129" s="54" t="str">
        <f t="shared" ca="1" si="5"/>
        <v>302,..,3802</v>
      </c>
      <c r="O129" s="54">
        <f t="shared" ref="O129:P135" ca="1" si="7">O128+1</f>
        <v>302</v>
      </c>
      <c r="P129" s="54">
        <f t="shared" ca="1" si="7"/>
        <v>3802</v>
      </c>
    </row>
    <row r="130" spans="1:16" s="54" customFormat="1" ht="15.75" customHeight="1" x14ac:dyDescent="0.25">
      <c r="A130" s="159">
        <v>3</v>
      </c>
      <c r="B130" s="160"/>
      <c r="C130" s="53" t="s">
        <v>160</v>
      </c>
      <c r="D130" s="58">
        <f>(45.61)*10.764</f>
        <v>490.94603999999998</v>
      </c>
      <c r="E130" s="53">
        <v>0</v>
      </c>
      <c r="F130" s="53">
        <f t="shared" si="4"/>
        <v>736.41905999999994</v>
      </c>
      <c r="G130" s="188" t="str">
        <f t="shared" si="6"/>
        <v>3rd, 8th, 13th, 18th, 23rd, 28th, 33rd &amp; 38th Floor (Part Refuge Area)</v>
      </c>
      <c r="H130" s="189"/>
      <c r="I130" s="32"/>
      <c r="N130" s="54" t="str">
        <f t="shared" ca="1" si="5"/>
        <v>303,..,3803</v>
      </c>
      <c r="O130" s="54">
        <f t="shared" ca="1" si="7"/>
        <v>303</v>
      </c>
      <c r="P130" s="54">
        <f t="shared" ca="1" si="7"/>
        <v>3803</v>
      </c>
    </row>
    <row r="131" spans="1:16" s="54" customFormat="1" ht="15.75" customHeight="1" x14ac:dyDescent="0.25">
      <c r="A131" s="159">
        <v>4</v>
      </c>
      <c r="B131" s="160"/>
      <c r="C131" s="53" t="s">
        <v>160</v>
      </c>
      <c r="D131" s="58">
        <f>(45.63)*10.764</f>
        <v>491.16131999999999</v>
      </c>
      <c r="E131" s="53">
        <v>0</v>
      </c>
      <c r="F131" s="53">
        <f t="shared" si="4"/>
        <v>736.74198000000001</v>
      </c>
      <c r="G131" s="188" t="str">
        <f t="shared" si="6"/>
        <v>3rd, 8th, 13th, 18th, 23rd, 28th, 33rd &amp; 38th Floor (Part Refuge Area)</v>
      </c>
      <c r="H131" s="189"/>
      <c r="I131" s="32"/>
      <c r="N131" s="54" t="str">
        <f t="shared" ca="1" si="5"/>
        <v>304,..,3804</v>
      </c>
      <c r="O131" s="54">
        <f t="shared" ca="1" si="7"/>
        <v>304</v>
      </c>
      <c r="P131" s="54">
        <f t="shared" ca="1" si="7"/>
        <v>3804</v>
      </c>
    </row>
    <row r="132" spans="1:16" s="54" customFormat="1" ht="15.75" customHeight="1" x14ac:dyDescent="0.25">
      <c r="A132" s="159">
        <v>5</v>
      </c>
      <c r="B132" s="160"/>
      <c r="C132" s="53" t="s">
        <v>161</v>
      </c>
      <c r="D132" s="58">
        <f>(27.11)*10.764</f>
        <v>291.81203999999997</v>
      </c>
      <c r="E132" s="53">
        <v>0</v>
      </c>
      <c r="F132" s="53">
        <f t="shared" si="4"/>
        <v>437.71805999999992</v>
      </c>
      <c r="G132" s="188" t="str">
        <f t="shared" si="6"/>
        <v>3rd, 8th, 13th, 18th, 23rd, 28th, 33rd &amp; 38th Floor (Part Refuge Area)</v>
      </c>
      <c r="H132" s="189"/>
      <c r="I132" s="32"/>
      <c r="N132" s="54" t="str">
        <f t="shared" ca="1" si="5"/>
        <v>305,..,3805</v>
      </c>
      <c r="O132" s="54">
        <f t="shared" ca="1" si="7"/>
        <v>305</v>
      </c>
      <c r="P132" s="54">
        <f t="shared" ca="1" si="7"/>
        <v>3805</v>
      </c>
    </row>
    <row r="133" spans="1:16" s="54" customFormat="1" ht="15.75" customHeight="1" x14ac:dyDescent="0.25">
      <c r="A133" s="159">
        <v>6</v>
      </c>
      <c r="B133" s="160"/>
      <c r="C133" s="53" t="s">
        <v>161</v>
      </c>
      <c r="D133" s="58">
        <f>(27.11)*10.764</f>
        <v>291.81203999999997</v>
      </c>
      <c r="E133" s="53">
        <v>0</v>
      </c>
      <c r="F133" s="53">
        <f t="shared" si="4"/>
        <v>437.71805999999992</v>
      </c>
      <c r="G133" s="188" t="str">
        <f t="shared" si="6"/>
        <v>3rd, 8th, 13th, 18th, 23rd, 28th, 33rd &amp; 38th Floor (Part Refuge Area)</v>
      </c>
      <c r="H133" s="189"/>
      <c r="I133" s="32"/>
      <c r="N133" s="54" t="str">
        <f t="shared" ca="1" si="5"/>
        <v>306,..,3806</v>
      </c>
      <c r="O133" s="54">
        <f t="shared" ca="1" si="7"/>
        <v>306</v>
      </c>
      <c r="P133" s="54">
        <f t="shared" ca="1" si="7"/>
        <v>3806</v>
      </c>
    </row>
    <row r="134" spans="1:16" s="54" customFormat="1" ht="15.75" customHeight="1" x14ac:dyDescent="0.25">
      <c r="A134" s="159">
        <v>7</v>
      </c>
      <c r="B134" s="160"/>
      <c r="C134" s="159" t="s">
        <v>162</v>
      </c>
      <c r="D134" s="199"/>
      <c r="E134" s="199"/>
      <c r="F134" s="160"/>
      <c r="G134" s="188" t="str">
        <f t="shared" si="6"/>
        <v>3rd, 8th, 13th, 18th, 23rd, 28th, 33rd &amp; 38th Floor (Part Refuge Area)</v>
      </c>
      <c r="H134" s="189"/>
      <c r="I134" s="32"/>
      <c r="N134" s="54" t="str">
        <f t="shared" ca="1" si="5"/>
        <v>307,..,3807</v>
      </c>
      <c r="O134" s="54">
        <f t="shared" ca="1" si="7"/>
        <v>307</v>
      </c>
      <c r="P134" s="54">
        <f t="shared" ca="1" si="7"/>
        <v>3807</v>
      </c>
    </row>
    <row r="135" spans="1:16" s="54" customFormat="1" ht="15.75" customHeight="1" x14ac:dyDescent="0.25">
      <c r="A135" s="159">
        <v>8</v>
      </c>
      <c r="B135" s="160"/>
      <c r="C135" s="53" t="s">
        <v>160</v>
      </c>
      <c r="D135" s="58">
        <f>(45.1)*10.764</f>
        <v>485.45639999999997</v>
      </c>
      <c r="E135" s="53">
        <v>0</v>
      </c>
      <c r="F135" s="53">
        <f>D135*(($F$114)+1)+(IF(E135&lt;101,E135,IF(E135&lt;201,E135/2,IF(E135&lt;=301,E135/3,E135/4))))</f>
        <v>728.18459999999993</v>
      </c>
      <c r="G135" s="190" t="str">
        <f t="shared" si="6"/>
        <v>3rd, 8th, 13th, 18th, 23rd, 28th, 33rd &amp; 38th Floor (Part Refuge Area)</v>
      </c>
      <c r="H135" s="191"/>
      <c r="I135" s="32"/>
      <c r="N135" s="54" t="str">
        <f t="shared" ca="1" si="5"/>
        <v>308,..,3808</v>
      </c>
      <c r="O135" s="54">
        <f t="shared" ca="1" si="7"/>
        <v>308</v>
      </c>
      <c r="P135" s="54">
        <f t="shared" ca="1" si="7"/>
        <v>3808</v>
      </c>
    </row>
    <row r="136" spans="1:16" s="54" customFormat="1" x14ac:dyDescent="0.25">
      <c r="A136" s="105" t="s">
        <v>204</v>
      </c>
      <c r="B136" s="106"/>
      <c r="C136" s="106"/>
      <c r="D136" s="106"/>
      <c r="E136" s="106"/>
      <c r="F136" s="106"/>
      <c r="G136" s="106"/>
      <c r="H136" s="107"/>
      <c r="J136" s="32"/>
    </row>
    <row r="137" spans="1:16" s="54" customFormat="1" ht="15.75" customHeight="1" x14ac:dyDescent="0.25">
      <c r="A137" s="105" t="s">
        <v>176</v>
      </c>
      <c r="B137" s="106"/>
      <c r="C137" s="106"/>
      <c r="D137" s="106"/>
      <c r="E137" s="106"/>
      <c r="F137" s="106"/>
      <c r="G137" s="106"/>
      <c r="H137" s="107"/>
      <c r="J137" s="32"/>
    </row>
    <row r="138" spans="1:16" s="54" customFormat="1" ht="33" customHeight="1" x14ac:dyDescent="0.25">
      <c r="A138" s="171" t="s">
        <v>177</v>
      </c>
      <c r="B138" s="171"/>
      <c r="C138" s="171"/>
      <c r="D138" s="171"/>
      <c r="E138" s="171"/>
      <c r="F138" s="171"/>
      <c r="G138" s="171"/>
      <c r="H138" s="171"/>
      <c r="J138" s="32"/>
    </row>
    <row r="139" spans="1:16" s="54" customFormat="1" ht="30" customHeight="1" x14ac:dyDescent="0.25">
      <c r="A139" s="171" t="s">
        <v>220</v>
      </c>
      <c r="B139" s="171"/>
      <c r="C139" s="171"/>
      <c r="D139" s="171"/>
      <c r="E139" s="171"/>
      <c r="F139" s="171"/>
      <c r="G139" s="171"/>
      <c r="H139" s="171"/>
      <c r="I139" s="32"/>
      <c r="P139" s="33"/>
    </row>
    <row r="140" spans="1:16" s="54" customFormat="1" ht="15.6" customHeight="1" x14ac:dyDescent="0.25">
      <c r="A140" s="192">
        <v>1</v>
      </c>
      <c r="B140" s="192"/>
      <c r="C140" s="58" t="s">
        <v>161</v>
      </c>
      <c r="D140" s="58">
        <f>(27.11)*10.764</f>
        <v>291.81203999999997</v>
      </c>
      <c r="E140" s="58">
        <v>0</v>
      </c>
      <c r="F140" s="58">
        <f>D140*(($F$114)+1)+(IF(E140&lt;101,E140,IF(E140&lt;201,E140/2,IF(E140&lt;=301,E140/3,E140/4))))</f>
        <v>437.71805999999992</v>
      </c>
      <c r="G140" s="192" t="str">
        <f>A139</f>
        <v>1st, 2nd, 4th to 7th, 9th to 12th, 14th to 17th, 19th to 22nd, 24th to 27th, 29th to 32nd, 34th to 37th, 39th &amp; 40th Floor</v>
      </c>
      <c r="H140" s="192"/>
      <c r="I140" s="83">
        <f>2.8*3.3+2.18*2.62+2.78*2.83+1.05*1.35*2</f>
        <v>25.654</v>
      </c>
      <c r="N140" s="54" t="str">
        <f t="shared" ref="N140:N147" ca="1" si="8">O140&amp;""&amp;",..,"&amp;""&amp;P140</f>
        <v>12401,..,4001</v>
      </c>
      <c r="O140" s="54">
        <f ca="1">(SUMPRODUCT(MID(0&amp;(LEFT(A139,SUM(LEN(A139)-LEN(SUBSTITUTE(A139,{0,1,2},""))))), LARGE(INDEX(ISNUMBER(--MID((LEFT(A139,SUM(LEN(A139)-LEN(SUBSTITUTE(A139,{0,1,2},""))))), ROW(INDIRECT("1:"&amp;LEN((LEFT(A139,SUM(LEN(A139)-LEN(SUBSTITUTE(A139,{0,1,2},"")))))))), 1)) * ROW(INDIRECT("1:"&amp;LEN((LEFT(A139,SUM(LEN(A139)-LEN(SUBSTITUTE(A139,{0,1,2},"")))))))), 0), ROW(INDIRECT("1:"&amp;LEN((LEFT(A139,SUM(LEN(A139)-LEN(SUBSTITUTE(A139,{0,1,2},"")))))))))+1, 1) * 10^ROW(INDIRECT("1:"&amp;LEN((LEFT(A139,SUM(LEN(A139)-LEN(SUBSTITUTE(A139,{0,1,2},""))))))))/10))*100+1</f>
        <v>12401</v>
      </c>
      <c r="P140" s="54">
        <f ca="1">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",LEN(A139))),LEN(A139)))))))/10))*100+1</f>
        <v>4001</v>
      </c>
    </row>
    <row r="141" spans="1:16" s="54" customFormat="1" ht="15.6" customHeight="1" x14ac:dyDescent="0.25">
      <c r="A141" s="192">
        <v>2</v>
      </c>
      <c r="B141" s="192"/>
      <c r="C141" s="58" t="s">
        <v>161</v>
      </c>
      <c r="D141" s="58">
        <f>(27.11)*10.764</f>
        <v>291.81203999999997</v>
      </c>
      <c r="E141" s="58">
        <v>0</v>
      </c>
      <c r="F141" s="58">
        <f t="shared" ref="F141:F147" si="9">D141*(($F$114)+1)+(IF(E141&lt;101,E141,IF(E141&lt;201,E141/2,IF(E141&lt;=301,E141/3,E141/4))))</f>
        <v>437.71805999999992</v>
      </c>
      <c r="G141" s="192" t="str">
        <f t="shared" ref="G141:G147" si="10">G140</f>
        <v>1st, 2nd, 4th to 7th, 9th to 12th, 14th to 17th, 19th to 22nd, 24th to 27th, 29th to 32nd, 34th to 37th, 39th &amp; 40th Floor</v>
      </c>
      <c r="H141" s="192"/>
      <c r="I141" s="32"/>
      <c r="N141" s="54" t="str">
        <f t="shared" ca="1" si="8"/>
        <v>12402,..,4002</v>
      </c>
      <c r="O141" s="54">
        <f t="shared" ref="O141:P147" ca="1" si="11">O140+1</f>
        <v>12402</v>
      </c>
      <c r="P141" s="54">
        <f t="shared" ca="1" si="11"/>
        <v>4002</v>
      </c>
    </row>
    <row r="142" spans="1:16" s="54" customFormat="1" ht="15.6" customHeight="1" x14ac:dyDescent="0.25">
      <c r="A142" s="192">
        <v>3</v>
      </c>
      <c r="B142" s="192"/>
      <c r="C142" s="58" t="s">
        <v>160</v>
      </c>
      <c r="D142" s="58">
        <f>(45.61)*10.764</f>
        <v>490.94603999999998</v>
      </c>
      <c r="E142" s="58">
        <v>0</v>
      </c>
      <c r="F142" s="58">
        <f t="shared" si="9"/>
        <v>736.41905999999994</v>
      </c>
      <c r="G142" s="192" t="str">
        <f t="shared" si="10"/>
        <v>1st, 2nd, 4th to 7th, 9th to 12th, 14th to 17th, 19th to 22nd, 24th to 27th, 29th to 32nd, 34th to 37th, 39th &amp; 40th Floor</v>
      </c>
      <c r="H142" s="192"/>
      <c r="I142" s="32"/>
      <c r="N142" s="54" t="str">
        <f t="shared" ca="1" si="8"/>
        <v>12403,..,4003</v>
      </c>
      <c r="O142" s="54">
        <f t="shared" ca="1" si="11"/>
        <v>12403</v>
      </c>
      <c r="P142" s="54">
        <f t="shared" ca="1" si="11"/>
        <v>4003</v>
      </c>
    </row>
    <row r="143" spans="1:16" s="54" customFormat="1" ht="15.6" customHeight="1" x14ac:dyDescent="0.25">
      <c r="A143" s="192">
        <v>4</v>
      </c>
      <c r="B143" s="192"/>
      <c r="C143" s="58" t="s">
        <v>160</v>
      </c>
      <c r="D143" s="58">
        <f>(45.63)*10.764</f>
        <v>491.16131999999999</v>
      </c>
      <c r="E143" s="58">
        <v>0</v>
      </c>
      <c r="F143" s="58">
        <f t="shared" si="9"/>
        <v>736.74198000000001</v>
      </c>
      <c r="G143" s="192" t="str">
        <f t="shared" si="10"/>
        <v>1st, 2nd, 4th to 7th, 9th to 12th, 14th to 17th, 19th to 22nd, 24th to 27th, 29th to 32nd, 34th to 37th, 39th &amp; 40th Floor</v>
      </c>
      <c r="H143" s="192"/>
      <c r="I143" s="32"/>
      <c r="N143" s="54" t="str">
        <f t="shared" ca="1" si="8"/>
        <v>12404,..,4004</v>
      </c>
      <c r="O143" s="54">
        <f t="shared" ca="1" si="11"/>
        <v>12404</v>
      </c>
      <c r="P143" s="54">
        <f t="shared" ca="1" si="11"/>
        <v>4004</v>
      </c>
    </row>
    <row r="144" spans="1:16" s="54" customFormat="1" ht="15.6" customHeight="1" x14ac:dyDescent="0.25">
      <c r="A144" s="192">
        <v>5</v>
      </c>
      <c r="B144" s="192"/>
      <c r="C144" s="58" t="s">
        <v>161</v>
      </c>
      <c r="D144" s="58">
        <f>(27.11)*10.764</f>
        <v>291.81203999999997</v>
      </c>
      <c r="E144" s="58">
        <v>0</v>
      </c>
      <c r="F144" s="58">
        <f t="shared" si="9"/>
        <v>437.71805999999992</v>
      </c>
      <c r="G144" s="192" t="str">
        <f t="shared" si="10"/>
        <v>1st, 2nd, 4th to 7th, 9th to 12th, 14th to 17th, 19th to 22nd, 24th to 27th, 29th to 32nd, 34th to 37th, 39th &amp; 40th Floor</v>
      </c>
      <c r="H144" s="192"/>
      <c r="I144" s="32"/>
      <c r="N144" s="54" t="str">
        <f t="shared" ca="1" si="8"/>
        <v>12405,..,4005</v>
      </c>
      <c r="O144" s="54">
        <f t="shared" ca="1" si="11"/>
        <v>12405</v>
      </c>
      <c r="P144" s="54">
        <f t="shared" ca="1" si="11"/>
        <v>4005</v>
      </c>
    </row>
    <row r="145" spans="1:16" s="54" customFormat="1" ht="15.6" customHeight="1" x14ac:dyDescent="0.25">
      <c r="A145" s="192">
        <v>6</v>
      </c>
      <c r="B145" s="192"/>
      <c r="C145" s="58" t="s">
        <v>161</v>
      </c>
      <c r="D145" s="58">
        <f>(27.11)*10.764</f>
        <v>291.81203999999997</v>
      </c>
      <c r="E145" s="58">
        <v>0</v>
      </c>
      <c r="F145" s="58">
        <f t="shared" si="9"/>
        <v>437.71805999999992</v>
      </c>
      <c r="G145" s="192" t="str">
        <f t="shared" si="10"/>
        <v>1st, 2nd, 4th to 7th, 9th to 12th, 14th to 17th, 19th to 22nd, 24th to 27th, 29th to 32nd, 34th to 37th, 39th &amp; 40th Floor</v>
      </c>
      <c r="H145" s="192"/>
      <c r="I145" s="32"/>
      <c r="N145" s="54" t="str">
        <f t="shared" ca="1" si="8"/>
        <v>12406,..,4006</v>
      </c>
      <c r="O145" s="54">
        <f t="shared" ca="1" si="11"/>
        <v>12406</v>
      </c>
      <c r="P145" s="54">
        <f t="shared" ca="1" si="11"/>
        <v>4006</v>
      </c>
    </row>
    <row r="146" spans="1:16" s="54" customFormat="1" ht="15.6" customHeight="1" x14ac:dyDescent="0.25">
      <c r="A146" s="192">
        <v>7</v>
      </c>
      <c r="B146" s="192"/>
      <c r="C146" s="58" t="s">
        <v>161</v>
      </c>
      <c r="D146" s="58">
        <f>(35.77)*10.764</f>
        <v>385.02828</v>
      </c>
      <c r="E146" s="58">
        <v>0</v>
      </c>
      <c r="F146" s="58">
        <f t="shared" si="9"/>
        <v>577.54241999999999</v>
      </c>
      <c r="G146" s="192" t="str">
        <f t="shared" si="10"/>
        <v>1st, 2nd, 4th to 7th, 9th to 12th, 14th to 17th, 19th to 22nd, 24th to 27th, 29th to 32nd, 34th to 37th, 39th &amp; 40th Floor</v>
      </c>
      <c r="H146" s="192"/>
      <c r="I146" s="32"/>
      <c r="N146" s="54" t="str">
        <f t="shared" ca="1" si="8"/>
        <v>12407,..,4007</v>
      </c>
      <c r="O146" s="54">
        <f t="shared" ca="1" si="11"/>
        <v>12407</v>
      </c>
      <c r="P146" s="54">
        <f t="shared" ca="1" si="11"/>
        <v>4007</v>
      </c>
    </row>
    <row r="147" spans="1:16" s="54" customFormat="1" ht="15.6" customHeight="1" x14ac:dyDescent="0.25">
      <c r="A147" s="192">
        <v>8</v>
      </c>
      <c r="B147" s="192"/>
      <c r="C147" s="58" t="s">
        <v>160</v>
      </c>
      <c r="D147" s="58">
        <f>(46.73)*10.764</f>
        <v>503.00171999999992</v>
      </c>
      <c r="E147" s="58">
        <v>0</v>
      </c>
      <c r="F147" s="58">
        <f t="shared" si="9"/>
        <v>754.50257999999985</v>
      </c>
      <c r="G147" s="192" t="str">
        <f t="shared" si="10"/>
        <v>1st, 2nd, 4th to 7th, 9th to 12th, 14th to 17th, 19th to 22nd, 24th to 27th, 29th to 32nd, 34th to 37th, 39th &amp; 40th Floor</v>
      </c>
      <c r="H147" s="192"/>
      <c r="I147" s="32">
        <f>2.95*4.03+1.6*1+2.47*2.35+3.15*2.9+3.15*2.48+2.03*1.25+2.03*1.21+1*1.33+1*1.27</f>
        <v>43.833800000000004</v>
      </c>
      <c r="N147" s="54" t="str">
        <f t="shared" ca="1" si="8"/>
        <v>12408,..,4008</v>
      </c>
      <c r="O147" s="54">
        <f t="shared" ca="1" si="11"/>
        <v>12408</v>
      </c>
      <c r="P147" s="54">
        <f t="shared" ca="1" si="11"/>
        <v>4008</v>
      </c>
    </row>
    <row r="148" spans="1:16" s="54" customFormat="1" ht="15.75" customHeight="1" x14ac:dyDescent="0.25">
      <c r="A148" s="171" t="s">
        <v>178</v>
      </c>
      <c r="B148" s="171"/>
      <c r="C148" s="171"/>
      <c r="D148" s="171"/>
      <c r="E148" s="171"/>
      <c r="F148" s="171"/>
      <c r="G148" s="171"/>
      <c r="H148" s="171"/>
      <c r="I148" s="32"/>
      <c r="P148" s="33"/>
    </row>
    <row r="149" spans="1:16" s="54" customFormat="1" ht="15.75" customHeight="1" x14ac:dyDescent="0.25">
      <c r="A149" s="159">
        <v>1</v>
      </c>
      <c r="B149" s="160"/>
      <c r="C149" s="53" t="s">
        <v>161</v>
      </c>
      <c r="D149" s="58">
        <f>(27.11)*10.764</f>
        <v>291.81203999999997</v>
      </c>
      <c r="E149" s="53">
        <v>0</v>
      </c>
      <c r="F149" s="53">
        <f t="shared" ref="F149:F154" si="12">D149*(($F$114)+1)+(IF(E149&lt;101,E149,IF(E149&lt;201,E149/2,IF(E149&lt;=301,E149/3,E149/4))))</f>
        <v>437.71805999999992</v>
      </c>
      <c r="G149" s="186" t="str">
        <f>A148</f>
        <v>3rd, 8th, 13th, 18th, 23rd, 28th, 33rd &amp; 38th Floor (Part Refuge Area)</v>
      </c>
      <c r="H149" s="187"/>
      <c r="I149" s="57"/>
      <c r="N149" s="54" t="str">
        <f t="shared" ref="N149:N156" ca="1" si="13">O149&amp;""&amp;",..,"&amp;""&amp;P149</f>
        <v>301,..,3801</v>
      </c>
      <c r="O149" s="54">
        <f ca="1">(SUMPRODUCT(MID(0&amp;(LEFT(A148,SUM(LEN(A148)-LEN(SUBSTITUTE(A148,{0,1,2},""))))), LARGE(INDEX(ISNUMBER(--MID((LEFT(A148,SUM(LEN(A148)-LEN(SUBSTITUTE(A148,{0,1,2},""))))), ROW(INDIRECT("1:"&amp;LEN((LEFT(A148,SUM(LEN(A148)-LEN(SUBSTITUTE(A148,{0,1,2},"")))))))), 1)) * ROW(INDIRECT("1:"&amp;LEN((LEFT(A148,SUM(LEN(A148)-LEN(SUBSTITUTE(A148,{0,1,2},"")))))))), 0), ROW(INDIRECT("1:"&amp;LEN((LEFT(A148,SUM(LEN(A148)-LEN(SUBSTITUTE(A148,{0,1,2},"")))))))))+1, 1) * 10^ROW(INDIRECT("1:"&amp;LEN((LEFT(A148,SUM(LEN(A148)-LEN(SUBSTITUTE(A148,{0,1,2},""))))))))/10))*100+1</f>
        <v>301</v>
      </c>
      <c r="P149" s="54">
        <f ca="1">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3801</v>
      </c>
    </row>
    <row r="150" spans="1:16" s="54" customFormat="1" ht="15.75" customHeight="1" x14ac:dyDescent="0.25">
      <c r="A150" s="159">
        <v>2</v>
      </c>
      <c r="B150" s="160"/>
      <c r="C150" s="53" t="s">
        <v>161</v>
      </c>
      <c r="D150" s="58">
        <f>(27.11)*10.764</f>
        <v>291.81203999999997</v>
      </c>
      <c r="E150" s="53">
        <v>0</v>
      </c>
      <c r="F150" s="53">
        <f t="shared" si="12"/>
        <v>437.71805999999992</v>
      </c>
      <c r="G150" s="188"/>
      <c r="H150" s="189"/>
      <c r="I150" s="32"/>
      <c r="N150" s="54" t="str">
        <f t="shared" ca="1" si="13"/>
        <v>302,..,3802</v>
      </c>
      <c r="O150" s="54">
        <f t="shared" ref="O150:P156" ca="1" si="14">O149+1</f>
        <v>302</v>
      </c>
      <c r="P150" s="54">
        <f t="shared" ca="1" si="14"/>
        <v>3802</v>
      </c>
    </row>
    <row r="151" spans="1:16" s="54" customFormat="1" ht="15.75" customHeight="1" x14ac:dyDescent="0.25">
      <c r="A151" s="159">
        <v>3</v>
      </c>
      <c r="B151" s="160"/>
      <c r="C151" s="53" t="s">
        <v>160</v>
      </c>
      <c r="D151" s="58">
        <f>(45.61)*10.764</f>
        <v>490.94603999999998</v>
      </c>
      <c r="E151" s="53">
        <v>0</v>
      </c>
      <c r="F151" s="53">
        <f t="shared" si="12"/>
        <v>736.41905999999994</v>
      </c>
      <c r="G151" s="188"/>
      <c r="H151" s="189"/>
      <c r="I151" s="32"/>
      <c r="N151" s="54" t="str">
        <f t="shared" ca="1" si="13"/>
        <v>303,..,3803</v>
      </c>
      <c r="O151" s="54">
        <f t="shared" ca="1" si="14"/>
        <v>303</v>
      </c>
      <c r="P151" s="54">
        <f t="shared" ca="1" si="14"/>
        <v>3803</v>
      </c>
    </row>
    <row r="152" spans="1:16" s="54" customFormat="1" ht="15.75" customHeight="1" x14ac:dyDescent="0.25">
      <c r="A152" s="159">
        <v>4</v>
      </c>
      <c r="B152" s="160"/>
      <c r="C152" s="53" t="s">
        <v>160</v>
      </c>
      <c r="D152" s="58">
        <f>(45.63)*10.764</f>
        <v>491.16131999999999</v>
      </c>
      <c r="E152" s="53">
        <v>0</v>
      </c>
      <c r="F152" s="53">
        <f t="shared" si="12"/>
        <v>736.74198000000001</v>
      </c>
      <c r="G152" s="188"/>
      <c r="H152" s="189"/>
      <c r="I152" s="32">
        <f>7082000/F152</f>
        <v>9612.5919144718755</v>
      </c>
      <c r="N152" s="54" t="str">
        <f t="shared" ca="1" si="13"/>
        <v>304,..,3804</v>
      </c>
      <c r="O152" s="54">
        <f t="shared" ca="1" si="14"/>
        <v>304</v>
      </c>
      <c r="P152" s="54">
        <f t="shared" ca="1" si="14"/>
        <v>3804</v>
      </c>
    </row>
    <row r="153" spans="1:16" s="54" customFormat="1" ht="15.75" customHeight="1" x14ac:dyDescent="0.25">
      <c r="A153" s="159">
        <v>5</v>
      </c>
      <c r="B153" s="160"/>
      <c r="C153" s="53" t="s">
        <v>161</v>
      </c>
      <c r="D153" s="58">
        <f>(27.11)*10.764</f>
        <v>291.81203999999997</v>
      </c>
      <c r="E153" s="53">
        <v>0</v>
      </c>
      <c r="F153" s="53">
        <f t="shared" si="12"/>
        <v>437.71805999999992</v>
      </c>
      <c r="G153" s="188"/>
      <c r="H153" s="189"/>
      <c r="I153" s="32"/>
      <c r="N153" s="54" t="str">
        <f t="shared" ca="1" si="13"/>
        <v>305,..,3805</v>
      </c>
      <c r="O153" s="54">
        <f t="shared" ca="1" si="14"/>
        <v>305</v>
      </c>
      <c r="P153" s="54">
        <f t="shared" ca="1" si="14"/>
        <v>3805</v>
      </c>
    </row>
    <row r="154" spans="1:16" s="54" customFormat="1" ht="15.75" customHeight="1" x14ac:dyDescent="0.25">
      <c r="A154" s="159">
        <v>6</v>
      </c>
      <c r="B154" s="160"/>
      <c r="C154" s="53" t="s">
        <v>161</v>
      </c>
      <c r="D154" s="58">
        <f>(27.11)*10.764</f>
        <v>291.81203999999997</v>
      </c>
      <c r="E154" s="53">
        <v>0</v>
      </c>
      <c r="F154" s="53">
        <f t="shared" si="12"/>
        <v>437.71805999999992</v>
      </c>
      <c r="G154" s="188"/>
      <c r="H154" s="189"/>
      <c r="I154" s="32"/>
      <c r="N154" s="54" t="str">
        <f t="shared" ca="1" si="13"/>
        <v>306,..,3806</v>
      </c>
      <c r="O154" s="54">
        <f t="shared" ca="1" si="14"/>
        <v>306</v>
      </c>
      <c r="P154" s="54">
        <f t="shared" ca="1" si="14"/>
        <v>3806</v>
      </c>
    </row>
    <row r="155" spans="1:16" s="54" customFormat="1" ht="15.75" customHeight="1" x14ac:dyDescent="0.25">
      <c r="A155" s="159">
        <v>7</v>
      </c>
      <c r="B155" s="160"/>
      <c r="C155" s="159" t="s">
        <v>162</v>
      </c>
      <c r="D155" s="199"/>
      <c r="E155" s="199"/>
      <c r="F155" s="160"/>
      <c r="G155" s="188"/>
      <c r="H155" s="189"/>
      <c r="I155" s="32"/>
      <c r="N155" s="54" t="str">
        <f t="shared" ca="1" si="13"/>
        <v>307,..,3807</v>
      </c>
      <c r="O155" s="54">
        <f t="shared" ca="1" si="14"/>
        <v>307</v>
      </c>
      <c r="P155" s="54">
        <f t="shared" ca="1" si="14"/>
        <v>3807</v>
      </c>
    </row>
    <row r="156" spans="1:16" s="54" customFormat="1" ht="15.75" customHeight="1" x14ac:dyDescent="0.25">
      <c r="A156" s="159">
        <v>8</v>
      </c>
      <c r="B156" s="160"/>
      <c r="C156" s="53" t="s">
        <v>160</v>
      </c>
      <c r="D156" s="58">
        <f>(46.79)*10.764</f>
        <v>503.64755999999994</v>
      </c>
      <c r="E156" s="53">
        <v>0</v>
      </c>
      <c r="F156" s="53">
        <f>D156*(($F$114)+1)+(IF(E156&lt;101,E156,IF(E156&lt;201,E156/2,IF(E156&lt;=301,E156/3,E156/4))))</f>
        <v>755.47133999999994</v>
      </c>
      <c r="G156" s="190"/>
      <c r="H156" s="191"/>
      <c r="I156" s="32"/>
      <c r="N156" s="54" t="str">
        <f t="shared" ca="1" si="13"/>
        <v>308,..,3808</v>
      </c>
      <c r="O156" s="54">
        <f t="shared" ca="1" si="14"/>
        <v>308</v>
      </c>
      <c r="P156" s="54">
        <f t="shared" ca="1" si="14"/>
        <v>3808</v>
      </c>
    </row>
    <row r="157" spans="1:16" s="1" customFormat="1" x14ac:dyDescent="0.25">
      <c r="A157" s="162" t="s">
        <v>70</v>
      </c>
      <c r="B157" s="162"/>
      <c r="C157" s="162"/>
      <c r="D157" s="162"/>
      <c r="E157" s="162"/>
      <c r="F157" s="162"/>
      <c r="G157" s="162"/>
      <c r="H157" s="162"/>
    </row>
    <row r="158" spans="1:16" s="1" customFormat="1" x14ac:dyDescent="0.25">
      <c r="A158" s="56">
        <v>1</v>
      </c>
      <c r="B158" s="89" t="s">
        <v>233</v>
      </c>
      <c r="C158" s="90"/>
      <c r="D158" s="90"/>
      <c r="E158" s="90"/>
      <c r="F158" s="90"/>
      <c r="G158" s="90"/>
      <c r="H158" s="91"/>
    </row>
    <row r="159" spans="1:16" s="1" customFormat="1" x14ac:dyDescent="0.25">
      <c r="A159" s="43">
        <f t="shared" ref="A159:A165" si="15">A158+1</f>
        <v>2</v>
      </c>
      <c r="B159" s="89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59" s="90"/>
      <c r="D159" s="90"/>
      <c r="E159" s="90"/>
      <c r="F159" s="90"/>
      <c r="G159" s="90"/>
      <c r="H159" s="91"/>
    </row>
    <row r="160" spans="1:16" s="1" customFormat="1" x14ac:dyDescent="0.25">
      <c r="A160" s="47">
        <v>3</v>
      </c>
      <c r="B160" s="95" t="s">
        <v>127</v>
      </c>
      <c r="C160" s="96"/>
      <c r="D160" s="96"/>
      <c r="E160" s="96"/>
      <c r="F160" s="96"/>
      <c r="G160" s="96"/>
      <c r="H160" s="97"/>
    </row>
    <row r="161" spans="1:8" s="1" customFormat="1" x14ac:dyDescent="0.25">
      <c r="A161" s="47">
        <f t="shared" si="15"/>
        <v>4</v>
      </c>
      <c r="B161" s="95" t="s">
        <v>179</v>
      </c>
      <c r="C161" s="96"/>
      <c r="D161" s="96"/>
      <c r="E161" s="96"/>
      <c r="F161" s="96"/>
      <c r="G161" s="96"/>
      <c r="H161" s="97"/>
    </row>
    <row r="162" spans="1:8" s="1" customFormat="1" x14ac:dyDescent="0.25">
      <c r="A162" s="47">
        <f t="shared" si="15"/>
        <v>5</v>
      </c>
      <c r="B162" s="95" t="s">
        <v>128</v>
      </c>
      <c r="C162" s="96"/>
      <c r="D162" s="96"/>
      <c r="E162" s="96"/>
      <c r="F162" s="96"/>
      <c r="G162" s="96"/>
      <c r="H162" s="97"/>
    </row>
    <row r="163" spans="1:8" s="1" customFormat="1" ht="32.25" customHeight="1" x14ac:dyDescent="0.25">
      <c r="A163" s="81">
        <f>A162+1</f>
        <v>6</v>
      </c>
      <c r="B163" s="95" t="s">
        <v>169</v>
      </c>
      <c r="C163" s="96"/>
      <c r="D163" s="96"/>
      <c r="E163" s="96"/>
      <c r="F163" s="96"/>
      <c r="G163" s="96"/>
      <c r="H163" s="97"/>
    </row>
    <row r="164" spans="1:8" s="1" customFormat="1" x14ac:dyDescent="0.25">
      <c r="A164" s="47">
        <v>7</v>
      </c>
      <c r="B164" s="95" t="s">
        <v>129</v>
      </c>
      <c r="C164" s="96"/>
      <c r="D164" s="96"/>
      <c r="E164" s="96"/>
      <c r="F164" s="96"/>
      <c r="G164" s="96"/>
      <c r="H164" s="97"/>
    </row>
    <row r="165" spans="1:8" s="1" customFormat="1" x14ac:dyDescent="0.25">
      <c r="A165" s="56">
        <f t="shared" si="15"/>
        <v>8</v>
      </c>
      <c r="B165" s="95" t="s">
        <v>213</v>
      </c>
      <c r="C165" s="96"/>
      <c r="D165" s="96"/>
      <c r="E165" s="96"/>
      <c r="F165" s="96"/>
      <c r="G165" s="96"/>
      <c r="H165" s="97"/>
    </row>
    <row r="166" spans="1:8" s="1" customFormat="1" x14ac:dyDescent="0.25">
      <c r="A166" s="47">
        <v>9</v>
      </c>
      <c r="B166" s="89" t="s">
        <v>215</v>
      </c>
      <c r="C166" s="90"/>
      <c r="D166" s="90"/>
      <c r="E166" s="90"/>
      <c r="F166" s="90"/>
      <c r="G166" s="90"/>
      <c r="H166" s="91"/>
    </row>
    <row r="167" spans="1:8" s="1" customFormat="1" ht="34.5" customHeight="1" x14ac:dyDescent="0.25">
      <c r="A167" s="82">
        <v>10</v>
      </c>
      <c r="B167" s="89" t="s">
        <v>208</v>
      </c>
      <c r="C167" s="90"/>
      <c r="D167" s="90"/>
      <c r="E167" s="90"/>
      <c r="F167" s="90"/>
      <c r="G167" s="90"/>
      <c r="H167" s="91"/>
    </row>
    <row r="168" spans="1:8" s="1" customFormat="1" ht="10.5" hidden="1" customHeight="1" x14ac:dyDescent="0.25">
      <c r="A168" s="82">
        <v>9</v>
      </c>
      <c r="B168" s="89" t="s">
        <v>171</v>
      </c>
      <c r="C168" s="90"/>
      <c r="D168" s="90"/>
      <c r="E168" s="90"/>
      <c r="F168" s="90"/>
      <c r="G168" s="90"/>
      <c r="H168" s="91"/>
    </row>
    <row r="169" spans="1:8" s="1" customFormat="1" x14ac:dyDescent="0.25">
      <c r="A169" s="86">
        <v>11</v>
      </c>
      <c r="B169" s="89" t="s">
        <v>227</v>
      </c>
      <c r="C169" s="90"/>
      <c r="D169" s="90"/>
      <c r="E169" s="90"/>
      <c r="F169" s="90"/>
      <c r="G169" s="90"/>
      <c r="H169" s="91"/>
    </row>
    <row r="170" spans="1:8" x14ac:dyDescent="0.25">
      <c r="A170" s="193" t="s">
        <v>63</v>
      </c>
      <c r="B170" s="193"/>
      <c r="C170" s="193"/>
      <c r="D170" s="193"/>
      <c r="E170" s="193"/>
      <c r="F170" s="193"/>
      <c r="G170" s="193"/>
      <c r="H170" s="193"/>
    </row>
    <row r="171" spans="1:8" x14ac:dyDescent="0.25">
      <c r="A171" s="152" t="s">
        <v>64</v>
      </c>
      <c r="B171" s="152"/>
      <c r="C171" s="152"/>
      <c r="D171" s="152"/>
      <c r="E171" s="152"/>
      <c r="F171" s="152"/>
      <c r="G171" s="152"/>
      <c r="H171" s="152"/>
    </row>
    <row r="172" spans="1:8" ht="15.75" customHeight="1" x14ac:dyDescent="0.25">
      <c r="A172" s="179" t="s">
        <v>65</v>
      </c>
      <c r="B172" s="179"/>
      <c r="C172" s="179"/>
      <c r="D172" s="179"/>
      <c r="E172" s="179"/>
      <c r="F172" s="179"/>
      <c r="G172" s="179"/>
      <c r="H172" s="179"/>
    </row>
    <row r="173" spans="1:8" x14ac:dyDescent="0.25">
      <c r="A173" s="152" t="s">
        <v>66</v>
      </c>
      <c r="B173" s="152"/>
      <c r="C173" s="152"/>
      <c r="D173" s="152"/>
      <c r="E173" s="152"/>
      <c r="F173" s="152"/>
      <c r="G173" s="152"/>
      <c r="H173" s="152"/>
    </row>
    <row r="174" spans="1:8" x14ac:dyDescent="0.25">
      <c r="A174" s="152" t="s">
        <v>67</v>
      </c>
      <c r="B174" s="152"/>
      <c r="C174" s="152"/>
      <c r="D174" s="152"/>
      <c r="E174" s="152"/>
      <c r="F174" s="152"/>
      <c r="G174" s="152"/>
      <c r="H174" s="152"/>
    </row>
    <row r="175" spans="1:8" hidden="1" x14ac:dyDescent="0.25">
      <c r="A175" s="152" t="s">
        <v>130</v>
      </c>
      <c r="B175" s="152"/>
      <c r="C175" s="152"/>
      <c r="D175" s="152"/>
      <c r="E175" s="152"/>
      <c r="F175" s="152"/>
      <c r="G175" s="152"/>
      <c r="H175" s="152"/>
    </row>
    <row r="176" spans="1:8" hidden="1" x14ac:dyDescent="0.25">
      <c r="A176" s="143" t="s">
        <v>131</v>
      </c>
      <c r="B176" s="143"/>
      <c r="C176" s="143"/>
      <c r="D176" s="143"/>
      <c r="E176" s="143"/>
      <c r="F176" s="143"/>
      <c r="G176" s="143"/>
      <c r="H176" s="143"/>
    </row>
    <row r="177" spans="1:8" x14ac:dyDescent="0.25">
      <c r="A177" s="158" t="s">
        <v>80</v>
      </c>
      <c r="B177" s="158"/>
      <c r="C177" s="158" t="s">
        <v>172</v>
      </c>
      <c r="D177" s="158"/>
      <c r="E177" s="158" t="s">
        <v>110</v>
      </c>
      <c r="F177" s="158"/>
      <c r="G177" s="158" t="s">
        <v>232</v>
      </c>
      <c r="H177" s="158"/>
    </row>
    <row r="178" spans="1:8" x14ac:dyDescent="0.25">
      <c r="A178" s="157" t="s">
        <v>82</v>
      </c>
      <c r="B178" s="157"/>
      <c r="C178" s="157"/>
      <c r="D178" s="157"/>
      <c r="E178" s="157"/>
      <c r="F178" s="157"/>
      <c r="G178" s="157"/>
      <c r="H178" s="157"/>
    </row>
    <row r="179" spans="1:8" x14ac:dyDescent="0.25">
      <c r="A179" s="157"/>
      <c r="B179" s="157"/>
      <c r="C179" s="157"/>
      <c r="D179" s="157"/>
      <c r="E179" s="157"/>
      <c r="F179" s="157"/>
      <c r="G179" s="157"/>
      <c r="H179" s="157"/>
    </row>
    <row r="180" spans="1:8" x14ac:dyDescent="0.25">
      <c r="A180" s="157"/>
      <c r="B180" s="157"/>
      <c r="C180" s="157"/>
      <c r="D180" s="157"/>
      <c r="E180" s="157"/>
      <c r="F180" s="157"/>
      <c r="G180" s="157"/>
      <c r="H180" s="157"/>
    </row>
    <row r="181" spans="1:8" x14ac:dyDescent="0.25">
      <c r="A181" s="157"/>
      <c r="B181" s="157"/>
      <c r="C181" s="157"/>
      <c r="D181" s="157"/>
      <c r="E181" s="157"/>
      <c r="F181" s="157"/>
      <c r="G181" s="157"/>
      <c r="H181" s="157"/>
    </row>
    <row r="182" spans="1:8" x14ac:dyDescent="0.25">
      <c r="A182" s="9" t="s">
        <v>68</v>
      </c>
      <c r="B182" s="10"/>
      <c r="C182" s="10"/>
      <c r="D182" s="9" t="str">
        <f>E8</f>
        <v>IKIGAI Phase 1</v>
      </c>
      <c r="F182" s="10"/>
      <c r="G182" s="10"/>
      <c r="H182" s="10"/>
    </row>
    <row r="183" spans="1:8" x14ac:dyDescent="0.25">
      <c r="A183" s="10"/>
      <c r="B183" s="10"/>
      <c r="C183" s="10"/>
      <c r="D183" s="10"/>
      <c r="E183" s="10"/>
      <c r="F183" s="10"/>
      <c r="G183" s="10"/>
      <c r="H183" s="10"/>
    </row>
    <row r="184" spans="1:8" x14ac:dyDescent="0.25">
      <c r="A184" s="10"/>
      <c r="B184" s="10"/>
      <c r="C184" s="10"/>
      <c r="D184" s="10"/>
      <c r="E184" s="10"/>
      <c r="F184" s="10"/>
      <c r="G184" s="10"/>
      <c r="H184" s="10"/>
    </row>
    <row r="185" spans="1:8" ht="15" customHeight="1" x14ac:dyDescent="0.25"/>
    <row r="225" spans="1:1" x14ac:dyDescent="0.25">
      <c r="A225" s="12" t="s">
        <v>186</v>
      </c>
    </row>
    <row r="265" spans="1:1" x14ac:dyDescent="0.25">
      <c r="A265" s="12" t="s">
        <v>69</v>
      </c>
    </row>
    <row r="309" spans="1:1" x14ac:dyDescent="0.25">
      <c r="A309" s="3"/>
    </row>
  </sheetData>
  <mergeCells count="296">
    <mergeCell ref="B169:H169"/>
    <mergeCell ref="C80:H80"/>
    <mergeCell ref="A93:E93"/>
    <mergeCell ref="A82:B82"/>
    <mergeCell ref="E82:F91"/>
    <mergeCell ref="A89:B89"/>
    <mergeCell ref="A90:B90"/>
    <mergeCell ref="A91:B91"/>
    <mergeCell ref="A115:H115"/>
    <mergeCell ref="G119:H126"/>
    <mergeCell ref="A118:H118"/>
    <mergeCell ref="E108:F108"/>
    <mergeCell ref="C107:D107"/>
    <mergeCell ref="F98:H98"/>
    <mergeCell ref="A99:E99"/>
    <mergeCell ref="A101:E101"/>
    <mergeCell ref="F95:H95"/>
    <mergeCell ref="A100:E100"/>
    <mergeCell ref="A95:E95"/>
    <mergeCell ref="F99:H99"/>
    <mergeCell ref="G107:H107"/>
    <mergeCell ref="B164:H164"/>
    <mergeCell ref="B166:H166"/>
    <mergeCell ref="B158:H158"/>
    <mergeCell ref="A63:C63"/>
    <mergeCell ref="A156:B156"/>
    <mergeCell ref="A151:B151"/>
    <mergeCell ref="A152:B152"/>
    <mergeCell ref="A153:B153"/>
    <mergeCell ref="A154:B154"/>
    <mergeCell ref="A155:B155"/>
    <mergeCell ref="C155:F155"/>
    <mergeCell ref="A148:H148"/>
    <mergeCell ref="A149:B149"/>
    <mergeCell ref="A150:B150"/>
    <mergeCell ref="G140:H147"/>
    <mergeCell ref="A145:B145"/>
    <mergeCell ref="A146:B146"/>
    <mergeCell ref="A78:B78"/>
    <mergeCell ref="C134:F134"/>
    <mergeCell ref="A133:B133"/>
    <mergeCell ref="A134:B134"/>
    <mergeCell ref="A129:B129"/>
    <mergeCell ref="A140:B140"/>
    <mergeCell ref="A141:B141"/>
    <mergeCell ref="A142:B142"/>
    <mergeCell ref="A143:B143"/>
    <mergeCell ref="A144:B144"/>
    <mergeCell ref="A171:H171"/>
    <mergeCell ref="E107:F107"/>
    <mergeCell ref="A73:B73"/>
    <mergeCell ref="F93:H93"/>
    <mergeCell ref="A92:H92"/>
    <mergeCell ref="G108:H108"/>
    <mergeCell ref="A46:B46"/>
    <mergeCell ref="C46:E46"/>
    <mergeCell ref="G46:H46"/>
    <mergeCell ref="A60:C60"/>
    <mergeCell ref="D60:H60"/>
    <mergeCell ref="A75:B75"/>
    <mergeCell ref="G48:H48"/>
    <mergeCell ref="D52:H52"/>
    <mergeCell ref="C48:E48"/>
    <mergeCell ref="A55:C56"/>
    <mergeCell ref="D55:H55"/>
    <mergeCell ref="D56:H56"/>
    <mergeCell ref="A81:B81"/>
    <mergeCell ref="E81:F81"/>
    <mergeCell ref="G81:H81"/>
    <mergeCell ref="A52:C52"/>
    <mergeCell ref="A53:C53"/>
    <mergeCell ref="D53:H53"/>
    <mergeCell ref="C78:H78"/>
    <mergeCell ref="A111:H111"/>
    <mergeCell ref="A175:H175"/>
    <mergeCell ref="A172:H172"/>
    <mergeCell ref="A107:B107"/>
    <mergeCell ref="D113:D114"/>
    <mergeCell ref="E113:E114"/>
    <mergeCell ref="G113:H114"/>
    <mergeCell ref="A86:B86"/>
    <mergeCell ref="A87:B87"/>
    <mergeCell ref="A88:B88"/>
    <mergeCell ref="G149:H156"/>
    <mergeCell ref="A128:B128"/>
    <mergeCell ref="G128:H135"/>
    <mergeCell ref="F103:H103"/>
    <mergeCell ref="F101:H101"/>
    <mergeCell ref="A120:B120"/>
    <mergeCell ref="A112:H112"/>
    <mergeCell ref="A102:E102"/>
    <mergeCell ref="C113:C114"/>
    <mergeCell ref="A108:B108"/>
    <mergeCell ref="A98:E98"/>
    <mergeCell ref="A147:B147"/>
    <mergeCell ref="A170:H170"/>
    <mergeCell ref="E109:F109"/>
    <mergeCell ref="G109:H109"/>
    <mergeCell ref="A130:B130"/>
    <mergeCell ref="A131:B131"/>
    <mergeCell ref="A132:B132"/>
    <mergeCell ref="A136:H136"/>
    <mergeCell ref="A137:H137"/>
    <mergeCell ref="A138:H138"/>
    <mergeCell ref="A139:H139"/>
    <mergeCell ref="A135:B135"/>
    <mergeCell ref="A110:B110"/>
    <mergeCell ref="C110:D110"/>
    <mergeCell ref="E110:F110"/>
    <mergeCell ref="G110:H110"/>
    <mergeCell ref="C109:D109"/>
    <mergeCell ref="A125:B125"/>
    <mergeCell ref="A126:B126"/>
    <mergeCell ref="B163:H163"/>
    <mergeCell ref="A109:B109"/>
    <mergeCell ref="A72:B72"/>
    <mergeCell ref="A59:C59"/>
    <mergeCell ref="D59:H59"/>
    <mergeCell ref="C66:H66"/>
    <mergeCell ref="A69:B69"/>
    <mergeCell ref="A71:B71"/>
    <mergeCell ref="E67:F67"/>
    <mergeCell ref="A67:B67"/>
    <mergeCell ref="A70:B70"/>
    <mergeCell ref="A62:C62"/>
    <mergeCell ref="D62:H62"/>
    <mergeCell ref="A68:B68"/>
    <mergeCell ref="G67:H67"/>
    <mergeCell ref="A66:B66"/>
    <mergeCell ref="A64:B64"/>
    <mergeCell ref="C64:H64"/>
    <mergeCell ref="E68:F77"/>
    <mergeCell ref="G68:H77"/>
    <mergeCell ref="A76:B76"/>
    <mergeCell ref="A77:B77"/>
    <mergeCell ref="A74:B74"/>
    <mergeCell ref="D63:H63"/>
    <mergeCell ref="A61:C61"/>
    <mergeCell ref="D61:H61"/>
    <mergeCell ref="A178:H181"/>
    <mergeCell ref="A177:B177"/>
    <mergeCell ref="E177:F177"/>
    <mergeCell ref="C177:D177"/>
    <mergeCell ref="G177:H177"/>
    <mergeCell ref="A104:E104"/>
    <mergeCell ref="F104:H104"/>
    <mergeCell ref="A105:E105"/>
    <mergeCell ref="F105:H105"/>
    <mergeCell ref="A121:B121"/>
    <mergeCell ref="A173:H173"/>
    <mergeCell ref="A106:H106"/>
    <mergeCell ref="A176:H176"/>
    <mergeCell ref="A174:H174"/>
    <mergeCell ref="A157:H157"/>
    <mergeCell ref="B113:B114"/>
    <mergeCell ref="A113:A114"/>
    <mergeCell ref="A124:B124"/>
    <mergeCell ref="A123:B123"/>
    <mergeCell ref="A122:B122"/>
    <mergeCell ref="A119:B119"/>
    <mergeCell ref="A116:H1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0:H30"/>
    <mergeCell ref="A31:B31"/>
    <mergeCell ref="A30:B30"/>
    <mergeCell ref="C31:E31"/>
    <mergeCell ref="A38:H38"/>
    <mergeCell ref="C34:E34"/>
    <mergeCell ref="F34:H34"/>
    <mergeCell ref="A36:B36"/>
    <mergeCell ref="C47:E47"/>
    <mergeCell ref="A50:B50"/>
    <mergeCell ref="C50:E50"/>
    <mergeCell ref="A47:B47"/>
    <mergeCell ref="A51:H51"/>
    <mergeCell ref="E40:H40"/>
    <mergeCell ref="A40:D40"/>
    <mergeCell ref="A37:B37"/>
    <mergeCell ref="C49:H49"/>
    <mergeCell ref="C37:H37"/>
    <mergeCell ref="G50:H50"/>
    <mergeCell ref="A32:B32"/>
    <mergeCell ref="C32:E32"/>
    <mergeCell ref="A35:H35"/>
    <mergeCell ref="A34:B34"/>
    <mergeCell ref="C36:H36"/>
    <mergeCell ref="A39:D39"/>
    <mergeCell ref="E39:H39"/>
    <mergeCell ref="A57:C57"/>
    <mergeCell ref="A58:C58"/>
    <mergeCell ref="D57:H57"/>
    <mergeCell ref="D58:H58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B168:H168"/>
    <mergeCell ref="B167:H167"/>
    <mergeCell ref="A80:B80"/>
    <mergeCell ref="F100:H100"/>
    <mergeCell ref="B165:H165"/>
    <mergeCell ref="G82:H91"/>
    <mergeCell ref="A83:B83"/>
    <mergeCell ref="A84:B84"/>
    <mergeCell ref="A85:B85"/>
    <mergeCell ref="F94:H94"/>
    <mergeCell ref="A94:E94"/>
    <mergeCell ref="A96:E96"/>
    <mergeCell ref="A97:E97"/>
    <mergeCell ref="F97:H97"/>
    <mergeCell ref="F96:H96"/>
    <mergeCell ref="F102:H102"/>
    <mergeCell ref="A117:H117"/>
    <mergeCell ref="B159:H159"/>
    <mergeCell ref="B160:H160"/>
    <mergeCell ref="B161:H161"/>
    <mergeCell ref="A103:E103"/>
    <mergeCell ref="B162:H162"/>
    <mergeCell ref="A127:H127"/>
    <mergeCell ref="C108:D108"/>
  </mergeCells>
  <hyperlinks>
    <hyperlink ref="C37" r:id="rId1"/>
    <hyperlink ref="I60" r:id="rId2"/>
    <hyperlink ref="I55" display="https://puraniks-ikigai.com/?cstm_ppc_keyword=Ikigai%20thane&amp;cstm_ppc_placement=ProjectNewPrice&amp;cstm_ppc_device=c&amp;cstm_ppc_campaign=Brand&amp;cstm_ppc_channel=GoogleSearch&amp;SRD=7019F000000MKWaQAO&amp;gclid=Cj0KCQiA2KitBhCIARIsAPPMEhL845gBifpM2ZUm6xg-8Ze5S2QFEyziYN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3" max="7" man="1"/>
    <brk id="181" max="16383" man="1"/>
    <brk id="224" max="7" man="1"/>
    <brk id="264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7"/>
    <col min="2" max="2" width="22.140625" style="17" customWidth="1"/>
    <col min="3" max="3" width="37" style="17" customWidth="1"/>
    <col min="4" max="5" width="11.42578125" style="17" customWidth="1"/>
    <col min="6" max="6" width="14" style="17" customWidth="1"/>
    <col min="7" max="7" width="20" style="17" customWidth="1"/>
    <col min="8" max="8" width="16.42578125" style="17" customWidth="1"/>
    <col min="9" max="16384" width="8.7109375" style="17"/>
  </cols>
  <sheetData>
    <row r="1" spans="1:9" ht="15" customHeight="1" x14ac:dyDescent="0.25">
      <c r="A1" s="16"/>
      <c r="B1" s="16"/>
      <c r="C1" s="16"/>
      <c r="D1" s="16"/>
      <c r="E1" s="16"/>
      <c r="F1" s="16"/>
      <c r="G1" s="16"/>
      <c r="H1" s="16"/>
    </row>
    <row r="2" spans="1:9" ht="15" customHeight="1" x14ac:dyDescent="0.25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25">
      <c r="A3" s="18"/>
      <c r="B3" s="204" t="s">
        <v>111</v>
      </c>
      <c r="C3" s="204"/>
      <c r="D3" s="204"/>
      <c r="E3" s="204"/>
      <c r="F3" s="204"/>
      <c r="G3" s="204"/>
      <c r="H3" s="204"/>
    </row>
    <row r="4" spans="1:9" x14ac:dyDescent="0.25">
      <c r="A4" s="18"/>
      <c r="B4" s="19" t="s">
        <v>112</v>
      </c>
      <c r="C4" s="19" t="s">
        <v>113</v>
      </c>
      <c r="D4" s="19" t="s">
        <v>71</v>
      </c>
      <c r="E4" s="19" t="s">
        <v>114</v>
      </c>
      <c r="F4" s="19" t="s">
        <v>120</v>
      </c>
      <c r="G4" s="19" t="s">
        <v>121</v>
      </c>
      <c r="H4" s="19" t="s">
        <v>115</v>
      </c>
    </row>
    <row r="5" spans="1:9" ht="15" customHeight="1" x14ac:dyDescent="0.25">
      <c r="A5" s="18"/>
      <c r="B5" s="21" t="s">
        <v>116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25">
      <c r="A6" s="18"/>
      <c r="B6" s="21" t="s">
        <v>116</v>
      </c>
      <c r="C6" s="25"/>
      <c r="D6" s="21"/>
      <c r="E6" s="21"/>
      <c r="F6" s="23">
        <f>E6*1.6</f>
        <v>0</v>
      </c>
      <c r="G6" s="23" t="e">
        <f t="shared" ref="G6:G11" si="0">H6/F6</f>
        <v>#DIV/0!</v>
      </c>
      <c r="H6" s="24"/>
    </row>
    <row r="7" spans="1:9" ht="15" customHeight="1" x14ac:dyDescent="0.25">
      <c r="A7" s="18"/>
      <c r="B7" s="21" t="s">
        <v>116</v>
      </c>
      <c r="C7" s="22"/>
      <c r="D7" s="21"/>
      <c r="E7" s="21"/>
      <c r="F7" s="23">
        <f>E7*1.6</f>
        <v>0</v>
      </c>
      <c r="G7" s="23" t="e">
        <f t="shared" si="0"/>
        <v>#DIV/0!</v>
      </c>
      <c r="H7" s="24"/>
    </row>
    <row r="8" spans="1:9" x14ac:dyDescent="0.25">
      <c r="A8" s="18"/>
      <c r="B8" s="21" t="s">
        <v>116</v>
      </c>
      <c r="C8" s="25"/>
      <c r="D8" s="21"/>
      <c r="E8" s="21"/>
      <c r="F8" s="23">
        <f>E8*1.6</f>
        <v>0</v>
      </c>
      <c r="G8" s="23" t="e">
        <f t="shared" si="0"/>
        <v>#DIV/0!</v>
      </c>
      <c r="H8" s="24"/>
    </row>
    <row r="9" spans="1:9" ht="15" customHeight="1" x14ac:dyDescent="0.25">
      <c r="A9" s="18"/>
      <c r="B9" s="21" t="s">
        <v>116</v>
      </c>
      <c r="C9" s="25"/>
      <c r="D9" s="21"/>
      <c r="E9" s="21"/>
      <c r="F9" s="23">
        <f>E9*1.6</f>
        <v>0</v>
      </c>
      <c r="G9" s="23" t="e">
        <f t="shared" si="0"/>
        <v>#DIV/0!</v>
      </c>
      <c r="H9" s="24"/>
    </row>
    <row r="10" spans="1:9" ht="15" customHeight="1" x14ac:dyDescent="0.25">
      <c r="A10" s="18"/>
      <c r="B10" s="21" t="s">
        <v>117</v>
      </c>
      <c r="C10" s="22"/>
      <c r="D10" s="78" t="s">
        <v>165</v>
      </c>
      <c r="E10" s="21">
        <v>319</v>
      </c>
      <c r="F10" s="23">
        <f>E10*1.55</f>
        <v>494.45</v>
      </c>
      <c r="G10" s="23">
        <f t="shared" si="0"/>
        <v>8089.7967438568112</v>
      </c>
      <c r="H10" s="24">
        <v>4000000</v>
      </c>
    </row>
    <row r="11" spans="1:9" ht="15" customHeight="1" x14ac:dyDescent="0.25">
      <c r="A11" s="18"/>
      <c r="B11" s="21" t="s">
        <v>117</v>
      </c>
      <c r="C11" s="22"/>
      <c r="D11" s="78" t="s">
        <v>166</v>
      </c>
      <c r="E11" s="21">
        <v>535</v>
      </c>
      <c r="F11" s="23">
        <f>E11*1.55</f>
        <v>829.25</v>
      </c>
      <c r="G11" s="23">
        <f t="shared" si="0"/>
        <v>8540.2472113355434</v>
      </c>
      <c r="H11" s="24">
        <v>7082000</v>
      </c>
    </row>
    <row r="12" spans="1:9" ht="15" customHeight="1" x14ac:dyDescent="0.25">
      <c r="A12" s="18"/>
      <c r="B12" s="26" t="s">
        <v>118</v>
      </c>
      <c r="C12" s="21"/>
      <c r="D12" s="21"/>
      <c r="E12" s="21"/>
      <c r="F12" s="21"/>
      <c r="G12" s="27">
        <f>AVERAGE(G10:G11)</f>
        <v>8315.0219775961777</v>
      </c>
      <c r="H12" s="21"/>
    </row>
    <row r="13" spans="1:9" ht="15" customHeight="1" x14ac:dyDescent="0.25">
      <c r="A13" s="16"/>
      <c r="B13" s="26" t="s">
        <v>119</v>
      </c>
      <c r="C13" s="28"/>
      <c r="D13" s="28"/>
      <c r="E13" s="28"/>
      <c r="F13" s="29"/>
      <c r="G13" s="26"/>
      <c r="H13" s="26"/>
      <c r="I13" s="20"/>
    </row>
    <row r="14" spans="1:9" ht="15" customHeight="1" x14ac:dyDescent="0.25">
      <c r="B14" s="16"/>
      <c r="C14" s="16"/>
      <c r="D14" s="16"/>
      <c r="E14" s="16"/>
    </row>
    <row r="15" spans="1:9" ht="15" customHeight="1" x14ac:dyDescent="0.25">
      <c r="B15" s="16"/>
      <c r="C15" s="16"/>
      <c r="D15" s="16"/>
      <c r="E15" s="16"/>
    </row>
    <row r="16" spans="1:9" ht="15" customHeight="1" x14ac:dyDescent="0.25">
      <c r="B16" s="16"/>
      <c r="C16" s="16"/>
      <c r="D16" s="16"/>
      <c r="E16" s="16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2025-08-12T12:14:11Z</cp:lastPrinted>
  <dcterms:created xsi:type="dcterms:W3CDTF">2019-07-16T09:29:46Z</dcterms:created>
  <dcterms:modified xsi:type="dcterms:W3CDTF">2025-08-13T10:40:03Z</dcterms:modified>
</cp:coreProperties>
</file>