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codeName="ThisWorkbook"/>
  <mc:AlternateContent xmlns:mc="http://schemas.openxmlformats.org/markup-compatibility/2006">
    <mc:Choice Requires="x15">
      <x15ac:absPath xmlns:x15ac="http://schemas.microsoft.com/office/spreadsheetml/2010/11/ac" url="D:\aug 25\AXIS\DUMP\"/>
    </mc:Choice>
  </mc:AlternateContent>
  <xr:revisionPtr revIDLastSave="0" documentId="13_ncr:1_{0DEEC904-44D5-48C1-B4E7-CD563CCD5345}" xr6:coauthVersionLast="47" xr6:coauthVersionMax="47" xr10:uidLastSave="{00000000-0000-0000-0000-000000000000}"/>
  <bookViews>
    <workbookView xWindow="-120" yWindow="-120" windowWidth="20730" windowHeight="11160" tabRatio="725" xr2:uid="{00000000-000D-0000-FFFF-FFFF00000000}"/>
  </bookViews>
  <sheets>
    <sheet name="Report" sheetId="1" r:id="rId1"/>
    <sheet name="valuation" sheetId="5" r:id="rId2"/>
    <sheet name="Research" sheetId="4" r:id="rId3"/>
    <sheet name="Remarks" sheetId="6" r:id="rId4"/>
    <sheet name="Area Calculation" sheetId="7" r:id="rId5"/>
  </sheets>
  <definedNames>
    <definedName name="_xlnm.Print_Area" localSheetId="0">Report!$A$1:$H$384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87" i="1" l="1"/>
  <c r="A189" i="1" s="1"/>
  <c r="A190" i="1" s="1"/>
  <c r="A191" i="1" s="1"/>
  <c r="A192" i="1" s="1"/>
  <c r="A193" i="1" s="1"/>
  <c r="A194" i="1" s="1"/>
  <c r="A196" i="1" l="1"/>
  <c r="A197" i="1" s="1"/>
  <c r="A195" i="1"/>
  <c r="J146" i="1"/>
  <c r="A199" i="1" l="1"/>
  <c r="A201" i="1" s="1"/>
  <c r="A198" i="1"/>
  <c r="A200" i="1" s="1"/>
  <c r="I183" i="1"/>
  <c r="E182" i="1"/>
  <c r="D182" i="1"/>
  <c r="E181" i="1"/>
  <c r="D181" i="1"/>
  <c r="E180" i="1"/>
  <c r="D180" i="1"/>
  <c r="E160" i="1"/>
  <c r="D160" i="1"/>
  <c r="E159" i="1"/>
  <c r="D159" i="1"/>
  <c r="E158" i="1"/>
  <c r="D158" i="1"/>
  <c r="E157" i="1"/>
  <c r="D157" i="1"/>
  <c r="E156" i="1"/>
  <c r="D156" i="1"/>
  <c r="G178" i="1"/>
  <c r="E178" i="1"/>
  <c r="D178" i="1"/>
  <c r="E177" i="1"/>
  <c r="D177" i="1"/>
  <c r="E176" i="1"/>
  <c r="D176" i="1"/>
  <c r="F176" i="1" s="1"/>
  <c r="H176" i="1" s="1"/>
  <c r="A176" i="1"/>
  <c r="A177" i="1" s="1"/>
  <c r="A178" i="1" s="1"/>
  <c r="E175" i="1"/>
  <c r="D175" i="1"/>
  <c r="D150" i="1"/>
  <c r="E154" i="1"/>
  <c r="D154" i="1"/>
  <c r="E153" i="1"/>
  <c r="D153" i="1"/>
  <c r="E152" i="1"/>
  <c r="D152" i="1"/>
  <c r="E151" i="1"/>
  <c r="D151" i="1"/>
  <c r="E150" i="1"/>
  <c r="E149" i="1"/>
  <c r="D149" i="1"/>
  <c r="E173" i="1"/>
  <c r="D173" i="1"/>
  <c r="E172" i="1"/>
  <c r="D172" i="1"/>
  <c r="E171" i="1"/>
  <c r="D171" i="1"/>
  <c r="E170" i="1"/>
  <c r="D170" i="1"/>
  <c r="E168" i="1"/>
  <c r="E167" i="1"/>
  <c r="E166" i="1"/>
  <c r="E165" i="1"/>
  <c r="J143" i="1"/>
  <c r="G143" i="1"/>
  <c r="E147" i="1"/>
  <c r="E146" i="1"/>
  <c r="E145" i="1"/>
  <c r="E144" i="1"/>
  <c r="E143" i="1"/>
  <c r="E142" i="1"/>
  <c r="D142" i="1"/>
  <c r="L142" i="1"/>
  <c r="I142" i="1"/>
  <c r="J142" i="1"/>
  <c r="I143" i="1"/>
  <c r="F177" i="1" l="1"/>
  <c r="H177" i="1" s="1"/>
  <c r="F175" i="1"/>
  <c r="H175" i="1" s="1"/>
  <c r="F178" i="1"/>
  <c r="H178" i="1" s="1"/>
  <c r="E43" i="1" l="1"/>
  <c r="E183" i="1"/>
  <c r="D183" i="1"/>
  <c r="F182" i="1"/>
  <c r="H182" i="1" s="1"/>
  <c r="F180" i="1"/>
  <c r="H180" i="1" s="1"/>
  <c r="F173" i="1"/>
  <c r="H173" i="1" s="1"/>
  <c r="F172" i="1"/>
  <c r="H172" i="1" s="1"/>
  <c r="F170" i="1"/>
  <c r="H170" i="1" s="1"/>
  <c r="D168" i="1"/>
  <c r="F168" i="1" s="1"/>
  <c r="H168" i="1" s="1"/>
  <c r="D167" i="1"/>
  <c r="F167" i="1" s="1"/>
  <c r="H167" i="1" s="1"/>
  <c r="D166" i="1"/>
  <c r="F166" i="1" s="1"/>
  <c r="H166" i="1" s="1"/>
  <c r="D165" i="1"/>
  <c r="F165" i="1" s="1"/>
  <c r="F153" i="1"/>
  <c r="H153" i="1" s="1"/>
  <c r="F150" i="1"/>
  <c r="H150" i="1" s="1"/>
  <c r="D147" i="1"/>
  <c r="D146" i="1"/>
  <c r="F146" i="1" s="1"/>
  <c r="H146" i="1" s="1"/>
  <c r="D145" i="1"/>
  <c r="D144" i="1"/>
  <c r="D143" i="1"/>
  <c r="I137" i="1"/>
  <c r="I174" i="1"/>
  <c r="I169" i="1"/>
  <c r="I164" i="1"/>
  <c r="I155" i="1"/>
  <c r="I148" i="1"/>
  <c r="I141" i="1"/>
  <c r="A181" i="1"/>
  <c r="A182" i="1" s="1"/>
  <c r="A183" i="1" s="1"/>
  <c r="F171" i="1"/>
  <c r="H171" i="1" s="1"/>
  <c r="A171" i="1"/>
  <c r="A172" i="1" s="1"/>
  <c r="A173" i="1" s="1"/>
  <c r="A166" i="1"/>
  <c r="A167" i="1" s="1"/>
  <c r="A168" i="1" s="1"/>
  <c r="F158" i="1"/>
  <c r="H158" i="1" s="1"/>
  <c r="A157" i="1"/>
  <c r="A158" i="1" s="1"/>
  <c r="A159" i="1" s="1"/>
  <c r="A160" i="1" s="1"/>
  <c r="F151" i="1"/>
  <c r="H151" i="1" s="1"/>
  <c r="A150" i="1"/>
  <c r="A151" i="1" s="1"/>
  <c r="A152" i="1" s="1"/>
  <c r="A153" i="1" s="1"/>
  <c r="A154" i="1" s="1"/>
  <c r="F149" i="1"/>
  <c r="H149" i="1" s="1"/>
  <c r="C123" i="1" l="1"/>
  <c r="F183" i="1"/>
  <c r="H183" i="1" s="1"/>
  <c r="F181" i="1"/>
  <c r="H181" i="1" s="1"/>
  <c r="F156" i="1"/>
  <c r="H156" i="1" s="1"/>
  <c r="F160" i="1"/>
  <c r="H160" i="1" s="1"/>
  <c r="F147" i="1"/>
  <c r="H147" i="1" s="1"/>
  <c r="F152" i="1"/>
  <c r="H152" i="1" s="1"/>
  <c r="F154" i="1"/>
  <c r="H154" i="1" s="1"/>
  <c r="F157" i="1"/>
  <c r="H157" i="1" s="1"/>
  <c r="F159" i="1"/>
  <c r="H159" i="1" s="1"/>
  <c r="H165" i="1"/>
  <c r="G124" i="1" l="1"/>
  <c r="C124" i="1"/>
  <c r="C125" i="1" s="1"/>
  <c r="J148" i="1"/>
  <c r="J154" i="1"/>
  <c r="E124" i="1"/>
  <c r="B38" i="6"/>
  <c r="B39" i="6" s="1"/>
  <c r="B40" i="6" s="1"/>
  <c r="B41" i="6" s="1"/>
  <c r="B42" i="6" s="1"/>
  <c r="B43" i="6" s="1"/>
  <c r="B44" i="6" s="1"/>
  <c r="B45" i="6" s="1"/>
  <c r="B46" i="6" s="1"/>
  <c r="B47" i="6" s="1"/>
  <c r="B48" i="6" s="1"/>
  <c r="B49" i="6" s="1"/>
  <c r="F132" i="1" l="1"/>
  <c r="H132" i="1" s="1"/>
  <c r="L41" i="7" l="1"/>
  <c r="I41" i="7"/>
  <c r="E41" i="7"/>
  <c r="L40" i="7"/>
  <c r="I40" i="7"/>
  <c r="E40" i="7"/>
  <c r="L39" i="7"/>
  <c r="I39" i="7"/>
  <c r="E39" i="7"/>
  <c r="L38" i="7"/>
  <c r="I38" i="7"/>
  <c r="E38" i="7"/>
  <c r="L37" i="7"/>
  <c r="I37" i="7"/>
  <c r="E37" i="7"/>
  <c r="L36" i="7"/>
  <c r="I36" i="7"/>
  <c r="E36" i="7"/>
  <c r="L35" i="7"/>
  <c r="I35" i="7"/>
  <c r="E35" i="7"/>
  <c r="L34" i="7"/>
  <c r="I34" i="7"/>
  <c r="E34" i="7"/>
  <c r="L33" i="7"/>
  <c r="I33" i="7"/>
  <c r="E33" i="7"/>
  <c r="L32" i="7"/>
  <c r="I32" i="7"/>
  <c r="E32" i="7"/>
  <c r="L31" i="7"/>
  <c r="I31" i="7"/>
  <c r="E31" i="7"/>
  <c r="L30" i="7"/>
  <c r="I30" i="7"/>
  <c r="E30" i="7"/>
  <c r="L29" i="7"/>
  <c r="I29" i="7"/>
  <c r="E29" i="7"/>
  <c r="L28" i="7"/>
  <c r="I28" i="7"/>
  <c r="E28" i="7"/>
  <c r="L27" i="7"/>
  <c r="I27" i="7"/>
  <c r="E27" i="7"/>
  <c r="L26" i="7"/>
  <c r="I26" i="7"/>
  <c r="E26" i="7"/>
  <c r="L25" i="7"/>
  <c r="I25" i="7"/>
  <c r="E25" i="7"/>
  <c r="L24" i="7"/>
  <c r="I24" i="7"/>
  <c r="E24" i="7"/>
  <c r="L23" i="7"/>
  <c r="I23" i="7"/>
  <c r="E23" i="7"/>
  <c r="L22" i="7"/>
  <c r="I22" i="7"/>
  <c r="E22" i="7"/>
  <c r="L21" i="7"/>
  <c r="I21" i="7"/>
  <c r="E21" i="7"/>
  <c r="L20" i="7"/>
  <c r="I20" i="7"/>
  <c r="E20" i="7"/>
  <c r="L19" i="7"/>
  <c r="I19" i="7"/>
  <c r="E19" i="7"/>
  <c r="L18" i="7"/>
  <c r="I18" i="7"/>
  <c r="E18" i="7"/>
  <c r="L17" i="7"/>
  <c r="I17" i="7"/>
  <c r="E17" i="7"/>
  <c r="L16" i="7"/>
  <c r="I16" i="7"/>
  <c r="E16" i="7"/>
  <c r="L15" i="7"/>
  <c r="I15" i="7"/>
  <c r="E15" i="7"/>
  <c r="L14" i="7"/>
  <c r="I14" i="7"/>
  <c r="E14" i="7"/>
  <c r="L13" i="7"/>
  <c r="I13" i="7"/>
  <c r="E13" i="7"/>
  <c r="L12" i="7"/>
  <c r="I12" i="7"/>
  <c r="E12" i="7"/>
  <c r="L11" i="7"/>
  <c r="I11" i="7"/>
  <c r="E11" i="7"/>
  <c r="L10" i="7"/>
  <c r="I10" i="7"/>
  <c r="E10" i="7"/>
  <c r="L9" i="7"/>
  <c r="I9" i="7"/>
  <c r="E9" i="7"/>
  <c r="L8" i="7"/>
  <c r="I8" i="7"/>
  <c r="E8" i="7"/>
  <c r="L7" i="7"/>
  <c r="I7" i="7"/>
  <c r="E7" i="7"/>
  <c r="L6" i="7"/>
  <c r="I6" i="7"/>
  <c r="E6" i="7"/>
  <c r="E42" i="7" s="1"/>
  <c r="F11" i="5"/>
  <c r="G11" i="5" s="1"/>
  <c r="F10" i="5"/>
  <c r="G10" i="5" s="1"/>
  <c r="F9" i="5"/>
  <c r="G9" i="5" s="1"/>
  <c r="F8" i="5"/>
  <c r="G8" i="5" s="1"/>
  <c r="F7" i="5"/>
  <c r="G7" i="5" s="1"/>
  <c r="F6" i="5"/>
  <c r="G6" i="5" s="1"/>
  <c r="F5" i="5"/>
  <c r="G5" i="5" s="1"/>
  <c r="G12" i="5" s="1"/>
  <c r="D214" i="1"/>
  <c r="B188" i="1"/>
  <c r="B187" i="1"/>
  <c r="F145" i="1"/>
  <c r="H145" i="1" s="1"/>
  <c r="F144" i="1"/>
  <c r="H144" i="1" s="1"/>
  <c r="F143" i="1"/>
  <c r="H143" i="1" s="1"/>
  <c r="A143" i="1"/>
  <c r="A144" i="1" s="1"/>
  <c r="A145" i="1" s="1"/>
  <c r="A146" i="1" s="1"/>
  <c r="A147" i="1" s="1"/>
  <c r="F142" i="1"/>
  <c r="F135" i="1"/>
  <c r="H135" i="1" s="1"/>
  <c r="F134" i="1"/>
  <c r="H134" i="1" s="1"/>
  <c r="F133" i="1"/>
  <c r="H133" i="1" s="1"/>
  <c r="A133" i="1"/>
  <c r="A134" i="1" s="1"/>
  <c r="A135" i="1" s="1"/>
  <c r="C126" i="1"/>
  <c r="F115" i="1"/>
  <c r="C89" i="1"/>
  <c r="C75" i="1"/>
  <c r="B76" i="1" s="1"/>
  <c r="D69" i="1"/>
  <c r="D63" i="1"/>
  <c r="G57" i="1"/>
  <c r="C57" i="1"/>
  <c r="K55" i="1"/>
  <c r="G51" i="1"/>
  <c r="C51" i="1"/>
  <c r="E44" i="1"/>
  <c r="E45" i="1" s="1"/>
  <c r="S33" i="1"/>
  <c r="E31" i="1"/>
  <c r="E28" i="1"/>
  <c r="E26" i="1"/>
  <c r="C16" i="1"/>
  <c r="I15" i="1"/>
  <c r="Z13" i="1"/>
  <c r="E8" i="1"/>
  <c r="E3" i="1"/>
  <c r="B200" i="1" s="1"/>
  <c r="H76" i="1"/>
  <c r="H90" i="1"/>
  <c r="H142" i="1" l="1"/>
  <c r="E123" i="1"/>
  <c r="J83" i="1"/>
  <c r="J84" i="1"/>
  <c r="I42" i="7"/>
  <c r="H42" i="7" s="1"/>
  <c r="L42" i="7"/>
  <c r="K42" i="7" s="1"/>
  <c r="J89" i="1"/>
  <c r="J91" i="1" s="1"/>
  <c r="D98" i="1"/>
  <c r="D97" i="1"/>
  <c r="D102" i="1"/>
  <c r="D96" i="1"/>
  <c r="J92" i="1"/>
  <c r="D101" i="1"/>
  <c r="J94" i="1"/>
  <c r="C93" i="1" s="1"/>
  <c r="D95" i="1"/>
  <c r="D100" i="1"/>
  <c r="J93" i="1"/>
  <c r="D99" i="1"/>
  <c r="D84" i="1"/>
  <c r="J78" i="1"/>
  <c r="D83" i="1"/>
  <c r="D88" i="1"/>
  <c r="D82" i="1"/>
  <c r="D87" i="1"/>
  <c r="D81" i="1"/>
  <c r="J80" i="1"/>
  <c r="C79" i="1" s="1"/>
  <c r="D86" i="1"/>
  <c r="D85" i="1"/>
  <c r="J79" i="1"/>
  <c r="J75" i="1"/>
  <c r="J77" i="1" s="1"/>
  <c r="D42" i="7"/>
  <c r="L55" i="1"/>
  <c r="B90" i="1"/>
  <c r="J85" i="1"/>
  <c r="J86" i="1"/>
  <c r="I52" i="1"/>
  <c r="J81" i="1"/>
  <c r="J82" i="1" s="1"/>
  <c r="J87" i="1" s="1"/>
  <c r="J88" i="1" s="1"/>
  <c r="C80" i="1" s="1"/>
  <c r="E125" i="1" l="1"/>
  <c r="E126" i="1" s="1"/>
  <c r="G123" i="1"/>
  <c r="G125" i="1" s="1"/>
  <c r="G126" i="1" s="1"/>
  <c r="D44" i="7"/>
  <c r="E44" i="7"/>
  <c r="E79" i="1"/>
  <c r="D80" i="1"/>
  <c r="G79" i="1"/>
  <c r="D73" i="1" s="1"/>
  <c r="D79" i="1"/>
  <c r="D93" i="1"/>
  <c r="J98" i="1"/>
  <c r="J95" i="1"/>
  <c r="J96" i="1" s="1"/>
  <c r="J101" i="1" s="1"/>
  <c r="J102" i="1" s="1"/>
  <c r="C94" i="1" s="1"/>
  <c r="J100" i="1"/>
  <c r="J97" i="1"/>
  <c r="J99" i="1"/>
  <c r="I76" i="1" l="1"/>
  <c r="I77" i="1" s="1"/>
  <c r="J76" i="1"/>
  <c r="E93" i="1"/>
  <c r="D94" i="1"/>
  <c r="I90" i="1" s="1"/>
  <c r="J90" i="1"/>
  <c r="G93" i="1"/>
  <c r="D74" i="1"/>
  <c r="F74" i="1"/>
  <c r="I75" i="1" l="1"/>
  <c r="C77" i="1" s="1"/>
  <c r="I91" i="1"/>
  <c r="I89" i="1" s="1"/>
  <c r="C9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Sachin</author>
    <author>SACHIN</author>
  </authors>
  <commentList>
    <comment ref="E12" authorId="0" shapeId="0" xr:uid="{00000000-0006-0000-0000-000001000000}">
      <text>
        <r>
          <rPr>
            <b/>
            <sz val="9"/>
            <color indexed="81"/>
            <rFont val="Tahoma"/>
            <family val="2"/>
          </rPr>
          <t>Sachin:</t>
        </r>
        <r>
          <rPr>
            <sz val="9"/>
            <color indexed="81"/>
            <rFont val="Tahoma"/>
            <family val="2"/>
          </rPr>
          <t xml:space="preserve">
Building No. 
Tower No.
Wing 
Bunglow No., etc</t>
        </r>
      </text>
    </comment>
    <comment ref="E13" authorId="0" shapeId="0" xr:uid="{00000000-0006-0000-0000-000002000000}">
      <text>
        <r>
          <rPr>
            <b/>
            <sz val="9"/>
            <color indexed="81"/>
            <rFont val="Tahoma"/>
            <family val="2"/>
          </rPr>
          <t>Sachin:</t>
        </r>
        <r>
          <rPr>
            <sz val="9"/>
            <color indexed="81"/>
            <rFont val="Tahoma"/>
            <family val="2"/>
          </rPr>
          <t xml:space="preserve">
If exisiting Building is provided write it or else
NA</t>
        </r>
      </text>
    </comment>
    <comment ref="C56" authorId="1" shapeId="0" xr:uid="{00000000-0006-0000-0000-000003000000}">
      <text>
        <r>
          <rPr>
            <b/>
            <sz val="9"/>
            <color indexed="81"/>
            <rFont val="Tahoma"/>
            <family val="2"/>
          </rPr>
          <t>SACHIN:</t>
        </r>
        <r>
          <rPr>
            <sz val="9"/>
            <color indexed="81"/>
            <rFont val="Tahoma"/>
            <family val="2"/>
          </rPr>
          <t xml:space="preserve">
Floor with height</t>
        </r>
      </text>
    </comment>
    <comment ref="C58" authorId="1" shapeId="0" xr:uid="{00000000-0006-0000-0000-000004000000}">
      <text>
        <r>
          <rPr>
            <b/>
            <sz val="9"/>
            <color indexed="81"/>
            <rFont val="Tahoma"/>
            <family val="2"/>
          </rPr>
          <t>SACHIN:</t>
        </r>
        <r>
          <rPr>
            <sz val="9"/>
            <color indexed="81"/>
            <rFont val="Tahoma"/>
            <family val="2"/>
          </rPr>
          <t xml:space="preserve">
Survey Nos.</t>
        </r>
      </text>
    </comment>
    <comment ref="C60" authorId="1" shapeId="0" xr:uid="{00000000-0006-0000-0000-000005000000}">
      <text>
        <r>
          <rPr>
            <b/>
            <sz val="9"/>
            <color indexed="81"/>
            <rFont val="Tahoma"/>
            <family val="2"/>
          </rPr>
          <t>SACHIN:</t>
        </r>
        <r>
          <rPr>
            <sz val="9"/>
            <color indexed="81"/>
            <rFont val="Tahoma"/>
            <family val="2"/>
          </rPr>
          <t xml:space="preserve">
Height from AMSL</t>
        </r>
      </text>
    </comment>
    <comment ref="D63" authorId="0" shapeId="0" xr:uid="{00000000-0006-0000-0000-000006000000}">
      <text>
        <r>
          <rPr>
            <b/>
            <sz val="9"/>
            <color indexed="81"/>
            <rFont val="Tahoma"/>
            <family val="2"/>
          </rPr>
          <t>Sachin:</t>
        </r>
        <r>
          <rPr>
            <sz val="9"/>
            <color indexed="81"/>
            <rFont val="Tahoma"/>
            <family val="2"/>
          </rPr>
          <t xml:space="preserve">
If multiple building in project or complex just mention builtup of required building</t>
        </r>
      </text>
    </comment>
    <comment ref="F108" authorId="1" shapeId="0" xr:uid="{00000000-0006-0000-0000-000007000000}">
      <text>
        <r>
          <rPr>
            <b/>
            <sz val="9"/>
            <color indexed="81"/>
            <rFont val="Tahoma"/>
            <family val="2"/>
          </rPr>
          <t>SACHIN:</t>
        </r>
        <r>
          <rPr>
            <sz val="9"/>
            <color indexed="81"/>
            <rFont val="Tahoma"/>
            <family val="2"/>
          </rPr>
          <t xml:space="preserve">
Other charges should be given on basis of location amenties builder type n should not exceed above 12 lakhs or 8% of flat value</t>
        </r>
      </text>
    </comment>
    <comment ref="H138" authorId="1" shapeId="0" xr:uid="{00000000-0006-0000-0000-000008000000}">
      <text>
        <r>
          <rPr>
            <b/>
            <sz val="9"/>
            <color indexed="81"/>
            <rFont val="Tahoma"/>
            <family val="2"/>
          </rPr>
          <t>SACHIN:</t>
        </r>
        <r>
          <rPr>
            <sz val="9"/>
            <color indexed="81"/>
            <rFont val="Tahoma"/>
            <family val="2"/>
          </rPr>
          <t xml:space="preserve">
Give loading of 50% for A Category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SACHIN</author>
  </authors>
  <commentList>
    <comment ref="C9" authorId="0" shapeId="0" xr:uid="{00000000-0006-0000-0300-000001000000}">
      <text>
        <r>
          <rPr>
            <b/>
            <sz val="9"/>
            <color indexed="81"/>
            <rFont val="Tahoma"/>
            <family val="2"/>
          </rPr>
          <t>SACHIN:</t>
        </r>
        <r>
          <rPr>
            <sz val="9"/>
            <color indexed="81"/>
            <rFont val="Tahoma"/>
            <family val="2"/>
          </rPr>
          <t xml:space="preserve">
If banker changes the rate</t>
        </r>
      </text>
    </comment>
    <comment ref="C10" authorId="0" shapeId="0" xr:uid="{00000000-0006-0000-0300-000002000000}">
      <text>
        <r>
          <rPr>
            <b/>
            <sz val="9"/>
            <color indexed="81"/>
            <rFont val="Tahoma"/>
            <family val="2"/>
          </rPr>
          <t>SACHIN:</t>
        </r>
        <r>
          <rPr>
            <sz val="9"/>
            <color indexed="81"/>
            <rFont val="Tahoma"/>
            <family val="2"/>
          </rPr>
          <t xml:space="preserve">
If we change the rate</t>
        </r>
      </text>
    </comment>
  </commentList>
</comments>
</file>

<file path=xl/sharedStrings.xml><?xml version="1.0" encoding="utf-8"?>
<sst xmlns="http://schemas.openxmlformats.org/spreadsheetml/2006/main" count="685" uniqueCount="430">
  <si>
    <t xml:space="preserve">Valuation Report </t>
  </si>
  <si>
    <t>Date:</t>
  </si>
  <si>
    <t>CPC Name:</t>
  </si>
  <si>
    <t>Date Of Property Visit</t>
  </si>
  <si>
    <t>Name of the builder group</t>
  </si>
  <si>
    <t>Name of the builder company</t>
  </si>
  <si>
    <t>Name of the Project</t>
  </si>
  <si>
    <t>Name / No of the Building</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</si>
  <si>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</si>
  <si>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</si>
  <si>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</si>
  <si>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</si>
  <si>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</si>
  <si>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</si>
  <si>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</si>
  <si>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</si>
  <si>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</si>
  <si>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</si>
  <si>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</si>
  <si>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</si>
  <si>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</si>
  <si>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</si>
  <si>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</si>
  <si>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</si>
  <si>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</si>
  <si>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</si>
  <si>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</si>
  <si>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</si>
  <si>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NA</t>
  </si>
  <si>
    <t>At site</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</si>
  <si>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</si>
  <si>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</si>
  <si>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</si>
  <si>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</si>
  <si>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</si>
  <si>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</si>
  <si>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</si>
  <si>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</si>
  <si>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</si>
  <si>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</si>
  <si>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</si>
  <si>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</si>
  <si>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 xml:space="preserve">O. Certificate No.: </t>
  </si>
  <si>
    <t>Expected Completion</t>
  </si>
  <si>
    <t>Building wise Construction details</t>
  </si>
  <si>
    <t>Approved no of units</t>
  </si>
  <si>
    <t>Approved no of Floors</t>
  </si>
  <si>
    <t>Type of Work</t>
  </si>
  <si>
    <t>Plinth</t>
  </si>
  <si>
    <t xml:space="preserve">Recommended rate of Parking </t>
  </si>
  <si>
    <t>Distressed valuation of the Property</t>
  </si>
  <si>
    <t>Building &amp; Wing</t>
  </si>
  <si>
    <t>Total Carpet Area</t>
  </si>
  <si>
    <t>Total Saleable Area</t>
  </si>
  <si>
    <t>Description</t>
  </si>
  <si>
    <t>Gross Carpet area</t>
  </si>
  <si>
    <t>Attached Terrace area</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</si>
  <si>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</si>
  <si>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</si>
  <si>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</si>
  <si>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</si>
  <si>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</si>
  <si>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</si>
  <si>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</si>
  <si>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</si>
  <si>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</si>
  <si>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</si>
  <si>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</si>
  <si>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</si>
  <si>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</si>
  <si>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</si>
  <si>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</si>
  <si>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</si>
  <si>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</si>
  <si>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</si>
  <si>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</si>
  <si>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</si>
  <si>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</si>
  <si>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</si>
  <si>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</si>
  <si>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</si>
  <si>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</si>
  <si>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</si>
  <si>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</si>
  <si>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</si>
  <si>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</si>
  <si>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</si>
  <si>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</si>
  <si>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</si>
  <si>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</si>
  <si>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</si>
  <si>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</si>
  <si>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Club Charges</t>
  </si>
  <si>
    <t>Gas Connection Charges</t>
  </si>
  <si>
    <t>Water, Electricity, Drainages, Sewerage Connection</t>
  </si>
  <si>
    <t>Society Formation Charges</t>
  </si>
  <si>
    <t>Advance Maintenance Charges</t>
  </si>
  <si>
    <t>Excavation in process</t>
  </si>
  <si>
    <t>Excavation Completed</t>
  </si>
  <si>
    <t>Footing in Process</t>
  </si>
  <si>
    <t>Footing Completed</t>
  </si>
  <si>
    <t>Plinth completed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</si>
  <si>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</si>
  <si>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</si>
  <si>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</si>
  <si>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</si>
  <si>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</si>
  <si>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</si>
  <si>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</si>
  <si>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</si>
  <si>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</si>
  <si>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</si>
  <si>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</si>
  <si>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</si>
  <si>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</si>
  <si>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</si>
  <si>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</si>
  <si>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r>
      <t xml:space="preserve">Shop No.
</t>
    </r>
    <r>
      <rPr>
        <b/>
        <sz val="11"/>
        <color rgb="FF000000"/>
        <rFont val="Times New Roman"/>
        <family val="1"/>
      </rPr>
      <t>(Approved Plan)</t>
    </r>
  </si>
  <si>
    <t>Nearby Landmark</t>
  </si>
  <si>
    <t>We considered Carpet area as per Approved Plan.</t>
  </si>
  <si>
    <t>We have considered rate by verifying it from market inquire.</t>
  </si>
  <si>
    <t>Car parking is subjected to authentic documentation.</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</si>
  <si>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</si>
  <si>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</si>
  <si>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</si>
  <si>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</si>
  <si>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</si>
  <si>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</si>
  <si>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</si>
  <si>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</si>
  <si>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</si>
  <si>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</si>
  <si>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</si>
  <si>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</si>
  <si>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</si>
  <si>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</si>
  <si>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</si>
  <si>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</si>
  <si>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</si>
  <si>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</si>
  <si>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</si>
  <si>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</si>
  <si>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Basement 1</t>
  </si>
  <si>
    <t>Plinth in process</t>
  </si>
  <si>
    <t xml:space="preserve">Violations Observed if any : </t>
  </si>
  <si>
    <t>Saleable area Loading :</t>
  </si>
  <si>
    <t>Total</t>
  </si>
  <si>
    <t>Name of Municipal Corporation/Authority</t>
  </si>
  <si>
    <t>We have considered proposed No. of Floor for Stage Calculation.</t>
  </si>
  <si>
    <t>Recommended rate should be considered as all inclusive rate if other charges are not mentioned. (Excluding GST &amp; other government Taxes)</t>
  </si>
  <si>
    <t xml:space="preserve">Commencement-CC No
Valid Up to: </t>
  </si>
  <si>
    <t>Attached Loft area</t>
  </si>
  <si>
    <t xml:space="preserve">Recommended Rates of the Property : </t>
  </si>
  <si>
    <t>Recommended rate of the Shop Per Sq. Ft.</t>
  </si>
  <si>
    <t>Recommended rate of the Flat Per Sq. Ft.</t>
  </si>
  <si>
    <t>Recommended rate of the Office Per Sq. Ft.</t>
  </si>
  <si>
    <t>On Saleable Area</t>
  </si>
  <si>
    <t>Location Link</t>
  </si>
  <si>
    <t>Locality</t>
  </si>
  <si>
    <t>Layout :</t>
  </si>
  <si>
    <t>Office No. 1031, Wing J, Akshar Business Park, Plot No. 03 Sector 25, Near APMC Market, Vashi, Navi Mumbai, Maharashtra 400703 TEL: 022-46090378/79/80                                                                       
E mail : vsjcapf@gmail.com. Web site : www.vsjadon.com</t>
  </si>
  <si>
    <t>Latitude, Longitude</t>
  </si>
  <si>
    <t>Grand Total</t>
  </si>
  <si>
    <t>Provided Contact Details (Name &amp; Contact No.)</t>
  </si>
  <si>
    <t>Site Person - Contact Details (Name &amp; Contact No.)</t>
  </si>
  <si>
    <t>Building No.1 (A Wing) = 1B + G + 1st to 20th Floor</t>
  </si>
  <si>
    <t>Approved Plans, CC, Sale Plans, Builder Saleable Area, Cost Sheet, Airport Noc, Railway Noc, OC</t>
  </si>
  <si>
    <t>Axis Goregaon</t>
  </si>
  <si>
    <t>Name / No of the Existing Building</t>
  </si>
  <si>
    <t>Mumbai</t>
  </si>
  <si>
    <t>As per Layout</t>
  </si>
  <si>
    <t>Floor Rise Rate from    Floor</t>
  </si>
  <si>
    <t>Shop No. (Sale Plan)</t>
  </si>
  <si>
    <t>Flat No. (Sale Plan)</t>
  </si>
  <si>
    <t xml:space="preserve">As the project is redevelopement project but rehab statement or rehab flats is not mentioned approved layout plan &amp; floor plan.
</t>
  </si>
  <si>
    <t xml:space="preserve">Thane </t>
  </si>
  <si>
    <t>Thane</t>
  </si>
  <si>
    <t>Shahpur</t>
  </si>
  <si>
    <t>Kalyan</t>
  </si>
  <si>
    <t>Bhiwandi</t>
  </si>
  <si>
    <t>Ulhasnagar</t>
  </si>
  <si>
    <t>Ambernath</t>
  </si>
  <si>
    <t>Murbad</t>
  </si>
  <si>
    <t>Mokhada</t>
  </si>
  <si>
    <t>Talasari</t>
  </si>
  <si>
    <t>Palghar</t>
  </si>
  <si>
    <t>Vasai</t>
  </si>
  <si>
    <t>Vikramgad</t>
  </si>
  <si>
    <t>Dahanu</t>
  </si>
  <si>
    <t>Wada</t>
  </si>
  <si>
    <t>Raigad</t>
  </si>
  <si>
    <t>Alibag</t>
  </si>
  <si>
    <t>Panvel</t>
  </si>
  <si>
    <t>Uran</t>
  </si>
  <si>
    <t>Karjat</t>
  </si>
  <si>
    <t>Khalapur</t>
  </si>
  <si>
    <t>Pen</t>
  </si>
  <si>
    <t>Sudhagad</t>
  </si>
  <si>
    <t>Mahad</t>
  </si>
  <si>
    <t>Roha</t>
  </si>
  <si>
    <t>Mangaon</t>
  </si>
  <si>
    <t>Poladpur</t>
  </si>
  <si>
    <t>Mahasala</t>
  </si>
  <si>
    <t>Shriwardhan</t>
  </si>
  <si>
    <t>Murud</t>
  </si>
  <si>
    <t>Andheri</t>
  </si>
  <si>
    <t>Borivali</t>
  </si>
  <si>
    <t>Kurla</t>
  </si>
  <si>
    <t>Pune</t>
  </si>
  <si>
    <t>Pune City</t>
  </si>
  <si>
    <t>Khed</t>
  </si>
  <si>
    <t>Baramati</t>
  </si>
  <si>
    <t>Junnar</t>
  </si>
  <si>
    <t>Shirur</t>
  </si>
  <si>
    <t>Indapur</t>
  </si>
  <si>
    <t>Daund</t>
  </si>
  <si>
    <t>Mawal</t>
  </si>
  <si>
    <t>Ambegaon</t>
  </si>
  <si>
    <t>Purandhar</t>
  </si>
  <si>
    <t>Bhor</t>
  </si>
  <si>
    <t>Mulshi</t>
  </si>
  <si>
    <t>Velhe</t>
  </si>
  <si>
    <t>Haveli</t>
  </si>
  <si>
    <t>Approved Plans, CC</t>
  </si>
  <si>
    <t>Approved Plans, CC, Sale Plans</t>
  </si>
  <si>
    <t>Approved Plans, CC, Sale Plans, Builder Saleable Area</t>
  </si>
  <si>
    <t>Approved Plans, CC, Sale Plans, Builder Saleable Area, Cost Sheet,</t>
  </si>
  <si>
    <t>Approved Plans, CC, Builder Saleable Area,</t>
  </si>
  <si>
    <t>Carpet area</t>
  </si>
  <si>
    <t>Bank Name:</t>
  </si>
  <si>
    <t>Axis Bank</t>
  </si>
  <si>
    <t>Branch</t>
  </si>
  <si>
    <t>Bank</t>
  </si>
  <si>
    <t>Cent Bank</t>
  </si>
  <si>
    <t>Indiabulls Housing Finance Ltd</t>
  </si>
  <si>
    <t>PNB Housing Finance Limited</t>
  </si>
  <si>
    <t>ABFHL</t>
  </si>
  <si>
    <t>Axis Thane</t>
  </si>
  <si>
    <t>Axis Sanpada</t>
  </si>
  <si>
    <t>Axis Badlapur</t>
  </si>
  <si>
    <t>PNB Thane</t>
  </si>
  <si>
    <t>PNB Borivali</t>
  </si>
  <si>
    <t>Cent Kalyan</t>
  </si>
  <si>
    <t>Cent Belapur</t>
  </si>
  <si>
    <t>IBHF Kalyan</t>
  </si>
  <si>
    <t>IBHF Badlapur</t>
  </si>
  <si>
    <t>IBHF Vashi</t>
  </si>
  <si>
    <t>IBHF Thane</t>
  </si>
  <si>
    <t>IBHF Andheri</t>
  </si>
  <si>
    <t>Authorites</t>
  </si>
  <si>
    <t>Slum Rehabilitation Authority (SRA)</t>
  </si>
  <si>
    <t>Municipal Corporation of Greater Mumbai (MCGM)</t>
  </si>
  <si>
    <t>Maharashtra Housing and Area Development Authority(MHADA)</t>
  </si>
  <si>
    <t>Mumbai Metropolitan Region Development Authority (MMRDA)</t>
  </si>
  <si>
    <t>Maharashtra State Road Development Corporation Limited (MSRDC)</t>
  </si>
  <si>
    <t>Navi Mumbai Municipal Corporation (NMMC)</t>
  </si>
  <si>
    <t>Thane Muncipal Cooperation (TMC)</t>
  </si>
  <si>
    <t>Kalyan Dombivli Municipal Corporation (KMDC)</t>
  </si>
  <si>
    <t>Kulgoan Badlapur Municipal Council</t>
  </si>
  <si>
    <t>Town Planning Thane</t>
  </si>
  <si>
    <t>Ambernath Municipal Council (AMC)</t>
  </si>
  <si>
    <t>Ulhasnagar Municipal Corporation</t>
  </si>
  <si>
    <t>Nagar Rachana Ani Mulya Nirdharan Vibhag Thane</t>
  </si>
  <si>
    <t>Bhiwandi Nizampur City Municipal Corporation</t>
  </si>
  <si>
    <t>City and Industrial Development Corporation (CIDCO)</t>
  </si>
  <si>
    <t>Maharashtra Industrial Development Corporation (MIDC)</t>
  </si>
  <si>
    <t>Panvel Municipal Corporation</t>
  </si>
  <si>
    <t>Navi Mumbai Airport Influence Notified Area (NAINA)</t>
  </si>
  <si>
    <t>Pen Municipal Council</t>
  </si>
  <si>
    <t>Raigad Zilha Parishad</t>
  </si>
  <si>
    <t>Roha Municipal Council</t>
  </si>
  <si>
    <t>Vasai-Virar City Municipal Corporation. (VVCMC)</t>
  </si>
  <si>
    <t>Collector Of Palghar</t>
  </si>
  <si>
    <t>Town Planner, Palghar</t>
  </si>
  <si>
    <t>Mira-Bhayandar Municipal Corporation</t>
  </si>
  <si>
    <t>Documents Provided</t>
  </si>
  <si>
    <t>Does the boundaries at site match, as mentioned in the Documentation: NA</t>
  </si>
  <si>
    <t xml:space="preserve">Fire Noc No
Valid Up to: </t>
  </si>
  <si>
    <t xml:space="preserve">Environmental Clearance Certificate (EC) No
Valid Up for: </t>
  </si>
  <si>
    <t xml:space="preserve">As per RERA, completion period of project Yashwant Height is expired on 30/06/2021 but still project is under construction.
</t>
  </si>
  <si>
    <t>Validity of CC is expired on 31/01/2021. Please provide latest CC.</t>
  </si>
  <si>
    <t>Construction work is same as last visit but work is in process at the time of visit. (Slow Speed)</t>
  </si>
  <si>
    <t>As per CRZ Norms, The said plot is coming under list of plots affected by CRZ. Ref Letter No. CIDCO/PLNG/ACP(BP)/2021/895/E-19416 Date : 09/03/2021.</t>
  </si>
  <si>
    <t>Construction work has increased from last visit but no active work was found during site visit</t>
  </si>
  <si>
    <t>As per Approved Floor plan, Wing A consist of 62 units ( Rehab = 40 units &amp; Sale = 22 Units),  but which unit no should be considered as rehab or sale is not mentioned in Approved plan.</t>
  </si>
  <si>
    <t>If stage is not identifibale due to external Visit,
1. Confirm with visitor that internal visit was possible or not, if internal visit possible ask visitor to to revisit
2. If internal visit not possible in category A Builders, if stage is not possible to increase mention below remark Since internal visit were not permitted, we were unable to determine building progress from an external visit; so, we are maintaining the same progress as in the previous report (dtd.    )
3. If Stage is identifiable increase the stage. Mention internal visit is not allowed in Remark</t>
  </si>
  <si>
    <r>
      <t xml:space="preserve">Recommended Rates / Other charges of the Property have been revised on </t>
    </r>
    <r>
      <rPr>
        <b/>
        <sz val="11"/>
        <color rgb="FF000000"/>
        <rFont val="Calibri"/>
        <family val="2"/>
      </rPr>
      <t>23/10/2023</t>
    </r>
    <r>
      <rPr>
        <sz val="11"/>
        <color rgb="FF000000"/>
        <rFont val="Calibri"/>
        <family val="2"/>
      </rPr>
      <t>.</t>
    </r>
  </si>
  <si>
    <t>Other charges/ Rate has been revised as per market inquiry (on 12/10/2023)</t>
  </si>
  <si>
    <t>Cementry of Hindu, Muslim, &amp; Christian Religion is located in 150 to 200m from project</t>
  </si>
  <si>
    <t>There is a road on the west side of the project, and a creek is next to the other side of the road.</t>
  </si>
  <si>
    <t>We have updated revised approved plans &amp; CC (on 15/12/2022).</t>
  </si>
  <si>
    <t>High Tension lines are passing through project (name)</t>
  </si>
  <si>
    <t>Collector Of Raigad</t>
  </si>
  <si>
    <t>B Wing = 1B + G + 1st to 19th Floor</t>
  </si>
  <si>
    <t>As the project is redevelopement project but rehab statement or rehab flats is not mentioned approved layout plan &amp; floor plan.</t>
  </si>
  <si>
    <t>Construction work was stopped since visit 04/12/2017, but during 07/10/2021 site visit some construction activity was seen on site (Single room flooring work was seen)</t>
  </si>
  <si>
    <t>Builder is selling Bare Shell Office units</t>
  </si>
  <si>
    <t>We did not consider the terrace area attached to the 1st floor flats because it was not shown in the approved plans. However, it was shown in the sale plan.</t>
  </si>
  <si>
    <t>Since the project has received first CC on 17/01/2020, But construction work of Wing A is not yet started. Please provide revised approved CC for Wing A.</t>
  </si>
  <si>
    <t xml:space="preserve">Floor No </t>
  </si>
  <si>
    <t>Discription</t>
  </si>
  <si>
    <t>Carpet</t>
  </si>
  <si>
    <t>Fungible</t>
  </si>
  <si>
    <t>Terrace</t>
  </si>
  <si>
    <t>L</t>
  </si>
  <si>
    <t>W</t>
  </si>
  <si>
    <t>A</t>
  </si>
  <si>
    <t>Hall</t>
  </si>
  <si>
    <t>CB</t>
  </si>
  <si>
    <t>kitch</t>
  </si>
  <si>
    <t>FB</t>
  </si>
  <si>
    <t>Bed1</t>
  </si>
  <si>
    <t>Bed2</t>
  </si>
  <si>
    <t>Bed3</t>
  </si>
  <si>
    <t>Bed4</t>
  </si>
  <si>
    <t>DB</t>
  </si>
  <si>
    <t>toilet2</t>
  </si>
  <si>
    <t>toilet3</t>
  </si>
  <si>
    <t>passage1</t>
  </si>
  <si>
    <t>passage3</t>
  </si>
  <si>
    <t>passage4</t>
  </si>
  <si>
    <t>toilet4</t>
  </si>
  <si>
    <t>passage2</t>
  </si>
  <si>
    <t>Servant room</t>
  </si>
  <si>
    <t>Balcony</t>
  </si>
  <si>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xml:space="preserve"> A wing is a rehab wing, and B wing is a sale wing. The same letter is attached below.</t>
    </r>
  </si>
  <si>
    <r>
      <t xml:space="preserve">A sale or rehab statement is not provided along with approved floor plans. But as per a letter provided by the Bank Official on </t>
    </r>
    <r>
      <rPr>
        <b/>
        <sz val="11"/>
        <color rgb="FF000000"/>
        <rFont val="Calibri"/>
        <family val="2"/>
      </rPr>
      <t>whatsapp</t>
    </r>
    <r>
      <rPr>
        <sz val="11"/>
        <color rgb="FF000000"/>
        <rFont val="Calibri"/>
        <family val="2"/>
      </rPr>
      <t>, 5 shops &amp; 6 Flats are Rehab Flats. The same letter is attached below.</t>
    </r>
  </si>
  <si>
    <t>As Flat No. 201, 202, 203 &amp; 204 consists of large terrace area but dimension of that area is not mentioned. Therefore we have not considered terrace area for that flat.</t>
  </si>
  <si>
    <t>Electric Lines are passing above the project</t>
  </si>
  <si>
    <t>High tension lines are passing nearby project Project Name. Please provide Power Noc.</t>
  </si>
  <si>
    <t>We have release report on the basis of other vendor report.</t>
  </si>
  <si>
    <t>As per the last site visit dtd. 06/03/2024, internal visit was not allowed. Hence, the construction percentage given in the report was as per site met person i.e. 1st slab completed.
As per the visit dtd 10/06/2024, we have observed that only plinth work is completed. But higher construction stage is already given in last report i.e. 1st slab completed Hence, we are maintaining the same construction percentage as of previous report.</t>
  </si>
  <si>
    <t>Recommended Rates / Other charges of the Property (Commercial) have been revised on 23/10/2023 on basis of Cost sheet provided to us on mail by bank official, which is attached below</t>
  </si>
  <si>
    <t>As building have received First CC on 08/05/2015 still building is still under construction.</t>
  </si>
  <si>
    <t>Provided plans doesnot consist of Owner &amp; Architect Signature, 
We are releasing report after verbel discussion with Bank Officials about above Query.</t>
  </si>
  <si>
    <t>We have not drafted Unit No. 4, Office No. 107, 207, 307 &amp; 407 due to improper dimentions n shape of that unit.</t>
  </si>
  <si>
    <t>We are releasing report on MIDC Approved plans &amp; Combined Approval Letter.</t>
  </si>
  <si>
    <t>As the project is redevelopement project but rehab statement or rehab flats is not mentioned approved layout plan &amp; floor plan. But builder rehab tenant list is provided on mail by bank officials which is attached below</t>
  </si>
  <si>
    <t>SCL Kalyan</t>
  </si>
  <si>
    <t>SCL Badlapur</t>
  </si>
  <si>
    <t>SCL Vashi</t>
  </si>
  <si>
    <t>SCL Thane</t>
  </si>
  <si>
    <t>SCL Andheri</t>
  </si>
  <si>
    <t>SCL Borivali</t>
  </si>
  <si>
    <t>SCL Virar</t>
  </si>
  <si>
    <t>As per Approved Floor Plan, In C to E wing on Ground floor Shop No. 19 &amp; 20 are merged into single shop.</t>
  </si>
  <si>
    <t>Palghar Muncipal Council</t>
  </si>
  <si>
    <t xml:space="preserve">We have given Valuation for Sale Flats and Shops only.
</t>
  </si>
  <si>
    <t>There are guest houses, villas, resorts, etc. in a range of 200 to 300 meters.
There are few residential buildings available in the surrounding areas. (within 500 meters)
There are inadequate transportation options to get to the project and the area is not
developed</t>
  </si>
  <si>
    <t xml:space="preserve">Airport Noc No
Valid Up for: 
</t>
  </si>
  <si>
    <t xml:space="preserve">Valid upto Dated </t>
  </si>
  <si>
    <t xml:space="preserve">Site Elevation = 
Permissible Top Elevation = </t>
  </si>
  <si>
    <t>PNB Panvel</t>
  </si>
  <si>
    <t>Building Details Floor Wise</t>
  </si>
  <si>
    <t>Sammaan Capital Limited</t>
  </si>
  <si>
    <t>Thane Municipal Corporation (TMC)</t>
  </si>
  <si>
    <t>Construction stage is reduced due to revision in proposed structure of project.</t>
  </si>
  <si>
    <t>Construction percentage has been reduced due to the construction work being processed in two parts.</t>
  </si>
  <si>
    <t xml:space="preserve">The project has received CC on 07/06/2019, But construction work is not yet Completed. </t>
  </si>
  <si>
    <t>Some flats are occupied by tenants but finishing work is in process at the time of visit.</t>
  </si>
  <si>
    <t>The       project is not registered on RERA site, Beacause land area of project is less than 500 Sq.Mt</t>
  </si>
  <si>
    <t>As per site visit dtd.23/01/2025 we have observed that the construction work is not done as per approved floor plan. (Extra Terrace Area are Constructed for flats)
According to the approved 1st floor plan, terrace area is not attached to Flat No.3, 4 &amp; 5, But on site terrace area is already constructed.</t>
  </si>
  <si>
    <t>Remark No. 42 is resolved by corrigendum (i.e. correction letter) provided by authority regarding survey nos. letter attached below.</t>
  </si>
  <si>
    <t>As per approved Floor plans does not consist of Unit Numbering, We have considered unit numbering from sale plan provided by site meet person during site visit.</t>
  </si>
  <si>
    <t>As per New version of RERA portal project consist of single building - Hasha Heights
As per Old version of RERA portal project consist of Two buildings- Hasha Heights &amp; Kunti Heights</t>
  </si>
  <si>
    <t>Remark No.11 is solved. we were asked to follow the old version of RERA by the bank official builder letter provided on the mail is attached below.</t>
  </si>
  <si>
    <t xml:space="preserve">As per approved plan &amp; CC,  project consists of Survey No.40, H.No.2A, Plot No.3 &amp; 4.  
But as per RERA, project consists of Survey No.40/B, Plot No.3 &amp; 4.  </t>
  </si>
  <si>
    <t>Vishw apartment</t>
  </si>
  <si>
    <t>The approved large land parcel layout plan does not consist of survey number, therefore we have referred Survey No. from Title Certificate.</t>
  </si>
  <si>
    <t>As per the discussion with the bank official, Builder provided approved EC on whatsapp for a large land parcel.</t>
  </si>
  <si>
    <t>P99000032105</t>
  </si>
  <si>
    <t>M/s. Sumatinath Enterprises</t>
  </si>
  <si>
    <t>Survey No</t>
  </si>
  <si>
    <t>85, Hissa No. 23</t>
  </si>
  <si>
    <t>Chandrapada</t>
  </si>
  <si>
    <t>19.358912,72.869435</t>
  </si>
  <si>
    <t>https://maps.app.goo.gl/CMAZr8gr2FDc6Nsj6</t>
  </si>
  <si>
    <t>Open Plot</t>
  </si>
  <si>
    <t>20.00 M Wide DP Road</t>
  </si>
  <si>
    <t>Juchandra Road</t>
  </si>
  <si>
    <t>0.75KM from Juchandra Railway Station</t>
  </si>
  <si>
    <t>Sahyadri Shikshan Seva Mandal's Senior College</t>
  </si>
  <si>
    <t>Ground Floor For Parking</t>
  </si>
  <si>
    <t>RERA Carpet area</t>
  </si>
  <si>
    <t>1BHK</t>
  </si>
  <si>
    <t>2BHK</t>
  </si>
  <si>
    <t xml:space="preserve">1st Floor For Residential </t>
  </si>
  <si>
    <t>8th, 13th &amp; 18th Floor For Residential (Part Refuge Area)</t>
  </si>
  <si>
    <t>Refuge Area</t>
  </si>
  <si>
    <t>Studio</t>
  </si>
  <si>
    <r>
      <t xml:space="preserve">Flat No.
</t>
    </r>
    <r>
      <rPr>
        <b/>
        <sz val="11"/>
        <rFont val="Times New Roman"/>
        <family val="1"/>
      </rPr>
      <t>(Approved Plan)</t>
    </r>
  </si>
  <si>
    <t xml:space="preserve">Details of Residential in Building   </t>
  </si>
  <si>
    <t>Flats - 197</t>
  </si>
  <si>
    <t>VVCMC/TP/AMEND/SPA/VP/0088/50/2023-24</t>
  </si>
  <si>
    <t>As per RERA - 31/12/2027</t>
  </si>
  <si>
    <t>02 Wings</t>
  </si>
  <si>
    <t>Building No.1 (Wing A &amp; B)</t>
  </si>
  <si>
    <t>Gopikisan Patil Complex Bldg No.1</t>
  </si>
  <si>
    <t>Mr. Suresh 9970987709</t>
  </si>
  <si>
    <t>12.00 M Wide Int. Road/Existing Nalla</t>
  </si>
  <si>
    <t>Internal Road/Nalla</t>
  </si>
  <si>
    <t>Building No.1 (Wing A &amp; B) = G + 1st to 20th Floor</t>
  </si>
  <si>
    <t xml:space="preserve">Building No.1 (Wing A) = G + 1st to 20th Floor </t>
  </si>
  <si>
    <t xml:space="preserve">Building No.1 (Wing B) = G + 1st to 20th Floor </t>
  </si>
  <si>
    <r>
      <t xml:space="preserve">Proposed Amenities :                                                                                                                                                                                                                         </t>
    </r>
    <r>
      <rPr>
        <b/>
        <sz val="12"/>
        <rFont val="Times New Roman"/>
        <family val="1"/>
      </rPr>
      <t xml:space="preserve">                                               </t>
    </r>
  </si>
  <si>
    <t>Compound Wall, Parking, Lift, Driver Room, Society Office, Meter Room, etc.</t>
  </si>
  <si>
    <t>Building No.1 (Wing A)</t>
  </si>
  <si>
    <t>Building No.1 (Wing B)</t>
  </si>
  <si>
    <t>Ground Floor For Society Office, Meter Room, Driver Room &amp; Parking</t>
  </si>
  <si>
    <t>Ground Floor For Meter Room &amp; Parking</t>
  </si>
  <si>
    <t>Encl. Balcony Area</t>
  </si>
  <si>
    <t>2nd to 7th, 9th to 12th, 14th to 17th, 19th &amp; 20th Floor</t>
  </si>
  <si>
    <t xml:space="preserve"> 9th, 14th &amp; 19th Floor</t>
  </si>
  <si>
    <t>2nd to 7th, 10th to 12th, 15th to 17th &amp; 20th Floor</t>
  </si>
  <si>
    <t>Construction work is in process at the time of Visit.</t>
  </si>
  <si>
    <t>We considered Gross carpet area = Net carpet + Encl. Balcony Area</t>
  </si>
  <si>
    <t>Navnath Bhatkar</t>
  </si>
  <si>
    <t>VVCMC/TP/RDP/SPA-VP No.088/50/2023-24</t>
  </si>
  <si>
    <t>Building No.1 (Wing A) = G + 1st to 20th Floor    (No. of Flat 117)
Building No.1 (Wing B) = G + 1st to 20th Floor      (No. of Flat 80)</t>
  </si>
  <si>
    <t>Juchandra West</t>
  </si>
  <si>
    <t xml:space="preserve">There is a road on the East side of the project Gopikisan Patil Complex Bldg No.1, a Nala &amp; CRZ Area is next to the other side of the road.
</t>
  </si>
  <si>
    <t>Reamrk No.10</t>
  </si>
  <si>
    <t>NOC regarding CRZ Zone provided by bank official on mail is attached below</t>
  </si>
  <si>
    <t>We have Updated Fire Noc on 30/03/2025</t>
  </si>
  <si>
    <t>Approved Plans, CC, Cost Sheet &amp; Fire Noc</t>
  </si>
  <si>
    <t>VVCMC/FIRE/HQ/586/2024-25</t>
  </si>
  <si>
    <t>Building No.1 (Wing A &amp; B) = G + 1st to 20th Floor 
(Height = 62.35 Mtr)</t>
  </si>
  <si>
    <t>Miss. Jyoti : 9503791915</t>
  </si>
  <si>
    <t>Gaurav Panchal</t>
  </si>
  <si>
    <t>Mrs Poonam 9970987709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</si>
</sst>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 #,##0.00_ ;_ * \-#,##0.00_ ;_ * &quot;-&quot;??_ ;_ @_ "/>
    <numFmt numFmtId="164" formatCode="0.0"/>
    <numFmt numFmtId="165" formatCode="_(* #,##0.00_);_(* \(#,##0.00\);_(* &quot;-&quot;??_);_(@_)"/>
    <numFmt numFmtId="166" formatCode="_(* #,##0_);_(* \(#,##0\);_(* &quot;-&quot;??_);_(@_)"/>
    <numFmt numFmtId="167" formatCode="_ * #,##0_ ;_ * \-#,##0_ ;_ * &quot;-&quot;??_ ;_ @_ "/>
  </numFmts>
  <fonts count="33"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00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sz val="11"/>
      <color theme="0"/>
      <name val="Calibri"/>
      <family val="2"/>
    </font>
    <font>
      <u/>
      <sz val="11"/>
      <color theme="10"/>
      <name val="Calibri"/>
      <family val="2"/>
    </font>
    <font>
      <sz val="9"/>
      <color indexed="81"/>
      <name val="Tahoma"/>
      <family val="2"/>
    </font>
    <font>
      <b/>
      <sz val="9"/>
      <color indexed="81"/>
      <name val="Tahoma"/>
      <family val="2"/>
    </font>
    <font>
      <b/>
      <sz val="11"/>
      <color rgb="FF000000"/>
      <name val="Calibri"/>
      <family val="2"/>
    </font>
    <font>
      <b/>
      <sz val="11"/>
      <color rgb="FFFF0000"/>
      <name val="Times New Roman"/>
      <family val="1"/>
    </font>
    <font>
      <b/>
      <sz val="11"/>
      <name val="Times New Roman"/>
      <family val="1"/>
    </font>
  </fonts>
  <fills count="6">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right style="thin">
        <color indexed="64"/>
      </right>
      <top/>
      <bottom/>
      <diagonal/>
    </border>
    <border>
      <left/>
      <right style="medium">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s>
  <cellStyleXfs count="11">
    <xf numFmtId="0" fontId="0" fillId="0" borderId="0"/>
    <xf numFmtId="0" fontId="3" fillId="0" borderId="0"/>
    <xf numFmtId="0" fontId="5" fillId="0" borderId="0"/>
    <xf numFmtId="0" fontId="2" fillId="0" borderId="0"/>
    <xf numFmtId="0" fontId="5" fillId="0" borderId="0"/>
    <xf numFmtId="0" fontId="1" fillId="0" borderId="0"/>
    <xf numFmtId="165" fontId="5" fillId="0" borderId="0" applyFont="0" applyFill="0" applyBorder="0" applyAlignment="0" applyProtection="0"/>
    <xf numFmtId="0" fontId="21" fillId="0" borderId="0"/>
    <xf numFmtId="9" fontId="22" fillId="0" borderId="0" applyFont="0" applyFill="0" applyBorder="0" applyAlignment="0" applyProtection="0"/>
    <xf numFmtId="43" fontId="22" fillId="0" borderId="0" applyFont="0" applyFill="0" applyBorder="0" applyAlignment="0" applyProtection="0"/>
    <xf numFmtId="0" fontId="27" fillId="0" borderId="0" applyNumberFormat="0" applyFill="0" applyBorder="0" applyAlignment="0" applyProtection="0"/>
  </cellStyleXfs>
  <cellXfs count="255">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20"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9" fillId="0" borderId="1" xfId="5" applyNumberFormat="1" applyFont="1" applyBorder="1" applyAlignment="1">
      <alignment horizontal="center" vertical="center"/>
    </xf>
    <xf numFmtId="0" fontId="5" fillId="0" borderId="1" xfId="4" applyBorder="1" applyAlignment="1">
      <alignment horizontal="center" vertical="center"/>
    </xf>
    <xf numFmtId="0" fontId="18" fillId="0" borderId="0" xfId="0" applyFont="1" applyProtection="1">
      <protection hidden="1"/>
    </xf>
    <xf numFmtId="0" fontId="18" fillId="0" borderId="11" xfId="0"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0" fontId="6" fillId="0" borderId="1" xfId="1" applyFont="1" applyBorder="1" applyAlignment="1" applyProtection="1">
      <alignment vertical="top" wrapText="1"/>
      <protection locked="0"/>
    </xf>
    <xf numFmtId="0" fontId="7" fillId="0" borderId="0" xfId="1" applyFont="1"/>
    <xf numFmtId="0" fontId="15" fillId="0" borderId="0" xfId="1" applyFont="1"/>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4" fillId="0" borderId="0" xfId="1" applyFont="1"/>
    <xf numFmtId="0" fontId="7" fillId="0" borderId="10" xfId="1" applyFont="1" applyBorder="1"/>
    <xf numFmtId="0" fontId="18" fillId="0" borderId="10" xfId="0" applyFont="1" applyBorder="1" applyProtection="1">
      <protection hidden="1"/>
    </xf>
    <xf numFmtId="1" fontId="0" fillId="0" borderId="10" xfId="0" applyNumberFormat="1" applyBorder="1"/>
    <xf numFmtId="1" fontId="0" fillId="0" borderId="10" xfId="0" applyNumberFormat="1" applyBorder="1" applyAlignment="1">
      <alignment horizontal="right"/>
    </xf>
    <xf numFmtId="1" fontId="0" fillId="0" borderId="12" xfId="0" applyNumberFormat="1" applyBorder="1"/>
    <xf numFmtId="0" fontId="16" fillId="0" borderId="0" xfId="1" applyFont="1"/>
    <xf numFmtId="0" fontId="6" fillId="0" borderId="0" xfId="2" applyFont="1"/>
    <xf numFmtId="0" fontId="7" fillId="0" borderId="0" xfId="0" applyFont="1" applyAlignment="1">
      <alignment horizontal="center" vertical="center"/>
    </xf>
    <xf numFmtId="1" fontId="7" fillId="0" borderId="0" xfId="1" applyNumberFormat="1" applyFont="1" applyAlignment="1">
      <alignment horizontal="center" vertical="center"/>
    </xf>
    <xf numFmtId="0" fontId="7" fillId="0" borderId="0" xfId="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8" fillId="0" borderId="1" xfId="1" applyFont="1" applyBorder="1" applyAlignment="1" applyProtection="1">
      <alignment vertical="top"/>
      <protection locked="0"/>
    </xf>
    <xf numFmtId="0" fontId="25" fillId="2" borderId="26" xfId="0" applyFont="1" applyFill="1" applyBorder="1"/>
    <xf numFmtId="0" fontId="26" fillId="0" borderId="27" xfId="0" applyFont="1" applyBorder="1"/>
    <xf numFmtId="0" fontId="26" fillId="0" borderId="1" xfId="0" applyFont="1" applyBorder="1"/>
    <xf numFmtId="0" fontId="26" fillId="0" borderId="5" xfId="0" applyFont="1" applyBorder="1"/>
    <xf numFmtId="0" fontId="12" fillId="0" borderId="1" xfId="1" applyFont="1" applyBorder="1" applyAlignment="1" applyProtection="1">
      <alignment horizontal="center" vertical="top"/>
      <protection locked="0"/>
    </xf>
    <xf numFmtId="0" fontId="0" fillId="0" borderId="0" xfId="0" applyAlignment="1">
      <alignment horizontal="center" vertical="center"/>
    </xf>
    <xf numFmtId="0" fontId="0" fillId="0" borderId="1" xfId="0" applyBorder="1" applyAlignment="1">
      <alignment horizontal="center" vertical="center"/>
    </xf>
    <xf numFmtId="1" fontId="6" fillId="0" borderId="1" xfId="1" applyNumberFormat="1" applyFont="1" applyBorder="1" applyAlignment="1" applyProtection="1">
      <alignment horizontal="center" vertical="center" wrapText="1"/>
      <protection locked="0"/>
    </xf>
    <xf numFmtId="0" fontId="0" fillId="0" borderId="0" xfId="0" applyAlignment="1">
      <alignment horizontal="center"/>
    </xf>
    <xf numFmtId="0" fontId="0" fillId="0" borderId="1" xfId="0" applyBorder="1"/>
    <xf numFmtId="0" fontId="0" fillId="0" borderId="1" xfId="0" applyBorder="1" applyAlignment="1">
      <alignment wrapText="1"/>
    </xf>
    <xf numFmtId="0" fontId="0" fillId="0" borderId="1" xfId="0" applyBorder="1" applyAlignment="1"/>
    <xf numFmtId="0" fontId="0" fillId="0" borderId="1" xfId="0" applyBorder="1" applyAlignment="1">
      <alignment horizontal="left" vertical="top" wrapText="1"/>
    </xf>
    <xf numFmtId="1" fontId="6" fillId="0" borderId="1" xfId="1" applyNumberFormat="1" applyFont="1" applyFill="1" applyBorder="1" applyAlignment="1" applyProtection="1">
      <alignment horizontal="center" vertical="center" wrapText="1"/>
      <protection locked="0"/>
    </xf>
    <xf numFmtId="0" fontId="0" fillId="0" borderId="21" xfId="0" applyFill="1" applyBorder="1"/>
    <xf numFmtId="0" fontId="0" fillId="0" borderId="8" xfId="0" applyBorder="1"/>
    <xf numFmtId="0" fontId="0" fillId="0" borderId="1" xfId="0" applyBorder="1" applyAlignment="1">
      <alignment vertical="top" wrapText="1"/>
    </xf>
    <xf numFmtId="0" fontId="0" fillId="0" borderId="1" xfId="0" applyFill="1" applyBorder="1"/>
    <xf numFmtId="0" fontId="0" fillId="2" borderId="1" xfId="0" applyFill="1" applyBorder="1" applyAlignment="1">
      <alignment horizontal="center" vertical="center"/>
    </xf>
    <xf numFmtId="0" fontId="0" fillId="0" borderId="2" xfId="0" applyBorder="1" applyAlignment="1">
      <alignment horizontal="center" vertical="center"/>
    </xf>
    <xf numFmtId="0" fontId="9" fillId="0" borderId="1" xfId="0" applyFont="1" applyBorder="1" applyAlignment="1">
      <alignment horizontal="center" vertical="center"/>
    </xf>
    <xf numFmtId="0" fontId="0" fillId="5" borderId="1" xfId="0" applyFill="1" applyBorder="1" applyAlignment="1">
      <alignment horizontal="center" vertical="center"/>
    </xf>
    <xf numFmtId="0" fontId="0" fillId="3" borderId="1" xfId="0" applyFill="1" applyBorder="1" applyAlignment="1">
      <alignment horizontal="center" vertical="center"/>
    </xf>
    <xf numFmtId="0" fontId="0" fillId="4" borderId="1" xfId="0" applyFill="1" applyBorder="1" applyAlignment="1">
      <alignment horizontal="center" vertical="center"/>
    </xf>
    <xf numFmtId="0" fontId="0" fillId="0" borderId="1" xfId="0" applyFill="1" applyBorder="1" applyAlignment="1">
      <alignment horizontal="left" vertical="top"/>
    </xf>
    <xf numFmtId="0" fontId="0" fillId="0" borderId="0" xfId="0" applyAlignment="1">
      <alignment horizontal="left" vertical="top"/>
    </xf>
    <xf numFmtId="0" fontId="0" fillId="0" borderId="8" xfId="0" applyBorder="1" applyAlignment="1">
      <alignment horizontal="left" vertical="top"/>
    </xf>
    <xf numFmtId="0" fontId="0" fillId="0" borderId="8" xfId="0" applyFill="1" applyBorder="1"/>
    <xf numFmtId="0" fontId="12" fillId="0" borderId="1" xfId="1" applyFont="1" applyBorder="1"/>
    <xf numFmtId="0" fontId="7" fillId="0" borderId="1" xfId="1" applyFont="1" applyBorder="1"/>
    <xf numFmtId="0" fontId="0" fillId="0" borderId="8" xfId="0" applyBorder="1" applyAlignment="1">
      <alignment vertical="top"/>
    </xf>
    <xf numFmtId="0" fontId="0" fillId="0" borderId="21" xfId="0" applyFill="1" applyBorder="1" applyAlignment="1">
      <alignment horizontal="center" vertical="top"/>
    </xf>
    <xf numFmtId="0" fontId="0" fillId="0" borderId="8" xfId="0" applyFill="1" applyBorder="1" applyAlignment="1">
      <alignment horizontal="left" vertical="top"/>
    </xf>
    <xf numFmtId="0" fontId="15" fillId="2" borderId="0" xfId="1" applyFont="1" applyFill="1"/>
    <xf numFmtId="14" fontId="12" fillId="0" borderId="0" xfId="1" applyNumberFormat="1" applyFont="1"/>
    <xf numFmtId="0" fontId="0" fillId="0" borderId="1" xfId="0" applyBorder="1" applyAlignment="1">
      <alignment horizontal="left" vertical="top"/>
    </xf>
    <xf numFmtId="0" fontId="0" fillId="0" borderId="3" xfId="0" applyBorder="1" applyAlignment="1">
      <alignment vertical="top"/>
    </xf>
    <xf numFmtId="0" fontId="0" fillId="0" borderId="3" xfId="0" applyBorder="1" applyAlignment="1">
      <alignment wrapText="1"/>
    </xf>
    <xf numFmtId="0" fontId="0" fillId="0" borderId="21" xfId="0" applyBorder="1" applyAlignment="1">
      <alignment vertical="top"/>
    </xf>
    <xf numFmtId="0" fontId="0" fillId="0" borderId="22" xfId="0" applyBorder="1" applyAlignment="1">
      <alignment vertical="top" wrapText="1"/>
    </xf>
    <xf numFmtId="0" fontId="0" fillId="0" borderId="28" xfId="0" applyBorder="1" applyAlignment="1">
      <alignment vertical="top"/>
    </xf>
    <xf numFmtId="0" fontId="0" fillId="0" borderId="29" xfId="0" applyBorder="1" applyAlignment="1">
      <alignment vertical="top" wrapText="1"/>
    </xf>
    <xf numFmtId="0" fontId="0" fillId="0" borderId="30" xfId="0" applyBorder="1" applyAlignment="1">
      <alignment vertical="top"/>
    </xf>
    <xf numFmtId="0" fontId="0" fillId="0" borderId="12" xfId="0" applyBorder="1" applyAlignment="1">
      <alignment vertical="top" wrapText="1"/>
    </xf>
    <xf numFmtId="0" fontId="0" fillId="0" borderId="12" xfId="0" applyBorder="1" applyAlignment="1">
      <alignment vertical="top"/>
    </xf>
    <xf numFmtId="0" fontId="0" fillId="0" borderId="29" xfId="0" applyBorder="1" applyAlignment="1">
      <alignment horizontal="left" wrapText="1"/>
    </xf>
    <xf numFmtId="0" fontId="0" fillId="0" borderId="14" xfId="0" applyBorder="1" applyAlignment="1">
      <alignment vertical="top"/>
    </xf>
    <xf numFmtId="0" fontId="0" fillId="0" borderId="14" xfId="0" applyBorder="1" applyAlignment="1">
      <alignment vertical="top" wrapText="1"/>
    </xf>
    <xf numFmtId="1" fontId="6" fillId="0" borderId="1" xfId="1" applyNumberFormat="1" applyFont="1" applyBorder="1" applyAlignment="1" applyProtection="1">
      <alignment horizontal="center" vertical="center" wrapText="1"/>
      <protection locked="0"/>
    </xf>
    <xf numFmtId="0" fontId="7" fillId="0" borderId="0" xfId="1" applyFont="1" applyAlignment="1">
      <alignment horizontal="center" vertical="center"/>
    </xf>
    <xf numFmtId="1" fontId="7" fillId="0" borderId="1" xfId="1" applyNumberFormat="1" applyFont="1" applyBorder="1" applyAlignment="1">
      <alignment horizontal="center" vertical="center"/>
    </xf>
    <xf numFmtId="0" fontId="12"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9" fontId="12" fillId="0" borderId="7" xfId="8" applyFont="1" applyFill="1" applyBorder="1" applyAlignment="1" applyProtection="1">
      <alignment horizontal="center" vertical="top" wrapText="1"/>
      <protection locked="0"/>
    </xf>
    <xf numFmtId="2" fontId="7" fillId="0" borderId="0" xfId="1" applyNumberFormat="1" applyFont="1" applyAlignment="1">
      <alignment horizontal="center" vertical="center"/>
    </xf>
    <xf numFmtId="1" fontId="8" fillId="0" borderId="1" xfId="0" applyNumberFormat="1" applyFont="1" applyBorder="1" applyAlignment="1" applyProtection="1">
      <alignment horizontal="center" vertical="center" wrapText="1"/>
      <protection locked="0"/>
    </xf>
    <xf numFmtId="0" fontId="12" fillId="0" borderId="1" xfId="1" applyFont="1" applyBorder="1" applyAlignment="1" applyProtection="1">
      <alignment vertical="top" wrapText="1"/>
      <protection locked="0"/>
    </xf>
    <xf numFmtId="0" fontId="12"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25" fillId="2" borderId="13" xfId="0" applyFont="1" applyFill="1" applyBorder="1"/>
    <xf numFmtId="0" fontId="26" fillId="0" borderId="9" xfId="0" applyFont="1" applyBorder="1"/>
    <xf numFmtId="1" fontId="17" fillId="0" borderId="1" xfId="1" applyNumberFormat="1" applyFont="1" applyBorder="1" applyAlignment="1" applyProtection="1">
      <alignment horizontal="center" vertical="top" wrapText="1"/>
      <protection locked="0"/>
    </xf>
    <xf numFmtId="9" fontId="17" fillId="0" borderId="1" xfId="8" applyFont="1" applyFill="1" applyBorder="1" applyAlignment="1" applyProtection="1">
      <alignment horizontal="center" vertical="top" wrapText="1"/>
      <protection locked="0"/>
    </xf>
    <xf numFmtId="1" fontId="13" fillId="0" borderId="1" xfId="1" applyNumberFormat="1" applyFont="1" applyBorder="1" applyAlignment="1" applyProtection="1">
      <alignment horizontal="center" vertical="top" wrapText="1"/>
      <protection locked="0"/>
    </xf>
    <xf numFmtId="9" fontId="13" fillId="0" borderId="1" xfId="8" applyFont="1" applyFill="1" applyBorder="1" applyAlignment="1" applyProtection="1">
      <alignment horizontal="center" vertical="top" wrapText="1"/>
      <protection locked="0"/>
    </xf>
    <xf numFmtId="0" fontId="12" fillId="0" borderId="1"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3" xfId="1" applyFont="1" applyBorder="1" applyAlignment="1" applyProtection="1">
      <alignment horizontal="left" vertical="top"/>
      <protection locked="0"/>
    </xf>
    <xf numFmtId="0" fontId="15" fillId="0" borderId="1" xfId="1" applyFont="1" applyBorder="1" applyAlignment="1" applyProtection="1">
      <alignment horizontal="left" vertical="top"/>
      <protection locked="0"/>
    </xf>
    <xf numFmtId="1" fontId="13" fillId="0" borderId="8" xfId="0" applyNumberFormat="1" applyFont="1" applyBorder="1" applyAlignment="1" applyProtection="1">
      <alignment vertical="top" wrapText="1"/>
      <protection locked="0"/>
    </xf>
    <xf numFmtId="1" fontId="13" fillId="0" borderId="19"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8" fillId="0" borderId="8" xfId="1" applyNumberFormat="1" applyFont="1" applyBorder="1" applyAlignment="1" applyProtection="1">
      <alignment horizontal="center" vertical="center" wrapText="1"/>
      <protection locked="0"/>
    </xf>
    <xf numFmtId="1" fontId="8" fillId="0" borderId="19" xfId="1" applyNumberFormat="1" applyFont="1" applyBorder="1" applyAlignment="1" applyProtection="1">
      <alignment horizontal="center" vertical="center" wrapText="1"/>
      <protection locked="0"/>
    </xf>
    <xf numFmtId="1" fontId="8" fillId="0" borderId="9" xfId="1" applyNumberFormat="1" applyFont="1" applyBorder="1" applyAlignment="1" applyProtection="1">
      <alignment horizontal="center" vertical="center" wrapText="1"/>
      <protection locked="0"/>
    </xf>
    <xf numFmtId="1" fontId="6" fillId="0" borderId="8" xfId="1" applyNumberFormat="1" applyFont="1" applyBorder="1" applyAlignment="1" applyProtection="1">
      <alignment horizontal="center" vertical="center" wrapText="1"/>
      <protection locked="0"/>
    </xf>
    <xf numFmtId="1" fontId="6" fillId="0" borderId="9" xfId="1" applyNumberFormat="1" applyFont="1" applyBorder="1" applyAlignment="1" applyProtection="1">
      <alignment horizontal="center" vertical="center" wrapText="1"/>
      <protection locked="0"/>
    </xf>
    <xf numFmtId="0" fontId="6" fillId="0" borderId="1" xfId="1" applyFont="1" applyBorder="1" applyAlignment="1" applyProtection="1">
      <alignment horizontal="left" vertical="top"/>
      <protection locked="0"/>
    </xf>
    <xf numFmtId="1" fontId="13" fillId="0" borderId="1" xfId="0" applyNumberFormat="1" applyFont="1" applyBorder="1" applyAlignment="1" applyProtection="1">
      <alignment horizontal="center" vertical="top" wrapText="1"/>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0" fontId="10" fillId="0" borderId="1" xfId="0"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top" wrapText="1"/>
      <protection locked="0"/>
    </xf>
    <xf numFmtId="1" fontId="6" fillId="0" borderId="1" xfId="0" applyNumberFormat="1" applyFont="1" applyBorder="1" applyAlignment="1" applyProtection="1">
      <alignment horizontal="center" vertical="center" wrapText="1"/>
      <protection locked="0"/>
    </xf>
    <xf numFmtId="1" fontId="7" fillId="0" borderId="1" xfId="0" applyNumberFormat="1" applyFont="1" applyBorder="1" applyAlignment="1" applyProtection="1">
      <alignment horizontal="center" vertical="center"/>
      <protection locked="0"/>
    </xf>
    <xf numFmtId="0" fontId="7" fillId="0" borderId="0" xfId="1" applyFont="1" applyAlignment="1">
      <alignment horizontal="center" vertical="center"/>
    </xf>
    <xf numFmtId="0" fontId="27" fillId="0" borderId="1" xfId="10" applyFill="1" applyBorder="1" applyAlignment="1" applyProtection="1">
      <alignment horizontal="left" vertical="top" wrapText="1"/>
      <protection locked="0"/>
    </xf>
    <xf numFmtId="0" fontId="12" fillId="0" borderId="1" xfId="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top" wrapText="1"/>
      <protection locked="0"/>
    </xf>
    <xf numFmtId="1" fontId="17" fillId="0" borderId="1" xfId="1" applyNumberFormat="1" applyFont="1" applyBorder="1" applyAlignment="1" applyProtection="1">
      <alignment horizontal="center" vertical="top" wrapText="1"/>
      <protection locked="0"/>
    </xf>
    <xf numFmtId="1" fontId="4" fillId="0" borderId="1" xfId="1" applyNumberFormat="1" applyFont="1" applyBorder="1" applyAlignment="1" applyProtection="1">
      <alignment horizontal="center" vertical="top" wrapText="1"/>
      <protection locked="0"/>
    </xf>
    <xf numFmtId="0" fontId="7" fillId="0" borderId="1" xfId="1" applyFont="1" applyBorder="1" applyAlignment="1" applyProtection="1">
      <alignment horizontal="center" vertical="top" wrapText="1"/>
      <protection locked="0"/>
    </xf>
    <xf numFmtId="9" fontId="12" fillId="0" borderId="1" xfId="8" applyFont="1" applyFill="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5" xfId="1" applyFont="1" applyBorder="1" applyAlignment="1" applyProtection="1">
      <alignment horizontal="center" vertical="top" wrapText="1"/>
      <protection locked="0"/>
    </xf>
    <xf numFmtId="0" fontId="6" fillId="0" borderId="15" xfId="1" applyFont="1" applyBorder="1" applyAlignment="1" applyProtection="1">
      <alignment horizontal="left" vertical="top" wrapText="1"/>
      <protection locked="0"/>
    </xf>
    <xf numFmtId="0" fontId="6" fillId="0" borderId="16" xfId="1" applyFont="1" applyBorder="1" applyAlignment="1" applyProtection="1">
      <alignment horizontal="left" vertical="top" wrapText="1"/>
      <protection locked="0"/>
    </xf>
    <xf numFmtId="0" fontId="6" fillId="0" borderId="21" xfId="1" applyFont="1" applyBorder="1" applyAlignment="1" applyProtection="1">
      <alignment horizontal="left" vertical="top" wrapText="1"/>
      <protection locked="0"/>
    </xf>
    <xf numFmtId="0" fontId="6" fillId="0" borderId="22" xfId="1" applyFont="1" applyBorder="1" applyAlignment="1" applyProtection="1">
      <alignment horizontal="left" vertical="top" wrapText="1"/>
      <protection locked="0"/>
    </xf>
    <xf numFmtId="0" fontId="6" fillId="0" borderId="17" xfId="1" applyFont="1" applyBorder="1" applyAlignment="1" applyProtection="1">
      <alignment horizontal="left" vertical="top" wrapText="1"/>
      <protection locked="0"/>
    </xf>
    <xf numFmtId="0" fontId="6" fillId="0" borderId="18" xfId="1" applyFont="1" applyBorder="1" applyAlignment="1" applyProtection="1">
      <alignment horizontal="left" vertical="top" wrapText="1"/>
      <protection locked="0"/>
    </xf>
    <xf numFmtId="0" fontId="12" fillId="0" borderId="8" xfId="1" applyFont="1" applyBorder="1" applyAlignment="1" applyProtection="1">
      <alignment horizontal="left" vertical="top" wrapText="1"/>
      <protection locked="0"/>
    </xf>
    <xf numFmtId="0" fontId="12" fillId="0" borderId="19" xfId="1" applyFont="1" applyBorder="1" applyAlignment="1" applyProtection="1">
      <alignment horizontal="left" vertical="top" wrapText="1"/>
      <protection locked="0"/>
    </xf>
    <xf numFmtId="0" fontId="12" fillId="0" borderId="9" xfId="1" applyFont="1" applyBorder="1" applyAlignment="1" applyProtection="1">
      <alignment horizontal="left" vertical="top" wrapText="1"/>
      <protection locked="0"/>
    </xf>
    <xf numFmtId="1" fontId="13" fillId="0" borderId="1" xfId="1" applyNumberFormat="1" applyFont="1" applyBorder="1" applyAlignment="1" applyProtection="1">
      <alignment horizontal="center" vertical="top" wrapText="1"/>
      <protection locked="0"/>
    </xf>
    <xf numFmtId="9" fontId="12" fillId="0" borderId="15" xfId="8" applyFont="1" applyFill="1" applyBorder="1" applyAlignment="1" applyProtection="1">
      <alignment horizontal="center" vertical="center" wrapText="1"/>
      <protection locked="0"/>
    </xf>
    <xf numFmtId="9" fontId="12" fillId="0" borderId="16" xfId="8" applyFont="1" applyFill="1" applyBorder="1" applyAlignment="1" applyProtection="1">
      <alignment horizontal="center" vertical="center" wrapText="1"/>
      <protection locked="0"/>
    </xf>
    <xf numFmtId="9" fontId="12" fillId="0" borderId="21" xfId="8" applyFont="1" applyFill="1" applyBorder="1" applyAlignment="1" applyProtection="1">
      <alignment horizontal="center" vertical="center" wrapText="1"/>
      <protection locked="0"/>
    </xf>
    <xf numFmtId="9" fontId="12" fillId="0" borderId="22" xfId="8" applyFont="1" applyFill="1" applyBorder="1" applyAlignment="1" applyProtection="1">
      <alignment horizontal="center" vertical="center" wrapText="1"/>
      <protection locked="0"/>
    </xf>
    <xf numFmtId="9" fontId="12" fillId="0" borderId="24" xfId="8" applyFont="1" applyFill="1" applyBorder="1" applyAlignment="1" applyProtection="1">
      <alignment horizontal="center" vertical="center" wrapText="1"/>
      <protection locked="0"/>
    </xf>
    <xf numFmtId="9" fontId="12" fillId="0" borderId="25" xfId="8" applyFont="1" applyFill="1" applyBorder="1" applyAlignment="1" applyProtection="1">
      <alignment horizontal="center" vertical="center" wrapText="1"/>
      <protection locked="0"/>
    </xf>
    <xf numFmtId="0" fontId="13" fillId="0" borderId="31" xfId="1" applyFont="1" applyBorder="1" applyAlignment="1" applyProtection="1">
      <alignment horizontal="left" vertical="top" wrapText="1"/>
      <protection locked="0"/>
    </xf>
    <xf numFmtId="0" fontId="13" fillId="0" borderId="18" xfId="1" applyFont="1" applyBorder="1" applyAlignment="1" applyProtection="1">
      <alignment horizontal="left" vertical="top" wrapText="1"/>
      <protection locked="0"/>
    </xf>
    <xf numFmtId="0" fontId="13" fillId="0" borderId="17" xfId="1" applyFont="1" applyBorder="1" applyAlignment="1" applyProtection="1">
      <alignment horizontal="left" vertical="top" wrapText="1"/>
      <protection locked="0"/>
    </xf>
    <xf numFmtId="0" fontId="13" fillId="0" borderId="2" xfId="1" applyFont="1" applyBorder="1" applyAlignment="1" applyProtection="1">
      <alignment horizontal="left" vertical="top" wrapText="1"/>
      <protection locked="0"/>
    </xf>
    <xf numFmtId="0" fontId="13" fillId="0" borderId="32" xfId="1" applyFont="1" applyBorder="1" applyAlignment="1" applyProtection="1">
      <alignment horizontal="left" vertical="top" wrapText="1"/>
      <protection locked="0"/>
    </xf>
    <xf numFmtId="1" fontId="8" fillId="0" borderId="1" xfId="1" applyNumberFormat="1" applyFont="1" applyBorder="1" applyAlignment="1" applyProtection="1">
      <alignment horizontal="center" vertical="center" wrapText="1"/>
      <protection locked="0"/>
    </xf>
    <xf numFmtId="1" fontId="31" fillId="0" borderId="1" xfId="1" applyNumberFormat="1" applyFont="1" applyBorder="1" applyAlignment="1" applyProtection="1">
      <alignment horizontal="center"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9" fontId="12" fillId="0" borderId="23" xfId="8" applyFont="1" applyFill="1" applyBorder="1" applyAlignment="1" applyProtection="1">
      <alignment horizontal="center" vertical="center" wrapText="1"/>
      <protection locked="0"/>
    </xf>
    <xf numFmtId="9" fontId="12" fillId="0" borderId="10" xfId="8" applyFont="1" applyFill="1" applyBorder="1" applyAlignment="1" applyProtection="1">
      <alignment horizontal="center" vertical="center" wrapText="1"/>
      <protection locked="0"/>
    </xf>
    <xf numFmtId="9" fontId="12" fillId="0" borderId="12" xfId="8" applyFont="1" applyFill="1" applyBorder="1" applyAlignment="1" applyProtection="1">
      <alignment horizontal="center" vertical="center" wrapText="1"/>
      <protection locked="0"/>
    </xf>
    <xf numFmtId="167" fontId="12" fillId="0" borderId="1" xfId="9" applyNumberFormat="1" applyFont="1" applyFill="1" applyBorder="1" applyAlignment="1" applyProtection="1">
      <alignment horizontal="left" vertical="top"/>
      <protection locked="0"/>
    </xf>
    <xf numFmtId="0" fontId="13" fillId="0" borderId="1" xfId="0" applyFont="1" applyBorder="1" applyAlignment="1" applyProtection="1">
      <alignment horizontal="center"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1"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center"/>
      <protection locked="0"/>
    </xf>
    <xf numFmtId="0" fontId="12" fillId="0" borderId="8" xfId="1" applyFont="1" applyBorder="1" applyAlignment="1" applyProtection="1">
      <alignment horizontal="center" vertical="top"/>
      <protection locked="0"/>
    </xf>
    <xf numFmtId="0" fontId="12" fillId="0" borderId="19" xfId="1" applyFont="1" applyBorder="1" applyAlignment="1" applyProtection="1">
      <alignment horizontal="center" vertical="top"/>
      <protection locked="0"/>
    </xf>
    <xf numFmtId="0" fontId="12" fillId="0" borderId="9" xfId="1" applyFont="1" applyBorder="1" applyAlignment="1" applyProtection="1">
      <alignment horizontal="center" vertical="top"/>
      <protection locked="0"/>
    </xf>
    <xf numFmtId="2" fontId="12" fillId="0" borderId="1" xfId="1" applyNumberFormat="1" applyFont="1" applyBorder="1" applyAlignment="1" applyProtection="1">
      <alignment horizontal="left" vertical="top" wrapText="1"/>
      <protection locked="0"/>
    </xf>
    <xf numFmtId="0" fontId="8" fillId="0" borderId="1" xfId="1" applyFont="1" applyBorder="1" applyAlignment="1" applyProtection="1">
      <alignment horizontal="left" vertical="top"/>
      <protection locked="0"/>
    </xf>
    <xf numFmtId="0" fontId="6" fillId="0" borderId="8"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6" fillId="0" borderId="9" xfId="1" applyFont="1" applyBorder="1" applyAlignment="1" applyProtection="1">
      <alignment horizontal="left" vertical="top" wrapText="1"/>
      <protection locked="0"/>
    </xf>
    <xf numFmtId="14" fontId="6" fillId="0" borderId="8" xfId="1" applyNumberFormat="1" applyFont="1" applyBorder="1" applyAlignment="1" applyProtection="1">
      <alignment horizontal="left" vertical="top" wrapText="1"/>
      <protection locked="0"/>
    </xf>
    <xf numFmtId="14" fontId="6" fillId="0" borderId="9" xfId="1" applyNumberFormat="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5" fillId="0" borderId="17" xfId="1" applyFont="1" applyBorder="1" applyAlignment="1" applyProtection="1">
      <alignment horizontal="left" vertical="top" wrapText="1"/>
      <protection locked="0"/>
    </xf>
    <xf numFmtId="0" fontId="15" fillId="0" borderId="18" xfId="1" applyFont="1" applyBorder="1" applyAlignment="1" applyProtection="1">
      <alignment horizontal="left" vertical="top" wrapText="1"/>
      <protection locked="0"/>
    </xf>
    <xf numFmtId="0" fontId="12" fillId="0" borderId="8" xfId="1" applyFont="1" applyBorder="1" applyAlignment="1" applyProtection="1">
      <alignment vertical="top" wrapText="1"/>
      <protection locked="0"/>
    </xf>
    <xf numFmtId="0" fontId="12" fillId="0" borderId="19" xfId="1" applyFont="1" applyBorder="1" applyAlignment="1" applyProtection="1">
      <alignment vertical="top" wrapText="1"/>
      <protection locked="0"/>
    </xf>
    <xf numFmtId="0" fontId="12" fillId="0" borderId="9" xfId="1" applyFont="1" applyBorder="1" applyAlignment="1" applyProtection="1">
      <alignment vertical="top" wrapText="1"/>
      <protection locked="0"/>
    </xf>
    <xf numFmtId="0" fontId="12" fillId="0" borderId="15" xfId="1" applyFont="1" applyBorder="1" applyAlignment="1" applyProtection="1">
      <alignment horizontal="left" vertical="top" wrapText="1"/>
      <protection locked="0"/>
    </xf>
    <xf numFmtId="0" fontId="12" fillId="0" borderId="20" xfId="1" applyFont="1" applyBorder="1" applyAlignment="1" applyProtection="1">
      <alignment horizontal="left" vertical="top" wrapText="1"/>
      <protection locked="0"/>
    </xf>
    <xf numFmtId="0" fontId="12" fillId="0" borderId="16" xfId="1" applyFont="1" applyBorder="1" applyAlignment="1" applyProtection="1">
      <alignment horizontal="left" vertical="top" wrapText="1"/>
      <protection locked="0"/>
    </xf>
    <xf numFmtId="0" fontId="12" fillId="0" borderId="17" xfId="1" applyFont="1" applyBorder="1" applyAlignment="1" applyProtection="1">
      <alignment horizontal="left" vertical="top" wrapText="1"/>
      <protection locked="0"/>
    </xf>
    <xf numFmtId="0" fontId="12" fillId="0" borderId="2" xfId="1" applyFont="1" applyBorder="1" applyAlignment="1" applyProtection="1">
      <alignment horizontal="left" vertical="top" wrapText="1"/>
      <protection locked="0"/>
    </xf>
    <xf numFmtId="0" fontId="12" fillId="0" borderId="18"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164" fontId="12" fillId="0" borderId="1" xfId="1" applyNumberFormat="1" applyFont="1" applyBorder="1" applyAlignment="1" applyProtection="1">
      <alignment horizontal="left" vertical="top"/>
      <protection locked="0"/>
    </xf>
    <xf numFmtId="2" fontId="12" fillId="0" borderId="1" xfId="1" applyNumberFormat="1" applyFont="1" applyBorder="1" applyAlignment="1" applyProtection="1">
      <alignment horizontal="left" vertical="top"/>
      <protection locked="0"/>
    </xf>
    <xf numFmtId="0" fontId="13" fillId="0" borderId="8" xfId="1" applyFont="1" applyBorder="1" applyAlignment="1" applyProtection="1">
      <alignment horizontal="left" vertical="top"/>
      <protection locked="0"/>
    </xf>
    <xf numFmtId="0" fontId="13" fillId="0" borderId="19" xfId="1" applyFont="1" applyBorder="1" applyAlignment="1" applyProtection="1">
      <alignment horizontal="left" vertical="top"/>
      <protection locked="0"/>
    </xf>
    <xf numFmtId="0" fontId="13" fillId="0" borderId="9"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horizontal="left" vertical="top" wrapText="1"/>
      <protection locked="0"/>
    </xf>
    <xf numFmtId="0" fontId="8" fillId="0" borderId="1" xfId="1" applyFont="1" applyBorder="1" applyAlignment="1" applyProtection="1">
      <alignment horizontal="left" vertical="top" wrapText="1"/>
      <protection locked="0"/>
    </xf>
    <xf numFmtId="0" fontId="13" fillId="0" borderId="8" xfId="1" applyFont="1" applyBorder="1" applyAlignment="1" applyProtection="1">
      <alignment horizontal="center" vertical="top"/>
      <protection locked="0"/>
    </xf>
    <xf numFmtId="0" fontId="13" fillId="0" borderId="19" xfId="1" applyFont="1" applyBorder="1" applyAlignment="1" applyProtection="1">
      <alignment horizontal="center" vertical="top"/>
      <protection locked="0"/>
    </xf>
    <xf numFmtId="0" fontId="13" fillId="0" borderId="9"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12" fillId="0" borderId="1" xfId="1" applyFont="1" applyBorder="1" applyAlignment="1" applyProtection="1">
      <alignment horizontal="left"/>
      <protection locked="0"/>
    </xf>
    <xf numFmtId="0" fontId="11" fillId="0" borderId="1" xfId="1" applyFont="1" applyBorder="1" applyAlignment="1" applyProtection="1">
      <alignment horizontal="center" vertical="top" wrapText="1"/>
      <protection locked="0"/>
    </xf>
    <xf numFmtId="0" fontId="8" fillId="0" borderId="1" xfId="1" applyFont="1" applyBorder="1" applyAlignment="1" applyProtection="1">
      <alignment horizontal="center" vertical="top"/>
      <protection locked="0"/>
    </xf>
    <xf numFmtId="14" fontId="12" fillId="0" borderId="1" xfId="1" applyNumberFormat="1" applyFont="1" applyBorder="1" applyAlignment="1" applyProtection="1">
      <alignment horizontal="left" vertical="top"/>
      <protection locked="0"/>
    </xf>
    <xf numFmtId="1" fontId="8" fillId="0" borderId="8" xfId="0" applyNumberFormat="1" applyFont="1" applyBorder="1" applyAlignment="1" applyProtection="1">
      <alignment vertical="top" wrapText="1"/>
      <protection locked="0"/>
    </xf>
    <xf numFmtId="1" fontId="8" fillId="0" borderId="19" xfId="0" applyNumberFormat="1" applyFont="1" applyBorder="1" applyAlignment="1" applyProtection="1">
      <alignment vertical="top" wrapText="1"/>
      <protection locked="0"/>
    </xf>
    <xf numFmtId="1" fontId="8" fillId="0" borderId="9" xfId="0" applyNumberFormat="1" applyFont="1" applyBorder="1" applyAlignment="1" applyProtection="1">
      <alignment vertical="top" wrapText="1"/>
      <protection locked="0"/>
    </xf>
    <xf numFmtId="1" fontId="17" fillId="0" borderId="8" xfId="0" applyNumberFormat="1" applyFont="1" applyBorder="1" applyAlignment="1" applyProtection="1">
      <alignment vertical="top" wrapText="1"/>
      <protection locked="0"/>
    </xf>
    <xf numFmtId="1" fontId="17" fillId="0" borderId="19"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0" fontId="13" fillId="0" borderId="1" xfId="0" applyFont="1" applyBorder="1" applyAlignment="1" applyProtection="1">
      <alignment horizontal="center" vertical="center"/>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0" fontId="6" fillId="0" borderId="1" xfId="1" applyFont="1" applyBorder="1" applyAlignment="1" applyProtection="1">
      <alignment vertical="top"/>
      <protection locked="0"/>
    </xf>
    <xf numFmtId="1" fontId="13" fillId="0" borderId="1" xfId="0" applyNumberFormat="1" applyFont="1" applyBorder="1" applyAlignment="1" applyProtection="1">
      <alignment horizontal="center" vertical="center" wrapText="1"/>
      <protection locked="0"/>
    </xf>
    <xf numFmtId="0" fontId="8" fillId="0" borderId="14" xfId="1" applyFont="1" applyBorder="1" applyAlignment="1" applyProtection="1">
      <alignment horizontal="left" vertical="top"/>
      <protection locked="0"/>
    </xf>
    <xf numFmtId="1" fontId="13" fillId="0" borderId="1" xfId="0" applyNumberFormat="1" applyFont="1" applyBorder="1" applyAlignment="1" applyProtection="1">
      <alignment vertical="top" wrapText="1"/>
      <protection locked="0"/>
    </xf>
    <xf numFmtId="1" fontId="8" fillId="0" borderId="1" xfId="0" applyNumberFormat="1" applyFont="1" applyBorder="1" applyAlignment="1" applyProtection="1">
      <alignment vertical="top" wrapText="1"/>
      <protection locked="0"/>
    </xf>
    <xf numFmtId="0" fontId="13" fillId="0" borderId="14" xfId="1" applyFont="1" applyBorder="1" applyAlignment="1" applyProtection="1">
      <alignment horizontal="center" vertical="top"/>
      <protection locked="0"/>
    </xf>
    <xf numFmtId="1" fontId="17" fillId="0" borderId="1" xfId="0" applyNumberFormat="1" applyFont="1" applyBorder="1" applyAlignment="1" applyProtection="1">
      <alignment vertical="top" wrapText="1"/>
      <protection locked="0"/>
    </xf>
    <xf numFmtId="0" fontId="13" fillId="0" borderId="1" xfId="1" applyFont="1" applyBorder="1" applyAlignment="1" applyProtection="1">
      <alignment horizontal="center" vertical="top"/>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0" fontId="7" fillId="0" borderId="21" xfId="1" applyFont="1" applyBorder="1" applyAlignment="1">
      <alignment horizontal="center"/>
    </xf>
    <xf numFmtId="0" fontId="7" fillId="0" borderId="0" xfId="1" applyFont="1" applyAlignment="1">
      <alignment horizontal="center"/>
    </xf>
    <xf numFmtId="0" fontId="8" fillId="0" borderId="8" xfId="1" applyFont="1" applyBorder="1" applyAlignment="1" applyProtection="1">
      <alignment horizontal="left" vertical="top" wrapText="1"/>
      <protection locked="0"/>
    </xf>
    <xf numFmtId="0" fontId="8" fillId="0" borderId="9" xfId="1" applyFont="1" applyBorder="1" applyAlignment="1" applyProtection="1">
      <alignment horizontal="left" vertical="top" wrapText="1"/>
      <protection locked="0"/>
    </xf>
    <xf numFmtId="0" fontId="8" fillId="0" borderId="19" xfId="1" applyFont="1" applyBorder="1" applyAlignment="1" applyProtection="1">
      <alignment horizontal="left" vertical="top" wrapText="1"/>
      <protection locked="0"/>
    </xf>
    <xf numFmtId="14" fontId="8" fillId="0" borderId="8" xfId="1" applyNumberFormat="1" applyFont="1" applyBorder="1" applyAlignment="1" applyProtection="1">
      <alignment horizontal="left" vertical="top"/>
      <protection locked="0"/>
    </xf>
    <xf numFmtId="14" fontId="8" fillId="0" borderId="9" xfId="1" applyNumberFormat="1" applyFont="1" applyBorder="1" applyAlignment="1" applyProtection="1">
      <alignment horizontal="left" vertical="top"/>
      <protection locked="0"/>
    </xf>
    <xf numFmtId="14" fontId="12" fillId="0" borderId="8" xfId="1" applyNumberFormat="1" applyFont="1" applyBorder="1" applyAlignment="1" applyProtection="1">
      <alignment horizontal="left" vertical="top" wrapText="1"/>
      <protection locked="0"/>
    </xf>
    <xf numFmtId="14" fontId="12" fillId="0" borderId="9" xfId="1" applyNumberFormat="1" applyFont="1" applyBorder="1" applyAlignment="1" applyProtection="1">
      <alignment horizontal="left" vertical="top" wrapText="1"/>
      <protection locked="0"/>
    </xf>
    <xf numFmtId="1" fontId="8" fillId="0" borderId="1" xfId="0" applyNumberFormat="1" applyFont="1" applyBorder="1" applyAlignment="1" applyProtection="1">
      <alignment horizontal="left" vertical="top" wrapText="1"/>
      <protection locked="0"/>
    </xf>
    <xf numFmtId="0" fontId="6" fillId="0" borderId="3" xfId="1" applyFont="1" applyBorder="1" applyAlignment="1" applyProtection="1">
      <alignment horizontal="left" vertical="top" wrapText="1"/>
      <protection locked="0"/>
    </xf>
    <xf numFmtId="0" fontId="6" fillId="0" borderId="14" xfId="1" applyFont="1" applyBorder="1" applyAlignment="1" applyProtection="1">
      <alignment horizontal="left" vertical="top" wrapText="1"/>
      <protection locked="0"/>
    </xf>
    <xf numFmtId="14" fontId="6" fillId="0" borderId="15" xfId="1" applyNumberFormat="1" applyFont="1" applyBorder="1" applyAlignment="1" applyProtection="1">
      <alignment horizontal="left" vertical="top" wrapText="1"/>
      <protection locked="0"/>
    </xf>
    <xf numFmtId="14" fontId="6" fillId="0" borderId="16" xfId="1" applyNumberFormat="1" applyFont="1" applyBorder="1" applyAlignment="1" applyProtection="1">
      <alignment horizontal="left" vertical="top" wrapText="1"/>
      <protection locked="0"/>
    </xf>
    <xf numFmtId="14" fontId="6" fillId="0" borderId="17" xfId="1" applyNumberFormat="1" applyFont="1" applyBorder="1" applyAlignment="1" applyProtection="1">
      <alignment horizontal="left" vertical="top" wrapText="1"/>
      <protection locked="0"/>
    </xf>
    <xf numFmtId="14" fontId="6" fillId="0" borderId="18" xfId="1" applyNumberFormat="1" applyFont="1" applyBorder="1" applyAlignment="1" applyProtection="1">
      <alignment horizontal="left" vertical="top" wrapText="1"/>
      <protection locked="0"/>
    </xf>
    <xf numFmtId="1" fontId="6" fillId="0" borderId="19" xfId="1" applyNumberFormat="1" applyFont="1" applyBorder="1" applyAlignment="1" applyProtection="1">
      <alignment horizontal="center" vertical="center" wrapText="1"/>
      <protection locked="0"/>
    </xf>
    <xf numFmtId="0" fontId="9" fillId="0" borderId="1" xfId="5" applyFont="1" applyBorder="1" applyAlignment="1">
      <alignment horizontal="left"/>
    </xf>
    <xf numFmtId="0" fontId="0" fillId="2" borderId="1" xfId="0" applyFill="1" applyBorder="1" applyAlignment="1">
      <alignment horizontal="center" vertical="center" wrapText="1"/>
    </xf>
    <xf numFmtId="0" fontId="9" fillId="4" borderId="1" xfId="0" applyFont="1" applyFill="1" applyBorder="1" applyAlignment="1">
      <alignment horizontal="center" vertical="center"/>
    </xf>
    <xf numFmtId="0" fontId="9" fillId="3" borderId="1" xfId="0" applyFont="1" applyFill="1" applyBorder="1" applyAlignment="1">
      <alignment horizontal="center" vertical="center"/>
    </xf>
    <xf numFmtId="0" fontId="9" fillId="5" borderId="1" xfId="0" applyFont="1" applyFill="1" applyBorder="1" applyAlignment="1">
      <alignment horizontal="center" vertical="center"/>
    </xf>
  </cellXfs>
  <cellStyles count="11">
    <cellStyle name="Comma" xfId="9" builtinId="3"/>
    <cellStyle name="Comma 2" xfId="6" xr:uid="{00000000-0005-0000-0000-000001000000}"/>
    <cellStyle name="Excel Built-in Normal" xfId="2" xr:uid="{00000000-0005-0000-0000-000002000000}"/>
    <cellStyle name="Excel Built-in Normal 2" xfId="4" xr:uid="{00000000-0005-0000-0000-000003000000}"/>
    <cellStyle name="Hyperlink" xfId="10" builtinId="8"/>
    <cellStyle name="Normal" xfId="0" builtinId="0"/>
    <cellStyle name="Normal 2" xfId="3" xr:uid="{00000000-0005-0000-0000-000006000000}"/>
    <cellStyle name="Normal 3" xfId="1" xr:uid="{00000000-0005-0000-0000-000007000000}"/>
    <cellStyle name="Normal 3 3" xfId="7" xr:uid="{00000000-0005-0000-0000-000008000000}"/>
    <cellStyle name="Normal 4" xfId="5" xr:uid="{00000000-0005-0000-0000-000009000000}"/>
    <cellStyle name="Percent" xfId="8" builtinId="5"/>
  </cellStyles>
  <dxfs count="0"/>
  <tableStyles count="0" defaultTableStyle="TableStyleMedium2" defaultPivotStyle="PivotStyleLight16"/>
  <colors>
    <mruColors>
      <color rgb="FF00FF00"/>
      <color rgb="FF80F357"/>
      <color rgb="FF0DAB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1.jpeg"/><Relationship Id="rId18" Type="http://schemas.openxmlformats.org/officeDocument/2006/relationships/image" Target="../media/image16.jpeg"/><Relationship Id="rId3" Type="http://schemas.openxmlformats.org/officeDocument/2006/relationships/image" Target="../media/image3.png"/><Relationship Id="rId21" Type="http://schemas.openxmlformats.org/officeDocument/2006/relationships/image" Target="../media/image19.jpeg"/><Relationship Id="rId7" Type="http://schemas.openxmlformats.org/officeDocument/2006/relationships/image" Target="../media/image6.png"/><Relationship Id="rId12" Type="http://schemas.openxmlformats.org/officeDocument/2006/relationships/image" Target="../media/image10.jpeg"/><Relationship Id="rId17" Type="http://schemas.openxmlformats.org/officeDocument/2006/relationships/image" Target="../media/image15.jpeg"/><Relationship Id="rId25" Type="http://schemas.openxmlformats.org/officeDocument/2006/relationships/image" Target="../media/image23.jpeg"/><Relationship Id="rId2" Type="http://schemas.openxmlformats.org/officeDocument/2006/relationships/image" Target="../media/image2.jpeg"/><Relationship Id="rId16" Type="http://schemas.openxmlformats.org/officeDocument/2006/relationships/image" Target="../media/image14.jpeg"/><Relationship Id="rId20" Type="http://schemas.openxmlformats.org/officeDocument/2006/relationships/image" Target="../media/image18.jpeg"/><Relationship Id="rId1" Type="http://schemas.openxmlformats.org/officeDocument/2006/relationships/image" Target="../media/image1.png"/><Relationship Id="rId6" Type="http://schemas.microsoft.com/office/2007/relationships/hdphoto" Target="../media/hdphoto1.wdp"/><Relationship Id="rId11" Type="http://schemas.openxmlformats.org/officeDocument/2006/relationships/image" Target="../media/image9.jpeg"/><Relationship Id="rId24" Type="http://schemas.openxmlformats.org/officeDocument/2006/relationships/image" Target="../media/image22.jpeg"/><Relationship Id="rId5" Type="http://schemas.openxmlformats.org/officeDocument/2006/relationships/image" Target="../media/image5.png"/><Relationship Id="rId15" Type="http://schemas.openxmlformats.org/officeDocument/2006/relationships/image" Target="../media/image13.jpeg"/><Relationship Id="rId23" Type="http://schemas.openxmlformats.org/officeDocument/2006/relationships/image" Target="../media/image21.jpeg"/><Relationship Id="rId10" Type="http://schemas.microsoft.com/office/2007/relationships/hdphoto" Target="../media/hdphoto2.wdp"/><Relationship Id="rId19" Type="http://schemas.openxmlformats.org/officeDocument/2006/relationships/image" Target="../media/image17.jpeg"/><Relationship Id="rId4" Type="http://schemas.openxmlformats.org/officeDocument/2006/relationships/image" Target="../media/image4.png"/><Relationship Id="rId9" Type="http://schemas.openxmlformats.org/officeDocument/2006/relationships/image" Target="../media/image8.png"/><Relationship Id="rId14" Type="http://schemas.openxmlformats.org/officeDocument/2006/relationships/image" Target="../media/image12.jpeg"/><Relationship Id="rId22" Type="http://schemas.openxmlformats.org/officeDocument/2006/relationships/image" Target="../media/image20.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6.jpeg"/></Relationships>
</file>

<file path=xl/drawings/_rels/vmlDrawing2.v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editAs="oneCell">
    <xdr:from>
      <xdr:col>10</xdr:col>
      <xdr:colOff>314325</xdr:colOff>
      <xdr:row>152</xdr:row>
      <xdr:rowOff>123825</xdr:rowOff>
    </xdr:from>
    <xdr:to>
      <xdr:col>14</xdr:col>
      <xdr:colOff>47245</xdr:colOff>
      <xdr:row>171</xdr:row>
      <xdr:rowOff>37636</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553450" y="29546550"/>
          <a:ext cx="3038095" cy="3714286"/>
        </a:xfrm>
        <a:prstGeom prst="rect">
          <a:avLst/>
        </a:prstGeom>
      </xdr:spPr>
    </xdr:pic>
    <xdr:clientData/>
  </xdr:twoCellAnchor>
  <xdr:twoCellAnchor editAs="oneCell">
    <xdr:from>
      <xdr:col>10</xdr:col>
      <xdr:colOff>742950</xdr:colOff>
      <xdr:row>64</xdr:row>
      <xdr:rowOff>394606</xdr:rowOff>
    </xdr:from>
    <xdr:to>
      <xdr:col>17</xdr:col>
      <xdr:colOff>175532</xdr:colOff>
      <xdr:row>80</xdr:row>
      <xdr:rowOff>104774</xdr:rowOff>
    </xdr:to>
    <xdr:pic>
      <xdr:nvPicPr>
        <xdr:cNvPr id="4" name="Picture 3" descr="https://newprojects.99acres.com/projects/sumatinath_enterprises/sumatinath_gopikisan_patil_complex/images/72sba4_1.jpg">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8975271" y="14287499"/>
          <a:ext cx="4943475" cy="38739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319926</xdr:colOff>
      <xdr:row>254</xdr:row>
      <xdr:rowOff>18490</xdr:rowOff>
    </xdr:from>
    <xdr:to>
      <xdr:col>17</xdr:col>
      <xdr:colOff>179292</xdr:colOff>
      <xdr:row>290</xdr:row>
      <xdr:rowOff>113739</xdr:rowOff>
    </xdr:to>
    <xdr:grpSp>
      <xdr:nvGrpSpPr>
        <xdr:cNvPr id="15" name="Group 14">
          <a:extLst>
            <a:ext uri="{FF2B5EF4-FFF2-40B4-BE49-F238E27FC236}">
              <a16:creationId xmlns:a16="http://schemas.microsoft.com/office/drawing/2014/main" id="{00000000-0008-0000-0000-00000F000000}"/>
            </a:ext>
          </a:extLst>
        </xdr:cNvPr>
        <xdr:cNvGrpSpPr/>
      </xdr:nvGrpSpPr>
      <xdr:grpSpPr>
        <a:xfrm>
          <a:off x="8559051" y="48500740"/>
          <a:ext cx="5364816" cy="7296149"/>
          <a:chOff x="0" y="4657725"/>
          <a:chExt cx="2771775" cy="4486275"/>
        </a:xfrm>
      </xdr:grpSpPr>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3"/>
          <a:stretch>
            <a:fillRect/>
          </a:stretch>
        </xdr:blipFill>
        <xdr:spPr>
          <a:xfrm>
            <a:off x="0" y="4657725"/>
            <a:ext cx="2771775" cy="4486275"/>
          </a:xfrm>
          <a:prstGeom prst="rect">
            <a:avLst/>
          </a:prstGeom>
          <a:ln>
            <a:solidFill>
              <a:schemeClr val="tx1"/>
            </a:solidFill>
          </a:ln>
        </xdr:spPr>
      </xdr:pic>
      <xdr:sp macro="" textlink="">
        <xdr:nvSpPr>
          <xdr:cNvPr id="17" name="Rectangle 16">
            <a:extLst>
              <a:ext uri="{FF2B5EF4-FFF2-40B4-BE49-F238E27FC236}">
                <a16:creationId xmlns:a16="http://schemas.microsoft.com/office/drawing/2014/main" id="{00000000-0008-0000-0000-000011000000}"/>
              </a:ext>
            </a:extLst>
          </xdr:cNvPr>
          <xdr:cNvSpPr/>
        </xdr:nvSpPr>
        <xdr:spPr>
          <a:xfrm>
            <a:off x="704850" y="4772024"/>
            <a:ext cx="650081" cy="650082"/>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8" name="Rectangle 17">
            <a:extLst>
              <a:ext uri="{FF2B5EF4-FFF2-40B4-BE49-F238E27FC236}">
                <a16:creationId xmlns:a16="http://schemas.microsoft.com/office/drawing/2014/main" id="{00000000-0008-0000-0000-000012000000}"/>
              </a:ext>
            </a:extLst>
          </xdr:cNvPr>
          <xdr:cNvSpPr/>
        </xdr:nvSpPr>
        <xdr:spPr>
          <a:xfrm>
            <a:off x="704850" y="5422106"/>
            <a:ext cx="650081" cy="691921"/>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19" name="TextBox 44">
            <a:extLst>
              <a:ext uri="{FF2B5EF4-FFF2-40B4-BE49-F238E27FC236}">
                <a16:creationId xmlns:a16="http://schemas.microsoft.com/office/drawing/2014/main" id="{00000000-0008-0000-0000-000013000000}"/>
              </a:ext>
            </a:extLst>
          </xdr:cNvPr>
          <xdr:cNvSpPr txBox="1"/>
        </xdr:nvSpPr>
        <xdr:spPr>
          <a:xfrm>
            <a:off x="1425576" y="4895850"/>
            <a:ext cx="634206" cy="276999"/>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rgbClr val="FF0000"/>
                </a:solidFill>
              </a:rPr>
              <a:t>Wing A</a:t>
            </a:r>
            <a:endParaRPr lang="en-IN" sz="1200">
              <a:solidFill>
                <a:srgbClr val="FF0000"/>
              </a:solidFill>
            </a:endParaRPr>
          </a:p>
        </xdr:txBody>
      </xdr:sp>
      <xdr:sp macro="" textlink="">
        <xdr:nvSpPr>
          <xdr:cNvPr id="20" name="TextBox 45">
            <a:extLst>
              <a:ext uri="{FF2B5EF4-FFF2-40B4-BE49-F238E27FC236}">
                <a16:creationId xmlns:a16="http://schemas.microsoft.com/office/drawing/2014/main" id="{00000000-0008-0000-0000-000014000000}"/>
              </a:ext>
            </a:extLst>
          </xdr:cNvPr>
          <xdr:cNvSpPr txBox="1"/>
        </xdr:nvSpPr>
        <xdr:spPr>
          <a:xfrm>
            <a:off x="1425576" y="5491067"/>
            <a:ext cx="442073" cy="254781"/>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200">
                <a:solidFill>
                  <a:srgbClr val="FF0000"/>
                </a:solidFill>
              </a:rPr>
              <a:t>Wing B</a:t>
            </a:r>
          </a:p>
        </xdr:txBody>
      </xdr:sp>
    </xdr:grpSp>
    <xdr:clientData/>
  </xdr:twoCellAnchor>
  <xdr:twoCellAnchor editAs="oneCell">
    <xdr:from>
      <xdr:col>8</xdr:col>
      <xdr:colOff>733425</xdr:colOff>
      <xdr:row>14</xdr:row>
      <xdr:rowOff>60049</xdr:rowOff>
    </xdr:from>
    <xdr:to>
      <xdr:col>18</xdr:col>
      <xdr:colOff>683188</xdr:colOff>
      <xdr:row>19</xdr:row>
      <xdr:rowOff>139357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7048500" y="3241399"/>
          <a:ext cx="7988863" cy="1498533"/>
        </a:xfrm>
        <a:prstGeom prst="rect">
          <a:avLst/>
        </a:prstGeom>
      </xdr:spPr>
    </xdr:pic>
    <xdr:clientData/>
  </xdr:twoCellAnchor>
  <xdr:twoCellAnchor>
    <xdr:from>
      <xdr:col>0</xdr:col>
      <xdr:colOff>316246</xdr:colOff>
      <xdr:row>257</xdr:row>
      <xdr:rowOff>105014</xdr:rowOff>
    </xdr:from>
    <xdr:to>
      <xdr:col>7</xdr:col>
      <xdr:colOff>408212</xdr:colOff>
      <xdr:row>297</xdr:row>
      <xdr:rowOff>149679</xdr:rowOff>
    </xdr:to>
    <xdr:grpSp>
      <xdr:nvGrpSpPr>
        <xdr:cNvPr id="25" name="Group 24">
          <a:extLst>
            <a:ext uri="{FF2B5EF4-FFF2-40B4-BE49-F238E27FC236}">
              <a16:creationId xmlns:a16="http://schemas.microsoft.com/office/drawing/2014/main" id="{00000000-0008-0000-0000-000019000000}"/>
            </a:ext>
          </a:extLst>
        </xdr:cNvPr>
        <xdr:cNvGrpSpPr/>
      </xdr:nvGrpSpPr>
      <xdr:grpSpPr>
        <a:xfrm>
          <a:off x="316246" y="49187339"/>
          <a:ext cx="5673616" cy="8045665"/>
          <a:chOff x="316246" y="52406789"/>
          <a:chExt cx="5673616" cy="8045665"/>
        </a:xfrm>
      </xdr:grpSpPr>
      <xdr:grpSp>
        <xdr:nvGrpSpPr>
          <xdr:cNvPr id="21" name="Group 20">
            <a:extLst>
              <a:ext uri="{FF2B5EF4-FFF2-40B4-BE49-F238E27FC236}">
                <a16:creationId xmlns:a16="http://schemas.microsoft.com/office/drawing/2014/main" id="{00000000-0008-0000-0000-000015000000}"/>
              </a:ext>
            </a:extLst>
          </xdr:cNvPr>
          <xdr:cNvGrpSpPr/>
        </xdr:nvGrpSpPr>
        <xdr:grpSpPr>
          <a:xfrm>
            <a:off x="316246" y="52406789"/>
            <a:ext cx="5673616" cy="8045665"/>
            <a:chOff x="257737" y="52159485"/>
            <a:chExt cx="4566054" cy="5682942"/>
          </a:xfrm>
        </xdr:grpSpPr>
        <xdr:grpSp>
          <xdr:nvGrpSpPr>
            <xdr:cNvPr id="7" name="Group 6">
              <a:extLst>
                <a:ext uri="{FF2B5EF4-FFF2-40B4-BE49-F238E27FC236}">
                  <a16:creationId xmlns:a16="http://schemas.microsoft.com/office/drawing/2014/main" id="{00000000-0008-0000-0000-000007000000}"/>
                </a:ext>
              </a:extLst>
            </xdr:cNvPr>
            <xdr:cNvGrpSpPr/>
          </xdr:nvGrpSpPr>
          <xdr:grpSpPr>
            <a:xfrm>
              <a:off x="257737" y="52159485"/>
              <a:ext cx="4566054" cy="5682942"/>
              <a:chOff x="257737" y="52421629"/>
              <a:chExt cx="5760843" cy="8114302"/>
            </a:xfrm>
          </xdr:grpSpPr>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5">
                <a:extLst>
                  <a:ext uri="{BEBA8EAE-BF5A-486C-A8C5-ECC9F3942E4B}">
                    <a14:imgProps xmlns:a14="http://schemas.microsoft.com/office/drawing/2010/main">
                      <a14:imgLayer r:embed="rId6">
                        <a14:imgEffect>
                          <a14:sharpenSoften amount="25000"/>
                        </a14:imgEffect>
                        <a14:imgEffect>
                          <a14:brightnessContrast contrast="40000"/>
                        </a14:imgEffect>
                      </a14:imgLayer>
                    </a14:imgProps>
                  </a:ext>
                </a:extLst>
              </a:blip>
              <a:stretch>
                <a:fillRect/>
              </a:stretch>
            </xdr:blipFill>
            <xdr:spPr>
              <a:xfrm>
                <a:off x="257737" y="52421629"/>
                <a:ext cx="5760843" cy="8114302"/>
              </a:xfrm>
              <a:prstGeom prst="rect">
                <a:avLst/>
              </a:prstGeom>
              <a:ln>
                <a:solidFill>
                  <a:sysClr val="windowText" lastClr="000000"/>
                </a:solidFill>
              </a:ln>
            </xdr:spPr>
          </xdr:pic>
          <xdr:sp macro="" textlink="">
            <xdr:nvSpPr>
              <xdr:cNvPr id="27" name="Rectangle 26">
                <a:extLst>
                  <a:ext uri="{FF2B5EF4-FFF2-40B4-BE49-F238E27FC236}">
                    <a16:creationId xmlns:a16="http://schemas.microsoft.com/office/drawing/2014/main" id="{00000000-0008-0000-0000-00001B000000}"/>
                  </a:ext>
                </a:extLst>
              </xdr:cNvPr>
              <xdr:cNvSpPr/>
            </xdr:nvSpPr>
            <xdr:spPr>
              <a:xfrm>
                <a:off x="988554" y="55495085"/>
                <a:ext cx="956982" cy="1081759"/>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8" name="Rectangle 27">
                <a:extLst>
                  <a:ext uri="{FF2B5EF4-FFF2-40B4-BE49-F238E27FC236}">
                    <a16:creationId xmlns:a16="http://schemas.microsoft.com/office/drawing/2014/main" id="{00000000-0008-0000-0000-00001C000000}"/>
                  </a:ext>
                </a:extLst>
              </xdr:cNvPr>
              <xdr:cNvSpPr/>
            </xdr:nvSpPr>
            <xdr:spPr>
              <a:xfrm>
                <a:off x="1118152" y="56601692"/>
                <a:ext cx="816665" cy="891208"/>
              </a:xfrm>
              <a:prstGeom prst="rect">
                <a:avLst/>
              </a:prstGeom>
              <a:noFill/>
              <a:ln w="3810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29" name="TextBox 44">
                <a:extLst>
                  <a:ext uri="{FF2B5EF4-FFF2-40B4-BE49-F238E27FC236}">
                    <a16:creationId xmlns:a16="http://schemas.microsoft.com/office/drawing/2014/main" id="{00000000-0008-0000-0000-00001D000000}"/>
                  </a:ext>
                </a:extLst>
              </xdr:cNvPr>
              <xdr:cNvSpPr txBox="1"/>
            </xdr:nvSpPr>
            <xdr:spPr>
              <a:xfrm>
                <a:off x="1081801" y="55194302"/>
                <a:ext cx="919106" cy="39707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latin typeface="Times New Roman" panose="02020603050405020304" pitchFamily="18" charset="0"/>
                    <a:cs typeface="Times New Roman" panose="02020603050405020304" pitchFamily="18" charset="0"/>
                  </a:rPr>
                  <a:t>Wing A</a:t>
                </a:r>
                <a:endParaRPr lang="en-IN" sz="1600" b="1">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40" name="TextBox 45">
                <a:extLst>
                  <a:ext uri="{FF2B5EF4-FFF2-40B4-BE49-F238E27FC236}">
                    <a16:creationId xmlns:a16="http://schemas.microsoft.com/office/drawing/2014/main" id="{00000000-0008-0000-0000-000028000000}"/>
                  </a:ext>
                </a:extLst>
              </xdr:cNvPr>
              <xdr:cNvSpPr txBox="1"/>
            </xdr:nvSpPr>
            <xdr:spPr>
              <a:xfrm>
                <a:off x="1139779" y="57421984"/>
                <a:ext cx="1336307" cy="364955"/>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latin typeface="Times New Roman" panose="02020603050405020304" pitchFamily="18" charset="0"/>
                    <a:cs typeface="Times New Roman" panose="02020603050405020304" pitchFamily="18" charset="0"/>
                  </a:rPr>
                  <a:t>Wing B</a:t>
                </a:r>
              </a:p>
            </xdr:txBody>
          </xdr:sp>
          <xdr:sp macro="" textlink="">
            <xdr:nvSpPr>
              <xdr:cNvPr id="41" name="TextBox 44">
                <a:extLst>
                  <a:ext uri="{FF2B5EF4-FFF2-40B4-BE49-F238E27FC236}">
                    <a16:creationId xmlns:a16="http://schemas.microsoft.com/office/drawing/2014/main" id="{00000000-0008-0000-0000-000029000000}"/>
                  </a:ext>
                </a:extLst>
              </xdr:cNvPr>
              <xdr:cNvSpPr txBox="1"/>
            </xdr:nvSpPr>
            <xdr:spPr>
              <a:xfrm rot="16046446">
                <a:off x="72586" y="56353839"/>
                <a:ext cx="1535668" cy="394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ysClr val="windowText" lastClr="000000"/>
                    </a:solidFill>
                    <a:latin typeface="Times New Roman" panose="02020603050405020304" pitchFamily="18" charset="0"/>
                    <a:cs typeface="Times New Roman" panose="02020603050405020304" pitchFamily="18" charset="0"/>
                  </a:rPr>
                  <a:t>Building</a:t>
                </a:r>
                <a:r>
                  <a:rPr lang="en-US" sz="1600" b="1" baseline="0">
                    <a:solidFill>
                      <a:sysClr val="windowText" lastClr="000000"/>
                    </a:solidFill>
                    <a:latin typeface="Times New Roman" panose="02020603050405020304" pitchFamily="18" charset="0"/>
                    <a:cs typeface="Times New Roman" panose="02020603050405020304" pitchFamily="18" charset="0"/>
                  </a:rPr>
                  <a:t> No.1</a:t>
                </a:r>
                <a:endParaRPr lang="en-IN" sz="1600" b="1">
                  <a:solidFill>
                    <a:sysClr val="windowText" lastClr="000000"/>
                  </a:solidFill>
                  <a:latin typeface="Times New Roman" panose="02020603050405020304" pitchFamily="18" charset="0"/>
                  <a:cs typeface="Times New Roman" panose="02020603050405020304" pitchFamily="18" charset="0"/>
                </a:endParaRPr>
              </a:p>
            </xdr:txBody>
          </xdr:sp>
          <xdr:sp macro="" textlink="">
            <xdr:nvSpPr>
              <xdr:cNvPr id="42" name="Rectangle 41">
                <a:extLst>
                  <a:ext uri="{FF2B5EF4-FFF2-40B4-BE49-F238E27FC236}">
                    <a16:creationId xmlns:a16="http://schemas.microsoft.com/office/drawing/2014/main" id="{00000000-0008-0000-0000-00002A000000}"/>
                  </a:ext>
                </a:extLst>
              </xdr:cNvPr>
              <xdr:cNvSpPr/>
            </xdr:nvSpPr>
            <xdr:spPr>
              <a:xfrm>
                <a:off x="930575" y="53053372"/>
                <a:ext cx="1029090" cy="1081758"/>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3" name="Rectangle 42">
                <a:extLst>
                  <a:ext uri="{FF2B5EF4-FFF2-40B4-BE49-F238E27FC236}">
                    <a16:creationId xmlns:a16="http://schemas.microsoft.com/office/drawing/2014/main" id="{00000000-0008-0000-0000-00002B000000}"/>
                  </a:ext>
                </a:extLst>
              </xdr:cNvPr>
              <xdr:cNvSpPr/>
            </xdr:nvSpPr>
            <xdr:spPr>
              <a:xfrm>
                <a:off x="938858" y="54154130"/>
                <a:ext cx="1029090" cy="1080516"/>
              </a:xfrm>
              <a:prstGeom prst="rect">
                <a:avLst/>
              </a:prstGeom>
              <a:noFill/>
              <a:ln w="38100">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sp macro="" textlink="">
            <xdr:nvSpPr>
              <xdr:cNvPr id="46" name="TextBox 44">
                <a:extLst>
                  <a:ext uri="{FF2B5EF4-FFF2-40B4-BE49-F238E27FC236}">
                    <a16:creationId xmlns:a16="http://schemas.microsoft.com/office/drawing/2014/main" id="{00000000-0008-0000-0000-00002E000000}"/>
                  </a:ext>
                </a:extLst>
              </xdr:cNvPr>
              <xdr:cNvSpPr txBox="1"/>
            </xdr:nvSpPr>
            <xdr:spPr>
              <a:xfrm>
                <a:off x="990526" y="53528614"/>
                <a:ext cx="919106" cy="39707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002060"/>
                    </a:solidFill>
                    <a:latin typeface="Times New Roman" panose="02020603050405020304" pitchFamily="18" charset="0"/>
                    <a:cs typeface="Times New Roman" panose="02020603050405020304" pitchFamily="18" charset="0"/>
                  </a:rPr>
                  <a:t>Wing B</a:t>
                </a:r>
                <a:endParaRPr lang="en-IN" sz="1600" b="1">
                  <a:solidFill>
                    <a:srgbClr val="002060"/>
                  </a:solidFill>
                  <a:latin typeface="Times New Roman" panose="02020603050405020304" pitchFamily="18" charset="0"/>
                  <a:cs typeface="Times New Roman" panose="02020603050405020304" pitchFamily="18" charset="0"/>
                </a:endParaRPr>
              </a:p>
            </xdr:txBody>
          </xdr:sp>
          <xdr:sp macro="" textlink="">
            <xdr:nvSpPr>
              <xdr:cNvPr id="47" name="TextBox 44">
                <a:extLst>
                  <a:ext uri="{FF2B5EF4-FFF2-40B4-BE49-F238E27FC236}">
                    <a16:creationId xmlns:a16="http://schemas.microsoft.com/office/drawing/2014/main" id="{00000000-0008-0000-0000-00002F000000}"/>
                  </a:ext>
                </a:extLst>
              </xdr:cNvPr>
              <xdr:cNvSpPr txBox="1"/>
            </xdr:nvSpPr>
            <xdr:spPr>
              <a:xfrm>
                <a:off x="1079171" y="54833577"/>
                <a:ext cx="919106" cy="397074"/>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002060"/>
                    </a:solidFill>
                    <a:latin typeface="Times New Roman" panose="02020603050405020304" pitchFamily="18" charset="0"/>
                    <a:cs typeface="Times New Roman" panose="02020603050405020304" pitchFamily="18" charset="0"/>
                  </a:rPr>
                  <a:t>Wing A</a:t>
                </a:r>
                <a:endParaRPr lang="en-IN" sz="1600" b="1">
                  <a:solidFill>
                    <a:srgbClr val="002060"/>
                  </a:solidFill>
                  <a:latin typeface="Times New Roman" panose="02020603050405020304" pitchFamily="18" charset="0"/>
                  <a:cs typeface="Times New Roman" panose="02020603050405020304" pitchFamily="18" charset="0"/>
                </a:endParaRPr>
              </a:p>
            </xdr:txBody>
          </xdr:sp>
          <xdr:sp macro="" textlink="">
            <xdr:nvSpPr>
              <xdr:cNvPr id="48" name="TextBox 44">
                <a:extLst>
                  <a:ext uri="{FF2B5EF4-FFF2-40B4-BE49-F238E27FC236}">
                    <a16:creationId xmlns:a16="http://schemas.microsoft.com/office/drawing/2014/main" id="{00000000-0008-0000-0000-000030000000}"/>
                  </a:ext>
                </a:extLst>
              </xdr:cNvPr>
              <xdr:cNvSpPr txBox="1"/>
            </xdr:nvSpPr>
            <xdr:spPr>
              <a:xfrm rot="16200000">
                <a:off x="-12015" y="53995560"/>
                <a:ext cx="1534425" cy="394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002060"/>
                    </a:solidFill>
                    <a:latin typeface="Times New Roman" panose="02020603050405020304" pitchFamily="18" charset="0"/>
                    <a:cs typeface="Times New Roman" panose="02020603050405020304" pitchFamily="18" charset="0"/>
                  </a:rPr>
                  <a:t>Building</a:t>
                </a:r>
                <a:r>
                  <a:rPr lang="en-US" sz="1600" b="1" baseline="0">
                    <a:solidFill>
                      <a:srgbClr val="002060"/>
                    </a:solidFill>
                    <a:latin typeface="Times New Roman" panose="02020603050405020304" pitchFamily="18" charset="0"/>
                    <a:cs typeface="Times New Roman" panose="02020603050405020304" pitchFamily="18" charset="0"/>
                  </a:rPr>
                  <a:t> No.2</a:t>
                </a:r>
                <a:endParaRPr lang="en-IN" sz="1600" b="1">
                  <a:solidFill>
                    <a:srgbClr val="002060"/>
                  </a:solidFill>
                  <a:latin typeface="Times New Roman" panose="02020603050405020304" pitchFamily="18" charset="0"/>
                  <a:cs typeface="Times New Roman" panose="02020603050405020304" pitchFamily="18" charset="0"/>
                </a:endParaRPr>
              </a:p>
            </xdr:txBody>
          </xdr:sp>
          <xdr:sp macro="" textlink="">
            <xdr:nvSpPr>
              <xdr:cNvPr id="50" name="TextBox 44">
                <a:extLst>
                  <a:ext uri="{FF2B5EF4-FFF2-40B4-BE49-F238E27FC236}">
                    <a16:creationId xmlns:a16="http://schemas.microsoft.com/office/drawing/2014/main" id="{00000000-0008-0000-0000-000032000000}"/>
                  </a:ext>
                </a:extLst>
              </xdr:cNvPr>
              <xdr:cNvSpPr txBox="1"/>
            </xdr:nvSpPr>
            <xdr:spPr>
              <a:xfrm rot="5987561">
                <a:off x="1686492" y="54839622"/>
                <a:ext cx="2327290" cy="394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latin typeface="Times New Roman" panose="02020603050405020304" pitchFamily="18" charset="0"/>
                    <a:cs typeface="Times New Roman" panose="02020603050405020304" pitchFamily="18" charset="0"/>
                  </a:rPr>
                  <a:t>Nala</a:t>
                </a:r>
                <a:endParaRPr lang="en-IN" sz="1600" b="1">
                  <a:solidFill>
                    <a:srgbClr val="FF0000"/>
                  </a:solidFill>
                  <a:latin typeface="Times New Roman" panose="02020603050405020304" pitchFamily="18" charset="0"/>
                  <a:cs typeface="Times New Roman" panose="02020603050405020304" pitchFamily="18" charset="0"/>
                </a:endParaRPr>
              </a:p>
            </xdr:txBody>
          </xdr:sp>
          <xdr:sp macro="" textlink="">
            <xdr:nvSpPr>
              <xdr:cNvPr id="51" name="TextBox 44">
                <a:extLst>
                  <a:ext uri="{FF2B5EF4-FFF2-40B4-BE49-F238E27FC236}">
                    <a16:creationId xmlns:a16="http://schemas.microsoft.com/office/drawing/2014/main" id="{00000000-0008-0000-0000-000033000000}"/>
                  </a:ext>
                </a:extLst>
              </xdr:cNvPr>
              <xdr:cNvSpPr txBox="1"/>
            </xdr:nvSpPr>
            <xdr:spPr>
              <a:xfrm rot="5400000">
                <a:off x="2515041" y="58047334"/>
                <a:ext cx="1534426" cy="394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FF0000"/>
                    </a:solidFill>
                    <a:latin typeface="Times New Roman" panose="02020603050405020304" pitchFamily="18" charset="0"/>
                    <a:cs typeface="Times New Roman" panose="02020603050405020304" pitchFamily="18" charset="0"/>
                  </a:rPr>
                  <a:t>Nala</a:t>
                </a:r>
                <a:endParaRPr lang="en-IN" sz="1600" b="1">
                  <a:solidFill>
                    <a:srgbClr val="FF0000"/>
                  </a:solidFill>
                  <a:latin typeface="Times New Roman" panose="02020603050405020304" pitchFamily="18" charset="0"/>
                  <a:cs typeface="Times New Roman" panose="02020603050405020304" pitchFamily="18" charset="0"/>
                </a:endParaRPr>
              </a:p>
            </xdr:txBody>
          </xdr:sp>
          <xdr:sp macro="" textlink="">
            <xdr:nvSpPr>
              <xdr:cNvPr id="55" name="TextBox 44">
                <a:extLst>
                  <a:ext uri="{FF2B5EF4-FFF2-40B4-BE49-F238E27FC236}">
                    <a16:creationId xmlns:a16="http://schemas.microsoft.com/office/drawing/2014/main" id="{00000000-0008-0000-0000-000037000000}"/>
                  </a:ext>
                </a:extLst>
              </xdr:cNvPr>
              <xdr:cNvSpPr txBox="1"/>
            </xdr:nvSpPr>
            <xdr:spPr>
              <a:xfrm rot="16200000">
                <a:off x="1086863" y="54051908"/>
                <a:ext cx="2327290" cy="394589"/>
              </a:xfrm>
              <a:prstGeom prst="rect">
                <a:avLst/>
              </a:prstGeom>
              <a:noFill/>
            </xdr:spPr>
            <xdr:txBody>
              <a:bodyPr wrap="square" rtlCol="0">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1600" b="1">
                    <a:solidFill>
                      <a:srgbClr val="0DAB20"/>
                    </a:solidFill>
                    <a:latin typeface="Times New Roman" panose="02020603050405020304" pitchFamily="18" charset="0"/>
                    <a:cs typeface="Times New Roman" panose="02020603050405020304" pitchFamily="18" charset="0"/>
                  </a:rPr>
                  <a:t>CRZ Line</a:t>
                </a:r>
                <a:endParaRPr lang="en-IN" sz="1600" b="1">
                  <a:solidFill>
                    <a:srgbClr val="0DAB20"/>
                  </a:solidFill>
                  <a:latin typeface="Times New Roman" panose="02020603050405020304" pitchFamily="18" charset="0"/>
                  <a:cs typeface="Times New Roman" panose="02020603050405020304" pitchFamily="18" charset="0"/>
                </a:endParaRPr>
              </a:p>
            </xdr:txBody>
          </xdr:sp>
        </xdr:grpSp>
        <xdr:sp macro="" textlink="">
          <xdr:nvSpPr>
            <xdr:cNvPr id="9" name="Freeform 8">
              <a:extLst>
                <a:ext uri="{FF2B5EF4-FFF2-40B4-BE49-F238E27FC236}">
                  <a16:creationId xmlns:a16="http://schemas.microsoft.com/office/drawing/2014/main" id="{00000000-0008-0000-0000-000009000000}"/>
                </a:ext>
              </a:extLst>
            </xdr:cNvPr>
            <xdr:cNvSpPr/>
          </xdr:nvSpPr>
          <xdr:spPr>
            <a:xfrm>
              <a:off x="765549" y="52350229"/>
              <a:ext cx="2164999" cy="5483165"/>
            </a:xfrm>
            <a:custGeom>
              <a:avLst/>
              <a:gdLst>
                <a:gd name="connsiteX0" fmla="*/ 0 w 2136322"/>
                <a:gd name="connsiteY0" fmla="*/ 0 h 5374821"/>
                <a:gd name="connsiteX1" fmla="*/ 884465 w 2136322"/>
                <a:gd name="connsiteY1" fmla="*/ 108857 h 5374821"/>
                <a:gd name="connsiteX2" fmla="*/ 1428750 w 2136322"/>
                <a:gd name="connsiteY2" fmla="*/ 326571 h 5374821"/>
                <a:gd name="connsiteX3" fmla="*/ 1673679 w 2136322"/>
                <a:gd name="connsiteY3" fmla="*/ 571500 h 5374821"/>
                <a:gd name="connsiteX4" fmla="*/ 1401536 w 2136322"/>
                <a:gd name="connsiteY4" fmla="*/ 1823357 h 5374821"/>
                <a:gd name="connsiteX5" fmla="*/ 1455965 w 2136322"/>
                <a:gd name="connsiteY5" fmla="*/ 2830285 h 5374821"/>
                <a:gd name="connsiteX6" fmla="*/ 1755322 w 2136322"/>
                <a:gd name="connsiteY6" fmla="*/ 3048000 h 5374821"/>
                <a:gd name="connsiteX7" fmla="*/ 1823358 w 2136322"/>
                <a:gd name="connsiteY7" fmla="*/ 3864428 h 5374821"/>
                <a:gd name="connsiteX8" fmla="*/ 2095500 w 2136322"/>
                <a:gd name="connsiteY8" fmla="*/ 4231821 h 5374821"/>
                <a:gd name="connsiteX9" fmla="*/ 2136322 w 2136322"/>
                <a:gd name="connsiteY9" fmla="*/ 5374821 h 5374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136322" h="5374821">
                  <a:moveTo>
                    <a:pt x="0" y="0"/>
                  </a:moveTo>
                  <a:lnTo>
                    <a:pt x="884465" y="108857"/>
                  </a:lnTo>
                  <a:lnTo>
                    <a:pt x="1428750" y="326571"/>
                  </a:lnTo>
                  <a:lnTo>
                    <a:pt x="1673679" y="571500"/>
                  </a:lnTo>
                  <a:lnTo>
                    <a:pt x="1401536" y="1823357"/>
                  </a:lnTo>
                  <a:lnTo>
                    <a:pt x="1455965" y="2830285"/>
                  </a:lnTo>
                  <a:lnTo>
                    <a:pt x="1755322" y="3048000"/>
                  </a:lnTo>
                  <a:lnTo>
                    <a:pt x="1823358" y="3864428"/>
                  </a:lnTo>
                  <a:lnTo>
                    <a:pt x="2095500" y="4231821"/>
                  </a:lnTo>
                  <a:lnTo>
                    <a:pt x="2136322" y="5374821"/>
                  </a:ln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49" name="Freeform 48">
              <a:extLst>
                <a:ext uri="{FF2B5EF4-FFF2-40B4-BE49-F238E27FC236}">
                  <a16:creationId xmlns:a16="http://schemas.microsoft.com/office/drawing/2014/main" id="{00000000-0008-0000-0000-000031000000}"/>
                </a:ext>
              </a:extLst>
            </xdr:cNvPr>
            <xdr:cNvSpPr/>
          </xdr:nvSpPr>
          <xdr:spPr>
            <a:xfrm>
              <a:off x="989736" y="52163302"/>
              <a:ext cx="2099677" cy="5632741"/>
            </a:xfrm>
            <a:custGeom>
              <a:avLst/>
              <a:gdLst>
                <a:gd name="connsiteX0" fmla="*/ 0 w 2136322"/>
                <a:gd name="connsiteY0" fmla="*/ 0 h 5374821"/>
                <a:gd name="connsiteX1" fmla="*/ 884465 w 2136322"/>
                <a:gd name="connsiteY1" fmla="*/ 108857 h 5374821"/>
                <a:gd name="connsiteX2" fmla="*/ 1428750 w 2136322"/>
                <a:gd name="connsiteY2" fmla="*/ 326571 h 5374821"/>
                <a:gd name="connsiteX3" fmla="*/ 1673679 w 2136322"/>
                <a:gd name="connsiteY3" fmla="*/ 571500 h 5374821"/>
                <a:gd name="connsiteX4" fmla="*/ 1401536 w 2136322"/>
                <a:gd name="connsiteY4" fmla="*/ 1823357 h 5374821"/>
                <a:gd name="connsiteX5" fmla="*/ 1455965 w 2136322"/>
                <a:gd name="connsiteY5" fmla="*/ 2830285 h 5374821"/>
                <a:gd name="connsiteX6" fmla="*/ 1755322 w 2136322"/>
                <a:gd name="connsiteY6" fmla="*/ 3048000 h 5374821"/>
                <a:gd name="connsiteX7" fmla="*/ 1823358 w 2136322"/>
                <a:gd name="connsiteY7" fmla="*/ 3864428 h 5374821"/>
                <a:gd name="connsiteX8" fmla="*/ 2095500 w 2136322"/>
                <a:gd name="connsiteY8" fmla="*/ 4231821 h 5374821"/>
                <a:gd name="connsiteX9" fmla="*/ 2136322 w 2136322"/>
                <a:gd name="connsiteY9" fmla="*/ 5374821 h 537482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Lst>
              <a:rect l="l" t="t" r="r" b="b"/>
              <a:pathLst>
                <a:path w="2136322" h="5374821">
                  <a:moveTo>
                    <a:pt x="0" y="0"/>
                  </a:moveTo>
                  <a:lnTo>
                    <a:pt x="884465" y="108857"/>
                  </a:lnTo>
                  <a:lnTo>
                    <a:pt x="1428750" y="326571"/>
                  </a:lnTo>
                  <a:lnTo>
                    <a:pt x="1673679" y="571500"/>
                  </a:lnTo>
                  <a:lnTo>
                    <a:pt x="1401536" y="1823357"/>
                  </a:lnTo>
                  <a:lnTo>
                    <a:pt x="1455965" y="2830285"/>
                  </a:lnTo>
                  <a:lnTo>
                    <a:pt x="1755322" y="3048000"/>
                  </a:lnTo>
                  <a:lnTo>
                    <a:pt x="1823358" y="3864428"/>
                  </a:lnTo>
                  <a:lnTo>
                    <a:pt x="2095500" y="4231821"/>
                  </a:lnTo>
                  <a:lnTo>
                    <a:pt x="2136322" y="5374821"/>
                  </a:ln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sp macro="" textlink="">
        <xdr:nvSpPr>
          <xdr:cNvPr id="24" name="Freeform 23">
            <a:extLst>
              <a:ext uri="{FF2B5EF4-FFF2-40B4-BE49-F238E27FC236}">
                <a16:creationId xmlns:a16="http://schemas.microsoft.com/office/drawing/2014/main" id="{00000000-0008-0000-0000-000018000000}"/>
              </a:ext>
            </a:extLst>
          </xdr:cNvPr>
          <xdr:cNvSpPr/>
        </xdr:nvSpPr>
        <xdr:spPr>
          <a:xfrm>
            <a:off x="2108489" y="52457639"/>
            <a:ext cx="726498" cy="6783531"/>
          </a:xfrm>
          <a:custGeom>
            <a:avLst/>
            <a:gdLst>
              <a:gd name="connsiteX0" fmla="*/ 502227 w 727364"/>
              <a:gd name="connsiteY0" fmla="*/ 0 h 7048500"/>
              <a:gd name="connsiteX1" fmla="*/ 173182 w 727364"/>
              <a:gd name="connsiteY1" fmla="*/ 467591 h 7048500"/>
              <a:gd name="connsiteX2" fmla="*/ 0 w 727364"/>
              <a:gd name="connsiteY2" fmla="*/ 1818409 h 7048500"/>
              <a:gd name="connsiteX3" fmla="*/ 34636 w 727364"/>
              <a:gd name="connsiteY3" fmla="*/ 3463636 h 7048500"/>
              <a:gd name="connsiteX4" fmla="*/ 121227 w 727364"/>
              <a:gd name="connsiteY4" fmla="*/ 4554682 h 7048500"/>
              <a:gd name="connsiteX5" fmla="*/ 536864 w 727364"/>
              <a:gd name="connsiteY5" fmla="*/ 6234546 h 7048500"/>
              <a:gd name="connsiteX6" fmla="*/ 727364 w 727364"/>
              <a:gd name="connsiteY6" fmla="*/ 7048500 h 70485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727364" h="7048500">
                <a:moveTo>
                  <a:pt x="502227" y="0"/>
                </a:moveTo>
                <a:lnTo>
                  <a:pt x="173182" y="467591"/>
                </a:lnTo>
                <a:lnTo>
                  <a:pt x="0" y="1818409"/>
                </a:lnTo>
                <a:lnTo>
                  <a:pt x="34636" y="3463636"/>
                </a:lnTo>
                <a:lnTo>
                  <a:pt x="121227" y="4554682"/>
                </a:lnTo>
                <a:lnTo>
                  <a:pt x="536864" y="6234546"/>
                </a:lnTo>
                <a:lnTo>
                  <a:pt x="727364" y="7048500"/>
                </a:lnTo>
              </a:path>
            </a:pathLst>
          </a:custGeom>
          <a:noFill/>
          <a:ln w="57150">
            <a:solidFill>
              <a:srgbClr val="0DAB2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xdr:from>
      <xdr:col>0</xdr:col>
      <xdr:colOff>346980</xdr:colOff>
      <xdr:row>342</xdr:row>
      <xdr:rowOff>113291</xdr:rowOff>
    </xdr:from>
    <xdr:to>
      <xdr:col>6</xdr:col>
      <xdr:colOff>655508</xdr:colOff>
      <xdr:row>384</xdr:row>
      <xdr:rowOff>0</xdr:rowOff>
    </xdr:to>
    <xdr:grpSp>
      <xdr:nvGrpSpPr>
        <xdr:cNvPr id="68" name="Group 67">
          <a:extLst>
            <a:ext uri="{FF2B5EF4-FFF2-40B4-BE49-F238E27FC236}">
              <a16:creationId xmlns:a16="http://schemas.microsoft.com/office/drawing/2014/main" id="{00000000-0008-0000-0000-000044000000}"/>
            </a:ext>
          </a:extLst>
        </xdr:cNvPr>
        <xdr:cNvGrpSpPr/>
      </xdr:nvGrpSpPr>
      <xdr:grpSpPr>
        <a:xfrm>
          <a:off x="346980" y="66197741"/>
          <a:ext cx="5156753" cy="8287759"/>
          <a:chOff x="537480" y="61541502"/>
          <a:chExt cx="5151905" cy="8494464"/>
        </a:xfrm>
      </xdr:grpSpPr>
      <xdr:grpSp>
        <xdr:nvGrpSpPr>
          <xdr:cNvPr id="23" name="Group 22">
            <a:extLst>
              <a:ext uri="{FF2B5EF4-FFF2-40B4-BE49-F238E27FC236}">
                <a16:creationId xmlns:a16="http://schemas.microsoft.com/office/drawing/2014/main" id="{00000000-0008-0000-0000-000017000000}"/>
              </a:ext>
            </a:extLst>
          </xdr:cNvPr>
          <xdr:cNvGrpSpPr/>
        </xdr:nvGrpSpPr>
        <xdr:grpSpPr>
          <a:xfrm>
            <a:off x="537480" y="61541502"/>
            <a:ext cx="5151905" cy="8494464"/>
            <a:chOff x="632730" y="62313910"/>
            <a:chExt cx="5150305" cy="8596941"/>
          </a:xfrm>
        </xdr:grpSpPr>
        <xdr:grpSp>
          <xdr:nvGrpSpPr>
            <xdr:cNvPr id="10" name="Group 9">
              <a:extLst>
                <a:ext uri="{FF2B5EF4-FFF2-40B4-BE49-F238E27FC236}">
                  <a16:creationId xmlns:a16="http://schemas.microsoft.com/office/drawing/2014/main" id="{00000000-0008-0000-0000-00000A000000}"/>
                </a:ext>
              </a:extLst>
            </xdr:cNvPr>
            <xdr:cNvGrpSpPr/>
          </xdr:nvGrpSpPr>
          <xdr:grpSpPr>
            <a:xfrm>
              <a:off x="632730" y="62313910"/>
              <a:ext cx="5150305" cy="8225517"/>
              <a:chOff x="1076324" y="1411969"/>
              <a:chExt cx="4342950" cy="6685616"/>
            </a:xfrm>
          </xdr:grpSpPr>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7"/>
              <a:stretch>
                <a:fillRect/>
              </a:stretch>
            </xdr:blipFill>
            <xdr:spPr>
              <a:xfrm>
                <a:off x="1076324" y="1411969"/>
                <a:ext cx="4320000" cy="2854514"/>
              </a:xfrm>
              <a:prstGeom prst="rect">
                <a:avLst/>
              </a:prstGeom>
              <a:ln>
                <a:solidFill>
                  <a:schemeClr val="tx1"/>
                </a:solidFill>
              </a:ln>
            </xdr:spPr>
          </xdr:pic>
          <xdr:grpSp>
            <xdr:nvGrpSpPr>
              <xdr:cNvPr id="12" name="Group 11">
                <a:extLst>
                  <a:ext uri="{FF2B5EF4-FFF2-40B4-BE49-F238E27FC236}">
                    <a16:creationId xmlns:a16="http://schemas.microsoft.com/office/drawing/2014/main" id="{00000000-0008-0000-0000-00000C000000}"/>
                  </a:ext>
                </a:extLst>
              </xdr:cNvPr>
              <xdr:cNvGrpSpPr/>
            </xdr:nvGrpSpPr>
            <xdr:grpSpPr>
              <a:xfrm>
                <a:off x="1099273" y="4394728"/>
                <a:ext cx="4320001" cy="3702857"/>
                <a:chOff x="1204046" y="4230268"/>
                <a:chExt cx="4049487" cy="4106636"/>
              </a:xfrm>
            </xdr:grpSpPr>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8"/>
                <a:stretch>
                  <a:fillRect/>
                </a:stretch>
              </xdr:blipFill>
              <xdr:spPr>
                <a:xfrm>
                  <a:off x="1204046" y="4230268"/>
                  <a:ext cx="4049487" cy="4106636"/>
                </a:xfrm>
                <a:prstGeom prst="rect">
                  <a:avLst/>
                </a:prstGeom>
                <a:ln>
                  <a:solidFill>
                    <a:schemeClr val="tx1"/>
                  </a:solidFill>
                </a:ln>
              </xdr:spPr>
            </xdr:pic>
            <xdr:sp macro="" textlink="">
              <xdr:nvSpPr>
                <xdr:cNvPr id="14" name="Rectangle 13">
                  <a:extLst>
                    <a:ext uri="{FF2B5EF4-FFF2-40B4-BE49-F238E27FC236}">
                      <a16:creationId xmlns:a16="http://schemas.microsoft.com/office/drawing/2014/main" id="{00000000-0008-0000-0000-00000E000000}"/>
                    </a:ext>
                  </a:extLst>
                </xdr:cNvPr>
                <xdr:cNvSpPr/>
              </xdr:nvSpPr>
              <xdr:spPr>
                <a:xfrm>
                  <a:off x="2629165" y="4990830"/>
                  <a:ext cx="871205" cy="1935514"/>
                </a:xfrm>
                <a:prstGeom prst="rect">
                  <a:avLst/>
                </a:prstGeom>
                <a:noFill/>
                <a:ln w="38100">
                  <a:solidFill>
                    <a:srgbClr val="FFFF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IN"/>
                </a:p>
              </xdr:txBody>
            </xdr:sp>
          </xdr:grpSp>
        </xdr:grpSp>
        <xdr:sp macro="" textlink="">
          <xdr:nvSpPr>
            <xdr:cNvPr id="22" name="Freeform 21">
              <a:extLst>
                <a:ext uri="{FF2B5EF4-FFF2-40B4-BE49-F238E27FC236}">
                  <a16:creationId xmlns:a16="http://schemas.microsoft.com/office/drawing/2014/main" id="{00000000-0008-0000-0000-000016000000}"/>
                </a:ext>
              </a:extLst>
            </xdr:cNvPr>
            <xdr:cNvSpPr/>
          </xdr:nvSpPr>
          <xdr:spPr>
            <a:xfrm>
              <a:off x="3917599" y="65966107"/>
              <a:ext cx="944381" cy="4582263"/>
            </a:xfrm>
            <a:custGeom>
              <a:avLst/>
              <a:gdLst>
                <a:gd name="connsiteX0" fmla="*/ 149679 w 843643"/>
                <a:gd name="connsiteY0" fmla="*/ 0 h 4435929"/>
                <a:gd name="connsiteX1" fmla="*/ 0 w 843643"/>
                <a:gd name="connsiteY1" fmla="*/ 1211036 h 4435929"/>
                <a:gd name="connsiteX2" fmla="*/ 176893 w 843643"/>
                <a:gd name="connsiteY2" fmla="*/ 2149929 h 4435929"/>
                <a:gd name="connsiteX3" fmla="*/ 408214 w 843643"/>
                <a:gd name="connsiteY3" fmla="*/ 2748643 h 4435929"/>
                <a:gd name="connsiteX4" fmla="*/ 843643 w 843643"/>
                <a:gd name="connsiteY4" fmla="*/ 4435929 h 44359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643" h="4435929">
                  <a:moveTo>
                    <a:pt x="149679" y="0"/>
                  </a:moveTo>
                  <a:lnTo>
                    <a:pt x="0" y="1211036"/>
                  </a:lnTo>
                  <a:lnTo>
                    <a:pt x="176893" y="2149929"/>
                  </a:lnTo>
                  <a:lnTo>
                    <a:pt x="408214" y="2748643"/>
                  </a:lnTo>
                  <a:lnTo>
                    <a:pt x="843643" y="4435929"/>
                  </a:ln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2" name="Freeform 51">
              <a:extLst>
                <a:ext uri="{FF2B5EF4-FFF2-40B4-BE49-F238E27FC236}">
                  <a16:creationId xmlns:a16="http://schemas.microsoft.com/office/drawing/2014/main" id="{00000000-0008-0000-0000-000034000000}"/>
                </a:ext>
              </a:extLst>
            </xdr:cNvPr>
            <xdr:cNvSpPr/>
          </xdr:nvSpPr>
          <xdr:spPr>
            <a:xfrm>
              <a:off x="4191000" y="65953822"/>
              <a:ext cx="952500" cy="4571999"/>
            </a:xfrm>
            <a:custGeom>
              <a:avLst/>
              <a:gdLst>
                <a:gd name="connsiteX0" fmla="*/ 149679 w 843643"/>
                <a:gd name="connsiteY0" fmla="*/ 0 h 4435929"/>
                <a:gd name="connsiteX1" fmla="*/ 0 w 843643"/>
                <a:gd name="connsiteY1" fmla="*/ 1211036 h 4435929"/>
                <a:gd name="connsiteX2" fmla="*/ 176893 w 843643"/>
                <a:gd name="connsiteY2" fmla="*/ 2149929 h 4435929"/>
                <a:gd name="connsiteX3" fmla="*/ 408214 w 843643"/>
                <a:gd name="connsiteY3" fmla="*/ 2748643 h 4435929"/>
                <a:gd name="connsiteX4" fmla="*/ 843643 w 843643"/>
                <a:gd name="connsiteY4" fmla="*/ 4435929 h 4435929"/>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843643" h="4435929">
                  <a:moveTo>
                    <a:pt x="149679" y="0"/>
                  </a:moveTo>
                  <a:lnTo>
                    <a:pt x="0" y="1211036"/>
                  </a:lnTo>
                  <a:lnTo>
                    <a:pt x="176893" y="2149929"/>
                  </a:lnTo>
                  <a:lnTo>
                    <a:pt x="408214" y="2748643"/>
                  </a:lnTo>
                  <a:lnTo>
                    <a:pt x="843643" y="4435929"/>
                  </a:lnTo>
                </a:path>
              </a:pathLst>
            </a:cu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53" name="TextBox 31">
              <a:extLst>
                <a:ext uri="{FF2B5EF4-FFF2-40B4-BE49-F238E27FC236}">
                  <a16:creationId xmlns:a16="http://schemas.microsoft.com/office/drawing/2014/main" id="{00000000-0008-0000-0000-000035000000}"/>
                </a:ext>
              </a:extLst>
            </xdr:cNvPr>
            <xdr:cNvSpPr txBox="1"/>
          </xdr:nvSpPr>
          <xdr:spPr>
            <a:xfrm>
              <a:off x="1668366" y="68990200"/>
              <a:ext cx="2307115" cy="623248"/>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1800" b="1">
                  <a:solidFill>
                    <a:srgbClr val="FFFF00"/>
                  </a:solidFill>
                  <a:latin typeface="Times New Roman" panose="02020603050405020304" pitchFamily="18" charset="0"/>
                  <a:cs typeface="Times New Roman" panose="02020603050405020304" pitchFamily="18" charset="0"/>
                </a:rPr>
                <a:t>Gopikisan Patil Complex Bldg No.1</a:t>
              </a:r>
            </a:p>
          </xdr:txBody>
        </xdr:sp>
        <xdr:sp macro="" textlink="">
          <xdr:nvSpPr>
            <xdr:cNvPr id="54" name="TextBox 31">
              <a:extLst>
                <a:ext uri="{FF2B5EF4-FFF2-40B4-BE49-F238E27FC236}">
                  <a16:creationId xmlns:a16="http://schemas.microsoft.com/office/drawing/2014/main" id="{00000000-0008-0000-0000-000036000000}"/>
                </a:ext>
              </a:extLst>
            </xdr:cNvPr>
            <xdr:cNvSpPr txBox="1"/>
          </xdr:nvSpPr>
          <xdr:spPr>
            <a:xfrm rot="4489173">
              <a:off x="3124892" y="67882919"/>
              <a:ext cx="2307115" cy="50520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2800" b="1">
                  <a:solidFill>
                    <a:srgbClr val="FF0000"/>
                  </a:solidFill>
                  <a:latin typeface="Times New Roman" panose="02020603050405020304" pitchFamily="18" charset="0"/>
                  <a:cs typeface="Times New Roman" panose="02020603050405020304" pitchFamily="18" charset="0"/>
                </a:rPr>
                <a:t>Nala</a:t>
              </a:r>
            </a:p>
          </xdr:txBody>
        </xdr:sp>
        <xdr:sp macro="" textlink="">
          <xdr:nvSpPr>
            <xdr:cNvPr id="66" name="TextBox 31">
              <a:extLst>
                <a:ext uri="{FF2B5EF4-FFF2-40B4-BE49-F238E27FC236}">
                  <a16:creationId xmlns:a16="http://schemas.microsoft.com/office/drawing/2014/main" id="{00000000-0008-0000-0000-000042000000}"/>
                </a:ext>
              </a:extLst>
            </xdr:cNvPr>
            <xdr:cNvSpPr txBox="1"/>
          </xdr:nvSpPr>
          <xdr:spPr>
            <a:xfrm rot="15380175">
              <a:off x="2732808" y="69504692"/>
              <a:ext cx="2307115" cy="505203"/>
            </a:xfrm>
            <a:prstGeom prst="rect">
              <a:avLst/>
            </a:prstGeom>
            <a:noFill/>
          </xdr:spPr>
          <xdr:txBody>
            <a:bodyPr wrap="square">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n-IN" sz="2800" b="1">
                  <a:solidFill>
                    <a:srgbClr val="00FF00"/>
                  </a:solidFill>
                  <a:latin typeface="Times New Roman" panose="02020603050405020304" pitchFamily="18" charset="0"/>
                  <a:cs typeface="Times New Roman" panose="02020603050405020304" pitchFamily="18" charset="0"/>
                </a:rPr>
                <a:t>CRZ Area</a:t>
              </a:r>
            </a:p>
          </xdr:txBody>
        </xdr:sp>
      </xdr:grpSp>
      <xdr:sp macro="" textlink="">
        <xdr:nvSpPr>
          <xdr:cNvPr id="26" name="Freeform 25">
            <a:extLst>
              <a:ext uri="{FF2B5EF4-FFF2-40B4-BE49-F238E27FC236}">
                <a16:creationId xmlns:a16="http://schemas.microsoft.com/office/drawing/2014/main" id="{00000000-0008-0000-0000-00001A000000}"/>
              </a:ext>
            </a:extLst>
          </xdr:cNvPr>
          <xdr:cNvSpPr/>
        </xdr:nvSpPr>
        <xdr:spPr>
          <a:xfrm>
            <a:off x="3619501" y="65139794"/>
            <a:ext cx="582706" cy="4527177"/>
          </a:xfrm>
          <a:custGeom>
            <a:avLst/>
            <a:gdLst>
              <a:gd name="connsiteX0" fmla="*/ 156882 w 593911"/>
              <a:gd name="connsiteY0" fmla="*/ 0 h 4538382"/>
              <a:gd name="connsiteX1" fmla="*/ 156882 w 593911"/>
              <a:gd name="connsiteY1" fmla="*/ 0 h 4538382"/>
              <a:gd name="connsiteX2" fmla="*/ 0 w 593911"/>
              <a:gd name="connsiteY2" fmla="*/ 1064559 h 4538382"/>
              <a:gd name="connsiteX3" fmla="*/ 257735 w 593911"/>
              <a:gd name="connsiteY3" fmla="*/ 2521323 h 4538382"/>
              <a:gd name="connsiteX4" fmla="*/ 358588 w 593911"/>
              <a:gd name="connsiteY4" fmla="*/ 3541059 h 4538382"/>
              <a:gd name="connsiteX5" fmla="*/ 526676 w 593911"/>
              <a:gd name="connsiteY5" fmla="*/ 4336676 h 4538382"/>
              <a:gd name="connsiteX6" fmla="*/ 593911 w 593911"/>
              <a:gd name="connsiteY6" fmla="*/ 4538382 h 45383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93911" h="4538382">
                <a:moveTo>
                  <a:pt x="156882" y="0"/>
                </a:moveTo>
                <a:lnTo>
                  <a:pt x="156882" y="0"/>
                </a:lnTo>
                <a:lnTo>
                  <a:pt x="0" y="1064559"/>
                </a:lnTo>
                <a:lnTo>
                  <a:pt x="257735" y="2521323"/>
                </a:lnTo>
                <a:lnTo>
                  <a:pt x="358588" y="3541059"/>
                </a:lnTo>
                <a:lnTo>
                  <a:pt x="526676" y="4336676"/>
                </a:lnTo>
                <a:lnTo>
                  <a:pt x="593911" y="4538382"/>
                </a:lnTo>
              </a:path>
            </a:pathLst>
          </a:cu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sp macro="" textlink="">
        <xdr:nvSpPr>
          <xdr:cNvPr id="67" name="Freeform 66">
            <a:extLst>
              <a:ext uri="{FF2B5EF4-FFF2-40B4-BE49-F238E27FC236}">
                <a16:creationId xmlns:a16="http://schemas.microsoft.com/office/drawing/2014/main" id="{00000000-0008-0000-0000-000043000000}"/>
              </a:ext>
            </a:extLst>
          </xdr:cNvPr>
          <xdr:cNvSpPr/>
        </xdr:nvSpPr>
        <xdr:spPr>
          <a:xfrm>
            <a:off x="3709148" y="65162206"/>
            <a:ext cx="560294" cy="4504765"/>
          </a:xfrm>
          <a:custGeom>
            <a:avLst/>
            <a:gdLst>
              <a:gd name="connsiteX0" fmla="*/ 156882 w 593911"/>
              <a:gd name="connsiteY0" fmla="*/ 0 h 4538382"/>
              <a:gd name="connsiteX1" fmla="*/ 156882 w 593911"/>
              <a:gd name="connsiteY1" fmla="*/ 0 h 4538382"/>
              <a:gd name="connsiteX2" fmla="*/ 0 w 593911"/>
              <a:gd name="connsiteY2" fmla="*/ 1064559 h 4538382"/>
              <a:gd name="connsiteX3" fmla="*/ 257735 w 593911"/>
              <a:gd name="connsiteY3" fmla="*/ 2521323 h 4538382"/>
              <a:gd name="connsiteX4" fmla="*/ 358588 w 593911"/>
              <a:gd name="connsiteY4" fmla="*/ 3541059 h 4538382"/>
              <a:gd name="connsiteX5" fmla="*/ 526676 w 593911"/>
              <a:gd name="connsiteY5" fmla="*/ 4336676 h 4538382"/>
              <a:gd name="connsiteX6" fmla="*/ 593911 w 593911"/>
              <a:gd name="connsiteY6" fmla="*/ 4538382 h 453838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93911" h="4538382">
                <a:moveTo>
                  <a:pt x="156882" y="0"/>
                </a:moveTo>
                <a:lnTo>
                  <a:pt x="156882" y="0"/>
                </a:lnTo>
                <a:lnTo>
                  <a:pt x="0" y="1064559"/>
                </a:lnTo>
                <a:lnTo>
                  <a:pt x="257735" y="2521323"/>
                </a:lnTo>
                <a:lnTo>
                  <a:pt x="358588" y="3541059"/>
                </a:lnTo>
                <a:lnTo>
                  <a:pt x="526676" y="4336676"/>
                </a:lnTo>
                <a:lnTo>
                  <a:pt x="593911" y="4538382"/>
                </a:lnTo>
              </a:path>
            </a:pathLst>
          </a:custGeom>
          <a:noFill/>
          <a:ln w="57150">
            <a:solidFill>
              <a:srgbClr val="00FF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lientData/>
  </xdr:twoCellAnchor>
  <xdr:twoCellAnchor editAs="oneCell">
    <xdr:from>
      <xdr:col>0</xdr:col>
      <xdr:colOff>336176</xdr:colOff>
      <xdr:row>300</xdr:row>
      <xdr:rowOff>178221</xdr:rowOff>
    </xdr:from>
    <xdr:to>
      <xdr:col>7</xdr:col>
      <xdr:colOff>407064</xdr:colOff>
      <xdr:row>338</xdr:row>
      <xdr:rowOff>44824</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9">
          <a:extLst>
            <a:ext uri="{BEBA8EAE-BF5A-486C-A8C5-ECC9F3942E4B}">
              <a14:imgProps xmlns:a14="http://schemas.microsoft.com/office/drawing/2010/main">
                <a14:imgLayer r:embed="rId10">
                  <a14:imgEffect>
                    <a14:sharpenSoften amount="25000"/>
                  </a14:imgEffect>
                </a14:imgLayer>
              </a14:imgProps>
            </a:ext>
          </a:extLst>
        </a:blip>
        <a:stretch>
          <a:fillRect/>
        </a:stretch>
      </xdr:blipFill>
      <xdr:spPr>
        <a:xfrm>
          <a:off x="336176" y="57888515"/>
          <a:ext cx="5651417" cy="7531426"/>
        </a:xfrm>
        <a:prstGeom prst="rect">
          <a:avLst/>
        </a:prstGeom>
        <a:ln>
          <a:solidFill>
            <a:sysClr val="windowText" lastClr="000000"/>
          </a:solidFill>
        </a:ln>
      </xdr:spPr>
    </xdr:pic>
    <xdr:clientData/>
  </xdr:twoCellAnchor>
  <xdr:oneCellAnchor>
    <xdr:from>
      <xdr:col>10</xdr:col>
      <xdr:colOff>285750</xdr:colOff>
      <xdr:row>214</xdr:row>
      <xdr:rowOff>101600</xdr:rowOff>
    </xdr:from>
    <xdr:ext cx="708912" cy="311496"/>
    <xdr:sp macro="" textlink="">
      <xdr:nvSpPr>
        <xdr:cNvPr id="44" name="TextBox 43">
          <a:extLst>
            <a:ext uri="{FF2B5EF4-FFF2-40B4-BE49-F238E27FC236}">
              <a16:creationId xmlns:a16="http://schemas.microsoft.com/office/drawing/2014/main" id="{00000000-0008-0000-0000-00002C000000}"/>
            </a:ext>
          </a:extLst>
        </xdr:cNvPr>
        <xdr:cNvSpPr txBox="1"/>
      </xdr:nvSpPr>
      <xdr:spPr>
        <a:xfrm>
          <a:off x="8928100" y="40055800"/>
          <a:ext cx="7089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IN" sz="1400">
              <a:solidFill>
                <a:srgbClr val="FFFF00"/>
              </a:solidFill>
            </a:rPr>
            <a:t>A Wing</a:t>
          </a:r>
        </a:p>
      </xdr:txBody>
    </xdr:sp>
    <xdr:clientData/>
  </xdr:oneCellAnchor>
  <xdr:twoCellAnchor>
    <xdr:from>
      <xdr:col>9</xdr:col>
      <xdr:colOff>323850</xdr:colOff>
      <xdr:row>214</xdr:row>
      <xdr:rowOff>9525</xdr:rowOff>
    </xdr:from>
    <xdr:to>
      <xdr:col>15</xdr:col>
      <xdr:colOff>730068</xdr:colOff>
      <xdr:row>253</xdr:row>
      <xdr:rowOff>165100</xdr:rowOff>
    </xdr:to>
    <xdr:grpSp>
      <xdr:nvGrpSpPr>
        <xdr:cNvPr id="63" name="Group 62">
          <a:extLst>
            <a:ext uri="{FF2B5EF4-FFF2-40B4-BE49-F238E27FC236}">
              <a16:creationId xmlns:a16="http://schemas.microsoft.com/office/drawing/2014/main" id="{00000000-0008-0000-0000-00003F000000}"/>
            </a:ext>
          </a:extLst>
        </xdr:cNvPr>
        <xdr:cNvGrpSpPr/>
      </xdr:nvGrpSpPr>
      <xdr:grpSpPr>
        <a:xfrm>
          <a:off x="7800975" y="40490775"/>
          <a:ext cx="5283018" cy="7956550"/>
          <a:chOff x="495300" y="40030400"/>
          <a:chExt cx="5556068" cy="7829550"/>
        </a:xfrm>
      </xdr:grpSpPr>
      <xdr:pic>
        <xdr:nvPicPr>
          <xdr:cNvPr id="56" name="Picture 55">
            <a:extLst>
              <a:ext uri="{FF2B5EF4-FFF2-40B4-BE49-F238E27FC236}">
                <a16:creationId xmlns:a16="http://schemas.microsoft.com/office/drawing/2014/main" id="{00000000-0008-0000-0000-000038000000}"/>
              </a:ext>
            </a:extLst>
          </xdr:cNvPr>
          <xdr:cNvPicPr>
            <a:picLocks noChangeAspect="1"/>
          </xdr:cNvPicPr>
        </xdr:nvPicPr>
        <xdr:blipFill>
          <a:blip xmlns:r="http://schemas.openxmlformats.org/officeDocument/2006/relationships" r:embed="rId11" cstate="screen">
            <a:extLst>
              <a:ext uri="{28A0092B-C50C-407E-A947-70E740481C1C}">
                <a14:useLocalDpi xmlns:a14="http://schemas.microsoft.com/office/drawing/2010/main"/>
              </a:ext>
            </a:extLst>
          </a:blip>
          <a:stretch>
            <a:fillRect/>
          </a:stretch>
        </xdr:blipFill>
        <xdr:spPr>
          <a:xfrm>
            <a:off x="3266825" y="46026682"/>
            <a:ext cx="1618313" cy="1833268"/>
          </a:xfrm>
          <a:prstGeom prst="rect">
            <a:avLst/>
          </a:prstGeom>
          <a:ln>
            <a:solidFill>
              <a:schemeClr val="tx1"/>
            </a:solidFill>
          </a:ln>
        </xdr:spPr>
      </xdr:pic>
      <xdr:pic>
        <xdr:nvPicPr>
          <xdr:cNvPr id="57" name="Picture 56">
            <a:extLst>
              <a:ext uri="{FF2B5EF4-FFF2-40B4-BE49-F238E27FC236}">
                <a16:creationId xmlns:a16="http://schemas.microsoft.com/office/drawing/2014/main" id="{00000000-0008-0000-0000-000039000000}"/>
              </a:ext>
            </a:extLst>
          </xdr:cNvPr>
          <xdr:cNvPicPr>
            <a:picLocks noChangeAspect="1"/>
          </xdr:cNvPicPr>
        </xdr:nvPicPr>
        <xdr:blipFill>
          <a:blip xmlns:r="http://schemas.openxmlformats.org/officeDocument/2006/relationships" r:embed="rId12" cstate="screen">
            <a:extLst>
              <a:ext uri="{28A0092B-C50C-407E-A947-70E740481C1C}">
                <a14:useLocalDpi xmlns:a14="http://schemas.microsoft.com/office/drawing/2010/main"/>
              </a:ext>
            </a:extLst>
          </a:blip>
          <a:stretch>
            <a:fillRect/>
          </a:stretch>
        </xdr:blipFill>
        <xdr:spPr>
          <a:xfrm>
            <a:off x="676926" y="43748541"/>
            <a:ext cx="1618313" cy="2160000"/>
          </a:xfrm>
          <a:prstGeom prst="rect">
            <a:avLst/>
          </a:prstGeom>
          <a:ln>
            <a:solidFill>
              <a:schemeClr val="tx1"/>
            </a:solidFill>
          </a:ln>
        </xdr:spPr>
      </xdr:pic>
      <xdr:pic>
        <xdr:nvPicPr>
          <xdr:cNvPr id="58" name="Picture 57">
            <a:extLst>
              <a:ext uri="{FF2B5EF4-FFF2-40B4-BE49-F238E27FC236}">
                <a16:creationId xmlns:a16="http://schemas.microsoft.com/office/drawing/2014/main" id="{00000000-0008-0000-0000-00003A000000}"/>
              </a:ext>
            </a:extLst>
          </xdr:cNvPr>
          <xdr:cNvPicPr>
            <a:picLocks noChangeAspect="1"/>
          </xdr:cNvPicPr>
        </xdr:nvPicPr>
        <xdr:blipFill>
          <a:blip xmlns:r="http://schemas.openxmlformats.org/officeDocument/2006/relationships" r:embed="rId13" cstate="screen">
            <a:extLst>
              <a:ext uri="{28A0092B-C50C-407E-A947-70E740481C1C}">
                <a14:useLocalDpi xmlns:a14="http://schemas.microsoft.com/office/drawing/2010/main"/>
              </a:ext>
            </a:extLst>
          </a:blip>
          <a:stretch>
            <a:fillRect/>
          </a:stretch>
        </xdr:blipFill>
        <xdr:spPr>
          <a:xfrm>
            <a:off x="3354180" y="40030400"/>
            <a:ext cx="2697188" cy="3600000"/>
          </a:xfrm>
          <a:prstGeom prst="rect">
            <a:avLst/>
          </a:prstGeom>
          <a:ln>
            <a:solidFill>
              <a:schemeClr val="tx1"/>
            </a:solidFill>
          </a:ln>
        </xdr:spPr>
      </xdr:pic>
      <xdr:pic>
        <xdr:nvPicPr>
          <xdr:cNvPr id="59" name="Picture 58">
            <a:extLst>
              <a:ext uri="{FF2B5EF4-FFF2-40B4-BE49-F238E27FC236}">
                <a16:creationId xmlns:a16="http://schemas.microsoft.com/office/drawing/2014/main" id="{00000000-0008-0000-0000-00003B000000}"/>
              </a:ext>
            </a:extLst>
          </xdr:cNvPr>
          <xdr:cNvPicPr>
            <a:picLocks noChangeAspect="1"/>
          </xdr:cNvPicPr>
        </xdr:nvPicPr>
        <xdr:blipFill>
          <a:blip xmlns:r="http://schemas.openxmlformats.org/officeDocument/2006/relationships" r:embed="rId14" cstate="screen">
            <a:extLst>
              <a:ext uri="{28A0092B-C50C-407E-A947-70E740481C1C}">
                <a14:useLocalDpi xmlns:a14="http://schemas.microsoft.com/office/drawing/2010/main"/>
              </a:ext>
            </a:extLst>
          </a:blip>
          <a:stretch>
            <a:fillRect/>
          </a:stretch>
        </xdr:blipFill>
        <xdr:spPr>
          <a:xfrm>
            <a:off x="4238412" y="43748541"/>
            <a:ext cx="1618313" cy="2160000"/>
          </a:xfrm>
          <a:prstGeom prst="rect">
            <a:avLst/>
          </a:prstGeom>
          <a:ln>
            <a:solidFill>
              <a:schemeClr val="tx1"/>
            </a:solidFill>
          </a:ln>
        </xdr:spPr>
      </xdr:pic>
      <xdr:pic>
        <xdr:nvPicPr>
          <xdr:cNvPr id="60" name="Picture 59">
            <a:extLst>
              <a:ext uri="{FF2B5EF4-FFF2-40B4-BE49-F238E27FC236}">
                <a16:creationId xmlns:a16="http://schemas.microsoft.com/office/drawing/2014/main" id="{00000000-0008-0000-0000-00003C000000}"/>
              </a:ext>
            </a:extLst>
          </xdr:cNvPr>
          <xdr:cNvPicPr>
            <a:picLocks noChangeAspect="1"/>
          </xdr:cNvPicPr>
        </xdr:nvPicPr>
        <xdr:blipFill>
          <a:blip xmlns:r="http://schemas.openxmlformats.org/officeDocument/2006/relationships" r:embed="rId15" cstate="screen">
            <a:extLst>
              <a:ext uri="{28A0092B-C50C-407E-A947-70E740481C1C}">
                <a14:useLocalDpi xmlns:a14="http://schemas.microsoft.com/office/drawing/2010/main"/>
              </a:ext>
            </a:extLst>
          </a:blip>
          <a:stretch>
            <a:fillRect/>
          </a:stretch>
        </xdr:blipFill>
        <xdr:spPr>
          <a:xfrm>
            <a:off x="495300" y="40030400"/>
            <a:ext cx="2697188" cy="3600000"/>
          </a:xfrm>
          <a:prstGeom prst="rect">
            <a:avLst/>
          </a:prstGeom>
          <a:ln>
            <a:solidFill>
              <a:schemeClr val="tx1"/>
            </a:solidFill>
          </a:ln>
        </xdr:spPr>
      </xdr:pic>
      <xdr:pic>
        <xdr:nvPicPr>
          <xdr:cNvPr id="61" name="Picture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6" cstate="screen">
            <a:extLst>
              <a:ext uri="{28A0092B-C50C-407E-A947-70E740481C1C}">
                <a14:useLocalDpi xmlns:a14="http://schemas.microsoft.com/office/drawing/2010/main"/>
              </a:ext>
            </a:extLst>
          </a:blip>
          <a:stretch>
            <a:fillRect/>
          </a:stretch>
        </xdr:blipFill>
        <xdr:spPr>
          <a:xfrm>
            <a:off x="1486082" y="46026682"/>
            <a:ext cx="1618313" cy="1833268"/>
          </a:xfrm>
          <a:prstGeom prst="rect">
            <a:avLst/>
          </a:prstGeom>
          <a:ln>
            <a:solidFill>
              <a:schemeClr val="tx1"/>
            </a:solidFill>
          </a:ln>
        </xdr:spPr>
      </xdr:pic>
      <xdr:pic>
        <xdr:nvPicPr>
          <xdr:cNvPr id="62" name="Picture 61">
            <a:extLst>
              <a:ext uri="{FF2B5EF4-FFF2-40B4-BE49-F238E27FC236}">
                <a16:creationId xmlns:a16="http://schemas.microsoft.com/office/drawing/2014/main" id="{00000000-0008-0000-0000-00003E000000}"/>
              </a:ext>
            </a:extLst>
          </xdr:cNvPr>
          <xdr:cNvPicPr>
            <a:picLocks noChangeAspect="1"/>
          </xdr:cNvPicPr>
        </xdr:nvPicPr>
        <xdr:blipFill>
          <a:blip xmlns:r="http://schemas.openxmlformats.org/officeDocument/2006/relationships" r:embed="rId17" cstate="screen">
            <a:extLst>
              <a:ext uri="{28A0092B-C50C-407E-A947-70E740481C1C}">
                <a14:useLocalDpi xmlns:a14="http://schemas.microsoft.com/office/drawing/2010/main"/>
              </a:ext>
            </a:extLst>
          </a:blip>
          <a:stretch>
            <a:fillRect/>
          </a:stretch>
        </xdr:blipFill>
        <xdr:spPr>
          <a:xfrm>
            <a:off x="2457669" y="43748541"/>
            <a:ext cx="1618313" cy="2160000"/>
          </a:xfrm>
          <a:prstGeom prst="rect">
            <a:avLst/>
          </a:prstGeom>
          <a:ln>
            <a:solidFill>
              <a:schemeClr val="tx1"/>
            </a:solidFill>
          </a:ln>
        </xdr:spPr>
      </xdr:pic>
      <xdr:sp macro="" textlink="">
        <xdr:nvSpPr>
          <xdr:cNvPr id="65" name="TextBox 64">
            <a:extLst>
              <a:ext uri="{FF2B5EF4-FFF2-40B4-BE49-F238E27FC236}">
                <a16:creationId xmlns:a16="http://schemas.microsoft.com/office/drawing/2014/main" id="{00000000-0008-0000-0000-000041000000}"/>
              </a:ext>
            </a:extLst>
          </xdr:cNvPr>
          <xdr:cNvSpPr txBox="1"/>
        </xdr:nvSpPr>
        <xdr:spPr>
          <a:xfrm>
            <a:off x="1936750" y="42024300"/>
            <a:ext cx="7089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a:solidFill>
                  <a:srgbClr val="FFFF00"/>
                </a:solidFill>
              </a:rPr>
              <a:t>A Wing</a:t>
            </a:r>
          </a:p>
        </xdr:txBody>
      </xdr:sp>
      <xdr:sp macro="" textlink="">
        <xdr:nvSpPr>
          <xdr:cNvPr id="69" name="TextBox 68">
            <a:extLst>
              <a:ext uri="{FF2B5EF4-FFF2-40B4-BE49-F238E27FC236}">
                <a16:creationId xmlns:a16="http://schemas.microsoft.com/office/drawing/2014/main" id="{00000000-0008-0000-0000-000045000000}"/>
              </a:ext>
            </a:extLst>
          </xdr:cNvPr>
          <xdr:cNvSpPr txBox="1"/>
        </xdr:nvSpPr>
        <xdr:spPr>
          <a:xfrm>
            <a:off x="4503530" y="41529000"/>
            <a:ext cx="708912"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IN" sz="1400">
                <a:solidFill>
                  <a:srgbClr val="FFFF00"/>
                </a:solidFill>
              </a:rPr>
              <a:t>B Wing</a:t>
            </a:r>
          </a:p>
        </xdr:txBody>
      </xdr:sp>
    </xdr:grpSp>
    <xdr:clientData/>
  </xdr:twoCellAnchor>
  <xdr:twoCellAnchor>
    <xdr:from>
      <xdr:col>0</xdr:col>
      <xdr:colOff>361950</xdr:colOff>
      <xdr:row>214</xdr:row>
      <xdr:rowOff>167760</xdr:rowOff>
    </xdr:from>
    <xdr:to>
      <xdr:col>7</xdr:col>
      <xdr:colOff>229116</xdr:colOff>
      <xdr:row>254</xdr:row>
      <xdr:rowOff>188426</xdr:rowOff>
    </xdr:to>
    <xdr:grpSp>
      <xdr:nvGrpSpPr>
        <xdr:cNvPr id="64" name="Group 63">
          <a:extLst>
            <a:ext uri="{FF2B5EF4-FFF2-40B4-BE49-F238E27FC236}">
              <a16:creationId xmlns:a16="http://schemas.microsoft.com/office/drawing/2014/main" id="{E27E6540-C401-405D-A9DC-CADB287A0284}"/>
            </a:ext>
          </a:extLst>
        </xdr:cNvPr>
        <xdr:cNvGrpSpPr/>
      </xdr:nvGrpSpPr>
      <xdr:grpSpPr>
        <a:xfrm>
          <a:off x="361950" y="40649010"/>
          <a:ext cx="5448816" cy="8021666"/>
          <a:chOff x="826367" y="260698"/>
          <a:chExt cx="5448816" cy="8021666"/>
        </a:xfrm>
      </xdr:grpSpPr>
      <xdr:grpSp>
        <xdr:nvGrpSpPr>
          <xdr:cNvPr id="70" name="Group 69">
            <a:extLst>
              <a:ext uri="{FF2B5EF4-FFF2-40B4-BE49-F238E27FC236}">
                <a16:creationId xmlns:a16="http://schemas.microsoft.com/office/drawing/2014/main" id="{8F7BBB10-378D-4B6E-AF71-D73D58AD189C}"/>
              </a:ext>
            </a:extLst>
          </xdr:cNvPr>
          <xdr:cNvGrpSpPr/>
        </xdr:nvGrpSpPr>
        <xdr:grpSpPr>
          <a:xfrm>
            <a:off x="826367" y="260698"/>
            <a:ext cx="5448816" cy="8021666"/>
            <a:chOff x="826367" y="260698"/>
            <a:chExt cx="5448816" cy="8021666"/>
          </a:xfrm>
        </xdr:grpSpPr>
        <xdr:pic>
          <xdr:nvPicPr>
            <xdr:cNvPr id="75" name="Picture 74">
              <a:extLst>
                <a:ext uri="{FF2B5EF4-FFF2-40B4-BE49-F238E27FC236}">
                  <a16:creationId xmlns:a16="http://schemas.microsoft.com/office/drawing/2014/main" id="{E69E38BF-47F9-4DD3-A269-F8C7A9E667AD}"/>
                </a:ext>
              </a:extLst>
            </xdr:cNvPr>
            <xdr:cNvPicPr>
              <a:picLocks noChangeAspect="1"/>
            </xdr:cNvPicPr>
          </xdr:nvPicPr>
          <xdr:blipFill>
            <a:blip xmlns:r="http://schemas.openxmlformats.org/officeDocument/2006/relationships" r:embed="rId18" cstate="screen">
              <a:extLst>
                <a:ext uri="{28A0092B-C50C-407E-A947-70E740481C1C}">
                  <a14:useLocalDpi xmlns:a14="http://schemas.microsoft.com/office/drawing/2010/main"/>
                </a:ext>
              </a:extLst>
            </a:blip>
            <a:stretch>
              <a:fillRect/>
            </a:stretch>
          </xdr:blipFill>
          <xdr:spPr>
            <a:xfrm>
              <a:off x="1021449" y="260698"/>
              <a:ext cx="2427469" cy="3240000"/>
            </a:xfrm>
            <a:prstGeom prst="rect">
              <a:avLst/>
            </a:prstGeom>
            <a:ln>
              <a:solidFill>
                <a:schemeClr val="tx1"/>
              </a:solidFill>
            </a:ln>
          </xdr:spPr>
        </xdr:pic>
        <xdr:pic>
          <xdr:nvPicPr>
            <xdr:cNvPr id="76" name="Picture 75">
              <a:extLst>
                <a:ext uri="{FF2B5EF4-FFF2-40B4-BE49-F238E27FC236}">
                  <a16:creationId xmlns:a16="http://schemas.microsoft.com/office/drawing/2014/main" id="{5120C42E-290C-4B88-B409-0FAFF3978886}"/>
                </a:ext>
              </a:extLst>
            </xdr:cNvPr>
            <xdr:cNvPicPr>
              <a:picLocks noChangeAspect="1"/>
            </xdr:cNvPicPr>
          </xdr:nvPicPr>
          <xdr:blipFill>
            <a:blip xmlns:r="http://schemas.openxmlformats.org/officeDocument/2006/relationships" r:embed="rId19" cstate="screen">
              <a:extLst>
                <a:ext uri="{28A0092B-C50C-407E-A947-70E740481C1C}">
                  <a14:useLocalDpi xmlns:a14="http://schemas.microsoft.com/office/drawing/2010/main"/>
                </a:ext>
              </a:extLst>
            </a:blip>
            <a:stretch>
              <a:fillRect/>
            </a:stretch>
          </xdr:blipFill>
          <xdr:spPr>
            <a:xfrm>
              <a:off x="3654921" y="260698"/>
              <a:ext cx="2427469" cy="3240000"/>
            </a:xfrm>
            <a:prstGeom prst="rect">
              <a:avLst/>
            </a:prstGeom>
            <a:ln>
              <a:solidFill>
                <a:schemeClr val="tx1"/>
              </a:solidFill>
            </a:ln>
          </xdr:spPr>
        </xdr:pic>
        <xdr:pic>
          <xdr:nvPicPr>
            <xdr:cNvPr id="77" name="Picture 76">
              <a:extLst>
                <a:ext uri="{FF2B5EF4-FFF2-40B4-BE49-F238E27FC236}">
                  <a16:creationId xmlns:a16="http://schemas.microsoft.com/office/drawing/2014/main" id="{D12CBBBC-AD99-4CDC-BC54-7CF029209622}"/>
                </a:ext>
              </a:extLst>
            </xdr:cNvPr>
            <xdr:cNvPicPr>
              <a:picLocks noChangeAspect="1"/>
            </xdr:cNvPicPr>
          </xdr:nvPicPr>
          <xdr:blipFill>
            <a:blip xmlns:r="http://schemas.openxmlformats.org/officeDocument/2006/relationships" r:embed="rId20" cstate="screen">
              <a:extLst>
                <a:ext uri="{28A0092B-C50C-407E-A947-70E740481C1C}">
                  <a14:useLocalDpi xmlns:a14="http://schemas.microsoft.com/office/drawing/2010/main"/>
                </a:ext>
              </a:extLst>
            </a:blip>
            <a:stretch>
              <a:fillRect/>
            </a:stretch>
          </xdr:blipFill>
          <xdr:spPr>
            <a:xfrm>
              <a:off x="826367" y="3731531"/>
              <a:ext cx="1753172" cy="2340000"/>
            </a:xfrm>
            <a:prstGeom prst="rect">
              <a:avLst/>
            </a:prstGeom>
            <a:ln>
              <a:solidFill>
                <a:schemeClr val="tx1"/>
              </a:solidFill>
            </a:ln>
          </xdr:spPr>
        </xdr:pic>
        <xdr:pic>
          <xdr:nvPicPr>
            <xdr:cNvPr id="78" name="Picture 77">
              <a:extLst>
                <a:ext uri="{FF2B5EF4-FFF2-40B4-BE49-F238E27FC236}">
                  <a16:creationId xmlns:a16="http://schemas.microsoft.com/office/drawing/2014/main" id="{C1B91FD8-92EB-4DED-8BB4-887774E0F38B}"/>
                </a:ext>
              </a:extLst>
            </xdr:cNvPr>
            <xdr:cNvPicPr>
              <a:picLocks noChangeAspect="1"/>
            </xdr:cNvPicPr>
          </xdr:nvPicPr>
          <xdr:blipFill>
            <a:blip xmlns:r="http://schemas.openxmlformats.org/officeDocument/2006/relationships" r:embed="rId21" cstate="screen">
              <a:extLst>
                <a:ext uri="{28A0092B-C50C-407E-A947-70E740481C1C}">
                  <a14:useLocalDpi xmlns:a14="http://schemas.microsoft.com/office/drawing/2010/main"/>
                </a:ext>
              </a:extLst>
            </a:blip>
            <a:stretch>
              <a:fillRect/>
            </a:stretch>
          </xdr:blipFill>
          <xdr:spPr>
            <a:xfrm>
              <a:off x="2674708" y="3731531"/>
              <a:ext cx="1753171" cy="2340000"/>
            </a:xfrm>
            <a:prstGeom prst="rect">
              <a:avLst/>
            </a:prstGeom>
            <a:ln>
              <a:solidFill>
                <a:schemeClr val="tx1"/>
              </a:solidFill>
            </a:ln>
          </xdr:spPr>
        </xdr:pic>
        <xdr:pic>
          <xdr:nvPicPr>
            <xdr:cNvPr id="79" name="Picture 78">
              <a:extLst>
                <a:ext uri="{FF2B5EF4-FFF2-40B4-BE49-F238E27FC236}">
                  <a16:creationId xmlns:a16="http://schemas.microsoft.com/office/drawing/2014/main" id="{00E7F9C0-9323-4ACA-8AAC-E7F7B74348CE}"/>
                </a:ext>
              </a:extLst>
            </xdr:cNvPr>
            <xdr:cNvPicPr>
              <a:picLocks noChangeAspect="1"/>
            </xdr:cNvPicPr>
          </xdr:nvPicPr>
          <xdr:blipFill>
            <a:blip xmlns:r="http://schemas.openxmlformats.org/officeDocument/2006/relationships" r:embed="rId22" cstate="screen">
              <a:extLst>
                <a:ext uri="{28A0092B-C50C-407E-A947-70E740481C1C}">
                  <a14:useLocalDpi xmlns:a14="http://schemas.microsoft.com/office/drawing/2010/main"/>
                </a:ext>
              </a:extLst>
            </a:blip>
            <a:stretch>
              <a:fillRect/>
            </a:stretch>
          </xdr:blipFill>
          <xdr:spPr>
            <a:xfrm>
              <a:off x="4522011" y="3731531"/>
              <a:ext cx="1753172" cy="2340000"/>
            </a:xfrm>
            <a:prstGeom prst="rect">
              <a:avLst/>
            </a:prstGeom>
            <a:ln>
              <a:solidFill>
                <a:schemeClr val="tx1"/>
              </a:solidFill>
            </a:ln>
          </xdr:spPr>
        </xdr:pic>
        <xdr:pic>
          <xdr:nvPicPr>
            <xdr:cNvPr id="80" name="Picture 79">
              <a:extLst>
                <a:ext uri="{FF2B5EF4-FFF2-40B4-BE49-F238E27FC236}">
                  <a16:creationId xmlns:a16="http://schemas.microsoft.com/office/drawing/2014/main" id="{C689E903-2D92-47A0-A79A-7F788149515E}"/>
                </a:ext>
              </a:extLst>
            </xdr:cNvPr>
            <xdr:cNvPicPr>
              <a:picLocks noChangeAspect="1"/>
            </xdr:cNvPicPr>
          </xdr:nvPicPr>
          <xdr:blipFill>
            <a:blip xmlns:r="http://schemas.openxmlformats.org/officeDocument/2006/relationships" r:embed="rId23" cstate="screen">
              <a:extLst>
                <a:ext uri="{28A0092B-C50C-407E-A947-70E740481C1C}">
                  <a14:useLocalDpi xmlns:a14="http://schemas.microsoft.com/office/drawing/2010/main"/>
                </a:ext>
              </a:extLst>
            </a:blip>
            <a:stretch>
              <a:fillRect/>
            </a:stretch>
          </xdr:blipFill>
          <xdr:spPr>
            <a:xfrm>
              <a:off x="1132108" y="6302364"/>
              <a:ext cx="1483453" cy="1980000"/>
            </a:xfrm>
            <a:prstGeom prst="rect">
              <a:avLst/>
            </a:prstGeom>
            <a:ln>
              <a:solidFill>
                <a:schemeClr val="tx1"/>
              </a:solidFill>
            </a:ln>
          </xdr:spPr>
        </xdr:pic>
        <xdr:pic>
          <xdr:nvPicPr>
            <xdr:cNvPr id="81" name="Picture 80">
              <a:extLst>
                <a:ext uri="{FF2B5EF4-FFF2-40B4-BE49-F238E27FC236}">
                  <a16:creationId xmlns:a16="http://schemas.microsoft.com/office/drawing/2014/main" id="{15B0C909-F6C9-4C9D-8DAA-462BBF2F4F92}"/>
                </a:ext>
              </a:extLst>
            </xdr:cNvPr>
            <xdr:cNvPicPr>
              <a:picLocks noChangeAspect="1"/>
            </xdr:cNvPicPr>
          </xdr:nvPicPr>
          <xdr:blipFill>
            <a:blip xmlns:r="http://schemas.openxmlformats.org/officeDocument/2006/relationships" r:embed="rId24" cstate="screen">
              <a:extLst>
                <a:ext uri="{28A0092B-C50C-407E-A947-70E740481C1C}">
                  <a14:useLocalDpi xmlns:a14="http://schemas.microsoft.com/office/drawing/2010/main"/>
                </a:ext>
              </a:extLst>
            </a:blip>
            <a:stretch>
              <a:fillRect/>
            </a:stretch>
          </xdr:blipFill>
          <xdr:spPr>
            <a:xfrm>
              <a:off x="2818934" y="6302364"/>
              <a:ext cx="1483453" cy="1980000"/>
            </a:xfrm>
            <a:prstGeom prst="rect">
              <a:avLst/>
            </a:prstGeom>
            <a:ln>
              <a:solidFill>
                <a:schemeClr val="tx1"/>
              </a:solidFill>
            </a:ln>
          </xdr:spPr>
        </xdr:pic>
        <xdr:pic>
          <xdr:nvPicPr>
            <xdr:cNvPr id="82" name="Picture 81">
              <a:extLst>
                <a:ext uri="{FF2B5EF4-FFF2-40B4-BE49-F238E27FC236}">
                  <a16:creationId xmlns:a16="http://schemas.microsoft.com/office/drawing/2014/main" id="{7C42396C-BE81-41D6-BAEC-02169D06E5FD}"/>
                </a:ext>
              </a:extLst>
            </xdr:cNvPr>
            <xdr:cNvPicPr>
              <a:picLocks noChangeAspect="1"/>
            </xdr:cNvPicPr>
          </xdr:nvPicPr>
          <xdr:blipFill>
            <a:blip xmlns:r="http://schemas.openxmlformats.org/officeDocument/2006/relationships" r:embed="rId25" cstate="screen">
              <a:extLst>
                <a:ext uri="{28A0092B-C50C-407E-A947-70E740481C1C}">
                  <a14:useLocalDpi xmlns:a14="http://schemas.microsoft.com/office/drawing/2010/main"/>
                </a:ext>
              </a:extLst>
            </a:blip>
            <a:stretch>
              <a:fillRect/>
            </a:stretch>
          </xdr:blipFill>
          <xdr:spPr>
            <a:xfrm>
              <a:off x="4505760" y="6302364"/>
              <a:ext cx="1483453" cy="1980000"/>
            </a:xfrm>
            <a:prstGeom prst="rect">
              <a:avLst/>
            </a:prstGeom>
            <a:ln>
              <a:solidFill>
                <a:schemeClr val="tx1"/>
              </a:solidFill>
            </a:ln>
          </xdr:spPr>
        </xdr:pic>
      </xdr:grpSp>
      <xdr:sp macro="" textlink="">
        <xdr:nvSpPr>
          <xdr:cNvPr id="71" name="TextBox 225">
            <a:extLst>
              <a:ext uri="{FF2B5EF4-FFF2-40B4-BE49-F238E27FC236}">
                <a16:creationId xmlns:a16="http://schemas.microsoft.com/office/drawing/2014/main" id="{C0740113-BF19-4821-9DBB-94917595CD69}"/>
              </a:ext>
            </a:extLst>
          </xdr:cNvPr>
          <xdr:cNvSpPr txBox="1"/>
        </xdr:nvSpPr>
        <xdr:spPr>
          <a:xfrm>
            <a:off x="2701433" y="861636"/>
            <a:ext cx="37061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A</a:t>
            </a:r>
            <a:endParaRPr lang="en-IN" sz="2400" b="1">
              <a:solidFill>
                <a:srgbClr val="FF0000"/>
              </a:solidFill>
            </a:endParaRPr>
          </a:p>
        </xdr:txBody>
      </xdr:sp>
      <xdr:sp macro="" textlink="">
        <xdr:nvSpPr>
          <xdr:cNvPr id="72" name="TextBox 226">
            <a:extLst>
              <a:ext uri="{FF2B5EF4-FFF2-40B4-BE49-F238E27FC236}">
                <a16:creationId xmlns:a16="http://schemas.microsoft.com/office/drawing/2014/main" id="{08E758AF-A3F4-46B6-82FA-1D8A0F5BC985}"/>
              </a:ext>
            </a:extLst>
          </xdr:cNvPr>
          <xdr:cNvSpPr txBox="1"/>
        </xdr:nvSpPr>
        <xdr:spPr>
          <a:xfrm>
            <a:off x="1833506" y="630803"/>
            <a:ext cx="370614" cy="461665"/>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a:t>
            </a:r>
            <a:endParaRPr lang="en-IN" sz="2400" b="1">
              <a:solidFill>
                <a:srgbClr val="FF0000"/>
              </a:solidFill>
            </a:endParaRPr>
          </a:p>
        </xdr:txBody>
      </xdr:sp>
      <xdr:sp macro="" textlink="">
        <xdr:nvSpPr>
          <xdr:cNvPr id="73" name="TextBox 227">
            <a:extLst>
              <a:ext uri="{FF2B5EF4-FFF2-40B4-BE49-F238E27FC236}">
                <a16:creationId xmlns:a16="http://schemas.microsoft.com/office/drawing/2014/main" id="{D89E9DD6-A331-40D8-8E5F-2533C2494144}"/>
              </a:ext>
            </a:extLst>
          </xdr:cNvPr>
          <xdr:cNvSpPr txBox="1"/>
        </xdr:nvSpPr>
        <xdr:spPr>
          <a:xfrm>
            <a:off x="1115477" y="5558776"/>
            <a:ext cx="1311089" cy="46801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B Wing</a:t>
            </a:r>
            <a:endParaRPr lang="en-IN" sz="2400" b="1">
              <a:solidFill>
                <a:srgbClr val="FF0000"/>
              </a:solidFill>
            </a:endParaRPr>
          </a:p>
        </xdr:txBody>
      </xdr:sp>
      <xdr:sp macro="" textlink="">
        <xdr:nvSpPr>
          <xdr:cNvPr id="74" name="TextBox 228">
            <a:extLst>
              <a:ext uri="{FF2B5EF4-FFF2-40B4-BE49-F238E27FC236}">
                <a16:creationId xmlns:a16="http://schemas.microsoft.com/office/drawing/2014/main" id="{762185A5-B76E-4EEB-9E02-A1A7278FBBDC}"/>
              </a:ext>
            </a:extLst>
          </xdr:cNvPr>
          <xdr:cNvSpPr txBox="1"/>
        </xdr:nvSpPr>
        <xdr:spPr>
          <a:xfrm>
            <a:off x="4865281" y="273913"/>
            <a:ext cx="1123636" cy="468013"/>
          </a:xfrm>
          <a:prstGeom prst="rect">
            <a:avLst/>
          </a:prstGeom>
          <a:noFill/>
        </xdr:spPr>
        <xdr:txBody>
          <a:bodyPr wrap="square" rtlCol="0">
            <a:sp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n-US" sz="2400" b="1">
                <a:solidFill>
                  <a:srgbClr val="FF0000"/>
                </a:solidFill>
              </a:rPr>
              <a:t>A Wing</a:t>
            </a:r>
            <a:endParaRPr lang="en-IN" sz="2400" b="1">
              <a:solidFill>
                <a:srgbClr val="FF0000"/>
              </a:solidFill>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493058</xdr:colOff>
      <xdr:row>1</xdr:row>
      <xdr:rowOff>168088</xdr:rowOff>
    </xdr:from>
    <xdr:to>
      <xdr:col>14</xdr:col>
      <xdr:colOff>253521</xdr:colOff>
      <xdr:row>24</xdr:row>
      <xdr:rowOff>95382</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36269"/>
        <a:stretch/>
      </xdr:blipFill>
      <xdr:spPr>
        <a:xfrm>
          <a:off x="9905999" y="358588"/>
          <a:ext cx="3256698" cy="43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aps.app.goo.gl/CMAZr8gr2FDc6Nsj6" TargetMode="External"/><Relationship Id="rId6" Type="http://schemas.openxmlformats.org/officeDocument/2006/relationships/comments" Target="../comments1.xml"/><Relationship Id="rId5" Type="http://schemas.openxmlformats.org/officeDocument/2006/relationships/vmlDrawing" Target="../drawings/vmlDrawing2.v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342"/>
  <sheetViews>
    <sheetView tabSelected="1" view="pageBreakPreview" topLeftCell="A80" zoomScaleNormal="100" zoomScaleSheetLayoutView="100" zoomScalePageLayoutView="85" workbookViewId="0">
      <selection activeCell="J124" sqref="J124"/>
    </sheetView>
  </sheetViews>
  <sheetFormatPr defaultColWidth="9.140625" defaultRowHeight="15.75" x14ac:dyDescent="0.25"/>
  <cols>
    <col min="1" max="1" width="11.42578125" style="37" customWidth="1"/>
    <col min="2" max="2" width="12" style="37" customWidth="1"/>
    <col min="3" max="3" width="12.7109375" style="37" customWidth="1"/>
    <col min="4" max="4" width="13.7109375" style="37" customWidth="1"/>
    <col min="5" max="5" width="11.7109375" style="37" customWidth="1"/>
    <col min="6" max="6" width="11.140625" style="37" customWidth="1"/>
    <col min="7" max="8" width="11" style="37" customWidth="1"/>
    <col min="9" max="9" width="17.42578125" style="18" customWidth="1"/>
    <col min="10" max="10" width="11.42578125" style="18" customWidth="1"/>
    <col min="11" max="11" width="11.28515625" style="18" bestFit="1" customWidth="1"/>
    <col min="12" max="12" width="13.85546875" style="18" bestFit="1" customWidth="1"/>
    <col min="13" max="13" width="11.85546875" style="18" customWidth="1"/>
    <col min="14" max="14" width="12.5703125" style="18" customWidth="1"/>
    <col min="15" max="15" width="12.140625" style="18" customWidth="1"/>
    <col min="16" max="16" width="11.7109375" style="18" customWidth="1"/>
    <col min="17" max="18" width="9.140625" style="18"/>
    <col min="19" max="19" width="10.85546875" style="18" bestFit="1" customWidth="1"/>
    <col min="20" max="20" width="10.7109375" style="18" customWidth="1"/>
    <col min="21" max="247" width="9.140625" style="18"/>
    <col min="248" max="248" width="8.7109375" style="18" customWidth="1"/>
    <col min="249" max="249" width="9.85546875" style="18" customWidth="1"/>
    <col min="250" max="250" width="14.42578125" style="18" customWidth="1"/>
    <col min="251" max="251" width="7.28515625" style="18" customWidth="1"/>
    <col min="252" max="252" width="5.5703125" style="18" customWidth="1"/>
    <col min="253" max="253" width="9" style="18" customWidth="1"/>
    <col min="254" max="255" width="9.85546875" style="18" customWidth="1"/>
    <col min="256" max="256" width="11.140625" style="18" customWidth="1"/>
    <col min="257" max="257" width="2.85546875" style="18" customWidth="1"/>
    <col min="258" max="258" width="3.5703125" style="18" customWidth="1"/>
    <col min="259" max="503" width="9.140625" style="18"/>
    <col min="504" max="504" width="8.7109375" style="18" customWidth="1"/>
    <col min="505" max="505" width="9.85546875" style="18" customWidth="1"/>
    <col min="506" max="506" width="14.42578125" style="18" customWidth="1"/>
    <col min="507" max="507" width="7.28515625" style="18" customWidth="1"/>
    <col min="508" max="508" width="5.5703125" style="18" customWidth="1"/>
    <col min="509" max="509" width="9" style="18" customWidth="1"/>
    <col min="510" max="511" width="9.85546875" style="18" customWidth="1"/>
    <col min="512" max="512" width="11.140625" style="18" customWidth="1"/>
    <col min="513" max="513" width="2.85546875" style="18" customWidth="1"/>
    <col min="514" max="514" width="3.5703125" style="18" customWidth="1"/>
    <col min="515" max="759" width="9.140625" style="18"/>
    <col min="760" max="760" width="8.7109375" style="18" customWidth="1"/>
    <col min="761" max="761" width="9.85546875" style="18" customWidth="1"/>
    <col min="762" max="762" width="14.42578125" style="18" customWidth="1"/>
    <col min="763" max="763" width="7.28515625" style="18" customWidth="1"/>
    <col min="764" max="764" width="5.5703125" style="18" customWidth="1"/>
    <col min="765" max="765" width="9" style="18" customWidth="1"/>
    <col min="766" max="767" width="9.85546875" style="18" customWidth="1"/>
    <col min="768" max="768" width="11.140625" style="18" customWidth="1"/>
    <col min="769" max="769" width="2.85546875" style="18" customWidth="1"/>
    <col min="770" max="770" width="3.5703125" style="18" customWidth="1"/>
    <col min="771" max="1015" width="9.140625" style="18"/>
    <col min="1016" max="1016" width="8.7109375" style="18" customWidth="1"/>
    <col min="1017" max="1017" width="9.85546875" style="18" customWidth="1"/>
    <col min="1018" max="1018" width="14.42578125" style="18" customWidth="1"/>
    <col min="1019" max="1019" width="7.28515625" style="18" customWidth="1"/>
    <col min="1020" max="1020" width="5.5703125" style="18" customWidth="1"/>
    <col min="1021" max="1021" width="9" style="18" customWidth="1"/>
    <col min="1022" max="1023" width="9.85546875" style="18" customWidth="1"/>
    <col min="1024" max="1024" width="11.140625" style="18" customWidth="1"/>
    <col min="1025" max="1025" width="2.85546875" style="18" customWidth="1"/>
    <col min="1026" max="1026" width="3.5703125" style="18" customWidth="1"/>
    <col min="1027" max="1271" width="9.140625" style="18"/>
    <col min="1272" max="1272" width="8.7109375" style="18" customWidth="1"/>
    <col min="1273" max="1273" width="9.85546875" style="18" customWidth="1"/>
    <col min="1274" max="1274" width="14.42578125" style="18" customWidth="1"/>
    <col min="1275" max="1275" width="7.28515625" style="18" customWidth="1"/>
    <col min="1276" max="1276" width="5.5703125" style="18" customWidth="1"/>
    <col min="1277" max="1277" width="9" style="18" customWidth="1"/>
    <col min="1278" max="1279" width="9.85546875" style="18" customWidth="1"/>
    <col min="1280" max="1280" width="11.140625" style="18" customWidth="1"/>
    <col min="1281" max="1281" width="2.85546875" style="18" customWidth="1"/>
    <col min="1282" max="1282" width="3.5703125" style="18" customWidth="1"/>
    <col min="1283" max="1527" width="9.140625" style="18"/>
    <col min="1528" max="1528" width="8.7109375" style="18" customWidth="1"/>
    <col min="1529" max="1529" width="9.85546875" style="18" customWidth="1"/>
    <col min="1530" max="1530" width="14.42578125" style="18" customWidth="1"/>
    <col min="1531" max="1531" width="7.28515625" style="18" customWidth="1"/>
    <col min="1532" max="1532" width="5.5703125" style="18" customWidth="1"/>
    <col min="1533" max="1533" width="9" style="18" customWidth="1"/>
    <col min="1534" max="1535" width="9.85546875" style="18" customWidth="1"/>
    <col min="1536" max="1536" width="11.140625" style="18" customWidth="1"/>
    <col min="1537" max="1537" width="2.85546875" style="18" customWidth="1"/>
    <col min="1538" max="1538" width="3.5703125" style="18" customWidth="1"/>
    <col min="1539" max="1783" width="9.140625" style="18"/>
    <col min="1784" max="1784" width="8.7109375" style="18" customWidth="1"/>
    <col min="1785" max="1785" width="9.85546875" style="18" customWidth="1"/>
    <col min="1786" max="1786" width="14.42578125" style="18" customWidth="1"/>
    <col min="1787" max="1787" width="7.28515625" style="18" customWidth="1"/>
    <col min="1788" max="1788" width="5.5703125" style="18" customWidth="1"/>
    <col min="1789" max="1789" width="9" style="18" customWidth="1"/>
    <col min="1790" max="1791" width="9.85546875" style="18" customWidth="1"/>
    <col min="1792" max="1792" width="11.140625" style="18" customWidth="1"/>
    <col min="1793" max="1793" width="2.85546875" style="18" customWidth="1"/>
    <col min="1794" max="1794" width="3.5703125" style="18" customWidth="1"/>
    <col min="1795" max="2039" width="9.140625" style="18"/>
    <col min="2040" max="2040" width="8.7109375" style="18" customWidth="1"/>
    <col min="2041" max="2041" width="9.85546875" style="18" customWidth="1"/>
    <col min="2042" max="2042" width="14.42578125" style="18" customWidth="1"/>
    <col min="2043" max="2043" width="7.28515625" style="18" customWidth="1"/>
    <col min="2044" max="2044" width="5.5703125" style="18" customWidth="1"/>
    <col min="2045" max="2045" width="9" style="18" customWidth="1"/>
    <col min="2046" max="2047" width="9.85546875" style="18" customWidth="1"/>
    <col min="2048" max="2048" width="11.140625" style="18" customWidth="1"/>
    <col min="2049" max="2049" width="2.85546875" style="18" customWidth="1"/>
    <col min="2050" max="2050" width="3.5703125" style="18" customWidth="1"/>
    <col min="2051" max="2295" width="9.140625" style="18"/>
    <col min="2296" max="2296" width="8.7109375" style="18" customWidth="1"/>
    <col min="2297" max="2297" width="9.85546875" style="18" customWidth="1"/>
    <col min="2298" max="2298" width="14.42578125" style="18" customWidth="1"/>
    <col min="2299" max="2299" width="7.28515625" style="18" customWidth="1"/>
    <col min="2300" max="2300" width="5.5703125" style="18" customWidth="1"/>
    <col min="2301" max="2301" width="9" style="18" customWidth="1"/>
    <col min="2302" max="2303" width="9.85546875" style="18" customWidth="1"/>
    <col min="2304" max="2304" width="11.140625" style="18" customWidth="1"/>
    <col min="2305" max="2305" width="2.85546875" style="18" customWidth="1"/>
    <col min="2306" max="2306" width="3.5703125" style="18" customWidth="1"/>
    <col min="2307" max="2551" width="9.140625" style="18"/>
    <col min="2552" max="2552" width="8.7109375" style="18" customWidth="1"/>
    <col min="2553" max="2553" width="9.85546875" style="18" customWidth="1"/>
    <col min="2554" max="2554" width="14.42578125" style="18" customWidth="1"/>
    <col min="2555" max="2555" width="7.28515625" style="18" customWidth="1"/>
    <col min="2556" max="2556" width="5.5703125" style="18" customWidth="1"/>
    <col min="2557" max="2557" width="9" style="18" customWidth="1"/>
    <col min="2558" max="2559" width="9.85546875" style="18" customWidth="1"/>
    <col min="2560" max="2560" width="11.140625" style="18" customWidth="1"/>
    <col min="2561" max="2561" width="2.85546875" style="18" customWidth="1"/>
    <col min="2562" max="2562" width="3.5703125" style="18" customWidth="1"/>
    <col min="2563" max="2807" width="9.140625" style="18"/>
    <col min="2808" max="2808" width="8.7109375" style="18" customWidth="1"/>
    <col min="2809" max="2809" width="9.85546875" style="18" customWidth="1"/>
    <col min="2810" max="2810" width="14.42578125" style="18" customWidth="1"/>
    <col min="2811" max="2811" width="7.28515625" style="18" customWidth="1"/>
    <col min="2812" max="2812" width="5.5703125" style="18" customWidth="1"/>
    <col min="2813" max="2813" width="9" style="18" customWidth="1"/>
    <col min="2814" max="2815" width="9.85546875" style="18" customWidth="1"/>
    <col min="2816" max="2816" width="11.140625" style="18" customWidth="1"/>
    <col min="2817" max="2817" width="2.85546875" style="18" customWidth="1"/>
    <col min="2818" max="2818" width="3.5703125" style="18" customWidth="1"/>
    <col min="2819" max="3063" width="9.140625" style="18"/>
    <col min="3064" max="3064" width="8.7109375" style="18" customWidth="1"/>
    <col min="3065" max="3065" width="9.85546875" style="18" customWidth="1"/>
    <col min="3066" max="3066" width="14.42578125" style="18" customWidth="1"/>
    <col min="3067" max="3067" width="7.28515625" style="18" customWidth="1"/>
    <col min="3068" max="3068" width="5.5703125" style="18" customWidth="1"/>
    <col min="3069" max="3069" width="9" style="18" customWidth="1"/>
    <col min="3070" max="3071" width="9.85546875" style="18" customWidth="1"/>
    <col min="3072" max="3072" width="11.140625" style="18" customWidth="1"/>
    <col min="3073" max="3073" width="2.85546875" style="18" customWidth="1"/>
    <col min="3074" max="3074" width="3.5703125" style="18" customWidth="1"/>
    <col min="3075" max="3319" width="9.140625" style="18"/>
    <col min="3320" max="3320" width="8.7109375" style="18" customWidth="1"/>
    <col min="3321" max="3321" width="9.85546875" style="18" customWidth="1"/>
    <col min="3322" max="3322" width="14.42578125" style="18" customWidth="1"/>
    <col min="3323" max="3323" width="7.28515625" style="18" customWidth="1"/>
    <col min="3324" max="3324" width="5.5703125" style="18" customWidth="1"/>
    <col min="3325" max="3325" width="9" style="18" customWidth="1"/>
    <col min="3326" max="3327" width="9.85546875" style="18" customWidth="1"/>
    <col min="3328" max="3328" width="11.140625" style="18" customWidth="1"/>
    <col min="3329" max="3329" width="2.85546875" style="18" customWidth="1"/>
    <col min="3330" max="3330" width="3.5703125" style="18" customWidth="1"/>
    <col min="3331" max="3575" width="9.140625" style="18"/>
    <col min="3576" max="3576" width="8.7109375" style="18" customWidth="1"/>
    <col min="3577" max="3577" width="9.85546875" style="18" customWidth="1"/>
    <col min="3578" max="3578" width="14.42578125" style="18" customWidth="1"/>
    <col min="3579" max="3579" width="7.28515625" style="18" customWidth="1"/>
    <col min="3580" max="3580" width="5.5703125" style="18" customWidth="1"/>
    <col min="3581" max="3581" width="9" style="18" customWidth="1"/>
    <col min="3582" max="3583" width="9.85546875" style="18" customWidth="1"/>
    <col min="3584" max="3584" width="11.140625" style="18" customWidth="1"/>
    <col min="3585" max="3585" width="2.85546875" style="18" customWidth="1"/>
    <col min="3586" max="3586" width="3.5703125" style="18" customWidth="1"/>
    <col min="3587" max="3831" width="9.140625" style="18"/>
    <col min="3832" max="3832" width="8.7109375" style="18" customWidth="1"/>
    <col min="3833" max="3833" width="9.85546875" style="18" customWidth="1"/>
    <col min="3834" max="3834" width="14.42578125" style="18" customWidth="1"/>
    <col min="3835" max="3835" width="7.28515625" style="18" customWidth="1"/>
    <col min="3836" max="3836" width="5.5703125" style="18" customWidth="1"/>
    <col min="3837" max="3837" width="9" style="18" customWidth="1"/>
    <col min="3838" max="3839" width="9.85546875" style="18" customWidth="1"/>
    <col min="3840" max="3840" width="11.140625" style="18" customWidth="1"/>
    <col min="3841" max="3841" width="2.85546875" style="18" customWidth="1"/>
    <col min="3842" max="3842" width="3.5703125" style="18" customWidth="1"/>
    <col min="3843" max="4087" width="9.140625" style="18"/>
    <col min="4088" max="4088" width="8.7109375" style="18" customWidth="1"/>
    <col min="4089" max="4089" width="9.85546875" style="18" customWidth="1"/>
    <col min="4090" max="4090" width="14.42578125" style="18" customWidth="1"/>
    <col min="4091" max="4091" width="7.28515625" style="18" customWidth="1"/>
    <col min="4092" max="4092" width="5.5703125" style="18" customWidth="1"/>
    <col min="4093" max="4093" width="9" style="18" customWidth="1"/>
    <col min="4094" max="4095" width="9.85546875" style="18" customWidth="1"/>
    <col min="4096" max="4096" width="11.140625" style="18" customWidth="1"/>
    <col min="4097" max="4097" width="2.85546875" style="18" customWidth="1"/>
    <col min="4098" max="4098" width="3.5703125" style="18" customWidth="1"/>
    <col min="4099" max="4343" width="9.140625" style="18"/>
    <col min="4344" max="4344" width="8.7109375" style="18" customWidth="1"/>
    <col min="4345" max="4345" width="9.85546875" style="18" customWidth="1"/>
    <col min="4346" max="4346" width="14.42578125" style="18" customWidth="1"/>
    <col min="4347" max="4347" width="7.28515625" style="18" customWidth="1"/>
    <col min="4348" max="4348" width="5.5703125" style="18" customWidth="1"/>
    <col min="4349" max="4349" width="9" style="18" customWidth="1"/>
    <col min="4350" max="4351" width="9.85546875" style="18" customWidth="1"/>
    <col min="4352" max="4352" width="11.140625" style="18" customWidth="1"/>
    <col min="4353" max="4353" width="2.85546875" style="18" customWidth="1"/>
    <col min="4354" max="4354" width="3.5703125" style="18" customWidth="1"/>
    <col min="4355" max="4599" width="9.140625" style="18"/>
    <col min="4600" max="4600" width="8.7109375" style="18" customWidth="1"/>
    <col min="4601" max="4601" width="9.85546875" style="18" customWidth="1"/>
    <col min="4602" max="4602" width="14.42578125" style="18" customWidth="1"/>
    <col min="4603" max="4603" width="7.28515625" style="18" customWidth="1"/>
    <col min="4604" max="4604" width="5.5703125" style="18" customWidth="1"/>
    <col min="4605" max="4605" width="9" style="18" customWidth="1"/>
    <col min="4606" max="4607" width="9.85546875" style="18" customWidth="1"/>
    <col min="4608" max="4608" width="11.140625" style="18" customWidth="1"/>
    <col min="4609" max="4609" width="2.85546875" style="18" customWidth="1"/>
    <col min="4610" max="4610" width="3.5703125" style="18" customWidth="1"/>
    <col min="4611" max="4855" width="9.140625" style="18"/>
    <col min="4856" max="4856" width="8.7109375" style="18" customWidth="1"/>
    <col min="4857" max="4857" width="9.85546875" style="18" customWidth="1"/>
    <col min="4858" max="4858" width="14.42578125" style="18" customWidth="1"/>
    <col min="4859" max="4859" width="7.28515625" style="18" customWidth="1"/>
    <col min="4860" max="4860" width="5.5703125" style="18" customWidth="1"/>
    <col min="4861" max="4861" width="9" style="18" customWidth="1"/>
    <col min="4862" max="4863" width="9.85546875" style="18" customWidth="1"/>
    <col min="4864" max="4864" width="11.140625" style="18" customWidth="1"/>
    <col min="4865" max="4865" width="2.85546875" style="18" customWidth="1"/>
    <col min="4866" max="4866" width="3.5703125" style="18" customWidth="1"/>
    <col min="4867" max="5111" width="9.140625" style="18"/>
    <col min="5112" max="5112" width="8.7109375" style="18" customWidth="1"/>
    <col min="5113" max="5113" width="9.85546875" style="18" customWidth="1"/>
    <col min="5114" max="5114" width="14.42578125" style="18" customWidth="1"/>
    <col min="5115" max="5115" width="7.28515625" style="18" customWidth="1"/>
    <col min="5116" max="5116" width="5.5703125" style="18" customWidth="1"/>
    <col min="5117" max="5117" width="9" style="18" customWidth="1"/>
    <col min="5118" max="5119" width="9.85546875" style="18" customWidth="1"/>
    <col min="5120" max="5120" width="11.140625" style="18" customWidth="1"/>
    <col min="5121" max="5121" width="2.85546875" style="18" customWidth="1"/>
    <col min="5122" max="5122" width="3.5703125" style="18" customWidth="1"/>
    <col min="5123" max="5367" width="9.140625" style="18"/>
    <col min="5368" max="5368" width="8.7109375" style="18" customWidth="1"/>
    <col min="5369" max="5369" width="9.85546875" style="18" customWidth="1"/>
    <col min="5370" max="5370" width="14.42578125" style="18" customWidth="1"/>
    <col min="5371" max="5371" width="7.28515625" style="18" customWidth="1"/>
    <col min="5372" max="5372" width="5.5703125" style="18" customWidth="1"/>
    <col min="5373" max="5373" width="9" style="18" customWidth="1"/>
    <col min="5374" max="5375" width="9.85546875" style="18" customWidth="1"/>
    <col min="5376" max="5376" width="11.140625" style="18" customWidth="1"/>
    <col min="5377" max="5377" width="2.85546875" style="18" customWidth="1"/>
    <col min="5378" max="5378" width="3.5703125" style="18" customWidth="1"/>
    <col min="5379" max="5623" width="9.140625" style="18"/>
    <col min="5624" max="5624" width="8.7109375" style="18" customWidth="1"/>
    <col min="5625" max="5625" width="9.85546875" style="18" customWidth="1"/>
    <col min="5626" max="5626" width="14.42578125" style="18" customWidth="1"/>
    <col min="5627" max="5627" width="7.28515625" style="18" customWidth="1"/>
    <col min="5628" max="5628" width="5.5703125" style="18" customWidth="1"/>
    <col min="5629" max="5629" width="9" style="18" customWidth="1"/>
    <col min="5630" max="5631" width="9.85546875" style="18" customWidth="1"/>
    <col min="5632" max="5632" width="11.140625" style="18" customWidth="1"/>
    <col min="5633" max="5633" width="2.85546875" style="18" customWidth="1"/>
    <col min="5634" max="5634" width="3.5703125" style="18" customWidth="1"/>
    <col min="5635" max="5879" width="9.140625" style="18"/>
    <col min="5880" max="5880" width="8.7109375" style="18" customWidth="1"/>
    <col min="5881" max="5881" width="9.85546875" style="18" customWidth="1"/>
    <col min="5882" max="5882" width="14.42578125" style="18" customWidth="1"/>
    <col min="5883" max="5883" width="7.28515625" style="18" customWidth="1"/>
    <col min="5884" max="5884" width="5.5703125" style="18" customWidth="1"/>
    <col min="5885" max="5885" width="9" style="18" customWidth="1"/>
    <col min="5886" max="5887" width="9.85546875" style="18" customWidth="1"/>
    <col min="5888" max="5888" width="11.140625" style="18" customWidth="1"/>
    <col min="5889" max="5889" width="2.85546875" style="18" customWidth="1"/>
    <col min="5890" max="5890" width="3.5703125" style="18" customWidth="1"/>
    <col min="5891" max="6135" width="9.140625" style="18"/>
    <col min="6136" max="6136" width="8.7109375" style="18" customWidth="1"/>
    <col min="6137" max="6137" width="9.85546875" style="18" customWidth="1"/>
    <col min="6138" max="6138" width="14.42578125" style="18" customWidth="1"/>
    <col min="6139" max="6139" width="7.28515625" style="18" customWidth="1"/>
    <col min="6140" max="6140" width="5.5703125" style="18" customWidth="1"/>
    <col min="6141" max="6141" width="9" style="18" customWidth="1"/>
    <col min="6142" max="6143" width="9.85546875" style="18" customWidth="1"/>
    <col min="6144" max="6144" width="11.140625" style="18" customWidth="1"/>
    <col min="6145" max="6145" width="2.85546875" style="18" customWidth="1"/>
    <col min="6146" max="6146" width="3.5703125" style="18" customWidth="1"/>
    <col min="6147" max="6391" width="9.140625" style="18"/>
    <col min="6392" max="6392" width="8.7109375" style="18" customWidth="1"/>
    <col min="6393" max="6393" width="9.85546875" style="18" customWidth="1"/>
    <col min="6394" max="6394" width="14.42578125" style="18" customWidth="1"/>
    <col min="6395" max="6395" width="7.28515625" style="18" customWidth="1"/>
    <col min="6396" max="6396" width="5.5703125" style="18" customWidth="1"/>
    <col min="6397" max="6397" width="9" style="18" customWidth="1"/>
    <col min="6398" max="6399" width="9.85546875" style="18" customWidth="1"/>
    <col min="6400" max="6400" width="11.140625" style="18" customWidth="1"/>
    <col min="6401" max="6401" width="2.85546875" style="18" customWidth="1"/>
    <col min="6402" max="6402" width="3.5703125" style="18" customWidth="1"/>
    <col min="6403" max="6647" width="9.140625" style="18"/>
    <col min="6648" max="6648" width="8.7109375" style="18" customWidth="1"/>
    <col min="6649" max="6649" width="9.85546875" style="18" customWidth="1"/>
    <col min="6650" max="6650" width="14.42578125" style="18" customWidth="1"/>
    <col min="6651" max="6651" width="7.28515625" style="18" customWidth="1"/>
    <col min="6652" max="6652" width="5.5703125" style="18" customWidth="1"/>
    <col min="6653" max="6653" width="9" style="18" customWidth="1"/>
    <col min="6654" max="6655" width="9.85546875" style="18" customWidth="1"/>
    <col min="6656" max="6656" width="11.140625" style="18" customWidth="1"/>
    <col min="6657" max="6657" width="2.85546875" style="18" customWidth="1"/>
    <col min="6658" max="6658" width="3.5703125" style="18" customWidth="1"/>
    <col min="6659" max="6903" width="9.140625" style="18"/>
    <col min="6904" max="6904" width="8.7109375" style="18" customWidth="1"/>
    <col min="6905" max="6905" width="9.85546875" style="18" customWidth="1"/>
    <col min="6906" max="6906" width="14.42578125" style="18" customWidth="1"/>
    <col min="6907" max="6907" width="7.28515625" style="18" customWidth="1"/>
    <col min="6908" max="6908" width="5.5703125" style="18" customWidth="1"/>
    <col min="6909" max="6909" width="9" style="18" customWidth="1"/>
    <col min="6910" max="6911" width="9.85546875" style="18" customWidth="1"/>
    <col min="6912" max="6912" width="11.140625" style="18" customWidth="1"/>
    <col min="6913" max="6913" width="2.85546875" style="18" customWidth="1"/>
    <col min="6914" max="6914" width="3.5703125" style="18" customWidth="1"/>
    <col min="6915" max="7159" width="9.140625" style="18"/>
    <col min="7160" max="7160" width="8.7109375" style="18" customWidth="1"/>
    <col min="7161" max="7161" width="9.85546875" style="18" customWidth="1"/>
    <col min="7162" max="7162" width="14.42578125" style="18" customWidth="1"/>
    <col min="7163" max="7163" width="7.28515625" style="18" customWidth="1"/>
    <col min="7164" max="7164" width="5.5703125" style="18" customWidth="1"/>
    <col min="7165" max="7165" width="9" style="18" customWidth="1"/>
    <col min="7166" max="7167" width="9.85546875" style="18" customWidth="1"/>
    <col min="7168" max="7168" width="11.140625" style="18" customWidth="1"/>
    <col min="7169" max="7169" width="2.85546875" style="18" customWidth="1"/>
    <col min="7170" max="7170" width="3.5703125" style="18" customWidth="1"/>
    <col min="7171" max="7415" width="9.140625" style="18"/>
    <col min="7416" max="7416" width="8.7109375" style="18" customWidth="1"/>
    <col min="7417" max="7417" width="9.85546875" style="18" customWidth="1"/>
    <col min="7418" max="7418" width="14.42578125" style="18" customWidth="1"/>
    <col min="7419" max="7419" width="7.28515625" style="18" customWidth="1"/>
    <col min="7420" max="7420" width="5.5703125" style="18" customWidth="1"/>
    <col min="7421" max="7421" width="9" style="18" customWidth="1"/>
    <col min="7422" max="7423" width="9.85546875" style="18" customWidth="1"/>
    <col min="7424" max="7424" width="11.140625" style="18" customWidth="1"/>
    <col min="7425" max="7425" width="2.85546875" style="18" customWidth="1"/>
    <col min="7426" max="7426" width="3.5703125" style="18" customWidth="1"/>
    <col min="7427" max="7671" width="9.140625" style="18"/>
    <col min="7672" max="7672" width="8.7109375" style="18" customWidth="1"/>
    <col min="7673" max="7673" width="9.85546875" style="18" customWidth="1"/>
    <col min="7674" max="7674" width="14.42578125" style="18" customWidth="1"/>
    <col min="7675" max="7675" width="7.28515625" style="18" customWidth="1"/>
    <col min="7676" max="7676" width="5.5703125" style="18" customWidth="1"/>
    <col min="7677" max="7677" width="9" style="18" customWidth="1"/>
    <col min="7678" max="7679" width="9.85546875" style="18" customWidth="1"/>
    <col min="7680" max="7680" width="11.140625" style="18" customWidth="1"/>
    <col min="7681" max="7681" width="2.85546875" style="18" customWidth="1"/>
    <col min="7682" max="7682" width="3.5703125" style="18" customWidth="1"/>
    <col min="7683" max="7927" width="9.140625" style="18"/>
    <col min="7928" max="7928" width="8.7109375" style="18" customWidth="1"/>
    <col min="7929" max="7929" width="9.85546875" style="18" customWidth="1"/>
    <col min="7930" max="7930" width="14.42578125" style="18" customWidth="1"/>
    <col min="7931" max="7931" width="7.28515625" style="18" customWidth="1"/>
    <col min="7932" max="7932" width="5.5703125" style="18" customWidth="1"/>
    <col min="7933" max="7933" width="9" style="18" customWidth="1"/>
    <col min="7934" max="7935" width="9.85546875" style="18" customWidth="1"/>
    <col min="7936" max="7936" width="11.140625" style="18" customWidth="1"/>
    <col min="7937" max="7937" width="2.85546875" style="18" customWidth="1"/>
    <col min="7938" max="7938" width="3.5703125" style="18" customWidth="1"/>
    <col min="7939" max="8183" width="9.140625" style="18"/>
    <col min="8184" max="8184" width="8.7109375" style="18" customWidth="1"/>
    <col min="8185" max="8185" width="9.85546875" style="18" customWidth="1"/>
    <col min="8186" max="8186" width="14.42578125" style="18" customWidth="1"/>
    <col min="8187" max="8187" width="7.28515625" style="18" customWidth="1"/>
    <col min="8188" max="8188" width="5.5703125" style="18" customWidth="1"/>
    <col min="8189" max="8189" width="9" style="18" customWidth="1"/>
    <col min="8190" max="8191" width="9.85546875" style="18" customWidth="1"/>
    <col min="8192" max="8192" width="11.140625" style="18" customWidth="1"/>
    <col min="8193" max="8193" width="2.85546875" style="18" customWidth="1"/>
    <col min="8194" max="8194" width="3.5703125" style="18" customWidth="1"/>
    <col min="8195" max="8439" width="9.140625" style="18"/>
    <col min="8440" max="8440" width="8.7109375" style="18" customWidth="1"/>
    <col min="8441" max="8441" width="9.85546875" style="18" customWidth="1"/>
    <col min="8442" max="8442" width="14.42578125" style="18" customWidth="1"/>
    <col min="8443" max="8443" width="7.28515625" style="18" customWidth="1"/>
    <col min="8444" max="8444" width="5.5703125" style="18" customWidth="1"/>
    <col min="8445" max="8445" width="9" style="18" customWidth="1"/>
    <col min="8446" max="8447" width="9.85546875" style="18" customWidth="1"/>
    <col min="8448" max="8448" width="11.140625" style="18" customWidth="1"/>
    <col min="8449" max="8449" width="2.85546875" style="18" customWidth="1"/>
    <col min="8450" max="8450" width="3.5703125" style="18" customWidth="1"/>
    <col min="8451" max="8695" width="9.140625" style="18"/>
    <col min="8696" max="8696" width="8.7109375" style="18" customWidth="1"/>
    <col min="8697" max="8697" width="9.85546875" style="18" customWidth="1"/>
    <col min="8698" max="8698" width="14.42578125" style="18" customWidth="1"/>
    <col min="8699" max="8699" width="7.28515625" style="18" customWidth="1"/>
    <col min="8700" max="8700" width="5.5703125" style="18" customWidth="1"/>
    <col min="8701" max="8701" width="9" style="18" customWidth="1"/>
    <col min="8702" max="8703" width="9.85546875" style="18" customWidth="1"/>
    <col min="8704" max="8704" width="11.140625" style="18" customWidth="1"/>
    <col min="8705" max="8705" width="2.85546875" style="18" customWidth="1"/>
    <col min="8706" max="8706" width="3.5703125" style="18" customWidth="1"/>
    <col min="8707" max="8951" width="9.140625" style="18"/>
    <col min="8952" max="8952" width="8.7109375" style="18" customWidth="1"/>
    <col min="8953" max="8953" width="9.85546875" style="18" customWidth="1"/>
    <col min="8954" max="8954" width="14.42578125" style="18" customWidth="1"/>
    <col min="8955" max="8955" width="7.28515625" style="18" customWidth="1"/>
    <col min="8956" max="8956" width="5.5703125" style="18" customWidth="1"/>
    <col min="8957" max="8957" width="9" style="18" customWidth="1"/>
    <col min="8958" max="8959" width="9.85546875" style="18" customWidth="1"/>
    <col min="8960" max="8960" width="11.140625" style="18" customWidth="1"/>
    <col min="8961" max="8961" width="2.85546875" style="18" customWidth="1"/>
    <col min="8962" max="8962" width="3.5703125" style="18" customWidth="1"/>
    <col min="8963" max="9207" width="9.140625" style="18"/>
    <col min="9208" max="9208" width="8.7109375" style="18" customWidth="1"/>
    <col min="9209" max="9209" width="9.85546875" style="18" customWidth="1"/>
    <col min="9210" max="9210" width="14.42578125" style="18" customWidth="1"/>
    <col min="9211" max="9211" width="7.28515625" style="18" customWidth="1"/>
    <col min="9212" max="9212" width="5.5703125" style="18" customWidth="1"/>
    <col min="9213" max="9213" width="9" style="18" customWidth="1"/>
    <col min="9214" max="9215" width="9.85546875" style="18" customWidth="1"/>
    <col min="9216" max="9216" width="11.140625" style="18" customWidth="1"/>
    <col min="9217" max="9217" width="2.85546875" style="18" customWidth="1"/>
    <col min="9218" max="9218" width="3.5703125" style="18" customWidth="1"/>
    <col min="9219" max="9463" width="9.140625" style="18"/>
    <col min="9464" max="9464" width="8.7109375" style="18" customWidth="1"/>
    <col min="9465" max="9465" width="9.85546875" style="18" customWidth="1"/>
    <col min="9466" max="9466" width="14.42578125" style="18" customWidth="1"/>
    <col min="9467" max="9467" width="7.28515625" style="18" customWidth="1"/>
    <col min="9468" max="9468" width="5.5703125" style="18" customWidth="1"/>
    <col min="9469" max="9469" width="9" style="18" customWidth="1"/>
    <col min="9470" max="9471" width="9.85546875" style="18" customWidth="1"/>
    <col min="9472" max="9472" width="11.140625" style="18" customWidth="1"/>
    <col min="9473" max="9473" width="2.85546875" style="18" customWidth="1"/>
    <col min="9474" max="9474" width="3.5703125" style="18" customWidth="1"/>
    <col min="9475" max="9719" width="9.140625" style="18"/>
    <col min="9720" max="9720" width="8.7109375" style="18" customWidth="1"/>
    <col min="9721" max="9721" width="9.85546875" style="18" customWidth="1"/>
    <col min="9722" max="9722" width="14.42578125" style="18" customWidth="1"/>
    <col min="9723" max="9723" width="7.28515625" style="18" customWidth="1"/>
    <col min="9724" max="9724" width="5.5703125" style="18" customWidth="1"/>
    <col min="9725" max="9725" width="9" style="18" customWidth="1"/>
    <col min="9726" max="9727" width="9.85546875" style="18" customWidth="1"/>
    <col min="9728" max="9728" width="11.140625" style="18" customWidth="1"/>
    <col min="9729" max="9729" width="2.85546875" style="18" customWidth="1"/>
    <col min="9730" max="9730" width="3.5703125" style="18" customWidth="1"/>
    <col min="9731" max="9975" width="9.140625" style="18"/>
    <col min="9976" max="9976" width="8.7109375" style="18" customWidth="1"/>
    <col min="9977" max="9977" width="9.85546875" style="18" customWidth="1"/>
    <col min="9978" max="9978" width="14.42578125" style="18" customWidth="1"/>
    <col min="9979" max="9979" width="7.28515625" style="18" customWidth="1"/>
    <col min="9980" max="9980" width="5.5703125" style="18" customWidth="1"/>
    <col min="9981" max="9981" width="9" style="18" customWidth="1"/>
    <col min="9982" max="9983" width="9.85546875" style="18" customWidth="1"/>
    <col min="9984" max="9984" width="11.140625" style="18" customWidth="1"/>
    <col min="9985" max="9985" width="2.85546875" style="18" customWidth="1"/>
    <col min="9986" max="9986" width="3.5703125" style="18" customWidth="1"/>
    <col min="9987" max="10231" width="9.140625" style="18"/>
    <col min="10232" max="10232" width="8.7109375" style="18" customWidth="1"/>
    <col min="10233" max="10233" width="9.85546875" style="18" customWidth="1"/>
    <col min="10234" max="10234" width="14.42578125" style="18" customWidth="1"/>
    <col min="10235" max="10235" width="7.28515625" style="18" customWidth="1"/>
    <col min="10236" max="10236" width="5.5703125" style="18" customWidth="1"/>
    <col min="10237" max="10237" width="9" style="18" customWidth="1"/>
    <col min="10238" max="10239" width="9.85546875" style="18" customWidth="1"/>
    <col min="10240" max="10240" width="11.140625" style="18" customWidth="1"/>
    <col min="10241" max="10241" width="2.85546875" style="18" customWidth="1"/>
    <col min="10242" max="10242" width="3.5703125" style="18" customWidth="1"/>
    <col min="10243" max="10487" width="9.140625" style="18"/>
    <col min="10488" max="10488" width="8.7109375" style="18" customWidth="1"/>
    <col min="10489" max="10489" width="9.85546875" style="18" customWidth="1"/>
    <col min="10490" max="10490" width="14.42578125" style="18" customWidth="1"/>
    <col min="10491" max="10491" width="7.28515625" style="18" customWidth="1"/>
    <col min="10492" max="10492" width="5.5703125" style="18" customWidth="1"/>
    <col min="10493" max="10493" width="9" style="18" customWidth="1"/>
    <col min="10494" max="10495" width="9.85546875" style="18" customWidth="1"/>
    <col min="10496" max="10496" width="11.140625" style="18" customWidth="1"/>
    <col min="10497" max="10497" width="2.85546875" style="18" customWidth="1"/>
    <col min="10498" max="10498" width="3.5703125" style="18" customWidth="1"/>
    <col min="10499" max="10743" width="9.140625" style="18"/>
    <col min="10744" max="10744" width="8.7109375" style="18" customWidth="1"/>
    <col min="10745" max="10745" width="9.85546875" style="18" customWidth="1"/>
    <col min="10746" max="10746" width="14.42578125" style="18" customWidth="1"/>
    <col min="10747" max="10747" width="7.28515625" style="18" customWidth="1"/>
    <col min="10748" max="10748" width="5.5703125" style="18" customWidth="1"/>
    <col min="10749" max="10749" width="9" style="18" customWidth="1"/>
    <col min="10750" max="10751" width="9.85546875" style="18" customWidth="1"/>
    <col min="10752" max="10752" width="11.140625" style="18" customWidth="1"/>
    <col min="10753" max="10753" width="2.85546875" style="18" customWidth="1"/>
    <col min="10754" max="10754" width="3.5703125" style="18" customWidth="1"/>
    <col min="10755" max="10999" width="9.140625" style="18"/>
    <col min="11000" max="11000" width="8.7109375" style="18" customWidth="1"/>
    <col min="11001" max="11001" width="9.85546875" style="18" customWidth="1"/>
    <col min="11002" max="11002" width="14.42578125" style="18" customWidth="1"/>
    <col min="11003" max="11003" width="7.28515625" style="18" customWidth="1"/>
    <col min="11004" max="11004" width="5.5703125" style="18" customWidth="1"/>
    <col min="11005" max="11005" width="9" style="18" customWidth="1"/>
    <col min="11006" max="11007" width="9.85546875" style="18" customWidth="1"/>
    <col min="11008" max="11008" width="11.140625" style="18" customWidth="1"/>
    <col min="11009" max="11009" width="2.85546875" style="18" customWidth="1"/>
    <col min="11010" max="11010" width="3.5703125" style="18" customWidth="1"/>
    <col min="11011" max="11255" width="9.140625" style="18"/>
    <col min="11256" max="11256" width="8.7109375" style="18" customWidth="1"/>
    <col min="11257" max="11257" width="9.85546875" style="18" customWidth="1"/>
    <col min="11258" max="11258" width="14.42578125" style="18" customWidth="1"/>
    <col min="11259" max="11259" width="7.28515625" style="18" customWidth="1"/>
    <col min="11260" max="11260" width="5.5703125" style="18" customWidth="1"/>
    <col min="11261" max="11261" width="9" style="18" customWidth="1"/>
    <col min="11262" max="11263" width="9.85546875" style="18" customWidth="1"/>
    <col min="11264" max="11264" width="11.140625" style="18" customWidth="1"/>
    <col min="11265" max="11265" width="2.85546875" style="18" customWidth="1"/>
    <col min="11266" max="11266" width="3.5703125" style="18" customWidth="1"/>
    <col min="11267" max="11511" width="9.140625" style="18"/>
    <col min="11512" max="11512" width="8.7109375" style="18" customWidth="1"/>
    <col min="11513" max="11513" width="9.85546875" style="18" customWidth="1"/>
    <col min="11514" max="11514" width="14.42578125" style="18" customWidth="1"/>
    <col min="11515" max="11515" width="7.28515625" style="18" customWidth="1"/>
    <col min="11516" max="11516" width="5.5703125" style="18" customWidth="1"/>
    <col min="11517" max="11517" width="9" style="18" customWidth="1"/>
    <col min="11518" max="11519" width="9.85546875" style="18" customWidth="1"/>
    <col min="11520" max="11520" width="11.140625" style="18" customWidth="1"/>
    <col min="11521" max="11521" width="2.85546875" style="18" customWidth="1"/>
    <col min="11522" max="11522" width="3.5703125" style="18" customWidth="1"/>
    <col min="11523" max="11767" width="9.140625" style="18"/>
    <col min="11768" max="11768" width="8.7109375" style="18" customWidth="1"/>
    <col min="11769" max="11769" width="9.85546875" style="18" customWidth="1"/>
    <col min="11770" max="11770" width="14.42578125" style="18" customWidth="1"/>
    <col min="11771" max="11771" width="7.28515625" style="18" customWidth="1"/>
    <col min="11772" max="11772" width="5.5703125" style="18" customWidth="1"/>
    <col min="11773" max="11773" width="9" style="18" customWidth="1"/>
    <col min="11774" max="11775" width="9.85546875" style="18" customWidth="1"/>
    <col min="11776" max="11776" width="11.140625" style="18" customWidth="1"/>
    <col min="11777" max="11777" width="2.85546875" style="18" customWidth="1"/>
    <col min="11778" max="11778" width="3.5703125" style="18" customWidth="1"/>
    <col min="11779" max="12023" width="9.140625" style="18"/>
    <col min="12024" max="12024" width="8.7109375" style="18" customWidth="1"/>
    <col min="12025" max="12025" width="9.85546875" style="18" customWidth="1"/>
    <col min="12026" max="12026" width="14.42578125" style="18" customWidth="1"/>
    <col min="12027" max="12027" width="7.28515625" style="18" customWidth="1"/>
    <col min="12028" max="12028" width="5.5703125" style="18" customWidth="1"/>
    <col min="12029" max="12029" width="9" style="18" customWidth="1"/>
    <col min="12030" max="12031" width="9.85546875" style="18" customWidth="1"/>
    <col min="12032" max="12032" width="11.140625" style="18" customWidth="1"/>
    <col min="12033" max="12033" width="2.85546875" style="18" customWidth="1"/>
    <col min="12034" max="12034" width="3.5703125" style="18" customWidth="1"/>
    <col min="12035" max="12279" width="9.140625" style="18"/>
    <col min="12280" max="12280" width="8.7109375" style="18" customWidth="1"/>
    <col min="12281" max="12281" width="9.85546875" style="18" customWidth="1"/>
    <col min="12282" max="12282" width="14.42578125" style="18" customWidth="1"/>
    <col min="12283" max="12283" width="7.28515625" style="18" customWidth="1"/>
    <col min="12284" max="12284" width="5.5703125" style="18" customWidth="1"/>
    <col min="12285" max="12285" width="9" style="18" customWidth="1"/>
    <col min="12286" max="12287" width="9.85546875" style="18" customWidth="1"/>
    <col min="12288" max="12288" width="11.140625" style="18" customWidth="1"/>
    <col min="12289" max="12289" width="2.85546875" style="18" customWidth="1"/>
    <col min="12290" max="12290" width="3.5703125" style="18" customWidth="1"/>
    <col min="12291" max="12535" width="9.140625" style="18"/>
    <col min="12536" max="12536" width="8.7109375" style="18" customWidth="1"/>
    <col min="12537" max="12537" width="9.85546875" style="18" customWidth="1"/>
    <col min="12538" max="12538" width="14.42578125" style="18" customWidth="1"/>
    <col min="12539" max="12539" width="7.28515625" style="18" customWidth="1"/>
    <col min="12540" max="12540" width="5.5703125" style="18" customWidth="1"/>
    <col min="12541" max="12541" width="9" style="18" customWidth="1"/>
    <col min="12542" max="12543" width="9.85546875" style="18" customWidth="1"/>
    <col min="12544" max="12544" width="11.140625" style="18" customWidth="1"/>
    <col min="12545" max="12545" width="2.85546875" style="18" customWidth="1"/>
    <col min="12546" max="12546" width="3.5703125" style="18" customWidth="1"/>
    <col min="12547" max="12791" width="9.140625" style="18"/>
    <col min="12792" max="12792" width="8.7109375" style="18" customWidth="1"/>
    <col min="12793" max="12793" width="9.85546875" style="18" customWidth="1"/>
    <col min="12794" max="12794" width="14.42578125" style="18" customWidth="1"/>
    <col min="12795" max="12795" width="7.28515625" style="18" customWidth="1"/>
    <col min="12796" max="12796" width="5.5703125" style="18" customWidth="1"/>
    <col min="12797" max="12797" width="9" style="18" customWidth="1"/>
    <col min="12798" max="12799" width="9.85546875" style="18" customWidth="1"/>
    <col min="12800" max="12800" width="11.140625" style="18" customWidth="1"/>
    <col min="12801" max="12801" width="2.85546875" style="18" customWidth="1"/>
    <col min="12802" max="12802" width="3.5703125" style="18" customWidth="1"/>
    <col min="12803" max="13047" width="9.140625" style="18"/>
    <col min="13048" max="13048" width="8.7109375" style="18" customWidth="1"/>
    <col min="13049" max="13049" width="9.85546875" style="18" customWidth="1"/>
    <col min="13050" max="13050" width="14.42578125" style="18" customWidth="1"/>
    <col min="13051" max="13051" width="7.28515625" style="18" customWidth="1"/>
    <col min="13052" max="13052" width="5.5703125" style="18" customWidth="1"/>
    <col min="13053" max="13053" width="9" style="18" customWidth="1"/>
    <col min="13054" max="13055" width="9.85546875" style="18" customWidth="1"/>
    <col min="13056" max="13056" width="11.140625" style="18" customWidth="1"/>
    <col min="13057" max="13057" width="2.85546875" style="18" customWidth="1"/>
    <col min="13058" max="13058" width="3.5703125" style="18" customWidth="1"/>
    <col min="13059" max="13303" width="9.140625" style="18"/>
    <col min="13304" max="13304" width="8.7109375" style="18" customWidth="1"/>
    <col min="13305" max="13305" width="9.85546875" style="18" customWidth="1"/>
    <col min="13306" max="13306" width="14.42578125" style="18" customWidth="1"/>
    <col min="13307" max="13307" width="7.28515625" style="18" customWidth="1"/>
    <col min="13308" max="13308" width="5.5703125" style="18" customWidth="1"/>
    <col min="13309" max="13309" width="9" style="18" customWidth="1"/>
    <col min="13310" max="13311" width="9.85546875" style="18" customWidth="1"/>
    <col min="13312" max="13312" width="11.140625" style="18" customWidth="1"/>
    <col min="13313" max="13313" width="2.85546875" style="18" customWidth="1"/>
    <col min="13314" max="13314" width="3.5703125" style="18" customWidth="1"/>
    <col min="13315" max="13559" width="9.140625" style="18"/>
    <col min="13560" max="13560" width="8.7109375" style="18" customWidth="1"/>
    <col min="13561" max="13561" width="9.85546875" style="18" customWidth="1"/>
    <col min="13562" max="13562" width="14.42578125" style="18" customWidth="1"/>
    <col min="13563" max="13563" width="7.28515625" style="18" customWidth="1"/>
    <col min="13564" max="13564" width="5.5703125" style="18" customWidth="1"/>
    <col min="13565" max="13565" width="9" style="18" customWidth="1"/>
    <col min="13566" max="13567" width="9.85546875" style="18" customWidth="1"/>
    <col min="13568" max="13568" width="11.140625" style="18" customWidth="1"/>
    <col min="13569" max="13569" width="2.85546875" style="18" customWidth="1"/>
    <col min="13570" max="13570" width="3.5703125" style="18" customWidth="1"/>
    <col min="13571" max="13815" width="9.140625" style="18"/>
    <col min="13816" max="13816" width="8.7109375" style="18" customWidth="1"/>
    <col min="13817" max="13817" width="9.85546875" style="18" customWidth="1"/>
    <col min="13818" max="13818" width="14.42578125" style="18" customWidth="1"/>
    <col min="13819" max="13819" width="7.28515625" style="18" customWidth="1"/>
    <col min="13820" max="13820" width="5.5703125" style="18" customWidth="1"/>
    <col min="13821" max="13821" width="9" style="18" customWidth="1"/>
    <col min="13822" max="13823" width="9.85546875" style="18" customWidth="1"/>
    <col min="13824" max="13824" width="11.140625" style="18" customWidth="1"/>
    <col min="13825" max="13825" width="2.85546875" style="18" customWidth="1"/>
    <col min="13826" max="13826" width="3.5703125" style="18" customWidth="1"/>
    <col min="13827" max="14071" width="9.140625" style="18"/>
    <col min="14072" max="14072" width="8.7109375" style="18" customWidth="1"/>
    <col min="14073" max="14073" width="9.85546875" style="18" customWidth="1"/>
    <col min="14074" max="14074" width="14.42578125" style="18" customWidth="1"/>
    <col min="14075" max="14075" width="7.28515625" style="18" customWidth="1"/>
    <col min="14076" max="14076" width="5.5703125" style="18" customWidth="1"/>
    <col min="14077" max="14077" width="9" style="18" customWidth="1"/>
    <col min="14078" max="14079" width="9.85546875" style="18" customWidth="1"/>
    <col min="14080" max="14080" width="11.140625" style="18" customWidth="1"/>
    <col min="14081" max="14081" width="2.85546875" style="18" customWidth="1"/>
    <col min="14082" max="14082" width="3.5703125" style="18" customWidth="1"/>
    <col min="14083" max="14327" width="9.140625" style="18"/>
    <col min="14328" max="14328" width="8.7109375" style="18" customWidth="1"/>
    <col min="14329" max="14329" width="9.85546875" style="18" customWidth="1"/>
    <col min="14330" max="14330" width="14.42578125" style="18" customWidth="1"/>
    <col min="14331" max="14331" width="7.28515625" style="18" customWidth="1"/>
    <col min="14332" max="14332" width="5.5703125" style="18" customWidth="1"/>
    <col min="14333" max="14333" width="9" style="18" customWidth="1"/>
    <col min="14334" max="14335" width="9.85546875" style="18" customWidth="1"/>
    <col min="14336" max="14336" width="11.140625" style="18" customWidth="1"/>
    <col min="14337" max="14337" width="2.85546875" style="18" customWidth="1"/>
    <col min="14338" max="14338" width="3.5703125" style="18" customWidth="1"/>
    <col min="14339" max="14583" width="9.140625" style="18"/>
    <col min="14584" max="14584" width="8.7109375" style="18" customWidth="1"/>
    <col min="14585" max="14585" width="9.85546875" style="18" customWidth="1"/>
    <col min="14586" max="14586" width="14.42578125" style="18" customWidth="1"/>
    <col min="14587" max="14587" width="7.28515625" style="18" customWidth="1"/>
    <col min="14588" max="14588" width="5.5703125" style="18" customWidth="1"/>
    <col min="14589" max="14589" width="9" style="18" customWidth="1"/>
    <col min="14590" max="14591" width="9.85546875" style="18" customWidth="1"/>
    <col min="14592" max="14592" width="11.140625" style="18" customWidth="1"/>
    <col min="14593" max="14593" width="2.85546875" style="18" customWidth="1"/>
    <col min="14594" max="14594" width="3.5703125" style="18" customWidth="1"/>
    <col min="14595" max="14839" width="9.140625" style="18"/>
    <col min="14840" max="14840" width="8.7109375" style="18" customWidth="1"/>
    <col min="14841" max="14841" width="9.85546875" style="18" customWidth="1"/>
    <col min="14842" max="14842" width="14.42578125" style="18" customWidth="1"/>
    <col min="14843" max="14843" width="7.28515625" style="18" customWidth="1"/>
    <col min="14844" max="14844" width="5.5703125" style="18" customWidth="1"/>
    <col min="14845" max="14845" width="9" style="18" customWidth="1"/>
    <col min="14846" max="14847" width="9.85546875" style="18" customWidth="1"/>
    <col min="14848" max="14848" width="11.140625" style="18" customWidth="1"/>
    <col min="14849" max="14849" width="2.85546875" style="18" customWidth="1"/>
    <col min="14850" max="14850" width="3.5703125" style="18" customWidth="1"/>
    <col min="14851" max="15095" width="9.140625" style="18"/>
    <col min="15096" max="15096" width="8.7109375" style="18" customWidth="1"/>
    <col min="15097" max="15097" width="9.85546875" style="18" customWidth="1"/>
    <col min="15098" max="15098" width="14.42578125" style="18" customWidth="1"/>
    <col min="15099" max="15099" width="7.28515625" style="18" customWidth="1"/>
    <col min="15100" max="15100" width="5.5703125" style="18" customWidth="1"/>
    <col min="15101" max="15101" width="9" style="18" customWidth="1"/>
    <col min="15102" max="15103" width="9.85546875" style="18" customWidth="1"/>
    <col min="15104" max="15104" width="11.140625" style="18" customWidth="1"/>
    <col min="15105" max="15105" width="2.85546875" style="18" customWidth="1"/>
    <col min="15106" max="15106" width="3.5703125" style="18" customWidth="1"/>
    <col min="15107" max="15351" width="9.140625" style="18"/>
    <col min="15352" max="15352" width="8.7109375" style="18" customWidth="1"/>
    <col min="15353" max="15353" width="9.85546875" style="18" customWidth="1"/>
    <col min="15354" max="15354" width="14.42578125" style="18" customWidth="1"/>
    <col min="15355" max="15355" width="7.28515625" style="18" customWidth="1"/>
    <col min="15356" max="15356" width="5.5703125" style="18" customWidth="1"/>
    <col min="15357" max="15357" width="9" style="18" customWidth="1"/>
    <col min="15358" max="15359" width="9.85546875" style="18" customWidth="1"/>
    <col min="15360" max="15360" width="11.140625" style="18" customWidth="1"/>
    <col min="15361" max="15361" width="2.85546875" style="18" customWidth="1"/>
    <col min="15362" max="15362" width="3.5703125" style="18" customWidth="1"/>
    <col min="15363" max="15607" width="9.140625" style="18"/>
    <col min="15608" max="15608" width="8.7109375" style="18" customWidth="1"/>
    <col min="15609" max="15609" width="9.85546875" style="18" customWidth="1"/>
    <col min="15610" max="15610" width="14.42578125" style="18" customWidth="1"/>
    <col min="15611" max="15611" width="7.28515625" style="18" customWidth="1"/>
    <col min="15612" max="15612" width="5.5703125" style="18" customWidth="1"/>
    <col min="15613" max="15613" width="9" style="18" customWidth="1"/>
    <col min="15614" max="15615" width="9.85546875" style="18" customWidth="1"/>
    <col min="15616" max="15616" width="11.140625" style="18" customWidth="1"/>
    <col min="15617" max="15617" width="2.85546875" style="18" customWidth="1"/>
    <col min="15618" max="15618" width="3.5703125" style="18" customWidth="1"/>
    <col min="15619" max="15863" width="9.140625" style="18"/>
    <col min="15864" max="15864" width="8.7109375" style="18" customWidth="1"/>
    <col min="15865" max="15865" width="9.85546875" style="18" customWidth="1"/>
    <col min="15866" max="15866" width="14.42578125" style="18" customWidth="1"/>
    <col min="15867" max="15867" width="7.28515625" style="18" customWidth="1"/>
    <col min="15868" max="15868" width="5.5703125" style="18" customWidth="1"/>
    <col min="15869" max="15869" width="9" style="18" customWidth="1"/>
    <col min="15870" max="15871" width="9.85546875" style="18" customWidth="1"/>
    <col min="15872" max="15872" width="11.140625" style="18" customWidth="1"/>
    <col min="15873" max="15873" width="2.85546875" style="18" customWidth="1"/>
    <col min="15874" max="15874" width="3.5703125" style="18" customWidth="1"/>
    <col min="15875" max="16119" width="9.140625" style="18"/>
    <col min="16120" max="16120" width="8.7109375" style="18" customWidth="1"/>
    <col min="16121" max="16121" width="9.85546875" style="18" customWidth="1"/>
    <col min="16122" max="16122" width="14.42578125" style="18" customWidth="1"/>
    <col min="16123" max="16123" width="7.28515625" style="18" customWidth="1"/>
    <col min="16124" max="16124" width="5.5703125" style="18" customWidth="1"/>
    <col min="16125" max="16125" width="9" style="18" customWidth="1"/>
    <col min="16126" max="16127" width="9.85546875" style="18" customWidth="1"/>
    <col min="16128" max="16128" width="11.140625" style="18" customWidth="1"/>
    <col min="16129" max="16129" width="2.85546875" style="18" customWidth="1"/>
    <col min="16130" max="16130" width="3.5703125" style="18" customWidth="1"/>
    <col min="16131" max="16384" width="9.140625" style="18"/>
  </cols>
  <sheetData>
    <row r="1" spans="1:26" ht="46.5" customHeight="1" x14ac:dyDescent="0.25">
      <c r="A1" s="211" t="s">
        <v>160</v>
      </c>
      <c r="B1" s="211"/>
      <c r="C1" s="211"/>
      <c r="D1" s="211"/>
      <c r="E1" s="211"/>
      <c r="F1" s="211"/>
      <c r="G1" s="211"/>
      <c r="H1" s="211"/>
    </row>
    <row r="2" spans="1:26" ht="16.5" customHeight="1" x14ac:dyDescent="0.25">
      <c r="A2" s="212" t="s">
        <v>0</v>
      </c>
      <c r="B2" s="212"/>
      <c r="C2" s="212"/>
      <c r="D2" s="212"/>
      <c r="E2" s="212"/>
      <c r="F2" s="212"/>
      <c r="G2" s="212"/>
      <c r="H2" s="212"/>
    </row>
    <row r="3" spans="1:26" x14ac:dyDescent="0.25">
      <c r="A3" s="106" t="s">
        <v>1</v>
      </c>
      <c r="B3" s="106"/>
      <c r="C3" s="106"/>
      <c r="D3" s="106"/>
      <c r="E3" s="106" t="str">
        <f ca="1">TEXT(TODAY(),"DD/MM/YYYY")</f>
        <v>12/08/2025</v>
      </c>
      <c r="F3" s="106"/>
      <c r="G3" s="106"/>
      <c r="H3" s="106"/>
      <c r="K3" s="48" t="s">
        <v>232</v>
      </c>
      <c r="L3" s="46" t="s">
        <v>230</v>
      </c>
      <c r="M3" s="46" t="s">
        <v>235</v>
      </c>
      <c r="N3" s="46" t="s">
        <v>233</v>
      </c>
      <c r="O3" s="46" t="s">
        <v>354</v>
      </c>
      <c r="P3" s="46" t="s">
        <v>236</v>
      </c>
    </row>
    <row r="4" spans="1:26" ht="15" customHeight="1" x14ac:dyDescent="0.25">
      <c r="A4" s="106" t="s">
        <v>229</v>
      </c>
      <c r="B4" s="106"/>
      <c r="C4" s="106"/>
      <c r="D4" s="106"/>
      <c r="E4" s="106" t="s">
        <v>230</v>
      </c>
      <c r="F4" s="106"/>
      <c r="G4" s="106"/>
      <c r="H4" s="106"/>
      <c r="K4" s="45" t="s">
        <v>231</v>
      </c>
      <c r="L4" s="46" t="s">
        <v>167</v>
      </c>
      <c r="M4" s="46" t="s">
        <v>240</v>
      </c>
      <c r="N4" s="46" t="s">
        <v>242</v>
      </c>
      <c r="O4" s="46" t="s">
        <v>338</v>
      </c>
      <c r="P4" s="46"/>
    </row>
    <row r="5" spans="1:26" ht="15" customHeight="1" x14ac:dyDescent="0.25">
      <c r="A5" s="106" t="s">
        <v>2</v>
      </c>
      <c r="B5" s="106"/>
      <c r="C5" s="106"/>
      <c r="D5" s="106"/>
      <c r="E5" s="106" t="s">
        <v>167</v>
      </c>
      <c r="F5" s="106"/>
      <c r="G5" s="106"/>
      <c r="H5" s="106"/>
      <c r="K5" s="45"/>
      <c r="L5" s="46" t="s">
        <v>237</v>
      </c>
      <c r="M5" s="46" t="s">
        <v>241</v>
      </c>
      <c r="N5" s="46" t="s">
        <v>243</v>
      </c>
      <c r="O5" s="46" t="s">
        <v>339</v>
      </c>
      <c r="P5" s="46"/>
    </row>
    <row r="6" spans="1:26" x14ac:dyDescent="0.25">
      <c r="A6" s="106" t="s">
        <v>3</v>
      </c>
      <c r="B6" s="106"/>
      <c r="C6" s="106"/>
      <c r="D6" s="106"/>
      <c r="E6" s="213">
        <v>45880</v>
      </c>
      <c r="F6" s="106"/>
      <c r="G6" s="106"/>
      <c r="H6" s="106"/>
      <c r="K6" s="45"/>
      <c r="L6" s="46" t="s">
        <v>238</v>
      </c>
      <c r="M6" s="46" t="s">
        <v>352</v>
      </c>
      <c r="N6" s="46"/>
      <c r="O6" s="46" t="s">
        <v>340</v>
      </c>
      <c r="P6" s="46"/>
    </row>
    <row r="7" spans="1:26" ht="16.5" customHeight="1" x14ac:dyDescent="0.25">
      <c r="A7" s="106" t="s">
        <v>4</v>
      </c>
      <c r="B7" s="106"/>
      <c r="C7" s="106"/>
      <c r="D7" s="106"/>
      <c r="E7" s="106" t="s">
        <v>371</v>
      </c>
      <c r="F7" s="106"/>
      <c r="G7" s="106"/>
      <c r="H7" s="106"/>
      <c r="K7" s="45"/>
      <c r="L7" s="46" t="s">
        <v>239</v>
      </c>
      <c r="M7" s="46"/>
      <c r="N7" s="46"/>
      <c r="O7" s="46" t="s">
        <v>340</v>
      </c>
      <c r="P7" s="46"/>
    </row>
    <row r="8" spans="1:26" ht="15" customHeight="1" x14ac:dyDescent="0.25">
      <c r="A8" s="106" t="s">
        <v>5</v>
      </c>
      <c r="B8" s="106"/>
      <c r="C8" s="106"/>
      <c r="D8" s="106"/>
      <c r="E8" s="106" t="str">
        <f>E7</f>
        <v>M/s. Sumatinath Enterprises</v>
      </c>
      <c r="F8" s="106"/>
      <c r="G8" s="106"/>
      <c r="H8" s="106"/>
      <c r="K8" s="45"/>
      <c r="L8" s="46"/>
      <c r="M8" s="46"/>
      <c r="N8" s="46"/>
      <c r="O8" s="46" t="s">
        <v>341</v>
      </c>
      <c r="P8" s="46"/>
    </row>
    <row r="9" spans="1:26" x14ac:dyDescent="0.25">
      <c r="A9" s="106" t="s">
        <v>6</v>
      </c>
      <c r="B9" s="106"/>
      <c r="C9" s="106"/>
      <c r="D9" s="106"/>
      <c r="E9" s="171" t="s">
        <v>397</v>
      </c>
      <c r="F9" s="171"/>
      <c r="G9" s="171"/>
      <c r="H9" s="171"/>
      <c r="K9" s="45"/>
      <c r="L9" s="46"/>
      <c r="M9" s="46"/>
      <c r="N9" s="46"/>
      <c r="O9" s="46" t="s">
        <v>342</v>
      </c>
      <c r="P9" s="46"/>
    </row>
    <row r="10" spans="1:26" x14ac:dyDescent="0.25">
      <c r="A10" s="106" t="s">
        <v>163</v>
      </c>
      <c r="B10" s="106"/>
      <c r="C10" s="106"/>
      <c r="D10" s="106"/>
      <c r="E10" s="106" t="s">
        <v>398</v>
      </c>
      <c r="F10" s="106"/>
      <c r="G10" s="106"/>
      <c r="H10" s="106"/>
      <c r="K10" s="45"/>
      <c r="L10" s="46"/>
      <c r="M10" s="46"/>
      <c r="N10" s="46"/>
      <c r="O10" s="46" t="s">
        <v>343</v>
      </c>
      <c r="P10" s="46"/>
    </row>
    <row r="11" spans="1:26" x14ac:dyDescent="0.25">
      <c r="A11" s="106" t="s">
        <v>164</v>
      </c>
      <c r="B11" s="106"/>
      <c r="C11" s="106"/>
      <c r="D11" s="106"/>
      <c r="E11" s="106" t="s">
        <v>429</v>
      </c>
      <c r="F11" s="106"/>
      <c r="G11" s="106"/>
      <c r="H11" s="106"/>
      <c r="I11" s="106" t="s">
        <v>427</v>
      </c>
      <c r="J11" s="106"/>
      <c r="K11" s="106"/>
      <c r="L11" s="106"/>
      <c r="O11" s="46" t="s">
        <v>344</v>
      </c>
    </row>
    <row r="12" spans="1:26" x14ac:dyDescent="0.25">
      <c r="A12" s="106" t="s">
        <v>7</v>
      </c>
      <c r="B12" s="106"/>
      <c r="C12" s="106"/>
      <c r="D12" s="106"/>
      <c r="E12" s="106" t="s">
        <v>396</v>
      </c>
      <c r="F12" s="106"/>
      <c r="G12" s="106"/>
      <c r="H12" s="106"/>
    </row>
    <row r="13" spans="1:26" x14ac:dyDescent="0.25">
      <c r="A13" s="106" t="s">
        <v>168</v>
      </c>
      <c r="B13" s="106"/>
      <c r="C13" s="106"/>
      <c r="D13" s="106"/>
      <c r="E13" s="106" t="s">
        <v>28</v>
      </c>
      <c r="F13" s="106"/>
      <c r="G13" s="106"/>
      <c r="H13" s="106"/>
      <c r="S13" s="46" t="s">
        <v>176</v>
      </c>
      <c r="T13" s="46" t="s">
        <v>185</v>
      </c>
      <c r="U13" s="46" t="s">
        <v>169</v>
      </c>
      <c r="V13" s="46" t="s">
        <v>190</v>
      </c>
      <c r="W13" s="46" t="s">
        <v>208</v>
      </c>
      <c r="X13"/>
      <c r="Y13" t="s">
        <v>190</v>
      </c>
      <c r="Z13" t="e">
        <f ca="1">OFFSET($S$13,1,MATCH($G20,$S$13:$W$13,0)-1,15,1)</f>
        <v>#VALUE!</v>
      </c>
    </row>
    <row r="14" spans="1:26" x14ac:dyDescent="0.25">
      <c r="A14" s="118" t="s">
        <v>275</v>
      </c>
      <c r="B14" s="118"/>
      <c r="C14" s="118"/>
      <c r="D14" s="118"/>
      <c r="E14" s="131" t="s">
        <v>424</v>
      </c>
      <c r="F14" s="131"/>
      <c r="G14" s="131"/>
      <c r="H14" s="131"/>
      <c r="S14" s="46" t="s">
        <v>176</v>
      </c>
      <c r="T14" s="46" t="s">
        <v>183</v>
      </c>
      <c r="U14" s="46" t="s">
        <v>205</v>
      </c>
      <c r="V14" s="46" t="s">
        <v>191</v>
      </c>
      <c r="W14" s="46" t="s">
        <v>209</v>
      </c>
      <c r="X14"/>
      <c r="Y14"/>
      <c r="Z14"/>
    </row>
    <row r="15" spans="1:26" x14ac:dyDescent="0.25">
      <c r="A15" s="118" t="s">
        <v>8</v>
      </c>
      <c r="B15" s="118"/>
      <c r="C15" s="118"/>
      <c r="D15" s="118"/>
      <c r="E15" s="131" t="s">
        <v>370</v>
      </c>
      <c r="F15" s="106"/>
      <c r="G15" s="106"/>
      <c r="H15" s="106"/>
      <c r="I15" s="233" t="e">
        <f ca="1">OFFSET($D$5,1,MATCH($J13,$D$5:$H$5,0)-1,15,1)</f>
        <v>#N/A</v>
      </c>
      <c r="J15" s="234"/>
      <c r="K15" s="234"/>
      <c r="L15" s="234"/>
      <c r="M15" s="234"/>
      <c r="N15" s="234"/>
      <c r="O15" s="234"/>
      <c r="P15" s="234"/>
      <c r="S15" s="46" t="s">
        <v>177</v>
      </c>
      <c r="T15" s="46" t="s">
        <v>184</v>
      </c>
      <c r="U15" s="46" t="s">
        <v>206</v>
      </c>
      <c r="V15" s="46" t="s">
        <v>192</v>
      </c>
      <c r="W15" s="46" t="s">
        <v>222</v>
      </c>
      <c r="X15"/>
      <c r="Y15"/>
      <c r="Z15"/>
    </row>
    <row r="16" spans="1:26" ht="48.75" customHeight="1" x14ac:dyDescent="0.25">
      <c r="A16" s="131" t="s">
        <v>9</v>
      </c>
      <c r="B16" s="131"/>
      <c r="C16" s="131" t="str">
        <f>CONCATENATE((IF(OR(E9="",E9="NA"),"",E9)),", ",(IF(OR(A17="",A17="NA"),"",A17)),".",(IF(OR(C17="",C17="NA"),"",C17)),", near ",(IF(OR(C22="",C22="NA"),"",C22)),", ",(IF(OR(C19="",C19="NA"),"",C19)),", ",(IF(OR(C18="",C18="NA"),"",C18)),", ",(IF(OR(G19="",G19="NA"),"",G19)),", ",(IF(OR(C20="",C20="NA"),"",C20)),", ",(IF(OR(C21="",C21="NA"),"",C21)),", ",(IF(OR(G20="",G20="NA"),"",G20))," - ",(IF(OR(G21="",G21="NA"),"",G21)),".")</f>
        <v>Gopikisan Patil Complex Bldg No.1, Survey No.85, Hissa No. 23, near Sahyadri Shikshan Seva Mandal's Senior College, Juchandra Road, Chandrapada, Chandrapada, Juchandra West, Vasai, Palghar - 401208.</v>
      </c>
      <c r="D16" s="131"/>
      <c r="E16" s="131"/>
      <c r="F16" s="131"/>
      <c r="G16" s="131"/>
      <c r="H16" s="131"/>
      <c r="S16" s="46" t="s">
        <v>178</v>
      </c>
      <c r="T16" s="46" t="s">
        <v>186</v>
      </c>
      <c r="U16" s="46" t="s">
        <v>207</v>
      </c>
      <c r="V16" s="46" t="s">
        <v>193</v>
      </c>
      <c r="W16" s="46" t="s">
        <v>210</v>
      </c>
      <c r="X16"/>
      <c r="Y16"/>
      <c r="Z16"/>
    </row>
    <row r="17" spans="1:26" x14ac:dyDescent="0.25">
      <c r="A17" s="131" t="s">
        <v>372</v>
      </c>
      <c r="B17" s="131"/>
      <c r="C17" s="131" t="s">
        <v>373</v>
      </c>
      <c r="D17" s="131"/>
      <c r="E17" s="131"/>
      <c r="F17" s="131"/>
      <c r="G17" s="131"/>
      <c r="H17" s="131"/>
      <c r="S17" s="46" t="s">
        <v>179</v>
      </c>
      <c r="T17" s="46" t="s">
        <v>187</v>
      </c>
      <c r="U17" s="46" t="s">
        <v>169</v>
      </c>
      <c r="V17" s="46" t="s">
        <v>194</v>
      </c>
      <c r="W17" s="46" t="s">
        <v>211</v>
      </c>
      <c r="X17"/>
      <c r="Y17"/>
      <c r="Z17"/>
    </row>
    <row r="18" spans="1:26" ht="15.75" customHeight="1" x14ac:dyDescent="0.25">
      <c r="A18" s="131" t="s">
        <v>158</v>
      </c>
      <c r="B18" s="131"/>
      <c r="C18" s="131" t="s">
        <v>374</v>
      </c>
      <c r="D18" s="131"/>
      <c r="E18" s="131"/>
      <c r="F18" s="131"/>
      <c r="G18" s="131"/>
      <c r="H18" s="131"/>
      <c r="S18" s="46" t="s">
        <v>180</v>
      </c>
      <c r="T18" s="46" t="s">
        <v>185</v>
      </c>
      <c r="U18" s="46"/>
      <c r="V18" s="46" t="s">
        <v>195</v>
      </c>
      <c r="W18" s="46" t="s">
        <v>212</v>
      </c>
      <c r="X18"/>
      <c r="Y18"/>
      <c r="Z18"/>
    </row>
    <row r="19" spans="1:26" ht="15.75" customHeight="1" x14ac:dyDescent="0.25">
      <c r="A19" s="131" t="s">
        <v>10</v>
      </c>
      <c r="B19" s="131"/>
      <c r="C19" s="106" t="s">
        <v>379</v>
      </c>
      <c r="D19" s="106"/>
      <c r="E19" s="131" t="s">
        <v>69</v>
      </c>
      <c r="F19" s="131"/>
      <c r="G19" s="131" t="s">
        <v>374</v>
      </c>
      <c r="H19" s="131"/>
      <c r="S19" s="46" t="s">
        <v>181</v>
      </c>
      <c r="T19" s="46" t="s">
        <v>188</v>
      </c>
      <c r="U19" s="46"/>
      <c r="V19" s="46" t="s">
        <v>196</v>
      </c>
      <c r="W19" s="46" t="s">
        <v>213</v>
      </c>
      <c r="X19"/>
      <c r="Y19"/>
      <c r="Z19"/>
    </row>
    <row r="20" spans="1:26" x14ac:dyDescent="0.25">
      <c r="A20" s="106" t="s">
        <v>12</v>
      </c>
      <c r="B20" s="106"/>
      <c r="C20" s="131" t="s">
        <v>419</v>
      </c>
      <c r="D20" s="131"/>
      <c r="E20" s="131" t="s">
        <v>11</v>
      </c>
      <c r="F20" s="131"/>
      <c r="G20" s="210" t="s">
        <v>185</v>
      </c>
      <c r="H20" s="210"/>
      <c r="S20" s="46" t="s">
        <v>182</v>
      </c>
      <c r="T20" s="46" t="s">
        <v>189</v>
      </c>
      <c r="U20" s="46"/>
      <c r="V20" s="46" t="s">
        <v>197</v>
      </c>
      <c r="W20" s="46" t="s">
        <v>214</v>
      </c>
      <c r="X20"/>
      <c r="Y20"/>
      <c r="Z20"/>
    </row>
    <row r="21" spans="1:26" x14ac:dyDescent="0.25">
      <c r="A21" s="106" t="s">
        <v>70</v>
      </c>
      <c r="B21" s="106"/>
      <c r="C21" s="131" t="s">
        <v>186</v>
      </c>
      <c r="D21" s="131"/>
      <c r="E21" s="131" t="s">
        <v>13</v>
      </c>
      <c r="F21" s="131"/>
      <c r="G21" s="131">
        <v>401208</v>
      </c>
      <c r="H21" s="131"/>
      <c r="S21" s="46"/>
      <c r="T21" s="46"/>
      <c r="U21" s="46"/>
      <c r="V21" s="46" t="s">
        <v>198</v>
      </c>
      <c r="W21" s="46" t="s">
        <v>215</v>
      </c>
      <c r="X21"/>
      <c r="Y21"/>
      <c r="Z21"/>
    </row>
    <row r="22" spans="1:26" ht="32.25" customHeight="1" x14ac:dyDescent="0.25">
      <c r="A22" s="106" t="s">
        <v>118</v>
      </c>
      <c r="B22" s="106"/>
      <c r="C22" s="131" t="s">
        <v>381</v>
      </c>
      <c r="D22" s="131"/>
      <c r="E22" s="131" t="s">
        <v>14</v>
      </c>
      <c r="F22" s="131"/>
      <c r="G22" s="131" t="s">
        <v>380</v>
      </c>
      <c r="H22" s="131"/>
      <c r="S22" s="46"/>
      <c r="T22" s="46"/>
      <c r="U22" s="46"/>
      <c r="V22" s="46" t="s">
        <v>199</v>
      </c>
      <c r="W22" s="46" t="s">
        <v>216</v>
      </c>
      <c r="X22"/>
      <c r="Y22"/>
      <c r="Z22"/>
    </row>
    <row r="23" spans="1:26" ht="15" customHeight="1" x14ac:dyDescent="0.25">
      <c r="A23" s="204" t="s">
        <v>72</v>
      </c>
      <c r="B23" s="204"/>
      <c r="C23" s="204"/>
      <c r="D23" s="204"/>
      <c r="E23" s="106" t="s">
        <v>15</v>
      </c>
      <c r="F23" s="106"/>
      <c r="G23" s="106"/>
      <c r="H23" s="106"/>
      <c r="S23" s="46"/>
      <c r="T23" s="46"/>
      <c r="U23" s="46"/>
      <c r="V23" s="46" t="s">
        <v>200</v>
      </c>
      <c r="W23" s="46" t="s">
        <v>217</v>
      </c>
      <c r="X23"/>
      <c r="Y23"/>
      <c r="Z23"/>
    </row>
    <row r="24" spans="1:26" ht="18.75" customHeight="1" x14ac:dyDescent="0.25">
      <c r="A24" s="204"/>
      <c r="B24" s="204"/>
      <c r="C24" s="204"/>
      <c r="D24" s="204"/>
      <c r="E24" s="106"/>
      <c r="F24" s="106"/>
      <c r="G24" s="106"/>
      <c r="H24" s="106"/>
      <c r="S24" s="46"/>
      <c r="T24" s="46"/>
      <c r="U24" s="46"/>
      <c r="V24" s="46" t="s">
        <v>201</v>
      </c>
      <c r="W24" s="46" t="s">
        <v>218</v>
      </c>
      <c r="X24"/>
      <c r="Y24"/>
      <c r="Z24"/>
    </row>
    <row r="25" spans="1:26" ht="15" customHeight="1" x14ac:dyDescent="0.25">
      <c r="A25" s="204" t="s">
        <v>16</v>
      </c>
      <c r="B25" s="204"/>
      <c r="C25" s="204"/>
      <c r="D25" s="204"/>
      <c r="E25" s="131" t="s">
        <v>17</v>
      </c>
      <c r="F25" s="131"/>
      <c r="G25" s="131"/>
      <c r="H25" s="131"/>
      <c r="S25" s="46"/>
      <c r="T25" s="46"/>
      <c r="U25" s="46"/>
      <c r="V25" s="46" t="s">
        <v>202</v>
      </c>
      <c r="W25" s="46" t="s">
        <v>219</v>
      </c>
      <c r="X25"/>
      <c r="Y25"/>
      <c r="Z25"/>
    </row>
    <row r="26" spans="1:26" ht="15" customHeight="1" x14ac:dyDescent="0.25">
      <c r="A26" s="118" t="s">
        <v>18</v>
      </c>
      <c r="B26" s="118"/>
      <c r="C26" s="118"/>
      <c r="D26" s="118"/>
      <c r="E26" s="131" t="str">
        <f>IF(AND(G20="Mumbai"),"Upper Class","Middle Class")</f>
        <v>Middle Class</v>
      </c>
      <c r="F26" s="131"/>
      <c r="G26" s="131"/>
      <c r="H26" s="131"/>
      <c r="S26" s="46"/>
      <c r="T26" s="46"/>
      <c r="U26" s="46"/>
      <c r="V26" s="46" t="s">
        <v>203</v>
      </c>
      <c r="W26" s="46" t="s">
        <v>220</v>
      </c>
      <c r="X26"/>
      <c r="Y26"/>
      <c r="Z26"/>
    </row>
    <row r="27" spans="1:26" x14ac:dyDescent="0.25">
      <c r="A27" s="118" t="s">
        <v>19</v>
      </c>
      <c r="B27" s="118"/>
      <c r="C27" s="118"/>
      <c r="D27" s="118"/>
      <c r="E27" s="131" t="s">
        <v>20</v>
      </c>
      <c r="F27" s="131"/>
      <c r="G27" s="131"/>
      <c r="H27" s="131"/>
      <c r="S27" s="46"/>
      <c r="T27" s="46"/>
      <c r="U27" s="46"/>
      <c r="V27" s="46" t="s">
        <v>204</v>
      </c>
      <c r="W27" s="46" t="s">
        <v>221</v>
      </c>
      <c r="X27"/>
      <c r="Y27"/>
      <c r="Z27"/>
    </row>
    <row r="28" spans="1:26" ht="15.75" customHeight="1" x14ac:dyDescent="0.25">
      <c r="A28" s="118" t="s">
        <v>21</v>
      </c>
      <c r="B28" s="118"/>
      <c r="C28" s="118"/>
      <c r="D28" s="118"/>
      <c r="E28" s="131" t="str">
        <f>IF(AND(G20="Mumbai"),"Developed","Developing")</f>
        <v>Developing</v>
      </c>
      <c r="F28" s="131"/>
      <c r="G28" s="131"/>
      <c r="H28" s="131"/>
    </row>
    <row r="29" spans="1:26" x14ac:dyDescent="0.25">
      <c r="A29" s="118" t="s">
        <v>22</v>
      </c>
      <c r="B29" s="118"/>
      <c r="C29" s="118"/>
      <c r="D29" s="118"/>
      <c r="E29" s="131" t="s">
        <v>23</v>
      </c>
      <c r="F29" s="131"/>
      <c r="G29" s="131"/>
      <c r="H29" s="131"/>
    </row>
    <row r="30" spans="1:26" ht="15.75" customHeight="1" x14ac:dyDescent="0.25">
      <c r="A30" s="118" t="s">
        <v>77</v>
      </c>
      <c r="B30" s="118"/>
      <c r="C30" s="118"/>
      <c r="D30" s="118"/>
      <c r="E30" s="131" t="s">
        <v>78</v>
      </c>
      <c r="F30" s="131"/>
      <c r="G30" s="131"/>
      <c r="H30" s="131"/>
    </row>
    <row r="31" spans="1:26" ht="15" customHeight="1" x14ac:dyDescent="0.25">
      <c r="A31" s="118" t="s">
        <v>30</v>
      </c>
      <c r="B31" s="118"/>
      <c r="C31" s="118"/>
      <c r="D31" s="118"/>
      <c r="E31" s="131" t="str">
        <f>IF(AND(ISNUMBER(SEARCH("Flat",D64)),ISNUMBER(SEARCH("Shop",D64)),ISNUMBER(SEARCH("Office",D64))),"Residential + Commercial",IF(AND(ISNUMBER(SEARCH("Flat",D64)),ISNUMBER(SEARCH("Shop",D64))),"Residential + Commercial",IF(AND(ISNUMBER(SEARCH("Flat",D64)),ISNUMBER(SEARCH("Office",D64))),"Residential + Commercial",IF(AND(ISNUMBER(SEARCH("Shop",D64)),ISNUMBER(SEARCH("Office",D64))),"Commercial",IF(ISNUMBER(SEARCH("Shop",D64)),"Commercial",IF(ISNUMBER(SEARCH("Office",D64)),"Commercial",IF(ISNUMBER(SEARCH("Flat",D64)),"Residential")))))))</f>
        <v>Residential</v>
      </c>
      <c r="F31" s="131"/>
      <c r="G31" s="131"/>
      <c r="H31" s="131"/>
    </row>
    <row r="32" spans="1:26" ht="15.75" customHeight="1" x14ac:dyDescent="0.25">
      <c r="A32" s="118" t="s">
        <v>89</v>
      </c>
      <c r="B32" s="118"/>
      <c r="C32" s="118"/>
      <c r="D32" s="118"/>
      <c r="E32" s="131" t="s">
        <v>31</v>
      </c>
      <c r="F32" s="131"/>
      <c r="G32" s="131"/>
      <c r="H32" s="131"/>
    </row>
    <row r="33" spans="1:19" s="19" customFormat="1" x14ac:dyDescent="0.25">
      <c r="A33" s="209" t="s">
        <v>90</v>
      </c>
      <c r="B33" s="209"/>
      <c r="C33" s="206" t="s">
        <v>170</v>
      </c>
      <c r="D33" s="207"/>
      <c r="E33" s="208"/>
      <c r="F33" s="206" t="s">
        <v>29</v>
      </c>
      <c r="G33" s="207"/>
      <c r="H33" s="208"/>
      <c r="S33" s="19" t="e">
        <f ca="1">OFFSET($S$13,1,MATCH($G20,$S$13:$W$13,0)-1,15,1)</f>
        <v>#VALUE!</v>
      </c>
    </row>
    <row r="34" spans="1:19" s="19" customFormat="1" x14ac:dyDescent="0.25">
      <c r="A34" s="173" t="s">
        <v>24</v>
      </c>
      <c r="B34" s="173" t="s">
        <v>28</v>
      </c>
      <c r="C34" s="174" t="s">
        <v>399</v>
      </c>
      <c r="D34" s="175"/>
      <c r="E34" s="176"/>
      <c r="F34" s="174" t="s">
        <v>400</v>
      </c>
      <c r="G34" s="175"/>
      <c r="H34" s="176"/>
    </row>
    <row r="35" spans="1:19" x14ac:dyDescent="0.25">
      <c r="A35" s="173" t="s">
        <v>25</v>
      </c>
      <c r="B35" s="173" t="s">
        <v>28</v>
      </c>
      <c r="C35" s="174" t="s">
        <v>377</v>
      </c>
      <c r="D35" s="175"/>
      <c r="E35" s="176"/>
      <c r="F35" s="174" t="s">
        <v>377</v>
      </c>
      <c r="G35" s="175"/>
      <c r="H35" s="176"/>
    </row>
    <row r="36" spans="1:19" s="19" customFormat="1" x14ac:dyDescent="0.25">
      <c r="A36" s="173" t="s">
        <v>27</v>
      </c>
      <c r="B36" s="173" t="s">
        <v>28</v>
      </c>
      <c r="C36" s="174" t="s">
        <v>377</v>
      </c>
      <c r="D36" s="175"/>
      <c r="E36" s="176"/>
      <c r="F36" s="174" t="s">
        <v>377</v>
      </c>
      <c r="G36" s="175"/>
      <c r="H36" s="176"/>
    </row>
    <row r="37" spans="1:19" x14ac:dyDescent="0.25">
      <c r="A37" s="173" t="s">
        <v>26</v>
      </c>
      <c r="B37" s="173" t="s">
        <v>28</v>
      </c>
      <c r="C37" s="174" t="s">
        <v>378</v>
      </c>
      <c r="D37" s="175"/>
      <c r="E37" s="176"/>
      <c r="F37" s="174" t="s">
        <v>379</v>
      </c>
      <c r="G37" s="175"/>
      <c r="H37" s="176"/>
    </row>
    <row r="38" spans="1:19" x14ac:dyDescent="0.25">
      <c r="A38" s="118" t="s">
        <v>276</v>
      </c>
      <c r="B38" s="118"/>
      <c r="C38" s="118"/>
      <c r="D38" s="118"/>
      <c r="E38" s="118"/>
      <c r="F38" s="118"/>
      <c r="G38" s="118"/>
      <c r="H38" s="118"/>
    </row>
    <row r="39" spans="1:19" ht="15.75" customHeight="1" x14ac:dyDescent="0.25">
      <c r="A39" s="118" t="s">
        <v>161</v>
      </c>
      <c r="B39" s="118"/>
      <c r="C39" s="178" t="s">
        <v>375</v>
      </c>
      <c r="D39" s="178"/>
      <c r="E39" s="178"/>
      <c r="F39" s="178"/>
      <c r="G39" s="178"/>
      <c r="H39" s="178"/>
    </row>
    <row r="40" spans="1:19" x14ac:dyDescent="0.25">
      <c r="A40" s="118" t="s">
        <v>157</v>
      </c>
      <c r="B40" s="118"/>
      <c r="C40" s="130" t="s">
        <v>376</v>
      </c>
      <c r="D40" s="131"/>
      <c r="E40" s="131"/>
      <c r="F40" s="131"/>
      <c r="G40" s="131"/>
      <c r="H40" s="131"/>
    </row>
    <row r="41" spans="1:19" x14ac:dyDescent="0.25">
      <c r="A41" s="178" t="s">
        <v>32</v>
      </c>
      <c r="B41" s="178"/>
      <c r="C41" s="178"/>
      <c r="D41" s="178"/>
      <c r="E41" s="178"/>
      <c r="F41" s="178"/>
      <c r="G41" s="178"/>
      <c r="H41" s="178"/>
    </row>
    <row r="42" spans="1:19" x14ac:dyDescent="0.25">
      <c r="A42" s="106" t="s">
        <v>33</v>
      </c>
      <c r="B42" s="106"/>
      <c r="C42" s="106"/>
      <c r="D42" s="106"/>
      <c r="E42" s="177">
        <v>5129.1400000000003</v>
      </c>
      <c r="F42" s="177"/>
      <c r="G42" s="177"/>
      <c r="H42" s="177"/>
    </row>
    <row r="43" spans="1:19" x14ac:dyDescent="0.25">
      <c r="A43" s="106" t="s">
        <v>34</v>
      </c>
      <c r="B43" s="106"/>
      <c r="C43" s="106"/>
      <c r="D43" s="106"/>
      <c r="E43" s="198">
        <f>5642.05/E42</f>
        <v>1.099999220142168</v>
      </c>
      <c r="F43" s="198"/>
      <c r="G43" s="198"/>
      <c r="H43" s="198"/>
    </row>
    <row r="44" spans="1:19" x14ac:dyDescent="0.25">
      <c r="A44" s="106" t="s">
        <v>35</v>
      </c>
      <c r="B44" s="106"/>
      <c r="C44" s="106"/>
      <c r="D44" s="106"/>
      <c r="E44" s="198">
        <f>E46/E42-E43</f>
        <v>2.3096425521627402</v>
      </c>
      <c r="F44" s="198"/>
      <c r="G44" s="198"/>
      <c r="H44" s="198"/>
    </row>
    <row r="45" spans="1:19" x14ac:dyDescent="0.25">
      <c r="A45" s="106" t="s">
        <v>36</v>
      </c>
      <c r="B45" s="106"/>
      <c r="C45" s="106"/>
      <c r="D45" s="106"/>
      <c r="E45" s="198">
        <f>E43+E44</f>
        <v>3.4096417723049082</v>
      </c>
      <c r="F45" s="198"/>
      <c r="G45" s="198"/>
      <c r="H45" s="198"/>
    </row>
    <row r="46" spans="1:19" x14ac:dyDescent="0.25">
      <c r="A46" s="106" t="s">
        <v>88</v>
      </c>
      <c r="B46" s="106"/>
      <c r="C46" s="106"/>
      <c r="D46" s="106"/>
      <c r="E46" s="199">
        <v>17488.53</v>
      </c>
      <c r="F46" s="199"/>
      <c r="G46" s="199"/>
      <c r="H46" s="199"/>
    </row>
    <row r="47" spans="1:19" x14ac:dyDescent="0.25">
      <c r="A47" s="106" t="s">
        <v>37</v>
      </c>
      <c r="B47" s="106"/>
      <c r="C47" s="106"/>
      <c r="D47" s="106"/>
      <c r="E47" s="106" t="s">
        <v>395</v>
      </c>
      <c r="F47" s="106"/>
      <c r="G47" s="106"/>
      <c r="H47" s="106"/>
    </row>
    <row r="48" spans="1:19" x14ac:dyDescent="0.25">
      <c r="A48" s="171" t="s">
        <v>38</v>
      </c>
      <c r="B48" s="171"/>
      <c r="C48" s="171"/>
      <c r="D48" s="171"/>
      <c r="E48" s="171"/>
      <c r="F48" s="171"/>
      <c r="G48" s="171"/>
      <c r="H48" s="171"/>
    </row>
    <row r="49" spans="1:24" ht="33.75" customHeight="1" x14ac:dyDescent="0.25">
      <c r="A49" s="146" t="s">
        <v>147</v>
      </c>
      <c r="B49" s="148"/>
      <c r="C49" s="200" t="s">
        <v>271</v>
      </c>
      <c r="D49" s="201"/>
      <c r="E49" s="201"/>
      <c r="F49" s="201"/>
      <c r="G49" s="201"/>
      <c r="H49" s="202"/>
      <c r="R49" t="s">
        <v>249</v>
      </c>
      <c r="S49" s="49" t="s">
        <v>169</v>
      </c>
      <c r="T49" s="49" t="s">
        <v>176</v>
      </c>
      <c r="U49" s="49" t="s">
        <v>190</v>
      </c>
      <c r="V49" s="49" t="s">
        <v>185</v>
      </c>
    </row>
    <row r="50" spans="1:24" ht="31.5" customHeight="1" x14ac:dyDescent="0.25">
      <c r="A50" s="179" t="s">
        <v>39</v>
      </c>
      <c r="B50" s="181"/>
      <c r="C50" s="179" t="s">
        <v>393</v>
      </c>
      <c r="D50" s="180"/>
      <c r="E50" s="181"/>
      <c r="F50" s="17" t="s">
        <v>40</v>
      </c>
      <c r="G50" s="182">
        <v>45338</v>
      </c>
      <c r="H50" s="183"/>
      <c r="R50"/>
      <c r="S50" s="49" t="s">
        <v>250</v>
      </c>
      <c r="T50" s="49" t="s">
        <v>255</v>
      </c>
      <c r="U50" s="49" t="s">
        <v>266</v>
      </c>
      <c r="V50" s="49" t="s">
        <v>271</v>
      </c>
    </row>
    <row r="51" spans="1:24" ht="31.5" customHeight="1" x14ac:dyDescent="0.25">
      <c r="A51" s="179" t="s">
        <v>41</v>
      </c>
      <c r="B51" s="181"/>
      <c r="C51" s="179" t="str">
        <f>C50</f>
        <v>VVCMC/TP/AMEND/SPA/VP/0088/50/2023-24</v>
      </c>
      <c r="D51" s="180"/>
      <c r="E51" s="181"/>
      <c r="F51" s="17" t="s">
        <v>40</v>
      </c>
      <c r="G51" s="182">
        <f>G50</f>
        <v>45338</v>
      </c>
      <c r="H51" s="183"/>
      <c r="R51"/>
      <c r="S51" s="49" t="s">
        <v>251</v>
      </c>
      <c r="T51" s="49" t="s">
        <v>355</v>
      </c>
      <c r="U51" s="49" t="s">
        <v>264</v>
      </c>
      <c r="V51" s="49" t="s">
        <v>272</v>
      </c>
    </row>
    <row r="52" spans="1:24" s="20" customFormat="1" ht="15.75" customHeight="1" x14ac:dyDescent="0.25">
      <c r="A52" s="140" t="s">
        <v>150</v>
      </c>
      <c r="B52" s="141"/>
      <c r="C52" s="191" t="s">
        <v>417</v>
      </c>
      <c r="D52" s="192"/>
      <c r="E52" s="193"/>
      <c r="F52" s="243" t="s">
        <v>40</v>
      </c>
      <c r="G52" s="245">
        <v>45338</v>
      </c>
      <c r="H52" s="246"/>
      <c r="I52" s="19" t="str">
        <f ca="1">IF(G52&gt;EDATE(E3,-48),"NO REMARK","CC REMARK FOR CC")</f>
        <v>NO REMARK</v>
      </c>
      <c r="J52" s="73"/>
      <c r="R52"/>
      <c r="S52" s="49" t="s">
        <v>252</v>
      </c>
      <c r="T52" s="49" t="s">
        <v>257</v>
      </c>
      <c r="U52" s="49" t="s">
        <v>254</v>
      </c>
      <c r="V52" s="49" t="s">
        <v>273</v>
      </c>
    </row>
    <row r="53" spans="1:24" s="20" customFormat="1" x14ac:dyDescent="0.25">
      <c r="A53" s="142"/>
      <c r="B53" s="143"/>
      <c r="C53" s="194"/>
      <c r="D53" s="195"/>
      <c r="E53" s="196"/>
      <c r="F53" s="244"/>
      <c r="G53" s="247"/>
      <c r="H53" s="248"/>
      <c r="R53"/>
      <c r="S53" s="49" t="s">
        <v>253</v>
      </c>
      <c r="T53" s="49" t="s">
        <v>260</v>
      </c>
      <c r="U53" s="49" t="s">
        <v>267</v>
      </c>
      <c r="V53" s="68" t="s">
        <v>346</v>
      </c>
    </row>
    <row r="54" spans="1:24" s="20" customFormat="1" ht="36.75" customHeight="1" x14ac:dyDescent="0.25">
      <c r="A54" s="144"/>
      <c r="B54" s="145"/>
      <c r="C54" s="146" t="s">
        <v>418</v>
      </c>
      <c r="D54" s="147"/>
      <c r="E54" s="147"/>
      <c r="F54" s="147"/>
      <c r="G54" s="147"/>
      <c r="H54" s="148"/>
      <c r="R54"/>
      <c r="S54" s="49"/>
      <c r="T54" s="49"/>
      <c r="U54" s="49"/>
      <c r="V54" s="68"/>
    </row>
    <row r="55" spans="1:24" s="20" customFormat="1" x14ac:dyDescent="0.25">
      <c r="A55" s="191" t="s">
        <v>277</v>
      </c>
      <c r="B55" s="193"/>
      <c r="C55" s="146" t="s">
        <v>425</v>
      </c>
      <c r="D55" s="147"/>
      <c r="E55" s="148"/>
      <c r="F55" s="97" t="s">
        <v>40</v>
      </c>
      <c r="G55" s="240">
        <v>45472</v>
      </c>
      <c r="H55" s="241"/>
      <c r="K55" s="74">
        <f>EDATE(G52,-48)</f>
        <v>43877</v>
      </c>
      <c r="L55" s="20" t="str">
        <f ca="1">IF(G52&gt;EDATE(E3,-48),"NO REMARK","CC REMARK FOR CC")</f>
        <v>NO REMARK</v>
      </c>
      <c r="R55"/>
      <c r="S55" s="49" t="s">
        <v>252</v>
      </c>
      <c r="T55" s="49" t="s">
        <v>257</v>
      </c>
      <c r="U55" s="49" t="s">
        <v>254</v>
      </c>
      <c r="V55" s="49" t="s">
        <v>273</v>
      </c>
    </row>
    <row r="56" spans="1:24" s="20" customFormat="1" ht="32.25" customHeight="1" x14ac:dyDescent="0.25">
      <c r="A56" s="194"/>
      <c r="B56" s="196"/>
      <c r="C56" s="188" t="s">
        <v>426</v>
      </c>
      <c r="D56" s="189"/>
      <c r="E56" s="189"/>
      <c r="F56" s="189"/>
      <c r="G56" s="189"/>
      <c r="H56" s="190"/>
      <c r="R56"/>
      <c r="S56" s="49" t="s">
        <v>254</v>
      </c>
      <c r="T56" s="49" t="s">
        <v>258</v>
      </c>
      <c r="U56" s="49" t="s">
        <v>268</v>
      </c>
      <c r="V56" s="69"/>
      <c r="W56" s="18"/>
      <c r="X56" s="18"/>
    </row>
    <row r="57" spans="1:24" s="20" customFormat="1" ht="34.5" hidden="1" customHeight="1" x14ac:dyDescent="0.25">
      <c r="A57" s="184" t="s">
        <v>278</v>
      </c>
      <c r="B57" s="185"/>
      <c r="C57" s="179" t="str">
        <f>C56</f>
        <v>Building No.1 (Wing A &amp; B) = G + 1st to 20th Floor 
(Height = 62.35 Mtr)</v>
      </c>
      <c r="D57" s="180"/>
      <c r="E57" s="181"/>
      <c r="F57" s="17" t="s">
        <v>40</v>
      </c>
      <c r="G57" s="182">
        <f>G56</f>
        <v>0</v>
      </c>
      <c r="H57" s="183"/>
      <c r="R57"/>
      <c r="S57" s="69"/>
      <c r="T57" s="49" t="s">
        <v>259</v>
      </c>
      <c r="U57" s="49" t="s">
        <v>269</v>
      </c>
      <c r="V57" s="69"/>
      <c r="W57" s="18"/>
      <c r="X57" s="18"/>
    </row>
    <row r="58" spans="1:24" s="20" customFormat="1" ht="41.25" hidden="1" customHeight="1" x14ac:dyDescent="0.25">
      <c r="A58" s="186"/>
      <c r="B58" s="187"/>
      <c r="C58" s="179"/>
      <c r="D58" s="180"/>
      <c r="E58" s="180"/>
      <c r="F58" s="180"/>
      <c r="G58" s="180"/>
      <c r="H58" s="181"/>
      <c r="R58"/>
      <c r="S58" s="69"/>
      <c r="T58" s="49" t="s">
        <v>261</v>
      </c>
      <c r="U58" s="49" t="s">
        <v>270</v>
      </c>
      <c r="V58" s="69"/>
      <c r="W58" s="18"/>
      <c r="X58" s="18"/>
    </row>
    <row r="59" spans="1:24" s="20" customFormat="1" ht="15.75" hidden="1" customHeight="1" x14ac:dyDescent="0.25">
      <c r="A59" s="184" t="s">
        <v>349</v>
      </c>
      <c r="B59" s="185"/>
      <c r="C59" s="179"/>
      <c r="D59" s="180"/>
      <c r="E59" s="181"/>
      <c r="F59" s="17" t="s">
        <v>40</v>
      </c>
      <c r="G59" s="182"/>
      <c r="H59" s="183"/>
      <c r="R59"/>
      <c r="S59" s="69"/>
      <c r="T59" s="49" t="s">
        <v>262</v>
      </c>
      <c r="U59" s="69" t="s">
        <v>292</v>
      </c>
      <c r="V59" s="69"/>
      <c r="W59" s="18"/>
      <c r="X59" s="18"/>
    </row>
    <row r="60" spans="1:24" s="20" customFormat="1" ht="33.75" hidden="1" customHeight="1" x14ac:dyDescent="0.25">
      <c r="A60" s="186"/>
      <c r="B60" s="187"/>
      <c r="C60" s="204" t="s">
        <v>351</v>
      </c>
      <c r="D60" s="204"/>
      <c r="E60" s="204"/>
      <c r="F60" s="17" t="s">
        <v>350</v>
      </c>
      <c r="G60" s="182"/>
      <c r="H60" s="183"/>
      <c r="R60"/>
      <c r="S60" s="69"/>
      <c r="T60" s="49" t="s">
        <v>263</v>
      </c>
      <c r="U60" s="69"/>
      <c r="V60" s="69"/>
      <c r="W60" s="18"/>
      <c r="X60" s="18"/>
    </row>
    <row r="61" spans="1:24" x14ac:dyDescent="0.25">
      <c r="A61" s="235" t="s">
        <v>42</v>
      </c>
      <c r="B61" s="236"/>
      <c r="C61" s="235" t="s">
        <v>102</v>
      </c>
      <c r="D61" s="237"/>
      <c r="E61" s="236"/>
      <c r="F61" s="39" t="s">
        <v>40</v>
      </c>
      <c r="G61" s="238" t="s">
        <v>28</v>
      </c>
      <c r="H61" s="239"/>
      <c r="R61"/>
      <c r="S61" s="69"/>
      <c r="T61" s="49" t="s">
        <v>265</v>
      </c>
      <c r="U61" s="69"/>
      <c r="V61" s="69"/>
    </row>
    <row r="62" spans="1:24" x14ac:dyDescent="0.25">
      <c r="A62" s="203" t="s">
        <v>44</v>
      </c>
      <c r="B62" s="203"/>
      <c r="C62" s="203"/>
      <c r="D62" s="203"/>
      <c r="E62" s="203"/>
      <c r="F62" s="203"/>
      <c r="G62" s="203"/>
      <c r="H62" s="203"/>
      <c r="S62" s="69"/>
      <c r="T62" s="49" t="s">
        <v>274</v>
      </c>
      <c r="U62" s="69"/>
      <c r="V62" s="69"/>
    </row>
    <row r="63" spans="1:24" x14ac:dyDescent="0.25">
      <c r="A63" s="204" t="s">
        <v>87</v>
      </c>
      <c r="B63" s="204"/>
      <c r="C63" s="204"/>
      <c r="D63" s="118">
        <f>E46</f>
        <v>17488.53</v>
      </c>
      <c r="E63" s="118"/>
      <c r="F63" s="118"/>
      <c r="G63" s="118"/>
      <c r="H63" s="118"/>
      <c r="J63"/>
      <c r="R63"/>
    </row>
    <row r="64" spans="1:24" x14ac:dyDescent="0.25">
      <c r="A64" s="131" t="s">
        <v>45</v>
      </c>
      <c r="B64" s="106"/>
      <c r="C64" s="106"/>
      <c r="D64" s="106" t="s">
        <v>392</v>
      </c>
      <c r="E64" s="106"/>
      <c r="F64" s="106"/>
      <c r="G64" s="106"/>
      <c r="H64" s="106"/>
      <c r="I64" s="21"/>
      <c r="R64"/>
    </row>
    <row r="65" spans="1:19" x14ac:dyDescent="0.25">
      <c r="A65" s="191" t="s">
        <v>46</v>
      </c>
      <c r="B65" s="192"/>
      <c r="C65" s="193"/>
      <c r="D65" s="107" t="s">
        <v>401</v>
      </c>
      <c r="E65" s="108"/>
      <c r="F65" s="108"/>
      <c r="G65" s="108"/>
      <c r="H65" s="108"/>
      <c r="I65" s="107"/>
      <c r="J65" s="108"/>
      <c r="K65" s="108"/>
      <c r="L65" s="108"/>
      <c r="M65" s="108"/>
      <c r="R65"/>
    </row>
    <row r="66" spans="1:19" ht="15.75" customHeight="1" x14ac:dyDescent="0.25">
      <c r="A66" s="131" t="s">
        <v>85</v>
      </c>
      <c r="B66" s="131"/>
      <c r="C66" s="131"/>
      <c r="D66" s="106" t="s">
        <v>402</v>
      </c>
      <c r="E66" s="106"/>
      <c r="F66" s="106"/>
      <c r="G66" s="106"/>
      <c r="H66" s="106"/>
      <c r="I66" s="109" t="s">
        <v>165</v>
      </c>
      <c r="J66" s="109"/>
      <c r="K66" s="109"/>
      <c r="L66" s="109"/>
      <c r="M66" s="109"/>
      <c r="R66"/>
    </row>
    <row r="67" spans="1:19" ht="15.75" customHeight="1" x14ac:dyDescent="0.25">
      <c r="A67" s="131"/>
      <c r="B67" s="131"/>
      <c r="C67" s="131"/>
      <c r="D67" s="106" t="s">
        <v>403</v>
      </c>
      <c r="E67" s="106"/>
      <c r="F67" s="106"/>
      <c r="G67" s="106"/>
      <c r="H67" s="106"/>
      <c r="I67" s="109" t="s">
        <v>293</v>
      </c>
      <c r="J67" s="109"/>
      <c r="K67" s="109"/>
      <c r="L67" s="109"/>
      <c r="M67" s="109"/>
      <c r="R67"/>
    </row>
    <row r="68" spans="1:19" ht="15.75" customHeight="1" x14ac:dyDescent="0.25">
      <c r="A68" s="106" t="s">
        <v>43</v>
      </c>
      <c r="B68" s="106"/>
      <c r="C68" s="106"/>
      <c r="D68" s="131" t="s">
        <v>394</v>
      </c>
      <c r="E68" s="131"/>
      <c r="F68" s="131"/>
      <c r="G68" s="131"/>
      <c r="H68" s="131"/>
      <c r="J68" s="22"/>
      <c r="K68" s="21"/>
      <c r="N68" s="21"/>
      <c r="S68"/>
    </row>
    <row r="69" spans="1:19" ht="15.75" customHeight="1" x14ac:dyDescent="0.25">
      <c r="A69" s="118" t="s">
        <v>83</v>
      </c>
      <c r="B69" s="118"/>
      <c r="C69" s="118"/>
      <c r="D69" s="197" t="str">
        <f>(IF(G61="NA","60 Years After Completion",IF(G61&lt;&gt;"NA",""&amp;60-ROUNDDOWN((E3-G61)/360,0)&amp;" Years"," ")))</f>
        <v>60 Years After Completion</v>
      </c>
      <c r="E69" s="197"/>
      <c r="F69" s="197"/>
      <c r="G69" s="197"/>
      <c r="H69" s="197"/>
      <c r="N69" s="21"/>
      <c r="S69"/>
    </row>
    <row r="70" spans="1:19" ht="15.75" customHeight="1" x14ac:dyDescent="0.25">
      <c r="A70" s="118" t="s">
        <v>84</v>
      </c>
      <c r="B70" s="118"/>
      <c r="C70" s="118"/>
      <c r="D70" s="204" t="s">
        <v>23</v>
      </c>
      <c r="E70" s="204"/>
      <c r="F70" s="204"/>
      <c r="G70" s="204"/>
      <c r="H70" s="204"/>
      <c r="J70" s="23"/>
      <c r="K70" s="23"/>
      <c r="S70"/>
    </row>
    <row r="71" spans="1:19" ht="38.450000000000003" customHeight="1" x14ac:dyDescent="0.25">
      <c r="A71" s="106" t="s">
        <v>404</v>
      </c>
      <c r="B71" s="106"/>
      <c r="C71" s="106"/>
      <c r="D71" s="131" t="s">
        <v>405</v>
      </c>
      <c r="E71" s="131"/>
      <c r="F71" s="131"/>
      <c r="G71" s="131"/>
      <c r="H71" s="131"/>
      <c r="S71"/>
    </row>
    <row r="72" spans="1:19" x14ac:dyDescent="0.25">
      <c r="A72" s="204" t="s">
        <v>144</v>
      </c>
      <c r="B72" s="204"/>
      <c r="C72" s="204"/>
      <c r="D72" s="204" t="s">
        <v>28</v>
      </c>
      <c r="E72" s="204"/>
      <c r="F72" s="204"/>
      <c r="G72" s="204"/>
      <c r="H72" s="204"/>
      <c r="I72" s="24"/>
      <c r="J72" s="24"/>
      <c r="K72" s="24"/>
      <c r="L72" s="24"/>
      <c r="M72" s="24"/>
      <c r="N72" s="24"/>
    </row>
    <row r="73" spans="1:19" ht="15.75" customHeight="1" x14ac:dyDescent="0.25">
      <c r="A73" s="118" t="s">
        <v>82</v>
      </c>
      <c r="B73" s="118"/>
      <c r="C73" s="118"/>
      <c r="D73" s="131" t="str">
        <f ca="1">(IF(G79&gt;95%,"Nothing",IF(G79&gt;0%,"Cement, Aggregate, Steel, etc",IF(G79=0%,"Work not yet Started"))))</f>
        <v>Cement, Aggregate, Steel, etc</v>
      </c>
      <c r="E73" s="131"/>
      <c r="F73" s="131"/>
      <c r="G73" s="131"/>
      <c r="H73" s="131"/>
      <c r="J73" s="23"/>
      <c r="S73"/>
    </row>
    <row r="74" spans="1:19" ht="33.75" customHeight="1" thickBot="1" x14ac:dyDescent="0.3">
      <c r="A74" s="204" t="s">
        <v>115</v>
      </c>
      <c r="B74" s="204"/>
      <c r="C74" s="204"/>
      <c r="D74" s="131" t="str">
        <f ca="1">(IF(D73="Nothing","Yes",IF(D73="Cement, Aggregate, Steel, etc","Under Construction",IF(D73="Work not yet Started","Work not yet Started"))))</f>
        <v>Under Construction</v>
      </c>
      <c r="E74" s="131"/>
      <c r="F74" s="131" t="str">
        <f ca="1">(IF(D73="Nothing","Yes",IF(D73="Cement, Aggregate, Steel, etc","Under Construction",IF(D73="Work not yet Started","Work not yet Started"))))</f>
        <v>Under Construction</v>
      </c>
      <c r="G74" s="131"/>
      <c r="H74" s="131"/>
      <c r="S74"/>
    </row>
    <row r="75" spans="1:19" ht="15.75" customHeight="1" x14ac:dyDescent="0.25">
      <c r="A75" s="205" t="s">
        <v>136</v>
      </c>
      <c r="B75" s="205"/>
      <c r="C75" s="163" t="str">
        <f>D66</f>
        <v xml:space="preserve">Building No.1 (Wing A) = G + 1st to 20th Floor </v>
      </c>
      <c r="D75" s="163"/>
      <c r="E75" s="163"/>
      <c r="F75" s="163"/>
      <c r="G75" s="163"/>
      <c r="H75" s="163"/>
      <c r="I75" s="100" t="str">
        <f ca="1">IF(D88=100%,"All work Completed. Possession granted to the Building.",IF(D87=100%,"All work Completed, Waiting for OC",I76&amp;""&amp;I77&amp;""&amp;J76&amp;""&amp;J75&amp;" "&amp;J77))</f>
        <v>Excavation, Plinth Completed, RCC upto 13 Slab, Brickwork upto 8 Floor Completed</v>
      </c>
      <c r="J75" s="41" t="str">
        <f ca="1">(IF(C81=(D76+F76+H76),"",IF(C81&gt;0,", RCC upto "&amp;C81&amp;" Slab","")))&amp;(IF(C82=H76,"",IF(C82&gt;0,", Brickwork upto "&amp;C82&amp;" Floor","")))&amp;(IF(C83=H76,"",IF(C83&gt;0,", Internal Plaster upto "&amp;C83&amp;" Floor","")))&amp;(IF(C84=H76,"",IF(C84&gt;0,", External Plaster upto "&amp;C84&amp;" Floor","")))&amp;(IF(C85=H76,"",IF(C85&gt;0,", Flooring upto "&amp;C85&amp;" Floor","")))&amp;(IF(C86=H76,"",IF(C86&gt;0,", Painting upto "&amp;C86&amp;" Floor","")))&amp;(IF(C87=H76,"",IF(C87&gt;0,", Finishing upto "&amp;C87&amp;" Floor","")))&amp;(IF(C88=H76,"",IF(C88&gt;0,", Possession upto "&amp;C88&amp;" Floor","")))</f>
        <v>, RCC upto 13 Slab, Brickwork upto 8 Floor</v>
      </c>
      <c r="S75"/>
    </row>
    <row r="76" spans="1:19" x14ac:dyDescent="0.25">
      <c r="A76" s="44" t="s">
        <v>138</v>
      </c>
      <c r="B76" s="44">
        <f>IF(AND(ISNUMBER(SEARCH("1B",C75))),1,IF(AND(ISNUMBER(SEARCH("2B",C75))),2,IF(AND(ISNUMBER(SEARCH("3B",C75))),3,IF(AND(ISNUMBER(SEARCH("4B",C75))),4,IF(ISNUMBER(SEARCH("5B",C75)),5,0)))))</f>
        <v>0</v>
      </c>
      <c r="C76" s="44" t="s">
        <v>68</v>
      </c>
      <c r="D76" s="44">
        <v>1</v>
      </c>
      <c r="E76" s="44" t="s">
        <v>67</v>
      </c>
      <c r="F76" s="44">
        <v>0</v>
      </c>
      <c r="G76" s="44" t="s">
        <v>76</v>
      </c>
      <c r="H76" s="44">
        <f ca="1">--TRIM(RIGHT(SUBSTITUTE(LEFT(C75,_xlfn.AGGREGATE(16,6,FIND({0,1,2,3,4,5,6,7,8,9},C75,ROW(INDIRECT("1:"&amp;LEN(C75)))),1))," ",REPT(" ",LEN(C75))),LEN(C75)))</f>
        <v>20</v>
      </c>
      <c r="I76" s="101" t="str">
        <f ca="1">IF(D79=100%,"Excavation","")&amp;IF(D80=100%,", Plinth","")&amp;IF(D81=100%,", RCC Slab","")&amp;IF(D82=100%,", Brickwork","")&amp;IF(D83=100%,", Internal Plaster","")&amp;IF(D84=100%,", External Plaster","")&amp;IF(D85=100%,", Flooring","")&amp;IF(D86=100%,", Painting","")&amp;IF(D87=100%,", Building common Amenities","")</f>
        <v>Excavation, Plinth</v>
      </c>
      <c r="J76" s="43" t="str">
        <f ca="1">(IF(C79=0,"Work not yet Started.",IF(D79=25%,"Piling work in process",IF(D79=50%,"Excavation work in process",IF(D79=100%,"","0")))))&amp;(IF(C80=0%,"",IF(C80=J81,", Footing work is process",IF(C80=J82,", Footing work Completed",IF(C80=J83,", 1st Basement Completed",IF(C80=J84,", 1st &amp; 2nd Basement Completed",IF(C80=J85,", 1st to 3rd Basement Completed",IF(C80=J86,", 1st to 4th Basement Completed",IF(C80=J87,", Plinth work is process",IF(C80=J88,"","0"))))))))))</f>
        <v/>
      </c>
      <c r="S76"/>
    </row>
    <row r="77" spans="1:19" ht="31.5" customHeight="1" x14ac:dyDescent="0.25">
      <c r="A77" s="171" t="s">
        <v>86</v>
      </c>
      <c r="B77" s="171"/>
      <c r="C77" s="163" t="str">
        <f ca="1">I75</f>
        <v>Excavation, Plinth Completed, RCC upto 13 Slab, Brickwork upto 8 Floor Completed</v>
      </c>
      <c r="D77" s="163"/>
      <c r="E77" s="163"/>
      <c r="F77" s="163"/>
      <c r="G77" s="163"/>
      <c r="H77" s="163"/>
      <c r="I77" s="101" t="str">
        <f ca="1">IF(I76&lt;&gt;""," Completed","")</f>
        <v xml:space="preserve"> Completed</v>
      </c>
      <c r="J77" s="43" t="str">
        <f ca="1">IF(J75&lt;&gt;"","Completed","")</f>
        <v>Completed</v>
      </c>
      <c r="S77"/>
    </row>
    <row r="78" spans="1:19" ht="15.75" customHeight="1" x14ac:dyDescent="0.25">
      <c r="A78" s="135" t="s">
        <v>47</v>
      </c>
      <c r="B78" s="135"/>
      <c r="C78" s="98" t="s">
        <v>135</v>
      </c>
      <c r="D78" s="98" t="s">
        <v>79</v>
      </c>
      <c r="E78" s="138" t="s">
        <v>81</v>
      </c>
      <c r="F78" s="138"/>
      <c r="G78" s="138" t="s">
        <v>80</v>
      </c>
      <c r="H78" s="138"/>
      <c r="I78" s="13" t="s">
        <v>137</v>
      </c>
      <c r="J78" s="25">
        <f ca="1">H76*25%</f>
        <v>5</v>
      </c>
      <c r="S78"/>
    </row>
    <row r="79" spans="1:19" x14ac:dyDescent="0.25">
      <c r="A79" s="135" t="s">
        <v>124</v>
      </c>
      <c r="B79" s="135"/>
      <c r="C79" s="98">
        <f ca="1">J80</f>
        <v>20</v>
      </c>
      <c r="D79" s="92">
        <f ca="1">((100/H76)*C79)/100</f>
        <v>1</v>
      </c>
      <c r="E79" s="136">
        <f ca="1">(((C80/H76*10)+(40/(D76+F76+H76)*C81)+(7.5/(H76)*C82)+(7.5/(H76)*C83)+(10/H76*C84)+(10/H76*C85)+(5/H76*C86)+(5/H76*C87)+(5/H76*C88))/100)</f>
        <v>0.37761904761904758</v>
      </c>
      <c r="F79" s="136"/>
      <c r="G79" s="136">
        <f ca="1">((((C79/H76)*20)+((C80/H76)*25)+(30/(H76+F76+D76)*C81)+(5/H76*C82)+(5/H76*C83)+(5/H76*C84)+(5/H76*C85)+(0/H76*C86)+(0/H76*C87)+(5/H76*C88))/100)</f>
        <v>0.65571428571428569</v>
      </c>
      <c r="H79" s="136"/>
      <c r="I79" s="13" t="s">
        <v>97</v>
      </c>
      <c r="J79" s="26">
        <f ca="1">H76*50%</f>
        <v>10</v>
      </c>
    </row>
    <row r="80" spans="1:19" x14ac:dyDescent="0.25">
      <c r="A80" s="135" t="s">
        <v>48</v>
      </c>
      <c r="B80" s="135"/>
      <c r="C80" s="98">
        <f ca="1">J88</f>
        <v>20</v>
      </c>
      <c r="D80" s="92">
        <f ca="1">((100/H76)*C80)/100</f>
        <v>1</v>
      </c>
      <c r="E80" s="136"/>
      <c r="F80" s="136"/>
      <c r="G80" s="136"/>
      <c r="H80" s="136"/>
      <c r="I80" s="13" t="s">
        <v>98</v>
      </c>
      <c r="J80" s="26">
        <f ca="1">H76</f>
        <v>20</v>
      </c>
      <c r="S80"/>
    </row>
    <row r="81" spans="1:19" ht="15.75" customHeight="1" x14ac:dyDescent="0.25">
      <c r="A81" s="135" t="s">
        <v>125</v>
      </c>
      <c r="B81" s="135"/>
      <c r="C81" s="98">
        <v>13</v>
      </c>
      <c r="D81" s="92">
        <f ca="1">((100/(D76+F76+H76))*C81)/100</f>
        <v>0.61904761904761907</v>
      </c>
      <c r="E81" s="136"/>
      <c r="F81" s="136"/>
      <c r="G81" s="136"/>
      <c r="H81" s="136"/>
      <c r="I81" s="13" t="s">
        <v>99</v>
      </c>
      <c r="J81" s="27">
        <f ca="1">(IF(B76&gt;1,(H76/(B76+2)),H76/4))</f>
        <v>5</v>
      </c>
      <c r="S81"/>
    </row>
    <row r="82" spans="1:19" ht="15.75" customHeight="1" x14ac:dyDescent="0.25">
      <c r="A82" s="135" t="s">
        <v>132</v>
      </c>
      <c r="B82" s="135" t="s">
        <v>126</v>
      </c>
      <c r="C82" s="98">
        <v>8</v>
      </c>
      <c r="D82" s="92">
        <f ca="1">((100/H76)*C82)/100</f>
        <v>0.4</v>
      </c>
      <c r="E82" s="136"/>
      <c r="F82" s="136"/>
      <c r="G82" s="136"/>
      <c r="H82" s="136"/>
      <c r="I82" s="13" t="s">
        <v>100</v>
      </c>
      <c r="J82" s="27">
        <f ca="1">(IF(B76&gt;1,(H76/(B76+2)+J81),H76/4+J81))</f>
        <v>10</v>
      </c>
    </row>
    <row r="83" spans="1:19" ht="15.75" customHeight="1" x14ac:dyDescent="0.25">
      <c r="A83" s="135" t="s">
        <v>133</v>
      </c>
      <c r="B83" s="135" t="s">
        <v>126</v>
      </c>
      <c r="C83" s="98">
        <v>0</v>
      </c>
      <c r="D83" s="92">
        <f ca="1">((100/H76)*C83)/100</f>
        <v>0</v>
      </c>
      <c r="E83" s="136"/>
      <c r="F83" s="136"/>
      <c r="G83" s="136"/>
      <c r="H83" s="136"/>
      <c r="I83" s="13" t="s">
        <v>142</v>
      </c>
      <c r="J83" s="27">
        <f>(IF(B76&gt;1,(H76/(B76+2)+J82),0))</f>
        <v>0</v>
      </c>
    </row>
    <row r="84" spans="1:19" ht="15" customHeight="1" x14ac:dyDescent="0.25">
      <c r="A84" s="135" t="s">
        <v>131</v>
      </c>
      <c r="B84" s="135" t="s">
        <v>128</v>
      </c>
      <c r="C84" s="98">
        <v>0</v>
      </c>
      <c r="D84" s="92">
        <f ca="1">((100/(H76))*C84)/100</f>
        <v>0</v>
      </c>
      <c r="E84" s="136"/>
      <c r="F84" s="136"/>
      <c r="G84" s="136"/>
      <c r="H84" s="136"/>
      <c r="I84" s="13" t="s">
        <v>139</v>
      </c>
      <c r="J84" s="27">
        <f>(IF(B76&gt;2,(H76/(B76+2)+J83),0))</f>
        <v>0</v>
      </c>
    </row>
    <row r="85" spans="1:19" ht="15.75" customHeight="1" x14ac:dyDescent="0.25">
      <c r="A85" s="135" t="s">
        <v>127</v>
      </c>
      <c r="B85" s="135" t="s">
        <v>127</v>
      </c>
      <c r="C85" s="98">
        <v>0</v>
      </c>
      <c r="D85" s="92">
        <f ca="1">((100/H76)*C85)/100</f>
        <v>0</v>
      </c>
      <c r="E85" s="136"/>
      <c r="F85" s="136"/>
      <c r="G85" s="136"/>
      <c r="H85" s="136"/>
      <c r="I85" s="13" t="s">
        <v>140</v>
      </c>
      <c r="J85" s="28">
        <f>(IF(B76&gt;3,(H76/(B76+2)+J84),0))</f>
        <v>0</v>
      </c>
    </row>
    <row r="86" spans="1:19" ht="15.75" customHeight="1" x14ac:dyDescent="0.25">
      <c r="A86" s="135" t="s">
        <v>134</v>
      </c>
      <c r="B86" s="135"/>
      <c r="C86" s="98">
        <v>0</v>
      </c>
      <c r="D86" s="92">
        <f ca="1">((100/H76)*C86)/100</f>
        <v>0</v>
      </c>
      <c r="E86" s="136"/>
      <c r="F86" s="136"/>
      <c r="G86" s="136"/>
      <c r="H86" s="136"/>
      <c r="I86" s="13" t="s">
        <v>141</v>
      </c>
      <c r="J86" s="27">
        <f>(IF(B76&gt;4,(H76/(B76+2)+J85),0))</f>
        <v>0</v>
      </c>
    </row>
    <row r="87" spans="1:19" ht="15.75" customHeight="1" x14ac:dyDescent="0.25">
      <c r="A87" s="135" t="s">
        <v>129</v>
      </c>
      <c r="B87" s="135" t="s">
        <v>129</v>
      </c>
      <c r="C87" s="98">
        <v>0</v>
      </c>
      <c r="D87" s="92">
        <f ca="1">((100/(H76))*C87)/100</f>
        <v>0</v>
      </c>
      <c r="E87" s="136"/>
      <c r="F87" s="136"/>
      <c r="G87" s="136"/>
      <c r="H87" s="136"/>
      <c r="I87" s="13" t="s">
        <v>143</v>
      </c>
      <c r="J87" s="27">
        <f ca="1">(IF(B76=1,(H76/(B76+3)+J82),IF(B76=0,(H76/4+J82),IF(B76&gt;1,0))))</f>
        <v>15</v>
      </c>
    </row>
    <row r="88" spans="1:19" ht="16.5" thickBot="1" x14ac:dyDescent="0.3">
      <c r="A88" s="135" t="s">
        <v>130</v>
      </c>
      <c r="B88" s="135"/>
      <c r="C88" s="98">
        <v>0</v>
      </c>
      <c r="D88" s="92">
        <f ca="1">((100/(H76))*C88)/100</f>
        <v>0</v>
      </c>
      <c r="E88" s="136"/>
      <c r="F88" s="136"/>
      <c r="G88" s="136"/>
      <c r="H88" s="136"/>
      <c r="I88" s="14" t="s">
        <v>101</v>
      </c>
      <c r="J88" s="29">
        <f ca="1">(IF(B76&gt;1.5,(H76/(B76+2)+J82+MAX(0,J83-J82)+MAX(0,J84-J83)+MAX(0,J85-J84)+MAX(0,J86-J85)+MAX(0,J87-J86)),IF(B76=1,(H76/(B76+3)+J87),IF(B76=0,H76/4+J87))))</f>
        <v>20</v>
      </c>
    </row>
    <row r="89" spans="1:19" ht="15.75" customHeight="1" x14ac:dyDescent="0.25">
      <c r="A89" s="156" t="s">
        <v>136</v>
      </c>
      <c r="B89" s="157"/>
      <c r="C89" s="158" t="str">
        <f>D67</f>
        <v xml:space="preserve">Building No.1 (Wing B) = G + 1st to 20th Floor </v>
      </c>
      <c r="D89" s="159"/>
      <c r="E89" s="159"/>
      <c r="F89" s="159"/>
      <c r="G89" s="159"/>
      <c r="H89" s="160"/>
      <c r="I89" s="40" t="str">
        <f ca="1">IF(D102=100%,"All work Completed. Possession granted to the Building.",IF(D101=100%,"All work Completed, Waiting for OC",I90&amp;""&amp;I91&amp;""&amp;J90&amp;""&amp;J89&amp;" "&amp;J91))</f>
        <v>Excavation, Plinth Completed, RCC upto 10 Slab, Brickwork upto 3 Floor Completed</v>
      </c>
      <c r="J89" s="41" t="str">
        <f ca="1">(IF(C95=(D90+F90+H90),"",IF(C95&gt;0,", RCC upto "&amp;C95&amp;" Slab","")))&amp;(IF(C96=H90,"",IF(C96&gt;0,", Brickwork upto "&amp;C96&amp;" Floor","")))&amp;(IF(C97=H90,"",IF(C97&gt;0,", Internal Plaster upto "&amp;C97&amp;" Floor","")))&amp;(IF(C98=H90,"",IF(C98&gt;0,", External Plaster upto "&amp;C98&amp;" Floor","")))&amp;(IF(C99=H90,"",IF(C99&gt;0,", Flooring upto "&amp;C99&amp;" Floor","")))&amp;(IF(C100=H90,"",IF(C100&gt;0,", Painting upto "&amp;C100&amp;" Floor","")))&amp;(IF(C101=H90,"",IF(C101&gt;0,", Finishing upto "&amp;C101&amp;" Floor","")))&amp;(IF(C102=H90,"",IF(C102&gt;0,", Possession upto "&amp;C102&amp;" Floor","")))</f>
        <v>, RCC upto 10 Slab, Brickwork upto 3 Floor</v>
      </c>
      <c r="S89"/>
    </row>
    <row r="90" spans="1:19" x14ac:dyDescent="0.25">
      <c r="A90" s="15" t="s">
        <v>138</v>
      </c>
      <c r="B90" s="44">
        <f>IF(AND(ISNUMBER(SEARCH("1B",C89))),1,IF(AND(ISNUMBER(SEARCH("2B",C89))),2,IF(AND(ISNUMBER(SEARCH("3B",C89))),3,IF(AND(ISNUMBER(SEARCH("4B",C89))),4,IF(ISNUMBER(SEARCH("5B",C89)),5,0)))))</f>
        <v>0</v>
      </c>
      <c r="C90" s="44" t="s">
        <v>68</v>
      </c>
      <c r="D90" s="44">
        <v>1</v>
      </c>
      <c r="E90" s="44" t="s">
        <v>67</v>
      </c>
      <c r="F90" s="44">
        <v>0</v>
      </c>
      <c r="G90" s="44" t="s">
        <v>76</v>
      </c>
      <c r="H90" s="16">
        <f ca="1">--TRIM(RIGHT(SUBSTITUTE(LEFT(C89,_xlfn.AGGREGATE(16,6,FIND({0,1,2,3,4,5,6,7,8,9},C89,ROW(INDIRECT("1:"&amp;LEN(C89)))),1))," ",REPT(" ",LEN(C89))),LEN(C89)))</f>
        <v>20</v>
      </c>
      <c r="I90" s="42" t="str">
        <f ca="1">IF(D93=100%,"Excavation","")&amp;IF(D94=100%,", Plinth","")&amp;IF(D95=100%,", RCC Slab","")&amp;IF(D96=100%,", Brickwork","")&amp;IF(D97=100%,", Internal Plaster","")&amp;IF(D98=100%,", External Plaster","")&amp;IF(D99=100%,", Flooring","")&amp;IF(D100=100%,", Painting","")&amp;IF(D101=100%,", Building common Amenities","")</f>
        <v>Excavation, Plinth</v>
      </c>
      <c r="J90" s="43" t="str">
        <f ca="1">(IF(C93=0,"Work not yet Started.",IF(D93=25%,"Piling work in process",IF(D93=50%,"Excavation work in process",IF(D93=100%,"","0")))))&amp;(IF(C94=0%,"",IF(C94=J95,", Footing work is process",IF(C94=J96,", Footing work Completed",IF(C94=J97,", 1st Basement Completed",IF(C94=J98,", 1st &amp; 2nd Basement Completed",IF(C94=J99,", 1st to 3rd Basement Completed",IF(C94=J100,", 1st to 4th Basement Completed",IF(C94=J101,", Plinth work is process",IF(C94=J102,"","0"))))))))))</f>
        <v/>
      </c>
      <c r="S90"/>
    </row>
    <row r="91" spans="1:19" ht="31.5" customHeight="1" x14ac:dyDescent="0.25">
      <c r="A91" s="170" t="s">
        <v>86</v>
      </c>
      <c r="B91" s="171"/>
      <c r="C91" s="163" t="str">
        <f ca="1">I89</f>
        <v>Excavation, Plinth Completed, RCC upto 10 Slab, Brickwork upto 3 Floor Completed</v>
      </c>
      <c r="D91" s="163"/>
      <c r="E91" s="163"/>
      <c r="F91" s="163"/>
      <c r="G91" s="163"/>
      <c r="H91" s="164"/>
      <c r="I91" s="42" t="str">
        <f ca="1">IF(I90&lt;&gt;""," Completed","")</f>
        <v xml:space="preserve"> Completed</v>
      </c>
      <c r="J91" s="43" t="str">
        <f ca="1">IF(J89&lt;&gt;"","Completed","")</f>
        <v>Completed</v>
      </c>
      <c r="S91"/>
    </row>
    <row r="92" spans="1:19" ht="15.75" customHeight="1" x14ac:dyDescent="0.25">
      <c r="A92" s="137" t="s">
        <v>47</v>
      </c>
      <c r="B92" s="138"/>
      <c r="C92" s="91" t="s">
        <v>135</v>
      </c>
      <c r="D92" s="91" t="s">
        <v>79</v>
      </c>
      <c r="E92" s="138" t="s">
        <v>81</v>
      </c>
      <c r="F92" s="138"/>
      <c r="G92" s="138" t="s">
        <v>80</v>
      </c>
      <c r="H92" s="139"/>
      <c r="I92" s="13" t="s">
        <v>137</v>
      </c>
      <c r="J92" s="25">
        <f ca="1">H90*25%</f>
        <v>5</v>
      </c>
      <c r="S92"/>
    </row>
    <row r="93" spans="1:19" x14ac:dyDescent="0.25">
      <c r="A93" s="137" t="s">
        <v>124</v>
      </c>
      <c r="B93" s="138"/>
      <c r="C93" s="91">
        <f ca="1">J94</f>
        <v>20</v>
      </c>
      <c r="D93" s="92">
        <f ca="1">((100/H90)*C93)/100</f>
        <v>1</v>
      </c>
      <c r="E93" s="150">
        <f ca="1">(((C94/H90*10)+(40/(D90+F90+H90)*C95)+(7.5/(H90)*C96)+(7.5/(H90)*C97)+(10/H90*C98)+(10/H90*C99)+(5/H90*C100)+(5/H90*C101)+(5/H90*C102))/100)</f>
        <v>0.30172619047619048</v>
      </c>
      <c r="F93" s="151"/>
      <c r="G93" s="150">
        <f ca="1">((((C93/H90)*20)+((C94/H90)*25)+(30/(H90+F90+D90)*C95)+(5/H90*C96)+(5/H90*C97)+(5/H90*C98)+(5/H90*C99)+(0/H90*C100)+(0/H90*C101)+(5/H90*C102))/100)</f>
        <v>0.60035714285714281</v>
      </c>
      <c r="H93" s="165"/>
      <c r="I93" s="13" t="s">
        <v>97</v>
      </c>
      <c r="J93" s="26">
        <f ca="1">H90*50%</f>
        <v>10</v>
      </c>
    </row>
    <row r="94" spans="1:19" x14ac:dyDescent="0.25">
      <c r="A94" s="137" t="s">
        <v>48</v>
      </c>
      <c r="B94" s="138"/>
      <c r="C94" s="91">
        <f ca="1">J102</f>
        <v>20</v>
      </c>
      <c r="D94" s="92">
        <f ca="1">((100/H90)*C94)/100</f>
        <v>1</v>
      </c>
      <c r="E94" s="152"/>
      <c r="F94" s="153"/>
      <c r="G94" s="152"/>
      <c r="H94" s="166"/>
      <c r="I94" s="13" t="s">
        <v>98</v>
      </c>
      <c r="J94" s="26">
        <f ca="1">H90</f>
        <v>20</v>
      </c>
      <c r="S94"/>
    </row>
    <row r="95" spans="1:19" ht="15.75" customHeight="1" x14ac:dyDescent="0.25">
      <c r="A95" s="137" t="s">
        <v>125</v>
      </c>
      <c r="B95" s="138"/>
      <c r="C95" s="91">
        <v>10</v>
      </c>
      <c r="D95" s="92">
        <f ca="1">((100/(D90+F90+H90))*C95)/100</f>
        <v>0.47619047619047622</v>
      </c>
      <c r="E95" s="152"/>
      <c r="F95" s="153"/>
      <c r="G95" s="152"/>
      <c r="H95" s="166"/>
      <c r="I95" s="13" t="s">
        <v>99</v>
      </c>
      <c r="J95" s="27">
        <f ca="1">(IF(B90&gt;1,(H90/(B90+2)),H90/4))</f>
        <v>5</v>
      </c>
      <c r="S95"/>
    </row>
    <row r="96" spans="1:19" ht="15.75" customHeight="1" x14ac:dyDescent="0.25">
      <c r="A96" s="137" t="s">
        <v>132</v>
      </c>
      <c r="B96" s="138" t="s">
        <v>126</v>
      </c>
      <c r="C96" s="91">
        <v>3</v>
      </c>
      <c r="D96" s="92">
        <f ca="1">((100/H90)*C96)/100</f>
        <v>0.15</v>
      </c>
      <c r="E96" s="152"/>
      <c r="F96" s="153"/>
      <c r="G96" s="152"/>
      <c r="H96" s="166"/>
      <c r="I96" s="13" t="s">
        <v>100</v>
      </c>
      <c r="J96" s="27">
        <f ca="1">(IF(B90&gt;1,(H90/(B90+2)+J95),H90/4+J95))</f>
        <v>10</v>
      </c>
    </row>
    <row r="97" spans="1:22" ht="15.75" customHeight="1" x14ac:dyDescent="0.25">
      <c r="A97" s="137" t="s">
        <v>133</v>
      </c>
      <c r="B97" s="138" t="s">
        <v>126</v>
      </c>
      <c r="C97" s="91">
        <v>0</v>
      </c>
      <c r="D97" s="92">
        <f ca="1">((100/H90)*C97)/100</f>
        <v>0</v>
      </c>
      <c r="E97" s="152"/>
      <c r="F97" s="153"/>
      <c r="G97" s="152"/>
      <c r="H97" s="166"/>
      <c r="I97" s="13" t="s">
        <v>142</v>
      </c>
      <c r="J97" s="27">
        <f>(IF(B90&gt;1,(H90/(B90+2)+J96),0))</f>
        <v>0</v>
      </c>
    </row>
    <row r="98" spans="1:22" ht="15" customHeight="1" x14ac:dyDescent="0.25">
      <c r="A98" s="137" t="s">
        <v>131</v>
      </c>
      <c r="B98" s="138" t="s">
        <v>128</v>
      </c>
      <c r="C98" s="91">
        <v>0</v>
      </c>
      <c r="D98" s="92">
        <f ca="1">((100/(H90))*C98)/100</f>
        <v>0</v>
      </c>
      <c r="E98" s="152"/>
      <c r="F98" s="153"/>
      <c r="G98" s="152"/>
      <c r="H98" s="166"/>
      <c r="I98" s="13" t="s">
        <v>139</v>
      </c>
      <c r="J98" s="27">
        <f>(IF(B90&gt;2,(H90/(B90+2)+J97),0))</f>
        <v>0</v>
      </c>
    </row>
    <row r="99" spans="1:22" ht="15.75" customHeight="1" x14ac:dyDescent="0.25">
      <c r="A99" s="137" t="s">
        <v>127</v>
      </c>
      <c r="B99" s="138" t="s">
        <v>127</v>
      </c>
      <c r="C99" s="91">
        <v>0</v>
      </c>
      <c r="D99" s="92">
        <f ca="1">((100/H90)*C99)/100</f>
        <v>0</v>
      </c>
      <c r="E99" s="152"/>
      <c r="F99" s="153"/>
      <c r="G99" s="152"/>
      <c r="H99" s="166"/>
      <c r="I99" s="13" t="s">
        <v>140</v>
      </c>
      <c r="J99" s="28">
        <f>(IF(B90&gt;3,(H90/(B90+2)+J98),0))</f>
        <v>0</v>
      </c>
    </row>
    <row r="100" spans="1:22" ht="15.75" customHeight="1" x14ac:dyDescent="0.25">
      <c r="A100" s="137" t="s">
        <v>134</v>
      </c>
      <c r="B100" s="138"/>
      <c r="C100" s="91">
        <v>0</v>
      </c>
      <c r="D100" s="92">
        <f ca="1">((100/H90)*C100)/100</f>
        <v>0</v>
      </c>
      <c r="E100" s="152"/>
      <c r="F100" s="153"/>
      <c r="G100" s="152"/>
      <c r="H100" s="166"/>
      <c r="I100" s="13" t="s">
        <v>141</v>
      </c>
      <c r="J100" s="27">
        <f>(IF(B90&gt;4,(H90/(B90+2)+J99),0))</f>
        <v>0</v>
      </c>
    </row>
    <row r="101" spans="1:22" ht="15.75" customHeight="1" x14ac:dyDescent="0.25">
      <c r="A101" s="137" t="s">
        <v>129</v>
      </c>
      <c r="B101" s="138" t="s">
        <v>129</v>
      </c>
      <c r="C101" s="91">
        <v>0</v>
      </c>
      <c r="D101" s="92">
        <f ca="1">((100/(H90))*C101)/100</f>
        <v>0</v>
      </c>
      <c r="E101" s="152"/>
      <c r="F101" s="153"/>
      <c r="G101" s="152"/>
      <c r="H101" s="166"/>
      <c r="I101" s="13" t="s">
        <v>143</v>
      </c>
      <c r="J101" s="27">
        <f ca="1">(IF(B90=1,(H90/(B90+3)+J96),IF(B90=0,(H90/4+J96),IF(B90&gt;1,0))))</f>
        <v>15</v>
      </c>
    </row>
    <row r="102" spans="1:22" ht="16.5" thickBot="1" x14ac:dyDescent="0.3">
      <c r="A102" s="231" t="s">
        <v>130</v>
      </c>
      <c r="B102" s="232"/>
      <c r="C102" s="93">
        <v>0</v>
      </c>
      <c r="D102" s="94">
        <f ca="1">((100/(H90))*C102)/100</f>
        <v>0</v>
      </c>
      <c r="E102" s="154"/>
      <c r="F102" s="155"/>
      <c r="G102" s="154"/>
      <c r="H102" s="167"/>
      <c r="I102" s="14" t="s">
        <v>101</v>
      </c>
      <c r="J102" s="29">
        <f ca="1">(IF(B90&gt;1.5,(H90/(B90+2)+J96+MAX(0,J97-J96)+MAX(0,J98-J97)+MAX(0,J99-J98)+MAX(0,J100-J99)+MAX(0,J101-J100)),IF(B90=1,(H90/(B90+3)+J101),IF(B90=0,H90/4+J101))))</f>
        <v>20</v>
      </c>
    </row>
    <row r="103" spans="1:22" x14ac:dyDescent="0.25">
      <c r="A103" s="225" t="s">
        <v>152</v>
      </c>
      <c r="B103" s="225"/>
      <c r="C103" s="225"/>
      <c r="D103" s="225"/>
      <c r="E103" s="225"/>
      <c r="F103" s="228" t="s">
        <v>156</v>
      </c>
      <c r="G103" s="228"/>
      <c r="H103" s="228"/>
      <c r="R103" t="s">
        <v>249</v>
      </c>
      <c r="S103" t="s">
        <v>169</v>
      </c>
      <c r="T103" t="s">
        <v>176</v>
      </c>
      <c r="U103" t="s">
        <v>190</v>
      </c>
      <c r="V103" t="s">
        <v>185</v>
      </c>
    </row>
    <row r="104" spans="1:22" x14ac:dyDescent="0.25">
      <c r="A104" s="118" t="s">
        <v>154</v>
      </c>
      <c r="B104" s="118"/>
      <c r="C104" s="118"/>
      <c r="D104" s="118"/>
      <c r="E104" s="118"/>
      <c r="F104" s="168">
        <v>5500</v>
      </c>
      <c r="G104" s="168"/>
      <c r="H104" s="168"/>
      <c r="R104"/>
      <c r="S104">
        <v>800000</v>
      </c>
      <c r="T104">
        <v>150000</v>
      </c>
      <c r="U104">
        <v>100000</v>
      </c>
      <c r="V104">
        <v>100000</v>
      </c>
    </row>
    <row r="105" spans="1:22" hidden="1" x14ac:dyDescent="0.25">
      <c r="A105" s="118" t="s">
        <v>153</v>
      </c>
      <c r="B105" s="118"/>
      <c r="C105" s="118"/>
      <c r="D105" s="118"/>
      <c r="E105" s="118"/>
      <c r="F105" s="168"/>
      <c r="G105" s="168"/>
      <c r="H105" s="168"/>
      <c r="R105"/>
      <c r="S105">
        <v>900000</v>
      </c>
      <c r="T105">
        <v>200000</v>
      </c>
      <c r="U105">
        <v>150000</v>
      </c>
      <c r="V105">
        <v>150000</v>
      </c>
    </row>
    <row r="106" spans="1:22" hidden="1" x14ac:dyDescent="0.25">
      <c r="A106" s="118" t="s">
        <v>155</v>
      </c>
      <c r="B106" s="118"/>
      <c r="C106" s="118"/>
      <c r="D106" s="118"/>
      <c r="E106" s="118"/>
      <c r="F106" s="168"/>
      <c r="G106" s="168"/>
      <c r="H106" s="168"/>
      <c r="R106"/>
      <c r="S106">
        <v>1000000</v>
      </c>
      <c r="T106">
        <v>250000</v>
      </c>
      <c r="U106">
        <v>200000</v>
      </c>
      <c r="V106">
        <v>200000</v>
      </c>
    </row>
    <row r="107" spans="1:22" s="30" customFormat="1" hidden="1" x14ac:dyDescent="0.25">
      <c r="A107" s="118" t="s">
        <v>171</v>
      </c>
      <c r="B107" s="118"/>
      <c r="C107" s="118"/>
      <c r="D107" s="118"/>
      <c r="E107" s="118"/>
      <c r="F107" s="168"/>
      <c r="G107" s="168"/>
      <c r="H107" s="168"/>
      <c r="R107"/>
      <c r="S107">
        <v>1100000</v>
      </c>
      <c r="T107">
        <v>300000</v>
      </c>
      <c r="U107">
        <v>250000</v>
      </c>
      <c r="V107" s="20">
        <v>250000</v>
      </c>
    </row>
    <row r="108" spans="1:22" s="30" customFormat="1" x14ac:dyDescent="0.25">
      <c r="A108" s="118" t="s">
        <v>91</v>
      </c>
      <c r="B108" s="118"/>
      <c r="C108" s="118"/>
      <c r="D108" s="118"/>
      <c r="E108" s="118"/>
      <c r="F108" s="168">
        <v>175000</v>
      </c>
      <c r="G108" s="168"/>
      <c r="H108" s="168"/>
      <c r="R108"/>
      <c r="S108">
        <v>1200000</v>
      </c>
      <c r="T108">
        <v>350000</v>
      </c>
      <c r="U108">
        <v>300000</v>
      </c>
      <c r="V108">
        <v>300000</v>
      </c>
    </row>
    <row r="109" spans="1:22" s="30" customFormat="1" hidden="1" x14ac:dyDescent="0.25">
      <c r="A109" s="118" t="s">
        <v>92</v>
      </c>
      <c r="B109" s="118"/>
      <c r="C109" s="118"/>
      <c r="D109" s="118"/>
      <c r="E109" s="118"/>
      <c r="F109" s="168"/>
      <c r="G109" s="168"/>
      <c r="H109" s="168"/>
      <c r="R109"/>
      <c r="S109">
        <v>1300000</v>
      </c>
      <c r="T109">
        <v>400000</v>
      </c>
      <c r="U109">
        <v>350000</v>
      </c>
      <c r="V109" s="20">
        <v>400000</v>
      </c>
    </row>
    <row r="110" spans="1:22" s="30" customFormat="1" hidden="1" x14ac:dyDescent="0.25">
      <c r="A110" s="118" t="s">
        <v>93</v>
      </c>
      <c r="B110" s="118"/>
      <c r="C110" s="118"/>
      <c r="D110" s="118"/>
      <c r="E110" s="118"/>
      <c r="F110" s="168"/>
      <c r="G110" s="168"/>
      <c r="H110" s="168"/>
      <c r="R110"/>
      <c r="S110">
        <v>1400000</v>
      </c>
      <c r="T110">
        <v>500000</v>
      </c>
      <c r="U110">
        <v>400000</v>
      </c>
      <c r="V110"/>
    </row>
    <row r="111" spans="1:22" s="30" customFormat="1" hidden="1" x14ac:dyDescent="0.25">
      <c r="A111" s="118" t="s">
        <v>94</v>
      </c>
      <c r="B111" s="118"/>
      <c r="C111" s="118"/>
      <c r="D111" s="118"/>
      <c r="E111" s="118"/>
      <c r="F111" s="168"/>
      <c r="G111" s="168"/>
      <c r="H111" s="168"/>
      <c r="R111"/>
      <c r="S111">
        <v>1500000</v>
      </c>
      <c r="T111">
        <v>600000</v>
      </c>
      <c r="U111">
        <v>500000</v>
      </c>
      <c r="V111" s="20"/>
    </row>
    <row r="112" spans="1:22" s="30" customFormat="1" hidden="1" x14ac:dyDescent="0.25">
      <c r="A112" s="118" t="s">
        <v>95</v>
      </c>
      <c r="B112" s="118"/>
      <c r="C112" s="118"/>
      <c r="D112" s="118"/>
      <c r="E112" s="118"/>
      <c r="F112" s="168"/>
      <c r="G112" s="168"/>
      <c r="H112" s="168"/>
      <c r="R112"/>
      <c r="S112">
        <v>1600000</v>
      </c>
      <c r="T112">
        <v>700000</v>
      </c>
      <c r="U112">
        <v>600000</v>
      </c>
      <c r="V112"/>
    </row>
    <row r="113" spans="1:22" s="30" customFormat="1" hidden="1" x14ac:dyDescent="0.25">
      <c r="A113" s="118" t="s">
        <v>96</v>
      </c>
      <c r="B113" s="118"/>
      <c r="C113" s="118"/>
      <c r="D113" s="118"/>
      <c r="E113" s="118"/>
      <c r="F113" s="168"/>
      <c r="G113" s="168"/>
      <c r="H113" s="168"/>
      <c r="R113"/>
      <c r="S113">
        <v>1700000</v>
      </c>
      <c r="T113">
        <v>800000</v>
      </c>
      <c r="U113"/>
      <c r="V113" s="20"/>
    </row>
    <row r="114" spans="1:22" x14ac:dyDescent="0.25">
      <c r="A114" s="118" t="s">
        <v>49</v>
      </c>
      <c r="B114" s="118"/>
      <c r="C114" s="118"/>
      <c r="D114" s="118"/>
      <c r="E114" s="118"/>
      <c r="F114" s="168">
        <v>250000</v>
      </c>
      <c r="G114" s="168"/>
      <c r="H114" s="168"/>
      <c r="R114"/>
      <c r="S114">
        <v>1800000</v>
      </c>
      <c r="T114">
        <v>900000</v>
      </c>
      <c r="U114"/>
    </row>
    <row r="115" spans="1:22" s="31" customFormat="1" x14ac:dyDescent="0.25">
      <c r="A115" s="178" t="s">
        <v>50</v>
      </c>
      <c r="B115" s="178"/>
      <c r="C115" s="178"/>
      <c r="D115" s="178"/>
      <c r="E115" s="178"/>
      <c r="F115" s="168">
        <f>F104*0.8</f>
        <v>4400</v>
      </c>
      <c r="G115" s="168"/>
      <c r="H115" s="168"/>
      <c r="R115" s="18"/>
      <c r="S115" s="18"/>
      <c r="T115">
        <v>1000000</v>
      </c>
      <c r="U115"/>
      <c r="V115" s="18"/>
    </row>
    <row r="116" spans="1:22" s="32" customFormat="1" ht="15.75" hidden="1" customHeight="1" x14ac:dyDescent="0.25">
      <c r="A116" s="123" t="s">
        <v>71</v>
      </c>
      <c r="B116" s="123"/>
      <c r="C116" s="123"/>
      <c r="D116" s="123"/>
      <c r="E116" s="123"/>
      <c r="F116" s="123"/>
      <c r="G116" s="123"/>
      <c r="H116" s="123"/>
      <c r="R116"/>
      <c r="S116" s="18"/>
      <c r="T116"/>
      <c r="U116"/>
      <c r="V116" s="18"/>
    </row>
    <row r="117" spans="1:22" s="32" customFormat="1" ht="15.75" hidden="1" customHeight="1" x14ac:dyDescent="0.25">
      <c r="A117" s="126" t="s">
        <v>51</v>
      </c>
      <c r="B117" s="126"/>
      <c r="C117" s="124" t="s">
        <v>74</v>
      </c>
      <c r="D117" s="124"/>
      <c r="E117" s="125" t="s">
        <v>52</v>
      </c>
      <c r="F117" s="125"/>
      <c r="G117" s="126" t="s">
        <v>53</v>
      </c>
      <c r="H117" s="126"/>
      <c r="R117"/>
      <c r="S117" s="18"/>
      <c r="T117"/>
      <c r="U117" s="18"/>
      <c r="V117" s="18"/>
    </row>
    <row r="118" spans="1:22" s="32" customFormat="1" hidden="1" x14ac:dyDescent="0.25">
      <c r="A118" s="127"/>
      <c r="B118" s="127"/>
      <c r="C118" s="120"/>
      <c r="D118" s="120"/>
      <c r="E118" s="121"/>
      <c r="F118" s="121"/>
      <c r="G118" s="122"/>
      <c r="H118" s="122"/>
      <c r="R118"/>
      <c r="S118" s="18"/>
      <c r="T118"/>
      <c r="U118" s="18"/>
      <c r="V118" s="18"/>
    </row>
    <row r="119" spans="1:22" s="32" customFormat="1" hidden="1" x14ac:dyDescent="0.25">
      <c r="A119" s="127"/>
      <c r="B119" s="127"/>
      <c r="C119" s="120"/>
      <c r="D119" s="120"/>
      <c r="E119" s="121"/>
      <c r="F119" s="121"/>
      <c r="G119" s="122"/>
      <c r="H119" s="122"/>
      <c r="R119"/>
      <c r="S119" s="18"/>
      <c r="T119"/>
      <c r="U119" s="18"/>
      <c r="V119" s="18"/>
    </row>
    <row r="120" spans="1:22" s="32" customFormat="1" hidden="1" x14ac:dyDescent="0.25">
      <c r="A120" s="123" t="s">
        <v>146</v>
      </c>
      <c r="B120" s="123"/>
      <c r="C120" s="124"/>
      <c r="D120" s="124"/>
      <c r="E120" s="125"/>
      <c r="F120" s="125"/>
      <c r="G120" s="126"/>
      <c r="H120" s="126"/>
      <c r="R120"/>
      <c r="S120" s="18"/>
      <c r="T120"/>
      <c r="U120" s="18"/>
      <c r="V120" s="18"/>
    </row>
    <row r="121" spans="1:22" s="32" customFormat="1" x14ac:dyDescent="0.25">
      <c r="A121" s="123" t="s">
        <v>66</v>
      </c>
      <c r="B121" s="123"/>
      <c r="C121" s="123"/>
      <c r="D121" s="123"/>
      <c r="E121" s="123"/>
      <c r="F121" s="123"/>
      <c r="G121" s="123"/>
      <c r="H121" s="123"/>
      <c r="T121"/>
    </row>
    <row r="122" spans="1:22" s="32" customFormat="1" ht="15.75" customHeight="1" x14ac:dyDescent="0.25">
      <c r="A122" s="126" t="s">
        <v>51</v>
      </c>
      <c r="B122" s="126"/>
      <c r="C122" s="124" t="s">
        <v>74</v>
      </c>
      <c r="D122" s="124"/>
      <c r="E122" s="125" t="s">
        <v>52</v>
      </c>
      <c r="F122" s="125"/>
      <c r="G122" s="126" t="s">
        <v>53</v>
      </c>
      <c r="H122" s="126"/>
      <c r="T122"/>
    </row>
    <row r="123" spans="1:22" s="32" customFormat="1" x14ac:dyDescent="0.25">
      <c r="A123" s="127" t="s">
        <v>406</v>
      </c>
      <c r="B123" s="127"/>
      <c r="C123" s="120">
        <f>COUNT(D142:D147)+COUNT(D149:D154)*16+COUNT(D156:D160)*3</f>
        <v>117</v>
      </c>
      <c r="D123" s="120"/>
      <c r="E123" s="128">
        <f>SUM(F142:F147)+SUM(F149:F154)*16+SUM(F156:F160)*3</f>
        <v>62009.466480000003</v>
      </c>
      <c r="F123" s="128"/>
      <c r="G123" s="128">
        <f>SUM(H142:H147)+SUM(H149:H154)*16+SUM(H156:H160)*3</f>
        <v>93065.221080000003</v>
      </c>
      <c r="H123" s="128"/>
      <c r="T123"/>
    </row>
    <row r="124" spans="1:22" s="32" customFormat="1" x14ac:dyDescent="0.25">
      <c r="A124" s="127" t="s">
        <v>407</v>
      </c>
      <c r="B124" s="127"/>
      <c r="C124" s="120">
        <f>COUNT(F165:F168)+COUNT(F170:F173)*13+COUNT(F175:F178)*3+COUNT(F180:F183)*3</f>
        <v>80</v>
      </c>
      <c r="D124" s="120"/>
      <c r="E124" s="128">
        <f>SUM(F165:F168)+SUM(F170:F173)*13+SUM(F175:F178)*3+SUM(F180:F183)*3</f>
        <v>37212.116759999997</v>
      </c>
      <c r="F124" s="128"/>
      <c r="G124" s="128">
        <f>SUM(H165:H168)+SUM(H170:H173)*13+SUM(H175:H178)*3+SUM(H180:H183)*3</f>
        <v>56055.521339999992</v>
      </c>
      <c r="H124" s="128"/>
      <c r="T124"/>
    </row>
    <row r="125" spans="1:22" s="32" customFormat="1" x14ac:dyDescent="0.25">
      <c r="A125" s="224" t="s">
        <v>146</v>
      </c>
      <c r="B125" s="224"/>
      <c r="C125" s="220">
        <f t="shared" ref="C125:G125" si="0">SUM(C123:D124)</f>
        <v>197</v>
      </c>
      <c r="D125" s="220"/>
      <c r="E125" s="119">
        <f t="shared" si="0"/>
        <v>99221.583240000007</v>
      </c>
      <c r="F125" s="169"/>
      <c r="G125" s="119">
        <f t="shared" si="0"/>
        <v>149120.74242</v>
      </c>
      <c r="H125" s="119"/>
      <c r="T125"/>
    </row>
    <row r="126" spans="1:22" s="32" customFormat="1" hidden="1" x14ac:dyDescent="0.25">
      <c r="A126" s="224" t="s">
        <v>162</v>
      </c>
      <c r="B126" s="224"/>
      <c r="C126" s="220">
        <f>C120+C125</f>
        <v>197</v>
      </c>
      <c r="D126" s="220"/>
      <c r="E126" s="169">
        <f>E120+E125</f>
        <v>99221.583240000007</v>
      </c>
      <c r="F126" s="169"/>
      <c r="G126" s="119">
        <f>G120+G125</f>
        <v>149120.74242</v>
      </c>
      <c r="H126" s="119"/>
      <c r="T126"/>
    </row>
    <row r="127" spans="1:22" s="31" customFormat="1" x14ac:dyDescent="0.25">
      <c r="A127" s="230" t="s">
        <v>353</v>
      </c>
      <c r="B127" s="230"/>
      <c r="C127" s="230"/>
      <c r="D127" s="230"/>
      <c r="E127" s="230"/>
      <c r="F127" s="230"/>
      <c r="G127" s="230"/>
      <c r="H127" s="230"/>
      <c r="T127" s="32"/>
    </row>
    <row r="128" spans="1:22" x14ac:dyDescent="0.25">
      <c r="A128" s="230" t="s">
        <v>391</v>
      </c>
      <c r="B128" s="230"/>
      <c r="C128" s="230"/>
      <c r="D128" s="230"/>
      <c r="E128" s="230"/>
      <c r="F128" s="230"/>
      <c r="G128" s="230"/>
      <c r="H128" s="230"/>
      <c r="T128" s="32"/>
    </row>
    <row r="129" spans="1:20" ht="47.25" hidden="1" customHeight="1" x14ac:dyDescent="0.25">
      <c r="A129" s="132" t="s">
        <v>117</v>
      </c>
      <c r="B129" s="133" t="s">
        <v>172</v>
      </c>
      <c r="C129" s="132" t="s">
        <v>54</v>
      </c>
      <c r="D129" s="133" t="s">
        <v>228</v>
      </c>
      <c r="E129" s="162" t="s">
        <v>151</v>
      </c>
      <c r="F129" s="132" t="s">
        <v>55</v>
      </c>
      <c r="G129" s="134" t="s">
        <v>56</v>
      </c>
      <c r="H129" s="102" t="s">
        <v>145</v>
      </c>
      <c r="T129" s="32"/>
    </row>
    <row r="130" spans="1:20" s="34" customFormat="1" hidden="1" x14ac:dyDescent="0.25">
      <c r="A130" s="132"/>
      <c r="B130" s="133"/>
      <c r="C130" s="132"/>
      <c r="D130" s="133"/>
      <c r="E130" s="162"/>
      <c r="F130" s="132"/>
      <c r="G130" s="134"/>
      <c r="H130" s="103">
        <v>0.45</v>
      </c>
      <c r="T130" s="32"/>
    </row>
    <row r="131" spans="1:20" s="34" customFormat="1" hidden="1" x14ac:dyDescent="0.25">
      <c r="A131" s="161" t="s">
        <v>116</v>
      </c>
      <c r="B131" s="161"/>
      <c r="C131" s="161"/>
      <c r="D131" s="161"/>
      <c r="E131" s="161"/>
      <c r="F131" s="161"/>
      <c r="G131" s="161"/>
      <c r="H131" s="161"/>
      <c r="J131" s="33"/>
      <c r="T131" s="32"/>
    </row>
    <row r="132" spans="1:20" s="34" customFormat="1" ht="15.75" hidden="1" customHeight="1" x14ac:dyDescent="0.25">
      <c r="A132" s="172">
        <v>1</v>
      </c>
      <c r="B132" s="172"/>
      <c r="C132" s="88"/>
      <c r="D132" s="88">
        <v>0</v>
      </c>
      <c r="E132" s="88">
        <v>0</v>
      </c>
      <c r="F132" s="88">
        <f>D132+(IF(E132&lt;201,E132,IF(E132&lt;301,E132/2,E132/3)))</f>
        <v>0</v>
      </c>
      <c r="G132" s="53">
        <v>0</v>
      </c>
      <c r="H132" s="88">
        <f>(F132+(IF(G132&lt;101,G132,IF(G132&lt;201,G132/2,IF(G132&lt;=301,G132/3,G132/4)))))*(($H$130)+1)</f>
        <v>0</v>
      </c>
      <c r="I132" s="33"/>
      <c r="L132" s="129"/>
      <c r="M132" s="129"/>
      <c r="N132" s="33"/>
      <c r="T132" s="32"/>
    </row>
    <row r="133" spans="1:20" s="34" customFormat="1" ht="15.75" hidden="1" customHeight="1" x14ac:dyDescent="0.25">
      <c r="A133" s="172">
        <f>A132+1</f>
        <v>2</v>
      </c>
      <c r="B133" s="172"/>
      <c r="C133" s="88"/>
      <c r="D133" s="88"/>
      <c r="E133" s="88">
        <v>0</v>
      </c>
      <c r="F133" s="88">
        <f>D133+(IF(E133&lt;201,E133,IF(E133&lt;301,E133/2,E133/3)))</f>
        <v>0</v>
      </c>
      <c r="G133" s="88">
        <v>0</v>
      </c>
      <c r="H133" s="88">
        <f>(F133+(IF(G133&lt;101,G133,IF(G133&lt;201,G133/2,IF(G133&lt;=301,G133/3,G133/4)))))*(($H$130)+1)</f>
        <v>0</v>
      </c>
      <c r="I133" s="33"/>
      <c r="L133" s="129"/>
      <c r="M133" s="129"/>
      <c r="N133" s="33"/>
      <c r="T133" s="31"/>
    </row>
    <row r="134" spans="1:20" s="34" customFormat="1" ht="15.75" hidden="1" customHeight="1" x14ac:dyDescent="0.25">
      <c r="A134" s="172">
        <f>A133+1</f>
        <v>3</v>
      </c>
      <c r="B134" s="172"/>
      <c r="C134" s="88"/>
      <c r="D134" s="88"/>
      <c r="E134" s="88">
        <v>0</v>
      </c>
      <c r="F134" s="88">
        <f>D134+(IF(E134&lt;201,E134,IF(E134&lt;301,E134/2,E134/3)))</f>
        <v>0</v>
      </c>
      <c r="G134" s="88">
        <v>0</v>
      </c>
      <c r="H134" s="88">
        <f>(F134+(IF(G134&lt;101,G134,IF(G134&lt;201,G134/2,IF(G134&lt;=301,G134/3,G134/4)))))*(($H$130)+1)</f>
        <v>0</v>
      </c>
      <c r="I134" s="33"/>
      <c r="L134" s="129"/>
      <c r="M134" s="129"/>
      <c r="N134" s="33"/>
      <c r="T134" s="18"/>
    </row>
    <row r="135" spans="1:20" s="34" customFormat="1" ht="15.75" hidden="1" customHeight="1" x14ac:dyDescent="0.25">
      <c r="A135" s="172">
        <f>A134+1</f>
        <v>4</v>
      </c>
      <c r="B135" s="172"/>
      <c r="C135" s="88"/>
      <c r="D135" s="88"/>
      <c r="E135" s="88">
        <v>0</v>
      </c>
      <c r="F135" s="88">
        <f>D135+(IF(E135&lt;201,E135,IF(E135&lt;301,E135/2,E135/3)))</f>
        <v>0</v>
      </c>
      <c r="G135" s="88">
        <v>0</v>
      </c>
      <c r="H135" s="88">
        <f>(F135+(IF(G135&lt;101,G135,IF(G135&lt;201,G135/2,IF(G135&lt;=301,G135/3,G135/4)))))*(($H$130)+1)</f>
        <v>0</v>
      </c>
      <c r="I135" s="33"/>
      <c r="L135" s="129"/>
      <c r="M135" s="129"/>
      <c r="N135" s="33"/>
      <c r="T135" s="18"/>
    </row>
    <row r="136" spans="1:20" s="34" customFormat="1" hidden="1" x14ac:dyDescent="0.25">
      <c r="A136" s="172"/>
      <c r="B136" s="172"/>
      <c r="C136" s="172"/>
      <c r="D136" s="172"/>
      <c r="E136" s="172"/>
      <c r="F136" s="172"/>
      <c r="G136" s="172"/>
      <c r="H136" s="172"/>
      <c r="I136" s="33"/>
      <c r="N136" s="33"/>
    </row>
    <row r="137" spans="1:20" ht="47.25" customHeight="1" x14ac:dyDescent="0.25">
      <c r="A137" s="149" t="s">
        <v>390</v>
      </c>
      <c r="B137" s="149" t="s">
        <v>173</v>
      </c>
      <c r="C137" s="132" t="s">
        <v>54</v>
      </c>
      <c r="D137" s="149" t="s">
        <v>383</v>
      </c>
      <c r="E137" s="149" t="s">
        <v>410</v>
      </c>
      <c r="F137" s="149" t="s">
        <v>55</v>
      </c>
      <c r="G137" s="134" t="s">
        <v>56</v>
      </c>
      <c r="H137" s="104" t="s">
        <v>145</v>
      </c>
      <c r="I137" s="33">
        <f>10.764</f>
        <v>10.763999999999999</v>
      </c>
      <c r="T137" s="34"/>
    </row>
    <row r="138" spans="1:20" s="34" customFormat="1" x14ac:dyDescent="0.25">
      <c r="A138" s="149"/>
      <c r="B138" s="149"/>
      <c r="C138" s="132"/>
      <c r="D138" s="149"/>
      <c r="E138" s="149"/>
      <c r="F138" s="149"/>
      <c r="G138" s="134"/>
      <c r="H138" s="105">
        <v>0.5</v>
      </c>
      <c r="I138" s="33"/>
    </row>
    <row r="139" spans="1:20" s="89" customFormat="1" x14ac:dyDescent="0.25">
      <c r="A139" s="161" t="s">
        <v>406</v>
      </c>
      <c r="B139" s="161"/>
      <c r="C139" s="161"/>
      <c r="D139" s="161"/>
      <c r="E139" s="161"/>
      <c r="F139" s="161"/>
      <c r="G139" s="161"/>
      <c r="H139" s="161"/>
      <c r="J139" s="33"/>
    </row>
    <row r="140" spans="1:20" s="89" customFormat="1" x14ac:dyDescent="0.25">
      <c r="A140" s="161" t="s">
        <v>408</v>
      </c>
      <c r="B140" s="161"/>
      <c r="C140" s="161"/>
      <c r="D140" s="161"/>
      <c r="E140" s="161"/>
      <c r="F140" s="161"/>
      <c r="G140" s="161"/>
      <c r="H140" s="161"/>
      <c r="I140" s="113" t="s">
        <v>382</v>
      </c>
      <c r="J140" s="114"/>
      <c r="K140" s="114"/>
      <c r="L140" s="114"/>
      <c r="M140" s="114"/>
      <c r="N140" s="114"/>
      <c r="O140" s="114"/>
      <c r="P140" s="115"/>
    </row>
    <row r="141" spans="1:20" s="34" customFormat="1" x14ac:dyDescent="0.25">
      <c r="A141" s="161" t="s">
        <v>386</v>
      </c>
      <c r="B141" s="161"/>
      <c r="C141" s="161"/>
      <c r="D141" s="161"/>
      <c r="E141" s="161"/>
      <c r="F141" s="161"/>
      <c r="G141" s="161"/>
      <c r="H141" s="161"/>
      <c r="I141" s="34">
        <f>1</f>
        <v>1</v>
      </c>
      <c r="J141" s="33"/>
    </row>
    <row r="142" spans="1:20" s="34" customFormat="1" ht="15.75" customHeight="1" x14ac:dyDescent="0.25">
      <c r="A142" s="172">
        <v>1</v>
      </c>
      <c r="B142" s="172"/>
      <c r="C142" s="88" t="s">
        <v>384</v>
      </c>
      <c r="D142" s="90">
        <f>(29.23)*(10.764)</f>
        <v>314.63171999999997</v>
      </c>
      <c r="E142" s="90">
        <f>(5.51+2.16+2.48)*(10.764)</f>
        <v>109.2546</v>
      </c>
      <c r="F142" s="88">
        <f t="shared" ref="F142:F147" si="1">D142+E142</f>
        <v>423.88631999999996</v>
      </c>
      <c r="G142" s="90">
        <v>0</v>
      </c>
      <c r="H142" s="88">
        <f t="shared" ref="H142:H147" si="2">F142*(($H$138)+1)+(IF(G142&lt;101,G142,IF(G142&lt;201,G142/2,IF(G142&lt;=301,G142/3,G142/4))))</f>
        <v>635.82947999999988</v>
      </c>
      <c r="I142" s="95">
        <f>2.9*3.85+2*2.25+2.75*2.25+1.2*2+2*1.2*2</f>
        <v>29.052499999999998</v>
      </c>
      <c r="J142" s="95">
        <f>2.9*1.9</f>
        <v>5.51</v>
      </c>
      <c r="L142" s="129">
        <f>2.75*1.05</f>
        <v>2.8875000000000002</v>
      </c>
      <c r="M142" s="129"/>
      <c r="N142" s="33"/>
    </row>
    <row r="143" spans="1:20" s="34" customFormat="1" ht="15.75" customHeight="1" x14ac:dyDescent="0.25">
      <c r="A143" s="172">
        <f>A142+1</f>
        <v>2</v>
      </c>
      <c r="B143" s="172"/>
      <c r="C143" s="88" t="s">
        <v>385</v>
      </c>
      <c r="D143" s="90">
        <f>(49.73)*(10.764)</f>
        <v>535.29371999999989</v>
      </c>
      <c r="E143" s="90">
        <f>(5.51+3.65)*(10.764)</f>
        <v>98.59823999999999</v>
      </c>
      <c r="F143" s="88">
        <f t="shared" si="1"/>
        <v>633.89195999999993</v>
      </c>
      <c r="G143" s="90">
        <f>(9.48)*(10.764)</f>
        <v>102.04272</v>
      </c>
      <c r="H143" s="88">
        <f t="shared" si="2"/>
        <v>1001.8592999999998</v>
      </c>
      <c r="I143" s="33">
        <f>2.9*3.85+2.4*2.75+2.75*2.75+1.4*1.05+2.54*2.9+1.2*1.8+1.2*1.85+3.9*0.9+1.2*1.95</f>
        <v>44.393499999999989</v>
      </c>
      <c r="J143" s="34">
        <f>3.8*2</f>
        <v>7.6</v>
      </c>
      <c r="L143" s="129"/>
      <c r="M143" s="129"/>
      <c r="N143" s="33"/>
    </row>
    <row r="144" spans="1:20" s="34" customFormat="1" ht="15.75" customHeight="1" x14ac:dyDescent="0.25">
      <c r="A144" s="116">
        <f>A143+1</f>
        <v>3</v>
      </c>
      <c r="B144" s="117"/>
      <c r="C144" s="88" t="s">
        <v>385</v>
      </c>
      <c r="D144" s="90">
        <f>(46.99)*(10.764)</f>
        <v>505.80036000000001</v>
      </c>
      <c r="E144" s="90">
        <f>(2.75+4.35)*(10.764)</f>
        <v>76.424399999999991</v>
      </c>
      <c r="F144" s="47">
        <f t="shared" si="1"/>
        <v>582.22476000000006</v>
      </c>
      <c r="G144" s="47">
        <v>0</v>
      </c>
      <c r="H144" s="47">
        <f t="shared" si="2"/>
        <v>873.33714000000009</v>
      </c>
      <c r="I144" s="33"/>
      <c r="L144" s="129"/>
      <c r="M144" s="129"/>
      <c r="N144" s="33"/>
    </row>
    <row r="145" spans="1:20" s="34" customFormat="1" ht="15.75" customHeight="1" x14ac:dyDescent="0.25">
      <c r="A145" s="116">
        <f>A144+1</f>
        <v>4</v>
      </c>
      <c r="B145" s="117"/>
      <c r="C145" s="88" t="s">
        <v>385</v>
      </c>
      <c r="D145" s="90">
        <f>(48.34)*(10.764)</f>
        <v>520.33176000000003</v>
      </c>
      <c r="E145" s="90">
        <f>(4.06)*(10.764)</f>
        <v>43.70183999999999</v>
      </c>
      <c r="F145" s="47">
        <f t="shared" si="1"/>
        <v>564.03359999999998</v>
      </c>
      <c r="G145" s="47">
        <v>0</v>
      </c>
      <c r="H145" s="47">
        <f t="shared" si="2"/>
        <v>846.05039999999997</v>
      </c>
      <c r="I145" s="33"/>
      <c r="L145" s="129"/>
      <c r="M145" s="129"/>
      <c r="N145" s="33"/>
      <c r="T145" s="18"/>
    </row>
    <row r="146" spans="1:20" s="89" customFormat="1" ht="15.75" customHeight="1" x14ac:dyDescent="0.25">
      <c r="A146" s="116">
        <f>A145+1</f>
        <v>5</v>
      </c>
      <c r="B146" s="117"/>
      <c r="C146" s="88" t="s">
        <v>385</v>
      </c>
      <c r="D146" s="90">
        <f>(48.27)*(10.764)</f>
        <v>519.57827999999995</v>
      </c>
      <c r="E146" s="90">
        <f>(4.06)*(10.764)</f>
        <v>43.70183999999999</v>
      </c>
      <c r="F146" s="88">
        <f t="shared" si="1"/>
        <v>563.2801199999999</v>
      </c>
      <c r="G146" s="88">
        <v>0</v>
      </c>
      <c r="H146" s="88">
        <f t="shared" si="2"/>
        <v>844.92017999999985</v>
      </c>
      <c r="I146" s="33"/>
      <c r="J146" s="89">
        <f>6300*548</f>
        <v>3452400</v>
      </c>
      <c r="L146" s="129"/>
      <c r="M146" s="129"/>
      <c r="N146" s="33"/>
    </row>
    <row r="147" spans="1:20" s="89" customFormat="1" ht="15.75" customHeight="1" x14ac:dyDescent="0.25">
      <c r="A147" s="116">
        <f>A146+1</f>
        <v>6</v>
      </c>
      <c r="B147" s="117"/>
      <c r="C147" s="88" t="s">
        <v>384</v>
      </c>
      <c r="D147" s="90">
        <f>(27.91)*(10.764)</f>
        <v>300.42323999999996</v>
      </c>
      <c r="E147" s="90">
        <f>(3.92+2.52+2.89)*(10.764)</f>
        <v>100.42811999999999</v>
      </c>
      <c r="F147" s="88">
        <f t="shared" si="1"/>
        <v>400.85135999999994</v>
      </c>
      <c r="G147" s="88">
        <v>0</v>
      </c>
      <c r="H147" s="88">
        <f t="shared" si="2"/>
        <v>601.27703999999994</v>
      </c>
      <c r="I147" s="33"/>
      <c r="L147" s="129"/>
      <c r="M147" s="129"/>
      <c r="N147" s="33"/>
      <c r="T147" s="18"/>
    </row>
    <row r="148" spans="1:20" s="89" customFormat="1" ht="15.75" customHeight="1" x14ac:dyDescent="0.25">
      <c r="A148" s="113" t="s">
        <v>411</v>
      </c>
      <c r="B148" s="114"/>
      <c r="C148" s="114"/>
      <c r="D148" s="114"/>
      <c r="E148" s="114"/>
      <c r="F148" s="114"/>
      <c r="G148" s="114"/>
      <c r="H148" s="115"/>
      <c r="I148" s="89">
        <f>6+4+4+2</f>
        <v>16</v>
      </c>
      <c r="J148" s="33">
        <f>5500*H154</f>
        <v>3307023.7199999997</v>
      </c>
    </row>
    <row r="149" spans="1:20" s="89" customFormat="1" ht="15.75" customHeight="1" x14ac:dyDescent="0.25">
      <c r="A149" s="116">
        <v>1</v>
      </c>
      <c r="B149" s="117"/>
      <c r="C149" s="88" t="s">
        <v>384</v>
      </c>
      <c r="D149" s="90">
        <f>(29.23)*(10.764)</f>
        <v>314.63171999999997</v>
      </c>
      <c r="E149" s="90">
        <f>(5.51+2.16+2.48)*(10.764)</f>
        <v>109.2546</v>
      </c>
      <c r="F149" s="88">
        <f t="shared" ref="F149:F154" si="3">D149+E149</f>
        <v>423.88631999999996</v>
      </c>
      <c r="G149" s="88">
        <v>0</v>
      </c>
      <c r="H149" s="88">
        <f t="shared" ref="H149:H154" si="4">F149*(($H$138)+1)+(IF(G149&lt;101,G149,IF(G149&lt;201,G149/2,IF(G149&lt;=301,G149/3,G149/4))))</f>
        <v>635.82947999999988</v>
      </c>
      <c r="I149" s="33"/>
      <c r="L149" s="129"/>
      <c r="M149" s="129"/>
      <c r="N149" s="33"/>
    </row>
    <row r="150" spans="1:20" s="89" customFormat="1" ht="15.75" customHeight="1" x14ac:dyDescent="0.25">
      <c r="A150" s="116">
        <f>A149+1</f>
        <v>2</v>
      </c>
      <c r="B150" s="117"/>
      <c r="C150" s="88" t="s">
        <v>385</v>
      </c>
      <c r="D150" s="90">
        <f>(48.99)*(10.764)</f>
        <v>527.32835999999998</v>
      </c>
      <c r="E150" s="90">
        <f>(5.51+3.65)*(10.764)</f>
        <v>98.59823999999999</v>
      </c>
      <c r="F150" s="88">
        <f t="shared" si="3"/>
        <v>625.92660000000001</v>
      </c>
      <c r="G150" s="88">
        <v>0</v>
      </c>
      <c r="H150" s="88">
        <f t="shared" si="4"/>
        <v>938.88990000000001</v>
      </c>
      <c r="I150" s="33"/>
      <c r="L150" s="129"/>
      <c r="M150" s="129"/>
      <c r="N150" s="33"/>
    </row>
    <row r="151" spans="1:20" s="89" customFormat="1" ht="15.75" customHeight="1" x14ac:dyDescent="0.25">
      <c r="A151" s="116">
        <f>A150+1</f>
        <v>3</v>
      </c>
      <c r="B151" s="117"/>
      <c r="C151" s="88" t="s">
        <v>385</v>
      </c>
      <c r="D151" s="90">
        <f>(46.99)*(10.764)</f>
        <v>505.80036000000001</v>
      </c>
      <c r="E151" s="90">
        <f>(2.75+4.35)*(10.764)</f>
        <v>76.424399999999991</v>
      </c>
      <c r="F151" s="88">
        <f t="shared" si="3"/>
        <v>582.22476000000006</v>
      </c>
      <c r="G151" s="88">
        <v>0</v>
      </c>
      <c r="H151" s="88">
        <f t="shared" si="4"/>
        <v>873.33714000000009</v>
      </c>
      <c r="I151" s="33"/>
      <c r="L151" s="129"/>
      <c r="M151" s="129"/>
      <c r="N151" s="33"/>
    </row>
    <row r="152" spans="1:20" s="89" customFormat="1" ht="15.75" customHeight="1" x14ac:dyDescent="0.25">
      <c r="A152" s="116">
        <f>A151+1</f>
        <v>4</v>
      </c>
      <c r="B152" s="117"/>
      <c r="C152" s="88" t="s">
        <v>385</v>
      </c>
      <c r="D152" s="90">
        <f>(48.34)*(10.764)</f>
        <v>520.33176000000003</v>
      </c>
      <c r="E152" s="90">
        <f>(4.06)*(10.764)</f>
        <v>43.70183999999999</v>
      </c>
      <c r="F152" s="88">
        <f t="shared" si="3"/>
        <v>564.03359999999998</v>
      </c>
      <c r="G152" s="88">
        <v>0</v>
      </c>
      <c r="H152" s="88">
        <f t="shared" si="4"/>
        <v>846.05039999999997</v>
      </c>
      <c r="I152" s="33"/>
      <c r="L152" s="129"/>
      <c r="M152" s="129"/>
      <c r="N152" s="33"/>
      <c r="T152" s="18"/>
    </row>
    <row r="153" spans="1:20" s="89" customFormat="1" ht="15.75" customHeight="1" x14ac:dyDescent="0.25">
      <c r="A153" s="116">
        <f>A152+1</f>
        <v>5</v>
      </c>
      <c r="B153" s="117"/>
      <c r="C153" s="88" t="s">
        <v>385</v>
      </c>
      <c r="D153" s="90">
        <f>(48.27)*(10.764)</f>
        <v>519.57827999999995</v>
      </c>
      <c r="E153" s="90">
        <f>(4.06)*(10.764)</f>
        <v>43.70183999999999</v>
      </c>
      <c r="F153" s="88">
        <f t="shared" si="3"/>
        <v>563.2801199999999</v>
      </c>
      <c r="G153" s="88">
        <v>0</v>
      </c>
      <c r="H153" s="88">
        <f t="shared" si="4"/>
        <v>844.92017999999985</v>
      </c>
      <c r="I153" s="33"/>
      <c r="L153" s="129"/>
      <c r="M153" s="129"/>
      <c r="N153" s="33"/>
    </row>
    <row r="154" spans="1:20" s="89" customFormat="1" ht="15.75" customHeight="1" x14ac:dyDescent="0.25">
      <c r="A154" s="116">
        <f>A153+1</f>
        <v>6</v>
      </c>
      <c r="B154" s="117"/>
      <c r="C154" s="88" t="s">
        <v>384</v>
      </c>
      <c r="D154" s="90">
        <f>(27.91)*(10.764)</f>
        <v>300.42323999999996</v>
      </c>
      <c r="E154" s="90">
        <f>(3.92+2.52+2.89)*(10.764)</f>
        <v>100.42811999999999</v>
      </c>
      <c r="F154" s="88">
        <f t="shared" si="3"/>
        <v>400.85135999999994</v>
      </c>
      <c r="G154" s="88">
        <v>0</v>
      </c>
      <c r="H154" s="88">
        <f t="shared" si="4"/>
        <v>601.27703999999994</v>
      </c>
      <c r="I154" s="33"/>
      <c r="J154" s="89">
        <f>3315000/H154</f>
        <v>5513.2655655702411</v>
      </c>
      <c r="L154" s="129"/>
      <c r="M154" s="129"/>
      <c r="N154" s="33"/>
      <c r="T154" s="18"/>
    </row>
    <row r="155" spans="1:20" s="89" customFormat="1" x14ac:dyDescent="0.25">
      <c r="A155" s="113" t="s">
        <v>387</v>
      </c>
      <c r="B155" s="114"/>
      <c r="C155" s="114"/>
      <c r="D155" s="114"/>
      <c r="E155" s="114"/>
      <c r="F155" s="114"/>
      <c r="G155" s="114"/>
      <c r="H155" s="115"/>
      <c r="I155" s="89">
        <f>3</f>
        <v>3</v>
      </c>
      <c r="J155" s="33"/>
    </row>
    <row r="156" spans="1:20" s="89" customFormat="1" ht="15.75" customHeight="1" x14ac:dyDescent="0.25">
      <c r="A156" s="116">
        <v>1</v>
      </c>
      <c r="B156" s="117"/>
      <c r="C156" s="88" t="s">
        <v>384</v>
      </c>
      <c r="D156" s="90">
        <f>(29.23)*(10.764)</f>
        <v>314.63171999999997</v>
      </c>
      <c r="E156" s="90">
        <f>(5.51+2.16+2.48)*(10.764)</f>
        <v>109.2546</v>
      </c>
      <c r="F156" s="88">
        <f>D156+E156</f>
        <v>423.88631999999996</v>
      </c>
      <c r="G156" s="88">
        <v>0</v>
      </c>
      <c r="H156" s="88">
        <f>F156*(($H$138)+1)+(IF(G156&lt;101,G156,IF(G156&lt;201,G156/2,IF(G156&lt;=301,G156/3,G156/4))))</f>
        <v>635.82947999999988</v>
      </c>
      <c r="I156" s="33"/>
      <c r="L156" s="129"/>
      <c r="M156" s="129"/>
      <c r="N156" s="33"/>
    </row>
    <row r="157" spans="1:20" s="89" customFormat="1" ht="15.75" customHeight="1" x14ac:dyDescent="0.25">
      <c r="A157" s="116">
        <f>A156+1</f>
        <v>2</v>
      </c>
      <c r="B157" s="117"/>
      <c r="C157" s="88" t="s">
        <v>385</v>
      </c>
      <c r="D157" s="90">
        <f>(48.99)*(10.764)</f>
        <v>527.32835999999998</v>
      </c>
      <c r="E157" s="90">
        <f>(5.51+3.65)*(10.764)</f>
        <v>98.59823999999999</v>
      </c>
      <c r="F157" s="88">
        <f>D157+E157</f>
        <v>625.92660000000001</v>
      </c>
      <c r="G157" s="88">
        <v>0</v>
      </c>
      <c r="H157" s="88">
        <f>F157*(($H$138)+1)+(IF(G157&lt;101,G157,IF(G157&lt;201,G157/2,IF(G157&lt;=301,G157/3,G157/4))))</f>
        <v>938.88990000000001</v>
      </c>
      <c r="I157" s="33"/>
      <c r="L157" s="129"/>
      <c r="M157" s="129"/>
      <c r="N157" s="33"/>
    </row>
    <row r="158" spans="1:20" s="89" customFormat="1" ht="15.75" customHeight="1" x14ac:dyDescent="0.25">
      <c r="A158" s="116">
        <f>A157+1</f>
        <v>3</v>
      </c>
      <c r="B158" s="117"/>
      <c r="C158" s="88" t="s">
        <v>385</v>
      </c>
      <c r="D158" s="90">
        <f>(46.99)*(10.764)</f>
        <v>505.80036000000001</v>
      </c>
      <c r="E158" s="90">
        <f>(2.75+4.35)*(10.764)</f>
        <v>76.424399999999991</v>
      </c>
      <c r="F158" s="88">
        <f>D158+E158</f>
        <v>582.22476000000006</v>
      </c>
      <c r="G158" s="88">
        <v>0</v>
      </c>
      <c r="H158" s="88">
        <f>F158*(($H$138)+1)+(IF(G158&lt;101,G158,IF(G158&lt;201,G158/2,IF(G158&lt;=301,G158/3,G158/4))))</f>
        <v>873.33714000000009</v>
      </c>
      <c r="I158" s="33"/>
      <c r="L158" s="129"/>
      <c r="M158" s="129"/>
      <c r="N158" s="33"/>
    </row>
    <row r="159" spans="1:20" s="89" customFormat="1" ht="15.75" customHeight="1" x14ac:dyDescent="0.25">
      <c r="A159" s="116">
        <f>A158+1</f>
        <v>4</v>
      </c>
      <c r="B159" s="117"/>
      <c r="C159" s="88" t="s">
        <v>385</v>
      </c>
      <c r="D159" s="90">
        <f>(48.34)*(10.764)</f>
        <v>520.33176000000003</v>
      </c>
      <c r="E159" s="90">
        <f>(4.06)*(10.764)</f>
        <v>43.70183999999999</v>
      </c>
      <c r="F159" s="88">
        <f>D159+E159</f>
        <v>564.03359999999998</v>
      </c>
      <c r="G159" s="88">
        <v>0</v>
      </c>
      <c r="H159" s="88">
        <f>F159*(($H$138)+1)+(IF(G159&lt;101,G159,IF(G159&lt;201,G159/2,IF(G159&lt;=301,G159/3,G159/4))))</f>
        <v>846.05039999999997</v>
      </c>
      <c r="I159" s="33"/>
      <c r="L159" s="129"/>
      <c r="M159" s="129"/>
      <c r="N159" s="33"/>
      <c r="T159" s="18"/>
    </row>
    <row r="160" spans="1:20" s="89" customFormat="1" ht="15.75" customHeight="1" x14ac:dyDescent="0.25">
      <c r="A160" s="116">
        <f>A159+1</f>
        <v>5</v>
      </c>
      <c r="B160" s="117"/>
      <c r="C160" s="88" t="s">
        <v>385</v>
      </c>
      <c r="D160" s="90">
        <f>(48.27)*(10.764)</f>
        <v>519.57827999999995</v>
      </c>
      <c r="E160" s="90">
        <f>(4.06)*(10.764)</f>
        <v>43.70183999999999</v>
      </c>
      <c r="F160" s="88">
        <f>D160+E160</f>
        <v>563.2801199999999</v>
      </c>
      <c r="G160" s="88">
        <v>0</v>
      </c>
      <c r="H160" s="88">
        <f>F160*(($H$138)+1)+(IF(G160&lt;101,G160,IF(G160&lt;201,G160/2,IF(G160&lt;=301,G160/3,G160/4))))</f>
        <v>844.92017999999985</v>
      </c>
      <c r="I160" s="33"/>
      <c r="L160" s="129"/>
      <c r="M160" s="129"/>
      <c r="N160" s="33"/>
    </row>
    <row r="161" spans="1:20" s="89" customFormat="1" ht="15.75" customHeight="1" x14ac:dyDescent="0.25">
      <c r="A161" s="116" t="s">
        <v>388</v>
      </c>
      <c r="B161" s="249"/>
      <c r="C161" s="249"/>
      <c r="D161" s="249"/>
      <c r="E161" s="249"/>
      <c r="F161" s="249"/>
      <c r="G161" s="249"/>
      <c r="H161" s="117"/>
      <c r="I161" s="33"/>
      <c r="L161" s="129"/>
      <c r="M161" s="129"/>
      <c r="N161" s="33"/>
    </row>
    <row r="162" spans="1:20" s="89" customFormat="1" x14ac:dyDescent="0.25">
      <c r="A162" s="113" t="s">
        <v>407</v>
      </c>
      <c r="B162" s="114"/>
      <c r="C162" s="114"/>
      <c r="D162" s="114"/>
      <c r="E162" s="114"/>
      <c r="F162" s="114"/>
      <c r="G162" s="114"/>
      <c r="H162" s="115"/>
      <c r="J162" s="33"/>
    </row>
    <row r="163" spans="1:20" s="89" customFormat="1" ht="15.75" customHeight="1" x14ac:dyDescent="0.25">
      <c r="A163" s="113" t="s">
        <v>409</v>
      </c>
      <c r="B163" s="114"/>
      <c r="C163" s="114"/>
      <c r="D163" s="114"/>
      <c r="E163" s="114"/>
      <c r="F163" s="114"/>
      <c r="G163" s="114"/>
      <c r="H163" s="115"/>
      <c r="J163" s="33"/>
    </row>
    <row r="164" spans="1:20" s="89" customFormat="1" x14ac:dyDescent="0.25">
      <c r="A164" s="113" t="s">
        <v>386</v>
      </c>
      <c r="B164" s="114"/>
      <c r="C164" s="114"/>
      <c r="D164" s="114"/>
      <c r="E164" s="114"/>
      <c r="F164" s="114"/>
      <c r="G164" s="114"/>
      <c r="H164" s="115"/>
      <c r="I164" s="89">
        <f>1</f>
        <v>1</v>
      </c>
      <c r="J164" s="33"/>
    </row>
    <row r="165" spans="1:20" s="89" customFormat="1" ht="15.75" customHeight="1" x14ac:dyDescent="0.25">
      <c r="A165" s="116">
        <v>1</v>
      </c>
      <c r="B165" s="117"/>
      <c r="C165" s="88" t="s">
        <v>385</v>
      </c>
      <c r="D165" s="90">
        <f>(48.27)*(10.764)</f>
        <v>519.57827999999995</v>
      </c>
      <c r="E165" s="90">
        <f>(4.06)*(10.764)</f>
        <v>43.70183999999999</v>
      </c>
      <c r="F165" s="88">
        <f>D165+E165</f>
        <v>563.2801199999999</v>
      </c>
      <c r="G165" s="88">
        <v>0</v>
      </c>
      <c r="H165" s="88">
        <f>F165*(($H$138)+1)+(IF(G165&lt;101,G165,IF(G165&lt;201,G165/2,IF(G165&lt;=301,G165/3,G165/4))))</f>
        <v>844.92017999999985</v>
      </c>
      <c r="I165" s="33"/>
      <c r="L165" s="129"/>
      <c r="M165" s="129"/>
      <c r="N165" s="33"/>
    </row>
    <row r="166" spans="1:20" s="89" customFormat="1" ht="15.75" customHeight="1" x14ac:dyDescent="0.25">
      <c r="A166" s="116">
        <f>A165+1</f>
        <v>2</v>
      </c>
      <c r="B166" s="117"/>
      <c r="C166" s="88" t="s">
        <v>385</v>
      </c>
      <c r="D166" s="90">
        <f>(48.34)*(10.764)</f>
        <v>520.33176000000003</v>
      </c>
      <c r="E166" s="90">
        <f>(4.06)*(10.764)</f>
        <v>43.70183999999999</v>
      </c>
      <c r="F166" s="88">
        <f>D166+E166</f>
        <v>564.03359999999998</v>
      </c>
      <c r="G166" s="88">
        <v>0</v>
      </c>
      <c r="H166" s="88">
        <f>F166*(($H$138)+1)+(IF(G166&lt;101,G166,IF(G166&lt;201,G166/2,IF(G166&lt;=301,G166/3,G166/4))))</f>
        <v>846.05039999999997</v>
      </c>
      <c r="I166" s="33"/>
      <c r="L166" s="129"/>
      <c r="M166" s="129"/>
      <c r="N166" s="33"/>
    </row>
    <row r="167" spans="1:20" s="89" customFormat="1" ht="15.75" customHeight="1" x14ac:dyDescent="0.25">
      <c r="A167" s="116">
        <f>A166+1</f>
        <v>3</v>
      </c>
      <c r="B167" s="117"/>
      <c r="C167" s="88" t="s">
        <v>384</v>
      </c>
      <c r="D167" s="90">
        <f>(27.27)*(10.764)</f>
        <v>293.53427999999997</v>
      </c>
      <c r="E167" s="90">
        <f>(3.48+2.16+2.89)*(10.764)</f>
        <v>91.81692000000001</v>
      </c>
      <c r="F167" s="88">
        <f>D167+E167</f>
        <v>385.35119999999995</v>
      </c>
      <c r="G167" s="88">
        <v>0</v>
      </c>
      <c r="H167" s="88">
        <f>F167*(($H$138)+1)+(IF(G167&lt;101,G167,IF(G167&lt;201,G167/2,IF(G167&lt;=301,G167/3,G167/4))))</f>
        <v>578.02679999999987</v>
      </c>
      <c r="I167" s="33"/>
      <c r="L167" s="129"/>
      <c r="M167" s="129"/>
      <c r="N167" s="33"/>
    </row>
    <row r="168" spans="1:20" s="89" customFormat="1" ht="15.75" customHeight="1" x14ac:dyDescent="0.25">
      <c r="A168" s="116">
        <f>A167+1</f>
        <v>4</v>
      </c>
      <c r="B168" s="117"/>
      <c r="C168" s="88" t="s">
        <v>384</v>
      </c>
      <c r="D168" s="90">
        <f>(27.27)*(10.764)</f>
        <v>293.53427999999997</v>
      </c>
      <c r="E168" s="90">
        <f>(3.48+2.16+2.89)*(10.764)</f>
        <v>91.81692000000001</v>
      </c>
      <c r="F168" s="88">
        <f>D168+E168</f>
        <v>385.35119999999995</v>
      </c>
      <c r="G168" s="88">
        <v>0</v>
      </c>
      <c r="H168" s="88">
        <f>F168*(($H$138)+1)+(IF(G168&lt;101,G168,IF(G168&lt;201,G168/2,IF(G168&lt;=301,G168/3,G168/4))))</f>
        <v>578.02679999999987</v>
      </c>
      <c r="I168" s="33"/>
      <c r="L168" s="129"/>
      <c r="M168" s="129"/>
      <c r="N168" s="33"/>
      <c r="T168" s="18"/>
    </row>
    <row r="169" spans="1:20" s="89" customFormat="1" x14ac:dyDescent="0.25">
      <c r="A169" s="113" t="s">
        <v>413</v>
      </c>
      <c r="B169" s="114"/>
      <c r="C169" s="114"/>
      <c r="D169" s="114"/>
      <c r="E169" s="114"/>
      <c r="F169" s="114"/>
      <c r="G169" s="114"/>
      <c r="H169" s="115"/>
      <c r="I169" s="89">
        <f>16</f>
        <v>16</v>
      </c>
      <c r="J169" s="33"/>
    </row>
    <row r="170" spans="1:20" s="89" customFormat="1" ht="15.75" customHeight="1" x14ac:dyDescent="0.25">
      <c r="A170" s="116">
        <v>1</v>
      </c>
      <c r="B170" s="117"/>
      <c r="C170" s="88" t="s">
        <v>385</v>
      </c>
      <c r="D170" s="90">
        <f>(48.27)*(10.764)</f>
        <v>519.57827999999995</v>
      </c>
      <c r="E170" s="90">
        <f>(4.06)*(10.764)</f>
        <v>43.70183999999999</v>
      </c>
      <c r="F170" s="88">
        <f>D170+E170</f>
        <v>563.2801199999999</v>
      </c>
      <c r="G170" s="88">
        <v>0</v>
      </c>
      <c r="H170" s="88">
        <f>F170*(($H$138)+1)+(IF(G170&lt;101,G170,IF(G170&lt;201,G170/2,IF(G170&lt;=301,G170/3,G170/4))))</f>
        <v>844.92017999999985</v>
      </c>
      <c r="I170" s="33"/>
      <c r="L170" s="129"/>
      <c r="M170" s="129"/>
      <c r="N170" s="33"/>
    </row>
    <row r="171" spans="1:20" s="89" customFormat="1" ht="15.75" customHeight="1" x14ac:dyDescent="0.25">
      <c r="A171" s="116">
        <f>A170+1</f>
        <v>2</v>
      </c>
      <c r="B171" s="117"/>
      <c r="C171" s="88" t="s">
        <v>385</v>
      </c>
      <c r="D171" s="90">
        <f>(48.34)*(10.764)</f>
        <v>520.33176000000003</v>
      </c>
      <c r="E171" s="90">
        <f>(4.06)*(10.764)</f>
        <v>43.70183999999999</v>
      </c>
      <c r="F171" s="88">
        <f>D171+E171</f>
        <v>564.03359999999998</v>
      </c>
      <c r="G171" s="88">
        <v>0</v>
      </c>
      <c r="H171" s="88">
        <f>F171*(($H$138)+1)+(IF(G171&lt;101,G171,IF(G171&lt;201,G171/2,IF(G171&lt;=301,G171/3,G171/4))))</f>
        <v>846.05039999999997</v>
      </c>
      <c r="I171" s="33"/>
      <c r="L171" s="129"/>
      <c r="M171" s="129"/>
      <c r="N171" s="33"/>
    </row>
    <row r="172" spans="1:20" s="89" customFormat="1" ht="15.75" customHeight="1" x14ac:dyDescent="0.25">
      <c r="A172" s="116">
        <f>A171+1</f>
        <v>3</v>
      </c>
      <c r="B172" s="117"/>
      <c r="C172" s="88" t="s">
        <v>384</v>
      </c>
      <c r="D172" s="90">
        <f>(27.27)*(10.764)</f>
        <v>293.53427999999997</v>
      </c>
      <c r="E172" s="90">
        <f>(3.48+2.16+2.89)*(10.764)</f>
        <v>91.81692000000001</v>
      </c>
      <c r="F172" s="88">
        <f>D172+E172</f>
        <v>385.35119999999995</v>
      </c>
      <c r="G172" s="88">
        <v>0</v>
      </c>
      <c r="H172" s="88">
        <f>F172*(($H$138)+1)+(IF(G172&lt;101,G172,IF(G172&lt;201,G172/2,IF(G172&lt;=301,G172/3,G172/4))))</f>
        <v>578.02679999999987</v>
      </c>
      <c r="I172" s="33"/>
      <c r="L172" s="129"/>
      <c r="M172" s="129"/>
      <c r="N172" s="33"/>
    </row>
    <row r="173" spans="1:20" s="89" customFormat="1" ht="15.75" customHeight="1" x14ac:dyDescent="0.25">
      <c r="A173" s="116">
        <f>A172+1</f>
        <v>4</v>
      </c>
      <c r="B173" s="117"/>
      <c r="C173" s="88" t="s">
        <v>384</v>
      </c>
      <c r="D173" s="90">
        <f>(27.27)*(10.764)</f>
        <v>293.53427999999997</v>
      </c>
      <c r="E173" s="90">
        <f>(3.48+2.16+2.89)*(10.764)</f>
        <v>91.81692000000001</v>
      </c>
      <c r="F173" s="88">
        <f>D173+E173</f>
        <v>385.35119999999995</v>
      </c>
      <c r="G173" s="90">
        <v>0</v>
      </c>
      <c r="H173" s="88">
        <f>F173*(($H$138)+1)+(IF(G173&lt;101,G173,IF(G173&lt;201,G173/2,IF(G173&lt;=301,G173/3,G173/4))))</f>
        <v>578.02679999999987</v>
      </c>
      <c r="I173" s="33"/>
      <c r="L173" s="129"/>
      <c r="M173" s="129"/>
      <c r="N173" s="33"/>
      <c r="T173" s="18"/>
    </row>
    <row r="174" spans="1:20" s="89" customFormat="1" x14ac:dyDescent="0.25">
      <c r="A174" s="113" t="s">
        <v>412</v>
      </c>
      <c r="B174" s="114"/>
      <c r="C174" s="114"/>
      <c r="D174" s="114"/>
      <c r="E174" s="114"/>
      <c r="F174" s="114"/>
      <c r="G174" s="114"/>
      <c r="H174" s="115"/>
      <c r="I174" s="89">
        <f>3</f>
        <v>3</v>
      </c>
      <c r="J174" s="33"/>
    </row>
    <row r="175" spans="1:20" s="89" customFormat="1" ht="15.75" customHeight="1" x14ac:dyDescent="0.25">
      <c r="A175" s="116">
        <v>1</v>
      </c>
      <c r="B175" s="117"/>
      <c r="C175" s="88" t="s">
        <v>385</v>
      </c>
      <c r="D175" s="90">
        <f>(48.27)*(10.764)</f>
        <v>519.57827999999995</v>
      </c>
      <c r="E175" s="90">
        <f>(4.06)*(10.764)</f>
        <v>43.70183999999999</v>
      </c>
      <c r="F175" s="88">
        <f>D175+E175</f>
        <v>563.2801199999999</v>
      </c>
      <c r="G175" s="88">
        <v>0</v>
      </c>
      <c r="H175" s="88">
        <f>F175*(($H$138)+1)+(IF(G175&lt;101,G175,IF(G175&lt;201,G175/2,IF(G175&lt;=301,G175/3,G175/4))))</f>
        <v>844.92017999999985</v>
      </c>
      <c r="I175" s="33"/>
      <c r="L175" s="129"/>
      <c r="M175" s="129"/>
      <c r="N175" s="33"/>
    </row>
    <row r="176" spans="1:20" s="89" customFormat="1" ht="15.75" customHeight="1" x14ac:dyDescent="0.25">
      <c r="A176" s="116">
        <f>A175+1</f>
        <v>2</v>
      </c>
      <c r="B176" s="117"/>
      <c r="C176" s="88" t="s">
        <v>385</v>
      </c>
      <c r="D176" s="90">
        <f>(48.34)*(10.764)</f>
        <v>520.33176000000003</v>
      </c>
      <c r="E176" s="90">
        <f>(4.06)*(10.764)</f>
        <v>43.70183999999999</v>
      </c>
      <c r="F176" s="88">
        <f>D176+E176</f>
        <v>564.03359999999998</v>
      </c>
      <c r="G176" s="88">
        <v>0</v>
      </c>
      <c r="H176" s="88">
        <f>F176*(($H$138)+1)+(IF(G176&lt;101,G176,IF(G176&lt;201,G176/2,IF(G176&lt;=301,G176/3,G176/4))))</f>
        <v>846.05039999999997</v>
      </c>
      <c r="I176" s="33"/>
      <c r="L176" s="129"/>
      <c r="M176" s="129"/>
      <c r="N176" s="33"/>
    </row>
    <row r="177" spans="1:20" s="89" customFormat="1" ht="15.75" customHeight="1" x14ac:dyDescent="0.25">
      <c r="A177" s="116">
        <f>A176+1</f>
        <v>3</v>
      </c>
      <c r="B177" s="117"/>
      <c r="C177" s="88" t="s">
        <v>384</v>
      </c>
      <c r="D177" s="90">
        <f>(27.27)*(10.764)</f>
        <v>293.53427999999997</v>
      </c>
      <c r="E177" s="90">
        <f>(3.48+2.16+2.89)*(10.764)</f>
        <v>91.81692000000001</v>
      </c>
      <c r="F177" s="88">
        <f>D177+E177</f>
        <v>385.35119999999995</v>
      </c>
      <c r="G177" s="88">
        <v>0</v>
      </c>
      <c r="H177" s="88">
        <f>F177*(($H$138)+1)+(IF(G177&lt;101,G177,IF(G177&lt;201,G177/2,IF(G177&lt;=301,G177/3,G177/4))))</f>
        <v>578.02679999999987</v>
      </c>
      <c r="I177" s="33"/>
      <c r="L177" s="129"/>
      <c r="M177" s="129"/>
      <c r="N177" s="33"/>
    </row>
    <row r="178" spans="1:20" s="89" customFormat="1" ht="15.75" customHeight="1" x14ac:dyDescent="0.25">
      <c r="A178" s="116">
        <f>A177+1</f>
        <v>4</v>
      </c>
      <c r="B178" s="117"/>
      <c r="C178" s="88" t="s">
        <v>384</v>
      </c>
      <c r="D178" s="90">
        <f>(27.27)*(10.764)</f>
        <v>293.53427999999997</v>
      </c>
      <c r="E178" s="90">
        <f>(3.48+2.16+2.89)*(10.764)</f>
        <v>91.81692000000001</v>
      </c>
      <c r="F178" s="88">
        <f>D178+E178</f>
        <v>385.35119999999995</v>
      </c>
      <c r="G178" s="90">
        <f>(2.4*1.9+3.1*0.9)*(10.764)</f>
        <v>79.115399999999994</v>
      </c>
      <c r="H178" s="88">
        <f>F178*(($H$138)+1)+(IF(G178&lt;101,G178,IF(G178&lt;201,G178/2,IF(G178&lt;=301,G178/3,G178/4))))</f>
        <v>657.14219999999989</v>
      </c>
      <c r="I178" s="33"/>
      <c r="L178" s="129"/>
      <c r="M178" s="129"/>
      <c r="N178" s="33"/>
      <c r="T178" s="18"/>
    </row>
    <row r="179" spans="1:20" s="89" customFormat="1" ht="15.75" customHeight="1" x14ac:dyDescent="0.25">
      <c r="A179" s="161" t="s">
        <v>387</v>
      </c>
      <c r="B179" s="161"/>
      <c r="C179" s="161"/>
      <c r="D179" s="161"/>
      <c r="E179" s="161"/>
      <c r="F179" s="161"/>
      <c r="G179" s="161"/>
      <c r="H179" s="161"/>
      <c r="I179" s="33"/>
      <c r="L179" s="129"/>
      <c r="M179" s="129"/>
      <c r="N179" s="33"/>
      <c r="T179" s="18"/>
    </row>
    <row r="180" spans="1:20" s="32" customFormat="1" x14ac:dyDescent="0.25">
      <c r="A180" s="172">
        <v>1</v>
      </c>
      <c r="B180" s="172"/>
      <c r="C180" s="88" t="s">
        <v>385</v>
      </c>
      <c r="D180" s="90">
        <f>(48.27)*(10.764)</f>
        <v>519.57827999999995</v>
      </c>
      <c r="E180" s="90">
        <f>(4.06)*(10.764)</f>
        <v>43.70183999999999</v>
      </c>
      <c r="F180" s="88">
        <f>D180+E180</f>
        <v>563.2801199999999</v>
      </c>
      <c r="G180" s="88">
        <v>0</v>
      </c>
      <c r="H180" s="88">
        <f>F180*(($H$138)+1)+(IF(G180&lt;101,G180,IF(G180&lt;201,G180/2,IF(G180&lt;=301,G180/3,G180/4))))</f>
        <v>844.92017999999985</v>
      </c>
      <c r="T180" s="34"/>
    </row>
    <row r="181" spans="1:20" s="32" customFormat="1" x14ac:dyDescent="0.25">
      <c r="A181" s="172">
        <f>A180+1</f>
        <v>2</v>
      </c>
      <c r="B181" s="172"/>
      <c r="C181" s="88" t="s">
        <v>385</v>
      </c>
      <c r="D181" s="90">
        <f>(48.34)*(10.764)</f>
        <v>520.33176000000003</v>
      </c>
      <c r="E181" s="90">
        <f>(4.06)*(10.764)</f>
        <v>43.70183999999999</v>
      </c>
      <c r="F181" s="88">
        <f>D181+E181</f>
        <v>564.03359999999998</v>
      </c>
      <c r="G181" s="88">
        <v>0</v>
      </c>
      <c r="H181" s="88">
        <f>F181*(($H$138)+1)+(IF(G181&lt;101,G181,IF(G181&lt;201,G181/2,IF(G181&lt;=301,G181/3,G181/4))))</f>
        <v>846.05039999999997</v>
      </c>
      <c r="T181" s="34"/>
    </row>
    <row r="182" spans="1:20" s="32" customFormat="1" x14ac:dyDescent="0.25">
      <c r="A182" s="172">
        <f>A181+1</f>
        <v>3</v>
      </c>
      <c r="B182" s="172"/>
      <c r="C182" s="88" t="s">
        <v>384</v>
      </c>
      <c r="D182" s="90">
        <f>(27.27)*(10.764)</f>
        <v>293.53427999999997</v>
      </c>
      <c r="E182" s="90">
        <f>(3.48+2.16+2.89)*(10.764)</f>
        <v>91.81692000000001</v>
      </c>
      <c r="F182" s="88">
        <f>D182+E182</f>
        <v>385.35119999999995</v>
      </c>
      <c r="G182" s="88">
        <v>0</v>
      </c>
      <c r="H182" s="88">
        <f>F182*(($H$138)+1)+(IF(G182&lt;101,G182,IF(G182&lt;201,G182/2,IF(G182&lt;=301,G182/3,G182/4))))</f>
        <v>578.02679999999987</v>
      </c>
      <c r="T182" s="34"/>
    </row>
    <row r="183" spans="1:20" s="32" customFormat="1" x14ac:dyDescent="0.25">
      <c r="A183" s="172">
        <f>A182+1</f>
        <v>4</v>
      </c>
      <c r="B183" s="172"/>
      <c r="C183" s="88" t="s">
        <v>389</v>
      </c>
      <c r="D183" s="90">
        <f>(12.63)*(10.764)</f>
        <v>135.94932</v>
      </c>
      <c r="E183" s="90">
        <f>0*(10.764)</f>
        <v>0</v>
      </c>
      <c r="F183" s="88">
        <f>D183+E183</f>
        <v>135.94932</v>
      </c>
      <c r="G183" s="88">
        <v>0</v>
      </c>
      <c r="H183" s="88">
        <f>F183*(($H$138)+1)+(IF(G183&lt;101,G183,IF(G183&lt;201,G183/2,IF(G183&lt;=301,G183/3,G183/4))))</f>
        <v>203.92398</v>
      </c>
      <c r="I183" s="32">
        <f>3.52*2.75+1.2*2.1</f>
        <v>12.2</v>
      </c>
      <c r="T183" s="34"/>
    </row>
    <row r="184" spans="1:20" s="32" customFormat="1" x14ac:dyDescent="0.25">
      <c r="A184" s="172" t="s">
        <v>388</v>
      </c>
      <c r="B184" s="172"/>
      <c r="C184" s="172"/>
      <c r="D184" s="172"/>
      <c r="E184" s="172"/>
      <c r="F184" s="172"/>
      <c r="G184" s="172"/>
      <c r="H184" s="172"/>
      <c r="T184" s="34"/>
    </row>
    <row r="185" spans="1:20" s="32" customFormat="1" x14ac:dyDescent="0.25">
      <c r="A185" s="242" t="s">
        <v>64</v>
      </c>
      <c r="B185" s="242"/>
      <c r="C185" s="242"/>
      <c r="D185" s="242"/>
      <c r="E185" s="242"/>
      <c r="F185" s="242"/>
      <c r="G185" s="242"/>
      <c r="H185" s="242"/>
      <c r="T185" s="34"/>
    </row>
    <row r="186" spans="1:20" s="32" customFormat="1" x14ac:dyDescent="0.25">
      <c r="A186" s="99">
        <v>1</v>
      </c>
      <c r="B186" s="226" t="s">
        <v>414</v>
      </c>
      <c r="C186" s="226"/>
      <c r="D186" s="226"/>
      <c r="E186" s="226"/>
      <c r="F186" s="226"/>
      <c r="G186" s="226"/>
      <c r="H186" s="226"/>
    </row>
    <row r="187" spans="1:20" s="32" customFormat="1" x14ac:dyDescent="0.25">
      <c r="A187" s="99">
        <f>A186+1</f>
        <v>2</v>
      </c>
      <c r="B187" s="226" t="str">
        <f>(IF(H137="Saleable area Loading :","We have considered Saleable area of Flats as per our Calculation.","We considered Saleable area of Flat as per Builder area Sheet."))</f>
        <v>We have considered Saleable area of Flats as per our Calculation.</v>
      </c>
      <c r="C187" s="226"/>
      <c r="D187" s="226"/>
      <c r="E187" s="226"/>
      <c r="F187" s="226"/>
      <c r="G187" s="226"/>
      <c r="H187" s="226"/>
    </row>
    <row r="188" spans="1:20" s="32" customFormat="1" hidden="1" x14ac:dyDescent="0.25">
      <c r="A188" s="99">
        <v>2</v>
      </c>
      <c r="B188" s="229" t="str">
        <f>(IF(H129="Saleable area Loading :","We have considered Saleable area of Commercial as per our Calculation.","We considered Saleable area of Commercial as per Builder area Sheet."))</f>
        <v>We have considered Saleable area of Commercial as per our Calculation.</v>
      </c>
      <c r="C188" s="229"/>
      <c r="D188" s="229"/>
      <c r="E188" s="229"/>
      <c r="F188" s="229"/>
      <c r="G188" s="229"/>
      <c r="H188" s="229"/>
    </row>
    <row r="189" spans="1:20" s="32" customFormat="1" x14ac:dyDescent="0.25">
      <c r="A189" s="99">
        <f>A187+1</f>
        <v>3</v>
      </c>
      <c r="B189" s="227" t="s">
        <v>119</v>
      </c>
      <c r="C189" s="227"/>
      <c r="D189" s="227"/>
      <c r="E189" s="227"/>
      <c r="F189" s="227"/>
      <c r="G189" s="227"/>
      <c r="H189" s="227"/>
    </row>
    <row r="190" spans="1:20" s="32" customFormat="1" x14ac:dyDescent="0.25">
      <c r="A190" s="99">
        <f>A189+1</f>
        <v>4</v>
      </c>
      <c r="B190" s="226" t="s">
        <v>415</v>
      </c>
      <c r="C190" s="226"/>
      <c r="D190" s="226"/>
      <c r="E190" s="226"/>
      <c r="F190" s="226"/>
      <c r="G190" s="226"/>
      <c r="H190" s="226"/>
    </row>
    <row r="191" spans="1:20" s="32" customFormat="1" x14ac:dyDescent="0.25">
      <c r="A191" s="99">
        <f>A190+1</f>
        <v>5</v>
      </c>
      <c r="B191" s="227" t="s">
        <v>148</v>
      </c>
      <c r="C191" s="227"/>
      <c r="D191" s="227"/>
      <c r="E191" s="227"/>
      <c r="F191" s="227"/>
      <c r="G191" s="227"/>
      <c r="H191" s="227"/>
    </row>
    <row r="192" spans="1:20" s="32" customFormat="1" x14ac:dyDescent="0.25">
      <c r="A192" s="96">
        <f t="shared" ref="A192:A194" si="5">A191+1</f>
        <v>6</v>
      </c>
      <c r="B192" s="214" t="s">
        <v>120</v>
      </c>
      <c r="C192" s="215"/>
      <c r="D192" s="215"/>
      <c r="E192" s="215"/>
      <c r="F192" s="215"/>
      <c r="G192" s="215"/>
      <c r="H192" s="216"/>
    </row>
    <row r="193" spans="1:20" s="32" customFormat="1" ht="32.25" customHeight="1" x14ac:dyDescent="0.25">
      <c r="A193" s="96">
        <f t="shared" si="5"/>
        <v>7</v>
      </c>
      <c r="B193" s="110" t="s">
        <v>149</v>
      </c>
      <c r="C193" s="111"/>
      <c r="D193" s="111"/>
      <c r="E193" s="111"/>
      <c r="F193" s="111"/>
      <c r="G193" s="111"/>
      <c r="H193" s="112"/>
    </row>
    <row r="194" spans="1:20" s="32" customFormat="1" x14ac:dyDescent="0.25">
      <c r="A194" s="96">
        <f t="shared" si="5"/>
        <v>8</v>
      </c>
      <c r="B194" s="214" t="s">
        <v>121</v>
      </c>
      <c r="C194" s="215"/>
      <c r="D194" s="215"/>
      <c r="E194" s="215"/>
      <c r="F194" s="215"/>
      <c r="G194" s="215"/>
      <c r="H194" s="216"/>
    </row>
    <row r="195" spans="1:20" s="32" customFormat="1" ht="34.5" hidden="1" customHeight="1" x14ac:dyDescent="0.25">
      <c r="A195" s="96">
        <f t="shared" ref="A195:A201" si="6">A193+1</f>
        <v>8</v>
      </c>
      <c r="B195" s="217" t="s">
        <v>174</v>
      </c>
      <c r="C195" s="218"/>
      <c r="D195" s="218"/>
      <c r="E195" s="218"/>
      <c r="F195" s="218"/>
      <c r="G195" s="218"/>
      <c r="H195" s="219"/>
    </row>
    <row r="196" spans="1:20" ht="35.25" customHeight="1" x14ac:dyDescent="0.25">
      <c r="A196" s="96">
        <f t="shared" si="6"/>
        <v>9</v>
      </c>
      <c r="B196" s="110" t="s">
        <v>420</v>
      </c>
      <c r="C196" s="111"/>
      <c r="D196" s="111"/>
      <c r="E196" s="111"/>
      <c r="F196" s="111"/>
      <c r="G196" s="111"/>
      <c r="H196" s="112"/>
      <c r="T196" s="32"/>
    </row>
    <row r="197" spans="1:20" x14ac:dyDescent="0.25">
      <c r="A197" s="96">
        <f>A196+1</f>
        <v>10</v>
      </c>
      <c r="B197" s="110" t="s">
        <v>422</v>
      </c>
      <c r="C197" s="111"/>
      <c r="D197" s="111"/>
      <c r="E197" s="111"/>
      <c r="F197" s="111"/>
      <c r="G197" s="111"/>
      <c r="H197" s="112"/>
      <c r="T197" s="32"/>
    </row>
    <row r="198" spans="1:20" x14ac:dyDescent="0.25">
      <c r="A198" s="96">
        <f>A197+1</f>
        <v>11</v>
      </c>
      <c r="B198" s="110" t="s">
        <v>423</v>
      </c>
      <c r="C198" s="111"/>
      <c r="D198" s="111"/>
      <c r="E198" s="111"/>
      <c r="F198" s="111"/>
      <c r="G198" s="111"/>
      <c r="H198" s="112"/>
      <c r="T198" s="32"/>
    </row>
    <row r="199" spans="1:20" ht="15.75" hidden="1" customHeight="1" x14ac:dyDescent="0.25">
      <c r="A199" s="96">
        <f t="shared" si="6"/>
        <v>11</v>
      </c>
      <c r="B199" s="217" t="s">
        <v>347</v>
      </c>
      <c r="C199" s="218"/>
      <c r="D199" s="218"/>
      <c r="E199" s="218"/>
      <c r="F199" s="218"/>
      <c r="G199" s="218"/>
      <c r="H199" s="219"/>
      <c r="T199" s="32"/>
    </row>
    <row r="200" spans="1:20" hidden="1" x14ac:dyDescent="0.25">
      <c r="A200" s="96">
        <f t="shared" si="6"/>
        <v>12</v>
      </c>
      <c r="B200" s="217" t="str">
        <f ca="1">IF(G52&gt;EDATE(E3,-48),"NO REMARK FOR CC","REMARK FOR CC")</f>
        <v>NO REMARK FOR CC</v>
      </c>
      <c r="C200" s="218"/>
      <c r="D200" s="218"/>
      <c r="E200" s="218"/>
      <c r="F200" s="218"/>
      <c r="G200" s="218"/>
      <c r="H200" s="219"/>
      <c r="T200" s="32"/>
    </row>
    <row r="201" spans="1:20" hidden="1" x14ac:dyDescent="0.25">
      <c r="A201" s="96">
        <f t="shared" si="6"/>
        <v>12</v>
      </c>
      <c r="B201" s="217" t="s">
        <v>348</v>
      </c>
      <c r="C201" s="218"/>
      <c r="D201" s="218"/>
      <c r="E201" s="218"/>
      <c r="F201" s="218"/>
      <c r="G201" s="218"/>
      <c r="H201" s="219"/>
      <c r="T201" s="32"/>
    </row>
    <row r="202" spans="1:20" x14ac:dyDescent="0.25">
      <c r="A202" s="203" t="s">
        <v>57</v>
      </c>
      <c r="B202" s="203"/>
      <c r="C202" s="203"/>
      <c r="D202" s="203"/>
      <c r="E202" s="203"/>
      <c r="F202" s="203"/>
      <c r="G202" s="203"/>
      <c r="H202" s="203"/>
      <c r="T202" s="32"/>
    </row>
    <row r="203" spans="1:20" x14ac:dyDescent="0.25">
      <c r="A203" s="118" t="s">
        <v>58</v>
      </c>
      <c r="B203" s="118"/>
      <c r="C203" s="118"/>
      <c r="D203" s="118"/>
      <c r="E203" s="118"/>
      <c r="F203" s="118"/>
      <c r="G203" s="118"/>
      <c r="H203" s="118"/>
    </row>
    <row r="204" spans="1:20" x14ac:dyDescent="0.25">
      <c r="A204" s="223" t="s">
        <v>59</v>
      </c>
      <c r="B204" s="223"/>
      <c r="C204" s="223"/>
      <c r="D204" s="223"/>
      <c r="E204" s="223"/>
      <c r="F204" s="223"/>
      <c r="G204" s="223"/>
      <c r="H204" s="223"/>
    </row>
    <row r="205" spans="1:20" x14ac:dyDescent="0.25">
      <c r="A205" s="118" t="s">
        <v>60</v>
      </c>
      <c r="B205" s="118"/>
      <c r="C205" s="118"/>
      <c r="D205" s="118"/>
      <c r="E205" s="118"/>
      <c r="F205" s="118"/>
      <c r="G205" s="118"/>
      <c r="H205" s="118"/>
    </row>
    <row r="206" spans="1:20" x14ac:dyDescent="0.25">
      <c r="A206" s="118" t="s">
        <v>61</v>
      </c>
      <c r="B206" s="118"/>
      <c r="C206" s="118"/>
      <c r="D206" s="118"/>
      <c r="E206" s="118"/>
      <c r="F206" s="118"/>
      <c r="G206" s="118"/>
      <c r="H206" s="118"/>
    </row>
    <row r="207" spans="1:20" x14ac:dyDescent="0.25">
      <c r="A207" s="118" t="s">
        <v>122</v>
      </c>
      <c r="B207" s="118"/>
      <c r="C207" s="118"/>
      <c r="D207" s="118"/>
      <c r="E207" s="118"/>
      <c r="F207" s="118"/>
      <c r="G207" s="118"/>
      <c r="H207" s="118"/>
    </row>
    <row r="208" spans="1:20" x14ac:dyDescent="0.25">
      <c r="A208" s="204" t="s">
        <v>123</v>
      </c>
      <c r="B208" s="204"/>
      <c r="C208" s="204"/>
      <c r="D208" s="204"/>
      <c r="E208" s="204"/>
      <c r="F208" s="204"/>
      <c r="G208" s="204"/>
      <c r="H208" s="204"/>
    </row>
    <row r="209" spans="1:8" x14ac:dyDescent="0.25">
      <c r="A209" s="222" t="s">
        <v>73</v>
      </c>
      <c r="B209" s="222"/>
      <c r="C209" s="222" t="s">
        <v>416</v>
      </c>
      <c r="D209" s="222"/>
      <c r="E209" s="222" t="s">
        <v>103</v>
      </c>
      <c r="F209" s="222"/>
      <c r="G209" s="222" t="s">
        <v>428</v>
      </c>
      <c r="H209" s="222"/>
    </row>
    <row r="210" spans="1:8" x14ac:dyDescent="0.25">
      <c r="A210" s="221" t="s">
        <v>75</v>
      </c>
      <c r="B210" s="221"/>
      <c r="C210" s="221"/>
      <c r="D210" s="221"/>
      <c r="E210" s="221"/>
      <c r="F210" s="221"/>
      <c r="G210" s="221"/>
      <c r="H210" s="221"/>
    </row>
    <row r="211" spans="1:8" x14ac:dyDescent="0.25">
      <c r="A211" s="221"/>
      <c r="B211" s="221"/>
      <c r="C211" s="221"/>
      <c r="D211" s="221"/>
      <c r="E211" s="221"/>
      <c r="F211" s="221"/>
      <c r="G211" s="221"/>
      <c r="H211" s="221"/>
    </row>
    <row r="212" spans="1:8" ht="15" customHeight="1" x14ac:dyDescent="0.25">
      <c r="A212" s="221"/>
      <c r="B212" s="221"/>
      <c r="C212" s="221"/>
      <c r="D212" s="221"/>
      <c r="E212" s="221"/>
      <c r="F212" s="221"/>
      <c r="G212" s="221"/>
      <c r="H212" s="221"/>
    </row>
    <row r="213" spans="1:8" x14ac:dyDescent="0.25">
      <c r="A213" s="221"/>
      <c r="B213" s="221"/>
      <c r="C213" s="221"/>
      <c r="D213" s="221"/>
      <c r="E213" s="221"/>
      <c r="F213" s="221"/>
      <c r="G213" s="221"/>
      <c r="H213" s="221"/>
    </row>
    <row r="214" spans="1:8" x14ac:dyDescent="0.25">
      <c r="A214" s="35" t="s">
        <v>62</v>
      </c>
      <c r="B214" s="36"/>
      <c r="C214" s="36"/>
      <c r="D214" s="35" t="str">
        <f>E9</f>
        <v>Gopikisan Patil Complex Bldg No.1</v>
      </c>
      <c r="F214" s="36"/>
      <c r="G214" s="36"/>
      <c r="H214" s="36"/>
    </row>
    <row r="215" spans="1:8" x14ac:dyDescent="0.25">
      <c r="A215" s="36"/>
      <c r="B215" s="36"/>
      <c r="C215" s="36"/>
      <c r="D215" s="36"/>
      <c r="E215" s="36"/>
      <c r="F215" s="36"/>
      <c r="G215" s="36"/>
      <c r="H215" s="36"/>
    </row>
    <row r="216" spans="1:8" x14ac:dyDescent="0.25">
      <c r="A216" s="36"/>
      <c r="B216" s="36"/>
      <c r="C216" s="36"/>
      <c r="D216" s="36"/>
      <c r="E216" s="36"/>
      <c r="F216" s="36"/>
      <c r="G216" s="36"/>
      <c r="H216" s="36"/>
    </row>
    <row r="257" spans="1:1" x14ac:dyDescent="0.25">
      <c r="A257" s="38" t="s">
        <v>159</v>
      </c>
    </row>
    <row r="300" spans="1:1" x14ac:dyDescent="0.25">
      <c r="A300" s="38" t="s">
        <v>421</v>
      </c>
    </row>
    <row r="342" spans="1:1" x14ac:dyDescent="0.25">
      <c r="A342" s="38" t="s">
        <v>63</v>
      </c>
    </row>
  </sheetData>
  <mergeCells count="395">
    <mergeCell ref="L171:M171"/>
    <mergeCell ref="L152:M152"/>
    <mergeCell ref="B197:H197"/>
    <mergeCell ref="L179:M179"/>
    <mergeCell ref="A184:H184"/>
    <mergeCell ref="F52:F53"/>
    <mergeCell ref="G52:H53"/>
    <mergeCell ref="L172:M172"/>
    <mergeCell ref="L173:M173"/>
    <mergeCell ref="A179:H179"/>
    <mergeCell ref="A180:B180"/>
    <mergeCell ref="L175:M175"/>
    <mergeCell ref="L176:M176"/>
    <mergeCell ref="L177:M177"/>
    <mergeCell ref="L178:M178"/>
    <mergeCell ref="L161:M161"/>
    <mergeCell ref="A161:H161"/>
    <mergeCell ref="A162:H162"/>
    <mergeCell ref="A164:H164"/>
    <mergeCell ref="L165:M165"/>
    <mergeCell ref="L166:M166"/>
    <mergeCell ref="L167:M167"/>
    <mergeCell ref="L168:M168"/>
    <mergeCell ref="L170:M170"/>
    <mergeCell ref="L142:M142"/>
    <mergeCell ref="A158:B158"/>
    <mergeCell ref="L143:M143"/>
    <mergeCell ref="L144:M144"/>
    <mergeCell ref="L158:M158"/>
    <mergeCell ref="A159:B159"/>
    <mergeCell ref="L159:M159"/>
    <mergeCell ref="A160:B160"/>
    <mergeCell ref="L160:M160"/>
    <mergeCell ref="A153:B153"/>
    <mergeCell ref="L153:M153"/>
    <mergeCell ref="A154:B154"/>
    <mergeCell ref="L154:M154"/>
    <mergeCell ref="A155:H155"/>
    <mergeCell ref="A156:B156"/>
    <mergeCell ref="L156:M156"/>
    <mergeCell ref="A157:B157"/>
    <mergeCell ref="L157:M157"/>
    <mergeCell ref="A149:B149"/>
    <mergeCell ref="L149:M149"/>
    <mergeCell ref="A150:B150"/>
    <mergeCell ref="L150:M150"/>
    <mergeCell ref="A151:B151"/>
    <mergeCell ref="L151:M151"/>
    <mergeCell ref="A85:B85"/>
    <mergeCell ref="L146:M146"/>
    <mergeCell ref="A147:B147"/>
    <mergeCell ref="L147:M147"/>
    <mergeCell ref="B200:H200"/>
    <mergeCell ref="B199:H199"/>
    <mergeCell ref="E43:H43"/>
    <mergeCell ref="A43:D43"/>
    <mergeCell ref="A84:B84"/>
    <mergeCell ref="A50:B50"/>
    <mergeCell ref="A185:H185"/>
    <mergeCell ref="A169:H169"/>
    <mergeCell ref="A72:C72"/>
    <mergeCell ref="D73:H73"/>
    <mergeCell ref="A79:B79"/>
    <mergeCell ref="G78:H78"/>
    <mergeCell ref="A87:B87"/>
    <mergeCell ref="A88:B88"/>
    <mergeCell ref="A83:B83"/>
    <mergeCell ref="A82:B82"/>
    <mergeCell ref="A139:H139"/>
    <mergeCell ref="E78:F78"/>
    <mergeCell ref="L145:M145"/>
    <mergeCell ref="A146:B146"/>
    <mergeCell ref="I15:P15"/>
    <mergeCell ref="F113:H113"/>
    <mergeCell ref="F111:H111"/>
    <mergeCell ref="A128:H128"/>
    <mergeCell ref="G117:H117"/>
    <mergeCell ref="A112:E112"/>
    <mergeCell ref="A133:B133"/>
    <mergeCell ref="A61:B61"/>
    <mergeCell ref="C61:E61"/>
    <mergeCell ref="D63:H63"/>
    <mergeCell ref="F112:H112"/>
    <mergeCell ref="E117:F117"/>
    <mergeCell ref="A117:B117"/>
    <mergeCell ref="A119:B119"/>
    <mergeCell ref="C122:D122"/>
    <mergeCell ref="D72:H72"/>
    <mergeCell ref="D64:H64"/>
    <mergeCell ref="G61:H61"/>
    <mergeCell ref="G55:H55"/>
    <mergeCell ref="A57:B58"/>
    <mergeCell ref="C57:E57"/>
    <mergeCell ref="A80:B80"/>
    <mergeCell ref="A122:B122"/>
    <mergeCell ref="A97:B97"/>
    <mergeCell ref="D137:D138"/>
    <mergeCell ref="E137:E138"/>
    <mergeCell ref="F108:H108"/>
    <mergeCell ref="A142:B142"/>
    <mergeCell ref="B194:H194"/>
    <mergeCell ref="A148:H148"/>
    <mergeCell ref="B191:H191"/>
    <mergeCell ref="A183:B183"/>
    <mergeCell ref="A181:B181"/>
    <mergeCell ref="A135:B135"/>
    <mergeCell ref="A134:B134"/>
    <mergeCell ref="D129:D130"/>
    <mergeCell ref="A99:B99"/>
    <mergeCell ref="F104:H104"/>
    <mergeCell ref="G118:H118"/>
    <mergeCell ref="A102:B102"/>
    <mergeCell ref="F110:H110"/>
    <mergeCell ref="C117:D117"/>
    <mergeCell ref="C125:D125"/>
    <mergeCell ref="E122:F122"/>
    <mergeCell ref="A109:E109"/>
    <mergeCell ref="F109:H109"/>
    <mergeCell ref="A111:E111"/>
    <mergeCell ref="F106:H106"/>
    <mergeCell ref="A110:E110"/>
    <mergeCell ref="A125:B125"/>
    <mergeCell ref="E125:F125"/>
    <mergeCell ref="B195:H195"/>
    <mergeCell ref="A126:B126"/>
    <mergeCell ref="A100:B100"/>
    <mergeCell ref="A101:B101"/>
    <mergeCell ref="A106:E106"/>
    <mergeCell ref="A103:E103"/>
    <mergeCell ref="F107:H107"/>
    <mergeCell ref="A107:E107"/>
    <mergeCell ref="A145:B145"/>
    <mergeCell ref="B193:H193"/>
    <mergeCell ref="G129:G130"/>
    <mergeCell ref="A182:B182"/>
    <mergeCell ref="B186:H186"/>
    <mergeCell ref="B187:H187"/>
    <mergeCell ref="B189:H189"/>
    <mergeCell ref="F103:H103"/>
    <mergeCell ref="G124:H124"/>
    <mergeCell ref="A137:A138"/>
    <mergeCell ref="F137:F138"/>
    <mergeCell ref="B188:H188"/>
    <mergeCell ref="A173:B173"/>
    <mergeCell ref="B190:H190"/>
    <mergeCell ref="A127:H127"/>
    <mergeCell ref="A136:H136"/>
    <mergeCell ref="A210:H213"/>
    <mergeCell ref="A209:B209"/>
    <mergeCell ref="E209:F209"/>
    <mergeCell ref="C209:D209"/>
    <mergeCell ref="G209:H209"/>
    <mergeCell ref="A205:H205"/>
    <mergeCell ref="A208:H208"/>
    <mergeCell ref="A206:H206"/>
    <mergeCell ref="A202:H202"/>
    <mergeCell ref="A207:H207"/>
    <mergeCell ref="A204:H204"/>
    <mergeCell ref="A203:H203"/>
    <mergeCell ref="B198:H198"/>
    <mergeCell ref="B192:H192"/>
    <mergeCell ref="A170:B170"/>
    <mergeCell ref="A152:B152"/>
    <mergeCell ref="A140:H140"/>
    <mergeCell ref="B201:H201"/>
    <mergeCell ref="A141:H141"/>
    <mergeCell ref="A171:B171"/>
    <mergeCell ref="F114:H114"/>
    <mergeCell ref="A115:E115"/>
    <mergeCell ref="F115:H115"/>
    <mergeCell ref="A163:H163"/>
    <mergeCell ref="A123:B123"/>
    <mergeCell ref="A172:B172"/>
    <mergeCell ref="A118:B118"/>
    <mergeCell ref="A121:H121"/>
    <mergeCell ref="G122:H122"/>
    <mergeCell ref="A167:B167"/>
    <mergeCell ref="C126:D126"/>
    <mergeCell ref="A168:B168"/>
    <mergeCell ref="A165:B165"/>
    <mergeCell ref="A166:B166"/>
    <mergeCell ref="A143:B143"/>
    <mergeCell ref="A144:B144"/>
    <mergeCell ref="A1:H1"/>
    <mergeCell ref="A2:H2"/>
    <mergeCell ref="A3:D3"/>
    <mergeCell ref="E3:H3"/>
    <mergeCell ref="A5:D5"/>
    <mergeCell ref="A9:D9"/>
    <mergeCell ref="E9:H9"/>
    <mergeCell ref="A10:D10"/>
    <mergeCell ref="E10:H10"/>
    <mergeCell ref="E5:H5"/>
    <mergeCell ref="A6:D6"/>
    <mergeCell ref="E6:H6"/>
    <mergeCell ref="A7:D7"/>
    <mergeCell ref="E7:H7"/>
    <mergeCell ref="A8:D8"/>
    <mergeCell ref="E8:H8"/>
    <mergeCell ref="A4:D4"/>
    <mergeCell ref="E4:H4"/>
    <mergeCell ref="E14:H14"/>
    <mergeCell ref="A15:D15"/>
    <mergeCell ref="A11:D11"/>
    <mergeCell ref="E11:H11"/>
    <mergeCell ref="A23:D24"/>
    <mergeCell ref="E23:H24"/>
    <mergeCell ref="E15:H15"/>
    <mergeCell ref="A16:B16"/>
    <mergeCell ref="C16:H16"/>
    <mergeCell ref="C17:H17"/>
    <mergeCell ref="A18:B18"/>
    <mergeCell ref="C18:H18"/>
    <mergeCell ref="A13:D13"/>
    <mergeCell ref="E13:H13"/>
    <mergeCell ref="A12:D12"/>
    <mergeCell ref="E12:H12"/>
    <mergeCell ref="A17:B17"/>
    <mergeCell ref="A14:D14"/>
    <mergeCell ref="A19:B19"/>
    <mergeCell ref="C19:D19"/>
    <mergeCell ref="E19:F19"/>
    <mergeCell ref="G19:H19"/>
    <mergeCell ref="A20:B20"/>
    <mergeCell ref="C20:D20"/>
    <mergeCell ref="E20:F20"/>
    <mergeCell ref="G20:H20"/>
    <mergeCell ref="A21:B21"/>
    <mergeCell ref="C21:D21"/>
    <mergeCell ref="E21:F21"/>
    <mergeCell ref="G21:H21"/>
    <mergeCell ref="A22:B22"/>
    <mergeCell ref="C22:D22"/>
    <mergeCell ref="E22:F22"/>
    <mergeCell ref="G22:H22"/>
    <mergeCell ref="E27:H27"/>
    <mergeCell ref="A29:D29"/>
    <mergeCell ref="E29:H29"/>
    <mergeCell ref="A26:D26"/>
    <mergeCell ref="E26:H26"/>
    <mergeCell ref="A25:D25"/>
    <mergeCell ref="E25:H25"/>
    <mergeCell ref="A30:D30"/>
    <mergeCell ref="E30:H30"/>
    <mergeCell ref="A27:D27"/>
    <mergeCell ref="A36:B36"/>
    <mergeCell ref="C36:E36"/>
    <mergeCell ref="A31:D31"/>
    <mergeCell ref="E31:H31"/>
    <mergeCell ref="A32:D32"/>
    <mergeCell ref="E32:H32"/>
    <mergeCell ref="A28:D28"/>
    <mergeCell ref="E28:H28"/>
    <mergeCell ref="C33:E33"/>
    <mergeCell ref="F36:H36"/>
    <mergeCell ref="F33:H33"/>
    <mergeCell ref="A34:B34"/>
    <mergeCell ref="A33:B33"/>
    <mergeCell ref="C34:E34"/>
    <mergeCell ref="A35:B35"/>
    <mergeCell ref="C35:E35"/>
    <mergeCell ref="F34:H34"/>
    <mergeCell ref="F35:H35"/>
    <mergeCell ref="C60:E60"/>
    <mergeCell ref="A77:B77"/>
    <mergeCell ref="A75:B75"/>
    <mergeCell ref="C75:H75"/>
    <mergeCell ref="A70:C70"/>
    <mergeCell ref="D70:H70"/>
    <mergeCell ref="C77:H77"/>
    <mergeCell ref="A71:C71"/>
    <mergeCell ref="D71:H71"/>
    <mergeCell ref="A74:C74"/>
    <mergeCell ref="D74:H74"/>
    <mergeCell ref="A73:C73"/>
    <mergeCell ref="C55:E55"/>
    <mergeCell ref="A46:D46"/>
    <mergeCell ref="A47:D47"/>
    <mergeCell ref="D69:H69"/>
    <mergeCell ref="A44:D44"/>
    <mergeCell ref="E44:H44"/>
    <mergeCell ref="E45:H45"/>
    <mergeCell ref="E46:H46"/>
    <mergeCell ref="E47:H47"/>
    <mergeCell ref="C58:H58"/>
    <mergeCell ref="A48:H48"/>
    <mergeCell ref="D65:H65"/>
    <mergeCell ref="A65:C65"/>
    <mergeCell ref="A45:D45"/>
    <mergeCell ref="A49:B49"/>
    <mergeCell ref="C49:H49"/>
    <mergeCell ref="A66:C67"/>
    <mergeCell ref="D66:H66"/>
    <mergeCell ref="D67:H67"/>
    <mergeCell ref="A62:H62"/>
    <mergeCell ref="A63:C63"/>
    <mergeCell ref="A64:C64"/>
    <mergeCell ref="G60:H60"/>
    <mergeCell ref="A55:B56"/>
    <mergeCell ref="A114:E114"/>
    <mergeCell ref="A38:H38"/>
    <mergeCell ref="A37:B37"/>
    <mergeCell ref="C37:E37"/>
    <mergeCell ref="A42:D42"/>
    <mergeCell ref="E42:H42"/>
    <mergeCell ref="A41:H41"/>
    <mergeCell ref="A68:C68"/>
    <mergeCell ref="A69:C69"/>
    <mergeCell ref="D68:H68"/>
    <mergeCell ref="F37:H37"/>
    <mergeCell ref="C51:E51"/>
    <mergeCell ref="C50:E50"/>
    <mergeCell ref="G50:H50"/>
    <mergeCell ref="A51:B51"/>
    <mergeCell ref="G57:H57"/>
    <mergeCell ref="A59:B60"/>
    <mergeCell ref="C59:E59"/>
    <mergeCell ref="G59:H59"/>
    <mergeCell ref="G51:H51"/>
    <mergeCell ref="A39:B39"/>
    <mergeCell ref="C39:H39"/>
    <mergeCell ref="C56:H56"/>
    <mergeCell ref="C52:E53"/>
    <mergeCell ref="A108:E108"/>
    <mergeCell ref="L133:M133"/>
    <mergeCell ref="L132:M132"/>
    <mergeCell ref="A86:B86"/>
    <mergeCell ref="C123:D123"/>
    <mergeCell ref="E123:F123"/>
    <mergeCell ref="G123:H123"/>
    <mergeCell ref="A104:E104"/>
    <mergeCell ref="A89:B89"/>
    <mergeCell ref="C89:H89"/>
    <mergeCell ref="A131:H131"/>
    <mergeCell ref="E129:E130"/>
    <mergeCell ref="A93:B93"/>
    <mergeCell ref="C91:H91"/>
    <mergeCell ref="A94:B94"/>
    <mergeCell ref="A95:B95"/>
    <mergeCell ref="G93:H102"/>
    <mergeCell ref="A96:B96"/>
    <mergeCell ref="F105:H105"/>
    <mergeCell ref="A105:E105"/>
    <mergeCell ref="E126:F126"/>
    <mergeCell ref="A91:B91"/>
    <mergeCell ref="A132:B132"/>
    <mergeCell ref="A116:H116"/>
    <mergeCell ref="L134:M134"/>
    <mergeCell ref="A40:B40"/>
    <mergeCell ref="C40:H40"/>
    <mergeCell ref="F129:F130"/>
    <mergeCell ref="C118:D118"/>
    <mergeCell ref="E118:F118"/>
    <mergeCell ref="B129:B130"/>
    <mergeCell ref="A129:A130"/>
    <mergeCell ref="C137:C138"/>
    <mergeCell ref="G137:G138"/>
    <mergeCell ref="G126:H126"/>
    <mergeCell ref="A81:B81"/>
    <mergeCell ref="E79:F88"/>
    <mergeCell ref="G79:H88"/>
    <mergeCell ref="A98:B98"/>
    <mergeCell ref="G92:H92"/>
    <mergeCell ref="A52:B54"/>
    <mergeCell ref="C54:H54"/>
    <mergeCell ref="A78:B78"/>
    <mergeCell ref="C129:C130"/>
    <mergeCell ref="B137:B138"/>
    <mergeCell ref="A92:B92"/>
    <mergeCell ref="E92:F92"/>
    <mergeCell ref="E93:F102"/>
    <mergeCell ref="I11:L11"/>
    <mergeCell ref="I65:M65"/>
    <mergeCell ref="I66:M66"/>
    <mergeCell ref="I67:M67"/>
    <mergeCell ref="B196:H196"/>
    <mergeCell ref="I140:P140"/>
    <mergeCell ref="A174:H174"/>
    <mergeCell ref="A175:B175"/>
    <mergeCell ref="A176:B176"/>
    <mergeCell ref="A177:B177"/>
    <mergeCell ref="A178:B178"/>
    <mergeCell ref="A113:E113"/>
    <mergeCell ref="G125:H125"/>
    <mergeCell ref="C119:D119"/>
    <mergeCell ref="E119:F119"/>
    <mergeCell ref="G119:H119"/>
    <mergeCell ref="A120:B120"/>
    <mergeCell ref="C120:D120"/>
    <mergeCell ref="E120:F120"/>
    <mergeCell ref="G120:H120"/>
    <mergeCell ref="A124:B124"/>
    <mergeCell ref="C124:D124"/>
    <mergeCell ref="E124:F124"/>
    <mergeCell ref="L135:M135"/>
  </mergeCells>
  <dataValidations count="17">
    <dataValidation type="list" allowBlank="1" showInputMessage="1" showErrorMessage="1" sqref="E5:H5" xr:uid="{00000000-0002-0000-0000-000000000000}">
      <formula1>OFFSET($L$3,1,MATCH($E4,$L$3:$P$3,0)-1,10,1)</formula1>
    </dataValidation>
    <dataValidation type="list" allowBlank="1" showInputMessage="1" showErrorMessage="1" sqref="A17:B17" xr:uid="{00000000-0002-0000-0000-000001000000}">
      <formula1>"CTS No,Survey No,Plot No,Gut No,FP No,"</formula1>
    </dataValidation>
    <dataValidation type="list" allowBlank="1" showInputMessage="1" showErrorMessage="1" sqref="G20:H20" xr:uid="{00000000-0002-0000-0000-000002000000}">
      <formula1>$S$13:$W$13</formula1>
    </dataValidation>
    <dataValidation type="list" allowBlank="1" showInputMessage="1" showErrorMessage="1" sqref="E129:E130" xr:uid="{00000000-0002-0000-0000-000003000000}">
      <formula1>"Attached Loft area,Attached Otla area,Attached Mezzanine area"</formula1>
    </dataValidation>
    <dataValidation type="list" allowBlank="1" showInputMessage="1" showErrorMessage="1" sqref="G209:H209" xr:uid="{00000000-0002-0000-0000-000004000000}">
      <formula1>"Kunal Kadam,Pranita Mhatre,Shruti Fule,Pooja Kawale,Gaurav Panchal,Shruti Tathare, Dipti Gothawade,Saurav Panse, Sachin Sawant"</formula1>
    </dataValidation>
    <dataValidation type="list" allowBlank="1" showInputMessage="1" showErrorMessage="1" sqref="F103:H103" xr:uid="{00000000-0002-0000-0000-000005000000}">
      <formula1>"On Saleable Area,On Builtup Area,On Carpet Area,On Plot Area"</formula1>
    </dataValidation>
    <dataValidation type="list" allowBlank="1" showInputMessage="1" showErrorMessage="1" sqref="F114:H114" xr:uid="{00000000-0002-0000-0000-000006000000}">
      <formula1>OFFSET($S$103,1,MATCH($G20,$S$103:$W$103,0)-1,15,1)</formula1>
    </dataValidation>
    <dataValidation type="list" allowBlank="1" showInputMessage="1" showErrorMessage="1" sqref="B129:B130" xr:uid="{00000000-0002-0000-0000-000007000000}">
      <formula1>"Shop No. (Sale Plan),Sale / Rehab,Sale / Mhada"</formula1>
    </dataValidation>
    <dataValidation type="list" allowBlank="1" showInputMessage="1" showErrorMessage="1" sqref="B137:B138" xr:uid="{00000000-0002-0000-0000-000008000000}">
      <formula1>"Flat No. (Sale Plan),Sale / Rehab,Sale / Mhada"</formula1>
    </dataValidation>
    <dataValidation type="list" allowBlank="1" showInputMessage="1" showErrorMessage="1" sqref="C21:D21" xr:uid="{00000000-0002-0000-0000-000009000000}">
      <formula1>OFFSET($S$13,1,MATCH($G20,$S$13:$W$13,0)-1,15,1)</formula1>
    </dataValidation>
    <dataValidation type="list" allowBlank="1" showInputMessage="1" showErrorMessage="1" sqref="Y13" xr:uid="{00000000-0002-0000-0000-00000A000000}">
      <formula1>$D$5:$H$5</formula1>
    </dataValidation>
    <dataValidation type="list" allowBlank="1" showInputMessage="1" showErrorMessage="1" sqref="E137:E138" xr:uid="{00000000-0002-0000-0000-00000B000000}">
      <formula1>"Fungible area, Encl. Balcony Area,Chajja Area,Cornice Area,AP Area,WS Area"</formula1>
    </dataValidation>
    <dataValidation type="list" allowBlank="1" showInputMessage="1" showErrorMessage="1" sqref="H130 H138" xr:uid="{00000000-0002-0000-0000-00000C000000}">
      <formula1>".45,.50,.55,.60"</formula1>
    </dataValidation>
    <dataValidation type="list" allowBlank="1" showInputMessage="1" showErrorMessage="1" sqref="E4:H4" xr:uid="{00000000-0002-0000-0000-00000D000000}">
      <formula1>$L$3:$P$3</formula1>
    </dataValidation>
    <dataValidation type="list" allowBlank="1" showInputMessage="1" showErrorMessage="1" sqref="C49:H49" xr:uid="{00000000-0002-0000-0000-00000E000000}">
      <formula1>OFFSET($S$49,1,MATCH($G20,$S$49:$W$49,0)-1,15,1)</formula1>
    </dataValidation>
    <dataValidation type="list" allowBlank="1" showInputMessage="1" showErrorMessage="1" sqref="H129 H137" xr:uid="{00000000-0002-0000-0000-00000F000000}">
      <formula1>"Saleable area Loading :,Builder Saleable Area"</formula1>
    </dataValidation>
    <dataValidation type="list" allowBlank="1" showInputMessage="1" showErrorMessage="1" sqref="D129:D130 D137:D138" xr:uid="{00000000-0002-0000-0000-000010000000}">
      <formula1>"Carpet area,RERA Carpet area"</formula1>
    </dataValidation>
  </dataValidations>
  <hyperlinks>
    <hyperlink ref="C40" r:id="rId1" xr:uid="{00000000-0004-0000-0000-000000000000}"/>
  </hyperlinks>
  <printOptions horizontalCentered="1"/>
  <pageMargins left="0.39370078740157483" right="0.39370078740157483" top="0.82677165354330717" bottom="0.78740157480314965" header="0.15748031496062992" footer="0.19685039370078741"/>
  <pageSetup paperSize="9" fitToHeight="0" orientation="portrait" r:id="rId2"/>
  <headerFooter>
    <oddHeader>&amp;C&amp;G</oddHeader>
    <oddFooter>&amp;L&amp;"Times New Roman,Bold"&amp;12Ref No: &amp;F&amp;C&amp;G&amp;R&amp;"Times New Roman,Bold"&amp;12&amp;P</oddFooter>
  </headerFooter>
  <rowBreaks count="5" manualBreakCount="5">
    <brk id="74" max="16383" man="1"/>
    <brk id="213" max="7" man="1"/>
    <brk id="256" max="7" man="1"/>
    <brk id="299" max="7" man="1"/>
    <brk id="341" max="7" man="1"/>
  </rowBreaks>
  <drawing r:id="rId3"/>
  <legacyDrawing r:id="rId4"/>
  <legacyDrawingHF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I16"/>
  <sheetViews>
    <sheetView zoomScale="85" zoomScaleNormal="85" workbookViewId="0">
      <selection activeCell="K3" sqref="K3"/>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250" t="s">
        <v>104</v>
      </c>
      <c r="C3" s="250"/>
      <c r="D3" s="250"/>
      <c r="E3" s="250"/>
      <c r="F3" s="250"/>
      <c r="G3" s="250"/>
      <c r="H3" s="250"/>
    </row>
    <row r="4" spans="1:9" x14ac:dyDescent="0.25">
      <c r="A4" s="2"/>
      <c r="B4" s="3" t="s">
        <v>105</v>
      </c>
      <c r="C4" s="3" t="s">
        <v>106</v>
      </c>
      <c r="D4" s="3" t="s">
        <v>65</v>
      </c>
      <c r="E4" s="3" t="s">
        <v>107</v>
      </c>
      <c r="F4" s="3" t="s">
        <v>113</v>
      </c>
      <c r="G4" s="3" t="s">
        <v>114</v>
      </c>
      <c r="H4" s="3" t="s">
        <v>108</v>
      </c>
    </row>
    <row r="5" spans="1:9" ht="15" customHeight="1" x14ac:dyDescent="0.25">
      <c r="A5" s="2"/>
      <c r="B5" s="5" t="s">
        <v>109</v>
      </c>
      <c r="C5" s="6"/>
      <c r="D5" s="5"/>
      <c r="E5" s="5"/>
      <c r="F5" s="7">
        <f>E5*1.6</f>
        <v>0</v>
      </c>
      <c r="G5" s="7" t="e">
        <f>H5/F5</f>
        <v>#DIV/0!</v>
      </c>
      <c r="H5" s="8"/>
    </row>
    <row r="6" spans="1:9" x14ac:dyDescent="0.25">
      <c r="A6" s="2"/>
      <c r="B6" s="5" t="s">
        <v>109</v>
      </c>
      <c r="C6" s="9"/>
      <c r="D6" s="5"/>
      <c r="E6" s="5"/>
      <c r="F6" s="7">
        <f t="shared" ref="F6:F11" si="0">E6*1.6</f>
        <v>0</v>
      </c>
      <c r="G6" s="7" t="e">
        <f t="shared" ref="G6:G11" si="1">H6/F6</f>
        <v>#DIV/0!</v>
      </c>
      <c r="H6" s="8"/>
    </row>
    <row r="7" spans="1:9" ht="15" customHeight="1" x14ac:dyDescent="0.25">
      <c r="A7" s="2"/>
      <c r="B7" s="5" t="s">
        <v>109</v>
      </c>
      <c r="C7" s="6"/>
      <c r="D7" s="5"/>
      <c r="E7" s="5"/>
      <c r="F7" s="7">
        <f t="shared" si="0"/>
        <v>0</v>
      </c>
      <c r="G7" s="7" t="e">
        <f t="shared" si="1"/>
        <v>#DIV/0!</v>
      </c>
      <c r="H7" s="8"/>
    </row>
    <row r="8" spans="1:9" x14ac:dyDescent="0.25">
      <c r="A8" s="2"/>
      <c r="B8" s="5" t="s">
        <v>109</v>
      </c>
      <c r="C8" s="9"/>
      <c r="D8" s="5"/>
      <c r="E8" s="5"/>
      <c r="F8" s="7">
        <f t="shared" si="0"/>
        <v>0</v>
      </c>
      <c r="G8" s="7" t="e">
        <f t="shared" si="1"/>
        <v>#DIV/0!</v>
      </c>
      <c r="H8" s="8"/>
    </row>
    <row r="9" spans="1:9" ht="15" customHeight="1" x14ac:dyDescent="0.25">
      <c r="A9" s="2"/>
      <c r="B9" s="5" t="s">
        <v>109</v>
      </c>
      <c r="C9" s="9"/>
      <c r="D9" s="5"/>
      <c r="E9" s="5"/>
      <c r="F9" s="7">
        <f t="shared" si="0"/>
        <v>0</v>
      </c>
      <c r="G9" s="7" t="e">
        <f t="shared" si="1"/>
        <v>#DIV/0!</v>
      </c>
      <c r="H9" s="8"/>
    </row>
    <row r="10" spans="1:9" ht="15" customHeight="1" x14ac:dyDescent="0.25">
      <c r="A10" s="2"/>
      <c r="B10" s="5" t="s">
        <v>110</v>
      </c>
      <c r="C10" s="6"/>
      <c r="D10" s="5"/>
      <c r="E10" s="5"/>
      <c r="F10" s="7">
        <f t="shared" si="0"/>
        <v>0</v>
      </c>
      <c r="G10" s="7" t="e">
        <f t="shared" si="1"/>
        <v>#DIV/0!</v>
      </c>
      <c r="H10" s="8"/>
    </row>
    <row r="11" spans="1:9" ht="15" customHeight="1" x14ac:dyDescent="0.25">
      <c r="A11" s="2"/>
      <c r="B11" s="5" t="s">
        <v>110</v>
      </c>
      <c r="C11" s="6"/>
      <c r="D11" s="5"/>
      <c r="E11" s="5"/>
      <c r="F11" s="7">
        <f t="shared" si="0"/>
        <v>0</v>
      </c>
      <c r="G11" s="7" t="e">
        <f t="shared" si="1"/>
        <v>#DIV/0!</v>
      </c>
      <c r="H11" s="8"/>
    </row>
    <row r="12" spans="1:9" ht="15" customHeight="1" x14ac:dyDescent="0.25">
      <c r="A12" s="2"/>
      <c r="B12" s="10" t="s">
        <v>111</v>
      </c>
      <c r="C12" s="5"/>
      <c r="D12" s="5"/>
      <c r="E12" s="5"/>
      <c r="F12" s="5"/>
      <c r="G12" s="11" t="e">
        <f>AVERAGE(G5:G11)</f>
        <v>#DIV/0!</v>
      </c>
      <c r="H12" s="5"/>
    </row>
    <row r="13" spans="1:9" ht="15" customHeight="1" x14ac:dyDescent="0.25">
      <c r="B13" s="10" t="s">
        <v>112</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3:K69"/>
  <sheetViews>
    <sheetView topLeftCell="A55" zoomScale="130" zoomScaleNormal="130" workbookViewId="0">
      <selection activeCell="C43" sqref="C43:D69"/>
    </sheetView>
  </sheetViews>
  <sheetFormatPr defaultRowHeight="15" x14ac:dyDescent="0.25"/>
  <cols>
    <col min="4" max="4" width="13.85546875" bestFit="1" customWidth="1"/>
    <col min="5" max="5" width="10.42578125" bestFit="1" customWidth="1"/>
    <col min="6" max="6" width="12.42578125" bestFit="1" customWidth="1"/>
    <col min="7" max="7" width="18.140625" customWidth="1"/>
    <col min="8" max="8" width="10.5703125" bestFit="1" customWidth="1"/>
  </cols>
  <sheetData>
    <row r="3" spans="2:11" x14ac:dyDescent="0.25">
      <c r="J3">
        <v>1</v>
      </c>
      <c r="K3">
        <v>2</v>
      </c>
    </row>
    <row r="4" spans="2:11" x14ac:dyDescent="0.25">
      <c r="B4" s="45"/>
      <c r="C4" s="45" t="s">
        <v>11</v>
      </c>
      <c r="D4" s="46" t="s">
        <v>175</v>
      </c>
      <c r="E4" s="46" t="s">
        <v>185</v>
      </c>
      <c r="F4" s="46" t="s">
        <v>169</v>
      </c>
      <c r="G4" s="46" t="s">
        <v>190</v>
      </c>
      <c r="H4" s="46" t="s">
        <v>208</v>
      </c>
      <c r="J4" t="s">
        <v>190</v>
      </c>
      <c r="K4" t="s">
        <v>206</v>
      </c>
    </row>
    <row r="5" spans="2:11" x14ac:dyDescent="0.25">
      <c r="B5" s="45"/>
      <c r="C5" s="45"/>
      <c r="D5" s="46" t="s">
        <v>176</v>
      </c>
      <c r="E5" s="46" t="s">
        <v>183</v>
      </c>
      <c r="F5" s="46" t="s">
        <v>205</v>
      </c>
      <c r="G5" s="46" t="s">
        <v>191</v>
      </c>
      <c r="H5" s="46" t="s">
        <v>209</v>
      </c>
    </row>
    <row r="6" spans="2:11" x14ac:dyDescent="0.25">
      <c r="B6" s="45"/>
      <c r="C6" s="45"/>
      <c r="D6" s="46" t="s">
        <v>177</v>
      </c>
      <c r="E6" s="46" t="s">
        <v>184</v>
      </c>
      <c r="F6" s="46" t="s">
        <v>206</v>
      </c>
      <c r="G6" s="46" t="s">
        <v>192</v>
      </c>
      <c r="H6" s="46" t="s">
        <v>222</v>
      </c>
    </row>
    <row r="7" spans="2:11" x14ac:dyDescent="0.25">
      <c r="B7" s="45"/>
      <c r="C7" s="45"/>
      <c r="D7" s="46" t="s">
        <v>178</v>
      </c>
      <c r="E7" s="46" t="s">
        <v>186</v>
      </c>
      <c r="F7" s="46" t="s">
        <v>207</v>
      </c>
      <c r="G7" s="46" t="s">
        <v>193</v>
      </c>
      <c r="H7" s="46" t="s">
        <v>210</v>
      </c>
    </row>
    <row r="8" spans="2:11" x14ac:dyDescent="0.25">
      <c r="B8" s="45"/>
      <c r="C8" s="45"/>
      <c r="D8" s="46" t="s">
        <v>179</v>
      </c>
      <c r="E8" s="46" t="s">
        <v>187</v>
      </c>
      <c r="F8" s="46"/>
      <c r="G8" s="46" t="s">
        <v>194</v>
      </c>
      <c r="H8" s="46" t="s">
        <v>211</v>
      </c>
    </row>
    <row r="9" spans="2:11" x14ac:dyDescent="0.25">
      <c r="B9" s="45"/>
      <c r="C9" s="45"/>
      <c r="D9" s="46" t="s">
        <v>180</v>
      </c>
      <c r="E9" s="46" t="s">
        <v>185</v>
      </c>
      <c r="F9" s="46"/>
      <c r="G9" s="46" t="s">
        <v>195</v>
      </c>
      <c r="H9" s="46" t="s">
        <v>212</v>
      </c>
    </row>
    <row r="10" spans="2:11" x14ac:dyDescent="0.25">
      <c r="B10" s="45"/>
      <c r="C10" s="45"/>
      <c r="D10" s="46" t="s">
        <v>181</v>
      </c>
      <c r="E10" s="46" t="s">
        <v>188</v>
      </c>
      <c r="F10" s="46"/>
      <c r="G10" s="46" t="s">
        <v>196</v>
      </c>
      <c r="H10" s="46" t="s">
        <v>213</v>
      </c>
    </row>
    <row r="11" spans="2:11" x14ac:dyDescent="0.25">
      <c r="B11" s="45"/>
      <c r="C11" s="45"/>
      <c r="D11" s="46" t="s">
        <v>182</v>
      </c>
      <c r="E11" s="46" t="s">
        <v>189</v>
      </c>
      <c r="F11" s="46"/>
      <c r="G11" s="46" t="s">
        <v>197</v>
      </c>
      <c r="H11" s="46" t="s">
        <v>214</v>
      </c>
    </row>
    <row r="12" spans="2:11" x14ac:dyDescent="0.25">
      <c r="B12" s="45"/>
      <c r="C12" s="45"/>
      <c r="D12" s="46"/>
      <c r="E12" s="46"/>
      <c r="F12" s="46"/>
      <c r="G12" s="46" t="s">
        <v>198</v>
      </c>
      <c r="H12" s="46" t="s">
        <v>215</v>
      </c>
    </row>
    <row r="13" spans="2:11" x14ac:dyDescent="0.25">
      <c r="B13" s="45"/>
      <c r="C13" s="45"/>
      <c r="D13" s="46"/>
      <c r="E13" s="46"/>
      <c r="F13" s="46"/>
      <c r="G13" s="46" t="s">
        <v>199</v>
      </c>
      <c r="H13" s="46" t="s">
        <v>216</v>
      </c>
    </row>
    <row r="14" spans="2:11" x14ac:dyDescent="0.25">
      <c r="B14" s="45"/>
      <c r="C14" s="45"/>
      <c r="D14" s="46"/>
      <c r="E14" s="46"/>
      <c r="F14" s="46"/>
      <c r="G14" s="46" t="s">
        <v>200</v>
      </c>
      <c r="H14" s="46" t="s">
        <v>217</v>
      </c>
    </row>
    <row r="15" spans="2:11" x14ac:dyDescent="0.25">
      <c r="B15" s="45"/>
      <c r="C15" s="45"/>
      <c r="D15" s="46"/>
      <c r="E15" s="46"/>
      <c r="F15" s="46"/>
      <c r="G15" s="46" t="s">
        <v>201</v>
      </c>
      <c r="H15" s="46" t="s">
        <v>218</v>
      </c>
    </row>
    <row r="16" spans="2:11" x14ac:dyDescent="0.25">
      <c r="B16" s="45"/>
      <c r="C16" s="45"/>
      <c r="D16" s="46"/>
      <c r="E16" s="46"/>
      <c r="F16" s="46"/>
      <c r="G16" s="46" t="s">
        <v>202</v>
      </c>
      <c r="H16" s="46" t="s">
        <v>219</v>
      </c>
    </row>
    <row r="17" spans="2:8" x14ac:dyDescent="0.25">
      <c r="B17" s="45"/>
      <c r="C17" s="45"/>
      <c r="D17" s="46"/>
      <c r="E17" s="46"/>
      <c r="F17" s="46"/>
      <c r="G17" s="46" t="s">
        <v>203</v>
      </c>
      <c r="H17" s="46" t="s">
        <v>220</v>
      </c>
    </row>
    <row r="18" spans="2:8" x14ac:dyDescent="0.25">
      <c r="B18" s="45"/>
      <c r="C18" s="45"/>
      <c r="D18" s="46"/>
      <c r="E18" s="46"/>
      <c r="F18" s="46"/>
      <c r="G18" s="46" t="s">
        <v>204</v>
      </c>
      <c r="H18" s="46" t="s">
        <v>221</v>
      </c>
    </row>
    <row r="24" spans="2:8" x14ac:dyDescent="0.25">
      <c r="C24" t="s">
        <v>166</v>
      </c>
    </row>
    <row r="25" spans="2:8" x14ac:dyDescent="0.25">
      <c r="C25" t="s">
        <v>223</v>
      </c>
    </row>
    <row r="26" spans="2:8" x14ac:dyDescent="0.25">
      <c r="C26" t="s">
        <v>224</v>
      </c>
    </row>
    <row r="27" spans="2:8" x14ac:dyDescent="0.25">
      <c r="C27" t="s">
        <v>225</v>
      </c>
    </row>
    <row r="28" spans="2:8" x14ac:dyDescent="0.25">
      <c r="C28" t="s">
        <v>226</v>
      </c>
    </row>
    <row r="29" spans="2:8" x14ac:dyDescent="0.25">
      <c r="C29" t="s">
        <v>227</v>
      </c>
    </row>
    <row r="30" spans="2:8" x14ac:dyDescent="0.25">
      <c r="C30" t="s">
        <v>166</v>
      </c>
    </row>
    <row r="33" spans="3:11" x14ac:dyDescent="0.25">
      <c r="J33">
        <v>1</v>
      </c>
      <c r="K33">
        <v>2</v>
      </c>
    </row>
    <row r="34" spans="3:11" x14ac:dyDescent="0.25">
      <c r="C34" s="48" t="s">
        <v>232</v>
      </c>
      <c r="D34" s="46" t="s">
        <v>230</v>
      </c>
      <c r="E34" s="46" t="s">
        <v>235</v>
      </c>
      <c r="F34" s="46" t="s">
        <v>233</v>
      </c>
      <c r="G34" s="46" t="s">
        <v>234</v>
      </c>
      <c r="H34" s="46" t="s">
        <v>236</v>
      </c>
      <c r="J34" t="s">
        <v>190</v>
      </c>
      <c r="K34" t="s">
        <v>206</v>
      </c>
    </row>
    <row r="35" spans="3:11" x14ac:dyDescent="0.25">
      <c r="C35" s="45" t="s">
        <v>231</v>
      </c>
      <c r="D35" s="46" t="s">
        <v>167</v>
      </c>
      <c r="E35" s="46" t="s">
        <v>240</v>
      </c>
      <c r="F35" s="46" t="s">
        <v>242</v>
      </c>
      <c r="G35" s="46" t="s">
        <v>244</v>
      </c>
      <c r="H35" s="46"/>
    </row>
    <row r="36" spans="3:11" x14ac:dyDescent="0.25">
      <c r="C36" s="45"/>
      <c r="D36" s="46" t="s">
        <v>237</v>
      </c>
      <c r="E36" s="46" t="s">
        <v>241</v>
      </c>
      <c r="F36" s="46" t="s">
        <v>243</v>
      </c>
      <c r="G36" s="46" t="s">
        <v>245</v>
      </c>
      <c r="H36" s="46"/>
    </row>
    <row r="37" spans="3:11" x14ac:dyDescent="0.25">
      <c r="C37" s="45"/>
      <c r="D37" s="46" t="s">
        <v>238</v>
      </c>
      <c r="E37" s="46"/>
      <c r="F37" s="46"/>
      <c r="G37" s="46" t="s">
        <v>246</v>
      </c>
      <c r="H37" s="46"/>
    </row>
    <row r="38" spans="3:11" x14ac:dyDescent="0.25">
      <c r="C38" s="45"/>
      <c r="D38" s="46" t="s">
        <v>239</v>
      </c>
      <c r="E38" s="46"/>
      <c r="F38" s="46"/>
      <c r="G38" s="46" t="s">
        <v>246</v>
      </c>
      <c r="H38" s="46"/>
    </row>
    <row r="39" spans="3:11" x14ac:dyDescent="0.25">
      <c r="C39" s="45"/>
      <c r="D39" s="46"/>
      <c r="E39" s="46"/>
      <c r="F39" s="46"/>
      <c r="G39" s="46" t="s">
        <v>247</v>
      </c>
      <c r="H39" s="46"/>
    </row>
    <row r="40" spans="3:11" x14ac:dyDescent="0.25">
      <c r="C40" s="45"/>
      <c r="D40" s="46"/>
      <c r="E40" s="46"/>
      <c r="F40" s="46"/>
      <c r="G40" s="46" t="s">
        <v>248</v>
      </c>
      <c r="H40" s="46"/>
    </row>
    <row r="41" spans="3:11" x14ac:dyDescent="0.25">
      <c r="C41" s="45"/>
      <c r="D41" s="46"/>
      <c r="E41" s="46"/>
      <c r="F41" s="46"/>
      <c r="G41" s="46"/>
      <c r="H41" s="46"/>
    </row>
    <row r="43" spans="3:11" x14ac:dyDescent="0.25">
      <c r="C43" t="s">
        <v>249</v>
      </c>
    </row>
    <row r="44" spans="3:11" x14ac:dyDescent="0.25">
      <c r="C44" t="s">
        <v>169</v>
      </c>
      <c r="D44" t="s">
        <v>250</v>
      </c>
    </row>
    <row r="45" spans="3:11" x14ac:dyDescent="0.25">
      <c r="D45" t="s">
        <v>251</v>
      </c>
    </row>
    <row r="46" spans="3:11" x14ac:dyDescent="0.25">
      <c r="D46" t="s">
        <v>252</v>
      </c>
    </row>
    <row r="47" spans="3:11" x14ac:dyDescent="0.25">
      <c r="D47" t="s">
        <v>253</v>
      </c>
    </row>
    <row r="48" spans="3:11" x14ac:dyDescent="0.25">
      <c r="D48" t="s">
        <v>254</v>
      </c>
    </row>
    <row r="49" spans="3:4" x14ac:dyDescent="0.25">
      <c r="C49" t="s">
        <v>175</v>
      </c>
      <c r="D49" t="s">
        <v>255</v>
      </c>
    </row>
    <row r="50" spans="3:4" x14ac:dyDescent="0.25">
      <c r="D50" t="s">
        <v>256</v>
      </c>
    </row>
    <row r="51" spans="3:4" x14ac:dyDescent="0.25">
      <c r="D51" t="s">
        <v>257</v>
      </c>
    </row>
    <row r="52" spans="3:4" x14ac:dyDescent="0.25">
      <c r="D52" t="s">
        <v>260</v>
      </c>
    </row>
    <row r="53" spans="3:4" x14ac:dyDescent="0.25">
      <c r="D53" t="s">
        <v>258</v>
      </c>
    </row>
    <row r="54" spans="3:4" x14ac:dyDescent="0.25">
      <c r="D54" t="s">
        <v>259</v>
      </c>
    </row>
    <row r="55" spans="3:4" x14ac:dyDescent="0.25">
      <c r="D55" t="s">
        <v>261</v>
      </c>
    </row>
    <row r="56" spans="3:4" x14ac:dyDescent="0.25">
      <c r="D56" t="s">
        <v>262</v>
      </c>
    </row>
    <row r="57" spans="3:4" x14ac:dyDescent="0.25">
      <c r="D57" t="s">
        <v>263</v>
      </c>
    </row>
    <row r="58" spans="3:4" x14ac:dyDescent="0.25">
      <c r="D58" t="s">
        <v>265</v>
      </c>
    </row>
    <row r="59" spans="3:4" x14ac:dyDescent="0.25">
      <c r="D59" t="s">
        <v>274</v>
      </c>
    </row>
    <row r="60" spans="3:4" x14ac:dyDescent="0.25">
      <c r="C60" t="s">
        <v>190</v>
      </c>
      <c r="D60" t="s">
        <v>266</v>
      </c>
    </row>
    <row r="61" spans="3:4" x14ac:dyDescent="0.25">
      <c r="D61" t="s">
        <v>264</v>
      </c>
    </row>
    <row r="62" spans="3:4" x14ac:dyDescent="0.25">
      <c r="D62" t="s">
        <v>254</v>
      </c>
    </row>
    <row r="63" spans="3:4" x14ac:dyDescent="0.25">
      <c r="D63" t="s">
        <v>267</v>
      </c>
    </row>
    <row r="64" spans="3:4" x14ac:dyDescent="0.25">
      <c r="D64" t="s">
        <v>268</v>
      </c>
    </row>
    <row r="65" spans="3:4" x14ac:dyDescent="0.25">
      <c r="D65" t="s">
        <v>269</v>
      </c>
    </row>
    <row r="66" spans="3:4" x14ac:dyDescent="0.25">
      <c r="D66" t="s">
        <v>270</v>
      </c>
    </row>
    <row r="67" spans="3:4" x14ac:dyDescent="0.25">
      <c r="C67" t="s">
        <v>185</v>
      </c>
      <c r="D67" t="s">
        <v>271</v>
      </c>
    </row>
    <row r="68" spans="3:4" x14ac:dyDescent="0.25">
      <c r="D68" t="s">
        <v>272</v>
      </c>
    </row>
    <row r="69" spans="3:4" x14ac:dyDescent="0.25">
      <c r="D69" t="s">
        <v>273</v>
      </c>
    </row>
  </sheetData>
  <dataValidations count="2">
    <dataValidation type="list" allowBlank="1" showInputMessage="1" showErrorMessage="1" sqref="J4 J34" xr:uid="{00000000-0002-0000-0200-000000000000}">
      <formula1>$D$4:$H$4</formula1>
    </dataValidation>
    <dataValidation type="list" allowBlank="1" showInputMessage="1" showErrorMessage="1" sqref="K4 K34" xr:uid="{00000000-0002-0000-0200-000001000000}">
      <formula1>OFFSET($D$4,1,MATCH($J4,$D$4:$H$4,0)-1,15,1)</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D49"/>
  <sheetViews>
    <sheetView topLeftCell="A38" zoomScaleNormal="100" workbookViewId="0">
      <selection activeCell="C50" sqref="C50"/>
    </sheetView>
  </sheetViews>
  <sheetFormatPr defaultRowHeight="15" x14ac:dyDescent="0.25"/>
  <cols>
    <col min="2" max="2" width="3" bestFit="1" customWidth="1"/>
    <col min="3" max="3" width="155.28515625" customWidth="1"/>
  </cols>
  <sheetData>
    <row r="2" spans="2:3" ht="15" customHeight="1" x14ac:dyDescent="0.25">
      <c r="B2" s="49">
        <v>1</v>
      </c>
      <c r="C2" s="52" t="s">
        <v>279</v>
      </c>
    </row>
    <row r="3" spans="2:3" x14ac:dyDescent="0.25">
      <c r="B3" s="49">
        <v>2</v>
      </c>
      <c r="C3" s="50" t="s">
        <v>280</v>
      </c>
    </row>
    <row r="4" spans="2:3" x14ac:dyDescent="0.25">
      <c r="B4" s="49">
        <v>3</v>
      </c>
      <c r="C4" s="51" t="s">
        <v>281</v>
      </c>
    </row>
    <row r="5" spans="2:3" x14ac:dyDescent="0.25">
      <c r="B5" s="49">
        <v>4</v>
      </c>
      <c r="C5" s="50" t="s">
        <v>282</v>
      </c>
    </row>
    <row r="6" spans="2:3" x14ac:dyDescent="0.25">
      <c r="B6" s="49">
        <v>5</v>
      </c>
      <c r="C6" s="51" t="s">
        <v>283</v>
      </c>
    </row>
    <row r="7" spans="2:3" ht="30" x14ac:dyDescent="0.25">
      <c r="B7" s="49">
        <v>6</v>
      </c>
      <c r="C7" s="50" t="s">
        <v>284</v>
      </c>
    </row>
    <row r="8" spans="2:3" ht="75" x14ac:dyDescent="0.25">
      <c r="B8" s="49">
        <v>7</v>
      </c>
      <c r="C8" s="50" t="s">
        <v>285</v>
      </c>
    </row>
    <row r="9" spans="2:3" x14ac:dyDescent="0.25">
      <c r="B9" s="49">
        <v>8</v>
      </c>
      <c r="C9" s="51" t="s">
        <v>286</v>
      </c>
    </row>
    <row r="10" spans="2:3" x14ac:dyDescent="0.25">
      <c r="B10" s="49">
        <v>9</v>
      </c>
      <c r="C10" s="51" t="s">
        <v>287</v>
      </c>
    </row>
    <row r="11" spans="2:3" x14ac:dyDescent="0.25">
      <c r="B11" s="49">
        <v>10</v>
      </c>
      <c r="C11" s="51" t="s">
        <v>288</v>
      </c>
    </row>
    <row r="12" spans="2:3" x14ac:dyDescent="0.25">
      <c r="B12" s="49">
        <v>11</v>
      </c>
      <c r="C12" s="51" t="s">
        <v>289</v>
      </c>
    </row>
    <row r="13" spans="2:3" x14ac:dyDescent="0.25">
      <c r="B13" s="49">
        <v>12</v>
      </c>
      <c r="C13" s="51" t="s">
        <v>290</v>
      </c>
    </row>
    <row r="14" spans="2:3" x14ac:dyDescent="0.25">
      <c r="B14" s="49">
        <v>13</v>
      </c>
      <c r="C14" s="51" t="s">
        <v>291</v>
      </c>
    </row>
    <row r="15" spans="2:3" x14ac:dyDescent="0.25">
      <c r="B15" s="49">
        <v>14</v>
      </c>
      <c r="C15" s="51" t="s">
        <v>281</v>
      </c>
    </row>
    <row r="16" spans="2:3" x14ac:dyDescent="0.25">
      <c r="B16" s="49">
        <v>15</v>
      </c>
      <c r="C16" s="51" t="s">
        <v>294</v>
      </c>
    </row>
    <row r="17" spans="2:3" x14ac:dyDescent="0.25">
      <c r="B17" s="71">
        <v>16</v>
      </c>
      <c r="C17" s="56" t="s">
        <v>295</v>
      </c>
    </row>
    <row r="18" spans="2:3" x14ac:dyDescent="0.25">
      <c r="B18" s="55">
        <v>17</v>
      </c>
      <c r="C18" s="56" t="s">
        <v>296</v>
      </c>
    </row>
    <row r="19" spans="2:3" x14ac:dyDescent="0.25">
      <c r="B19" s="54">
        <v>18</v>
      </c>
      <c r="C19" s="49" t="s">
        <v>297</v>
      </c>
    </row>
    <row r="20" spans="2:3" x14ac:dyDescent="0.25">
      <c r="B20" s="55">
        <v>19</v>
      </c>
      <c r="C20" s="49" t="s">
        <v>333</v>
      </c>
    </row>
    <row r="21" spans="2:3" x14ac:dyDescent="0.25">
      <c r="B21" s="57">
        <v>20</v>
      </c>
      <c r="C21" s="49" t="s">
        <v>298</v>
      </c>
    </row>
    <row r="22" spans="2:3" x14ac:dyDescent="0.25">
      <c r="B22" s="55">
        <v>21</v>
      </c>
      <c r="C22" s="49" t="s">
        <v>297</v>
      </c>
    </row>
    <row r="23" spans="2:3" s="65" customFormat="1" ht="29.25" customHeight="1" x14ac:dyDescent="0.25">
      <c r="B23" s="64">
        <v>22</v>
      </c>
      <c r="C23" s="52" t="s">
        <v>325</v>
      </c>
    </row>
    <row r="24" spans="2:3" s="65" customFormat="1" ht="30.75" customHeight="1" x14ac:dyDescent="0.25">
      <c r="B24" s="66">
        <v>23</v>
      </c>
      <c r="C24" s="52" t="s">
        <v>326</v>
      </c>
    </row>
    <row r="25" spans="2:3" x14ac:dyDescent="0.25">
      <c r="B25" s="57">
        <v>24</v>
      </c>
      <c r="C25" s="49" t="s">
        <v>329</v>
      </c>
    </row>
    <row r="26" spans="2:3" x14ac:dyDescent="0.25">
      <c r="B26" s="55">
        <v>25</v>
      </c>
      <c r="C26" s="49" t="s">
        <v>327</v>
      </c>
    </row>
    <row r="27" spans="2:3" x14ac:dyDescent="0.25">
      <c r="B27" s="66">
        <v>26</v>
      </c>
      <c r="C27" s="57" t="s">
        <v>328</v>
      </c>
    </row>
    <row r="28" spans="2:3" x14ac:dyDescent="0.25">
      <c r="B28" s="67">
        <v>27</v>
      </c>
      <c r="C28" s="49" t="s">
        <v>330</v>
      </c>
    </row>
    <row r="29" spans="2:3" ht="60" x14ac:dyDescent="0.25">
      <c r="B29" s="70">
        <v>28</v>
      </c>
      <c r="C29" s="50" t="s">
        <v>331</v>
      </c>
    </row>
    <row r="30" spans="2:3" x14ac:dyDescent="0.25">
      <c r="B30" s="66">
        <v>29</v>
      </c>
      <c r="C30" s="49" t="s">
        <v>332</v>
      </c>
    </row>
    <row r="31" spans="2:3" ht="30" x14ac:dyDescent="0.25">
      <c r="B31" s="72">
        <v>30</v>
      </c>
      <c r="C31" s="50" t="s">
        <v>334</v>
      </c>
    </row>
    <row r="32" spans="2:3" x14ac:dyDescent="0.25">
      <c r="B32" s="66">
        <v>31</v>
      </c>
      <c r="C32" s="49" t="s">
        <v>335</v>
      </c>
    </row>
    <row r="33" spans="2:4" x14ac:dyDescent="0.25">
      <c r="B33" s="66">
        <v>32</v>
      </c>
      <c r="C33" s="49" t="s">
        <v>336</v>
      </c>
    </row>
    <row r="34" spans="2:4" ht="36.75" customHeight="1" x14ac:dyDescent="0.25">
      <c r="B34" s="72">
        <v>33</v>
      </c>
      <c r="C34" s="56" t="s">
        <v>337</v>
      </c>
    </row>
    <row r="35" spans="2:4" x14ac:dyDescent="0.25">
      <c r="B35" s="75">
        <v>34</v>
      </c>
      <c r="C35" s="49" t="s">
        <v>345</v>
      </c>
    </row>
    <row r="36" spans="2:4" ht="60" x14ac:dyDescent="0.25">
      <c r="B36" s="64">
        <v>35</v>
      </c>
      <c r="C36" s="50" t="s">
        <v>348</v>
      </c>
    </row>
    <row r="37" spans="2:4" x14ac:dyDescent="0.25">
      <c r="B37" s="49">
        <v>36</v>
      </c>
      <c r="C37" s="50" t="s">
        <v>360</v>
      </c>
    </row>
    <row r="38" spans="2:4" x14ac:dyDescent="0.25">
      <c r="B38" s="49">
        <f t="shared" ref="B38:B44" si="0">B37+1</f>
        <v>37</v>
      </c>
      <c r="C38" s="49" t="s">
        <v>356</v>
      </c>
    </row>
    <row r="39" spans="2:4" x14ac:dyDescent="0.25">
      <c r="B39" s="49">
        <f t="shared" si="0"/>
        <v>38</v>
      </c>
      <c r="C39" s="49" t="s">
        <v>357</v>
      </c>
    </row>
    <row r="40" spans="2:4" x14ac:dyDescent="0.25">
      <c r="B40" s="49">
        <f t="shared" si="0"/>
        <v>39</v>
      </c>
      <c r="C40" s="49" t="s">
        <v>358</v>
      </c>
    </row>
    <row r="41" spans="2:4" x14ac:dyDescent="0.25">
      <c r="B41" s="49">
        <f t="shared" si="0"/>
        <v>40</v>
      </c>
      <c r="C41" s="49" t="s">
        <v>359</v>
      </c>
    </row>
    <row r="42" spans="2:4" ht="30.75" thickBot="1" x14ac:dyDescent="0.3">
      <c r="B42" s="76">
        <f t="shared" si="0"/>
        <v>41</v>
      </c>
      <c r="C42" s="77" t="s">
        <v>361</v>
      </c>
    </row>
    <row r="43" spans="2:4" ht="30" x14ac:dyDescent="0.25">
      <c r="B43" s="80">
        <f t="shared" si="0"/>
        <v>42</v>
      </c>
      <c r="C43" s="85" t="s">
        <v>366</v>
      </c>
      <c r="D43" t="s">
        <v>367</v>
      </c>
    </row>
    <row r="44" spans="2:4" ht="15.75" thickBot="1" x14ac:dyDescent="0.3">
      <c r="B44" s="82">
        <f t="shared" si="0"/>
        <v>43</v>
      </c>
      <c r="C44" s="84" t="s">
        <v>362</v>
      </c>
    </row>
    <row r="45" spans="2:4" ht="15.75" thickBot="1" x14ac:dyDescent="0.3">
      <c r="B45" s="78">
        <f t="shared" ref="B45:B49" si="1">B44+1</f>
        <v>44</v>
      </c>
      <c r="C45" s="79" t="s">
        <v>363</v>
      </c>
    </row>
    <row r="46" spans="2:4" ht="30" x14ac:dyDescent="0.25">
      <c r="B46" s="80">
        <f t="shared" si="1"/>
        <v>45</v>
      </c>
      <c r="C46" s="81" t="s">
        <v>364</v>
      </c>
    </row>
    <row r="47" spans="2:4" ht="15.75" thickBot="1" x14ac:dyDescent="0.3">
      <c r="B47" s="82">
        <f t="shared" si="1"/>
        <v>46</v>
      </c>
      <c r="C47" s="83" t="s">
        <v>365</v>
      </c>
    </row>
    <row r="48" spans="2:4" x14ac:dyDescent="0.25">
      <c r="B48" s="86">
        <f t="shared" si="1"/>
        <v>47</v>
      </c>
      <c r="C48" s="87" t="s">
        <v>368</v>
      </c>
    </row>
    <row r="49" spans="2:3" x14ac:dyDescent="0.25">
      <c r="B49" s="86">
        <f t="shared" si="1"/>
        <v>48</v>
      </c>
      <c r="C49" s="87" t="s">
        <v>369</v>
      </c>
    </row>
  </sheetData>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L44"/>
  <sheetViews>
    <sheetView workbookViewId="0">
      <selection sqref="A1:XFD1048576"/>
    </sheetView>
  </sheetViews>
  <sheetFormatPr defaultColWidth="9.140625" defaultRowHeight="15" x14ac:dyDescent="0.25"/>
  <cols>
    <col min="1" max="1" width="9.140625" style="45"/>
    <col min="2" max="2" width="12.28515625" style="45" customWidth="1"/>
    <col min="3" max="16384" width="9.140625" style="45"/>
  </cols>
  <sheetData>
    <row r="2" spans="1:12" x14ac:dyDescent="0.25">
      <c r="B2" s="58" t="s">
        <v>299</v>
      </c>
      <c r="C2" s="251"/>
      <c r="D2" s="251"/>
    </row>
    <row r="3" spans="1:12" x14ac:dyDescent="0.25">
      <c r="D3" s="59"/>
      <c r="E3" s="59"/>
      <c r="F3" s="59"/>
      <c r="G3" s="59"/>
      <c r="H3" s="59"/>
      <c r="I3" s="59"/>
    </row>
    <row r="4" spans="1:12" x14ac:dyDescent="0.25">
      <c r="A4" s="58" t="s">
        <v>65</v>
      </c>
      <c r="B4" s="60" t="s">
        <v>300</v>
      </c>
      <c r="C4" s="252" t="s">
        <v>301</v>
      </c>
      <c r="D4" s="252"/>
      <c r="E4" s="252"/>
      <c r="F4" s="60"/>
      <c r="G4" s="253" t="s">
        <v>302</v>
      </c>
      <c r="H4" s="253"/>
      <c r="I4" s="253"/>
      <c r="J4" s="254" t="s">
        <v>303</v>
      </c>
      <c r="K4" s="254"/>
      <c r="L4" s="254"/>
    </row>
    <row r="5" spans="1:12" x14ac:dyDescent="0.25">
      <c r="A5" s="58"/>
      <c r="B5" s="60"/>
      <c r="C5" s="60" t="s">
        <v>304</v>
      </c>
      <c r="D5" s="60" t="s">
        <v>305</v>
      </c>
      <c r="E5" s="60" t="s">
        <v>306</v>
      </c>
      <c r="F5" s="60"/>
      <c r="G5" s="60" t="s">
        <v>304</v>
      </c>
      <c r="H5" s="60" t="s">
        <v>305</v>
      </c>
      <c r="I5" s="60" t="s">
        <v>306</v>
      </c>
      <c r="J5" s="60" t="s">
        <v>304</v>
      </c>
      <c r="K5" s="60" t="s">
        <v>305</v>
      </c>
      <c r="L5" s="60" t="s">
        <v>306</v>
      </c>
    </row>
    <row r="6" spans="1:12" x14ac:dyDescent="0.25">
      <c r="B6" s="46" t="s">
        <v>307</v>
      </c>
      <c r="C6" s="46"/>
      <c r="D6" s="46"/>
      <c r="E6" s="46">
        <f>C6*D6</f>
        <v>0</v>
      </c>
      <c r="F6" s="46" t="s">
        <v>324</v>
      </c>
      <c r="G6" s="46"/>
      <c r="H6" s="46"/>
      <c r="I6" s="46">
        <f>G6*H6</f>
        <v>0</v>
      </c>
      <c r="J6" s="46"/>
      <c r="K6" s="46"/>
      <c r="L6" s="46">
        <f>J6*K6</f>
        <v>0</v>
      </c>
    </row>
    <row r="7" spans="1:12" x14ac:dyDescent="0.25">
      <c r="B7" s="46"/>
      <c r="C7" s="46"/>
      <c r="D7" s="46"/>
      <c r="E7" s="46">
        <f t="shared" ref="E7:E41" si="0">C7*D7</f>
        <v>0</v>
      </c>
      <c r="F7" s="46" t="s">
        <v>324</v>
      </c>
      <c r="G7" s="46"/>
      <c r="H7" s="46"/>
      <c r="I7" s="46">
        <f t="shared" ref="I7:I35" si="1">G7*H7</f>
        <v>0</v>
      </c>
      <c r="J7" s="46"/>
      <c r="K7" s="46"/>
      <c r="L7" s="46">
        <f t="shared" ref="L7:L35" si="2">J7*K7</f>
        <v>0</v>
      </c>
    </row>
    <row r="8" spans="1:12" x14ac:dyDescent="0.25">
      <c r="B8" s="46"/>
      <c r="C8" s="46"/>
      <c r="D8" s="46"/>
      <c r="E8" s="46">
        <f t="shared" si="0"/>
        <v>0</v>
      </c>
      <c r="F8" s="46"/>
      <c r="G8" s="46"/>
      <c r="H8" s="46"/>
      <c r="I8" s="46">
        <f t="shared" si="1"/>
        <v>0</v>
      </c>
      <c r="J8" s="46"/>
      <c r="K8" s="46"/>
      <c r="L8" s="46">
        <f t="shared" si="2"/>
        <v>0</v>
      </c>
    </row>
    <row r="9" spans="1:12" x14ac:dyDescent="0.25">
      <c r="B9" s="46"/>
      <c r="C9" s="46"/>
      <c r="D9" s="46"/>
      <c r="E9" s="46">
        <f t="shared" si="0"/>
        <v>0</v>
      </c>
      <c r="F9" s="46" t="s">
        <v>308</v>
      </c>
      <c r="G9" s="46"/>
      <c r="H9" s="46"/>
      <c r="I9" s="46">
        <f t="shared" si="1"/>
        <v>0</v>
      </c>
      <c r="J9" s="46"/>
      <c r="K9" s="46"/>
      <c r="L9" s="46">
        <f t="shared" si="2"/>
        <v>0</v>
      </c>
    </row>
    <row r="10" spans="1:12" x14ac:dyDescent="0.25">
      <c r="B10" s="46" t="s">
        <v>309</v>
      </c>
      <c r="C10" s="46"/>
      <c r="D10" s="46"/>
      <c r="E10" s="46">
        <f t="shared" si="0"/>
        <v>0</v>
      </c>
      <c r="F10" s="46" t="s">
        <v>308</v>
      </c>
      <c r="G10" s="46"/>
      <c r="H10" s="46"/>
      <c r="I10" s="46">
        <f t="shared" si="1"/>
        <v>0</v>
      </c>
      <c r="J10" s="46"/>
      <c r="K10" s="46"/>
      <c r="L10" s="46">
        <f t="shared" si="2"/>
        <v>0</v>
      </c>
    </row>
    <row r="11" spans="1:12" x14ac:dyDescent="0.25">
      <c r="B11" s="46"/>
      <c r="C11" s="46"/>
      <c r="D11" s="46"/>
      <c r="E11" s="46">
        <f t="shared" si="0"/>
        <v>0</v>
      </c>
      <c r="F11" s="46" t="s">
        <v>310</v>
      </c>
      <c r="G11" s="46"/>
      <c r="H11" s="46"/>
      <c r="I11" s="46">
        <f t="shared" si="1"/>
        <v>0</v>
      </c>
      <c r="J11" s="46"/>
      <c r="K11" s="46"/>
      <c r="L11" s="46">
        <f t="shared" si="2"/>
        <v>0</v>
      </c>
    </row>
    <row r="12" spans="1:12" x14ac:dyDescent="0.25">
      <c r="B12" s="46"/>
      <c r="C12" s="46"/>
      <c r="D12" s="46"/>
      <c r="E12" s="46">
        <f t="shared" si="0"/>
        <v>0</v>
      </c>
      <c r="F12" s="46"/>
      <c r="G12" s="46"/>
      <c r="H12" s="46"/>
      <c r="I12" s="46">
        <f t="shared" si="1"/>
        <v>0</v>
      </c>
      <c r="J12" s="46"/>
      <c r="K12" s="46"/>
      <c r="L12" s="46">
        <f t="shared" si="2"/>
        <v>0</v>
      </c>
    </row>
    <row r="13" spans="1:12" x14ac:dyDescent="0.25">
      <c r="B13" s="46"/>
      <c r="C13" s="46"/>
      <c r="D13" s="46"/>
      <c r="E13" s="46">
        <f t="shared" si="0"/>
        <v>0</v>
      </c>
      <c r="F13" s="46"/>
      <c r="G13" s="46"/>
      <c r="H13" s="46"/>
      <c r="I13" s="46">
        <f t="shared" si="1"/>
        <v>0</v>
      </c>
      <c r="J13" s="46"/>
      <c r="K13" s="46"/>
      <c r="L13" s="46">
        <f t="shared" si="2"/>
        <v>0</v>
      </c>
    </row>
    <row r="14" spans="1:12" x14ac:dyDescent="0.25">
      <c r="B14" s="46" t="s">
        <v>311</v>
      </c>
      <c r="C14" s="46"/>
      <c r="D14" s="46"/>
      <c r="E14" s="46">
        <f t="shared" si="0"/>
        <v>0</v>
      </c>
      <c r="F14" s="46" t="s">
        <v>308</v>
      </c>
      <c r="G14" s="46"/>
      <c r="H14" s="46"/>
      <c r="I14" s="46">
        <f t="shared" si="1"/>
        <v>0</v>
      </c>
      <c r="J14" s="46"/>
      <c r="K14" s="46"/>
      <c r="L14" s="46">
        <f t="shared" si="2"/>
        <v>0</v>
      </c>
    </row>
    <row r="15" spans="1:12" x14ac:dyDescent="0.25">
      <c r="B15" s="46"/>
      <c r="C15" s="46"/>
      <c r="D15" s="46"/>
      <c r="E15" s="46">
        <f t="shared" si="0"/>
        <v>0</v>
      </c>
      <c r="F15" s="46" t="s">
        <v>310</v>
      </c>
      <c r="G15" s="46"/>
      <c r="H15" s="46"/>
      <c r="I15" s="46">
        <f t="shared" si="1"/>
        <v>0</v>
      </c>
      <c r="J15" s="46"/>
      <c r="K15" s="46"/>
      <c r="L15" s="46">
        <f t="shared" si="2"/>
        <v>0</v>
      </c>
    </row>
    <row r="16" spans="1:12" x14ac:dyDescent="0.25">
      <c r="B16" s="46"/>
      <c r="C16" s="46"/>
      <c r="D16" s="46"/>
      <c r="E16" s="46">
        <f t="shared" si="0"/>
        <v>0</v>
      </c>
      <c r="F16" s="46"/>
      <c r="G16" s="46"/>
      <c r="H16" s="46"/>
      <c r="I16" s="46">
        <f t="shared" si="1"/>
        <v>0</v>
      </c>
      <c r="J16" s="46"/>
      <c r="K16" s="46"/>
      <c r="L16" s="46">
        <f t="shared" si="2"/>
        <v>0</v>
      </c>
    </row>
    <row r="17" spans="2:12" x14ac:dyDescent="0.25">
      <c r="B17" s="46"/>
      <c r="C17" s="46"/>
      <c r="D17" s="46"/>
      <c r="E17" s="46">
        <f t="shared" si="0"/>
        <v>0</v>
      </c>
      <c r="F17" s="46"/>
      <c r="G17" s="46"/>
      <c r="H17" s="46"/>
      <c r="I17" s="46">
        <f t="shared" si="1"/>
        <v>0</v>
      </c>
      <c r="J17" s="46"/>
      <c r="K17" s="46"/>
      <c r="L17" s="46">
        <f t="shared" si="2"/>
        <v>0</v>
      </c>
    </row>
    <row r="18" spans="2:12" x14ac:dyDescent="0.25">
      <c r="B18" s="46" t="s">
        <v>312</v>
      </c>
      <c r="C18" s="46"/>
      <c r="D18" s="46"/>
      <c r="E18" s="46">
        <f t="shared" si="0"/>
        <v>0</v>
      </c>
      <c r="F18" s="46" t="s">
        <v>308</v>
      </c>
      <c r="G18" s="46"/>
      <c r="H18" s="46"/>
      <c r="I18" s="46">
        <f t="shared" si="1"/>
        <v>0</v>
      </c>
      <c r="J18" s="46"/>
      <c r="K18" s="46"/>
      <c r="L18" s="46">
        <f t="shared" si="2"/>
        <v>0</v>
      </c>
    </row>
    <row r="19" spans="2:12" x14ac:dyDescent="0.25">
      <c r="B19" s="46"/>
      <c r="C19" s="46"/>
      <c r="D19" s="46"/>
      <c r="E19" s="46">
        <f t="shared" si="0"/>
        <v>0</v>
      </c>
      <c r="F19" s="46" t="s">
        <v>310</v>
      </c>
      <c r="G19" s="46"/>
      <c r="H19" s="46"/>
      <c r="I19" s="46">
        <f t="shared" si="1"/>
        <v>0</v>
      </c>
      <c r="J19" s="46"/>
      <c r="K19" s="46"/>
      <c r="L19" s="46">
        <f t="shared" si="2"/>
        <v>0</v>
      </c>
    </row>
    <row r="20" spans="2:12" x14ac:dyDescent="0.25">
      <c r="B20" s="46"/>
      <c r="C20" s="46"/>
      <c r="D20" s="46"/>
      <c r="E20" s="46">
        <f t="shared" si="0"/>
        <v>0</v>
      </c>
      <c r="F20" s="46"/>
      <c r="G20" s="46"/>
      <c r="H20" s="46"/>
      <c r="I20" s="46">
        <f t="shared" si="1"/>
        <v>0</v>
      </c>
      <c r="J20" s="46"/>
      <c r="K20" s="46"/>
      <c r="L20" s="46">
        <f t="shared" si="2"/>
        <v>0</v>
      </c>
    </row>
    <row r="21" spans="2:12" x14ac:dyDescent="0.25">
      <c r="B21" s="46" t="s">
        <v>313</v>
      </c>
      <c r="C21" s="46"/>
      <c r="D21" s="46"/>
      <c r="E21" s="46">
        <f t="shared" si="0"/>
        <v>0</v>
      </c>
      <c r="F21" s="46" t="s">
        <v>308</v>
      </c>
      <c r="G21" s="46"/>
      <c r="H21" s="46"/>
      <c r="I21" s="46">
        <f t="shared" si="1"/>
        <v>0</v>
      </c>
      <c r="J21" s="46"/>
      <c r="K21" s="46"/>
      <c r="L21" s="46">
        <f t="shared" si="2"/>
        <v>0</v>
      </c>
    </row>
    <row r="22" spans="2:12" x14ac:dyDescent="0.25">
      <c r="B22" s="46"/>
      <c r="C22" s="46"/>
      <c r="D22" s="46"/>
      <c r="E22" s="46">
        <f t="shared" si="0"/>
        <v>0</v>
      </c>
      <c r="F22" s="46" t="s">
        <v>310</v>
      </c>
      <c r="G22" s="46"/>
      <c r="H22" s="46"/>
      <c r="I22" s="46">
        <f t="shared" si="1"/>
        <v>0</v>
      </c>
      <c r="J22" s="46"/>
      <c r="K22" s="46"/>
      <c r="L22" s="46">
        <f t="shared" si="2"/>
        <v>0</v>
      </c>
    </row>
    <row r="23" spans="2:12" x14ac:dyDescent="0.25">
      <c r="B23" s="46"/>
      <c r="C23" s="46"/>
      <c r="D23" s="46"/>
      <c r="E23" s="46">
        <f t="shared" si="0"/>
        <v>0</v>
      </c>
      <c r="F23" s="46"/>
      <c r="G23" s="46"/>
      <c r="H23" s="46"/>
      <c r="I23" s="46">
        <f t="shared" si="1"/>
        <v>0</v>
      </c>
      <c r="J23" s="46"/>
      <c r="K23" s="46"/>
      <c r="L23" s="46">
        <f t="shared" si="2"/>
        <v>0</v>
      </c>
    </row>
    <row r="24" spans="2:12" x14ac:dyDescent="0.25">
      <c r="B24" s="46" t="s">
        <v>314</v>
      </c>
      <c r="C24" s="46"/>
      <c r="D24" s="46"/>
      <c r="E24" s="46">
        <f t="shared" si="0"/>
        <v>0</v>
      </c>
      <c r="F24" s="46" t="s">
        <v>315</v>
      </c>
      <c r="G24" s="46"/>
      <c r="H24" s="46"/>
      <c r="I24" s="46">
        <f t="shared" si="1"/>
        <v>0</v>
      </c>
      <c r="J24" s="46"/>
      <c r="K24" s="46"/>
      <c r="L24" s="46">
        <f t="shared" si="2"/>
        <v>0</v>
      </c>
    </row>
    <row r="25" spans="2:12" x14ac:dyDescent="0.25">
      <c r="B25" s="46"/>
      <c r="C25" s="46"/>
      <c r="D25" s="46"/>
      <c r="E25" s="46">
        <f>C25*D25</f>
        <v>0</v>
      </c>
      <c r="F25" s="46" t="s">
        <v>315</v>
      </c>
      <c r="G25" s="46"/>
      <c r="H25" s="46"/>
      <c r="I25" s="46">
        <f>G25*H25</f>
        <v>0</v>
      </c>
      <c r="J25" s="46"/>
      <c r="K25" s="46"/>
      <c r="L25" s="46">
        <f>J25*K25</f>
        <v>0</v>
      </c>
    </row>
    <row r="26" spans="2:12" x14ac:dyDescent="0.25">
      <c r="B26" s="46"/>
      <c r="C26" s="46"/>
      <c r="D26" s="46"/>
      <c r="E26" s="46">
        <f>C26*D26</f>
        <v>0</v>
      </c>
      <c r="F26" s="46" t="s">
        <v>315</v>
      </c>
      <c r="G26" s="46"/>
      <c r="H26" s="46"/>
      <c r="I26" s="46">
        <f>G26*H26</f>
        <v>0</v>
      </c>
      <c r="J26" s="46"/>
      <c r="K26" s="46"/>
      <c r="L26" s="46">
        <f>J26*K26</f>
        <v>0</v>
      </c>
    </row>
    <row r="27" spans="2:12" x14ac:dyDescent="0.25">
      <c r="B27" s="46"/>
      <c r="C27" s="46"/>
      <c r="D27" s="46"/>
      <c r="E27" s="46">
        <f>C27*D27</f>
        <v>0</v>
      </c>
      <c r="F27" s="46" t="s">
        <v>315</v>
      </c>
      <c r="G27" s="46"/>
      <c r="H27" s="46"/>
      <c r="I27" s="46">
        <f>G27*H27</f>
        <v>0</v>
      </c>
      <c r="J27" s="46"/>
      <c r="K27" s="46"/>
      <c r="L27" s="46">
        <f>J27*K27</f>
        <v>0</v>
      </c>
    </row>
    <row r="28" spans="2:12" x14ac:dyDescent="0.25">
      <c r="B28" s="46" t="s">
        <v>316</v>
      </c>
      <c r="C28" s="46"/>
      <c r="D28" s="46"/>
      <c r="E28" s="46">
        <f t="shared" si="0"/>
        <v>0</v>
      </c>
      <c r="F28" s="46" t="s">
        <v>315</v>
      </c>
      <c r="G28" s="46"/>
      <c r="H28" s="46"/>
      <c r="I28" s="46">
        <f t="shared" si="1"/>
        <v>0</v>
      </c>
      <c r="J28" s="46"/>
      <c r="K28" s="46"/>
      <c r="L28" s="46">
        <f t="shared" si="2"/>
        <v>0</v>
      </c>
    </row>
    <row r="29" spans="2:12" x14ac:dyDescent="0.25">
      <c r="B29" s="46" t="s">
        <v>317</v>
      </c>
      <c r="C29" s="46"/>
      <c r="D29" s="46"/>
      <c r="E29" s="46">
        <f t="shared" si="0"/>
        <v>0</v>
      </c>
      <c r="F29" s="46" t="s">
        <v>315</v>
      </c>
      <c r="G29" s="46"/>
      <c r="H29" s="46"/>
      <c r="I29" s="46">
        <f t="shared" si="1"/>
        <v>0</v>
      </c>
      <c r="J29" s="46"/>
      <c r="K29" s="46"/>
      <c r="L29" s="46">
        <f t="shared" si="2"/>
        <v>0</v>
      </c>
    </row>
    <row r="30" spans="2:12" x14ac:dyDescent="0.25">
      <c r="B30" s="46" t="s">
        <v>321</v>
      </c>
      <c r="C30" s="46"/>
      <c r="D30" s="46"/>
      <c r="E30" s="46">
        <f t="shared" si="0"/>
        <v>0</v>
      </c>
      <c r="F30" s="46"/>
      <c r="G30" s="46"/>
      <c r="H30" s="46"/>
      <c r="I30" s="46">
        <f t="shared" si="1"/>
        <v>0</v>
      </c>
      <c r="J30" s="46"/>
      <c r="K30" s="46"/>
      <c r="L30" s="46">
        <f t="shared" si="2"/>
        <v>0</v>
      </c>
    </row>
    <row r="31" spans="2:12" x14ac:dyDescent="0.25">
      <c r="B31" s="46"/>
      <c r="C31" s="46"/>
      <c r="D31" s="46"/>
      <c r="E31" s="46">
        <f>C31*D31</f>
        <v>0</v>
      </c>
      <c r="F31" s="46"/>
      <c r="G31" s="46"/>
      <c r="H31" s="46"/>
      <c r="I31" s="46">
        <f>G31*H31</f>
        <v>0</v>
      </c>
      <c r="J31" s="46"/>
      <c r="K31" s="46"/>
      <c r="L31" s="46">
        <f>J31*K31</f>
        <v>0</v>
      </c>
    </row>
    <row r="32" spans="2:12" x14ac:dyDescent="0.25">
      <c r="B32" s="46"/>
      <c r="C32" s="46"/>
      <c r="D32" s="46"/>
      <c r="E32" s="46">
        <f>C32*D32</f>
        <v>0</v>
      </c>
      <c r="F32" s="46"/>
      <c r="G32" s="46"/>
      <c r="H32" s="46"/>
      <c r="I32" s="46">
        <f>G32*H32</f>
        <v>0</v>
      </c>
      <c r="J32" s="46"/>
      <c r="K32" s="46"/>
      <c r="L32" s="46">
        <f>J32*K32</f>
        <v>0</v>
      </c>
    </row>
    <row r="33" spans="2:12" x14ac:dyDescent="0.25">
      <c r="B33" s="46" t="s">
        <v>318</v>
      </c>
      <c r="C33" s="46"/>
      <c r="D33" s="46"/>
      <c r="E33" s="46">
        <f t="shared" si="0"/>
        <v>0</v>
      </c>
      <c r="F33" s="46"/>
      <c r="G33" s="46"/>
      <c r="H33" s="46"/>
      <c r="I33" s="46">
        <f t="shared" si="1"/>
        <v>0</v>
      </c>
      <c r="J33" s="46"/>
      <c r="K33" s="46"/>
      <c r="L33" s="46">
        <f t="shared" si="2"/>
        <v>0</v>
      </c>
    </row>
    <row r="34" spans="2:12" x14ac:dyDescent="0.25">
      <c r="B34" s="46" t="s">
        <v>322</v>
      </c>
      <c r="C34" s="46"/>
      <c r="D34" s="46"/>
      <c r="E34" s="46">
        <f t="shared" si="0"/>
        <v>0</v>
      </c>
      <c r="F34" s="46"/>
      <c r="G34" s="46"/>
      <c r="H34" s="46"/>
      <c r="I34" s="46">
        <f t="shared" si="1"/>
        <v>0</v>
      </c>
      <c r="J34" s="46"/>
      <c r="K34" s="46"/>
      <c r="L34" s="46">
        <f t="shared" si="2"/>
        <v>0</v>
      </c>
    </row>
    <row r="35" spans="2:12" x14ac:dyDescent="0.25">
      <c r="B35" s="46" t="s">
        <v>319</v>
      </c>
      <c r="C35" s="46"/>
      <c r="D35" s="46"/>
      <c r="E35" s="46">
        <f t="shared" si="0"/>
        <v>0</v>
      </c>
      <c r="F35" s="46"/>
      <c r="G35" s="46"/>
      <c r="H35" s="46"/>
      <c r="I35" s="46">
        <f t="shared" si="1"/>
        <v>0</v>
      </c>
      <c r="J35" s="46"/>
      <c r="K35" s="46"/>
      <c r="L35" s="46">
        <f t="shared" si="2"/>
        <v>0</v>
      </c>
    </row>
    <row r="36" spans="2:12" x14ac:dyDescent="0.25">
      <c r="B36" s="46" t="s">
        <v>320</v>
      </c>
      <c r="C36" s="46"/>
      <c r="D36" s="46"/>
      <c r="E36" s="46">
        <f t="shared" si="0"/>
        <v>0</v>
      </c>
      <c r="F36" s="46"/>
      <c r="G36" s="46"/>
      <c r="H36" s="46"/>
      <c r="I36" s="46">
        <f t="shared" ref="I36:I41" si="3">G36*H36</f>
        <v>0</v>
      </c>
      <c r="J36" s="46"/>
      <c r="K36" s="46"/>
      <c r="L36" s="46">
        <f t="shared" ref="L36:L41" si="4">J36*K36</f>
        <v>0</v>
      </c>
    </row>
    <row r="37" spans="2:12" x14ac:dyDescent="0.25">
      <c r="B37" s="46"/>
      <c r="C37" s="46"/>
      <c r="D37" s="46"/>
      <c r="E37" s="46">
        <f>C37*D37</f>
        <v>0</v>
      </c>
      <c r="F37" s="46"/>
      <c r="G37" s="46"/>
      <c r="H37" s="46"/>
      <c r="I37" s="46">
        <f t="shared" si="3"/>
        <v>0</v>
      </c>
      <c r="J37" s="46"/>
      <c r="K37" s="46"/>
      <c r="L37" s="46">
        <f t="shared" si="4"/>
        <v>0</v>
      </c>
    </row>
    <row r="38" spans="2:12" x14ac:dyDescent="0.25">
      <c r="B38" s="46" t="s">
        <v>323</v>
      </c>
      <c r="C38" s="46"/>
      <c r="D38" s="46"/>
      <c r="E38" s="46">
        <f>C38*D38</f>
        <v>0</v>
      </c>
      <c r="F38" s="46"/>
      <c r="G38" s="46"/>
      <c r="H38" s="46"/>
      <c r="I38" s="46">
        <f t="shared" si="3"/>
        <v>0</v>
      </c>
      <c r="J38" s="46"/>
      <c r="K38" s="46"/>
      <c r="L38" s="46">
        <f t="shared" si="4"/>
        <v>0</v>
      </c>
    </row>
    <row r="39" spans="2:12" x14ac:dyDescent="0.25">
      <c r="B39" s="46"/>
      <c r="C39" s="46"/>
      <c r="D39" s="46"/>
      <c r="E39" s="46">
        <f t="shared" si="0"/>
        <v>0</v>
      </c>
      <c r="F39" s="46"/>
      <c r="G39" s="46"/>
      <c r="H39" s="46"/>
      <c r="I39" s="46">
        <f t="shared" si="3"/>
        <v>0</v>
      </c>
      <c r="J39" s="46"/>
      <c r="K39" s="46"/>
      <c r="L39" s="46">
        <f t="shared" si="4"/>
        <v>0</v>
      </c>
    </row>
    <row r="40" spans="2:12" x14ac:dyDescent="0.25">
      <c r="B40" s="46"/>
      <c r="C40" s="46"/>
      <c r="D40" s="46"/>
      <c r="E40" s="46">
        <f t="shared" si="0"/>
        <v>0</v>
      </c>
      <c r="F40" s="46"/>
      <c r="G40" s="46"/>
      <c r="H40" s="46"/>
      <c r="I40" s="46">
        <f t="shared" si="3"/>
        <v>0</v>
      </c>
      <c r="J40" s="46"/>
      <c r="K40" s="46"/>
      <c r="L40" s="46">
        <f t="shared" si="4"/>
        <v>0</v>
      </c>
    </row>
    <row r="41" spans="2:12" x14ac:dyDescent="0.25">
      <c r="B41" s="46"/>
      <c r="C41" s="46"/>
      <c r="D41" s="46"/>
      <c r="E41" s="46">
        <f t="shared" si="0"/>
        <v>0</v>
      </c>
      <c r="F41" s="46"/>
      <c r="G41" s="46"/>
      <c r="H41" s="46"/>
      <c r="I41" s="46">
        <f t="shared" si="3"/>
        <v>0</v>
      </c>
      <c r="J41" s="46"/>
      <c r="K41" s="46"/>
      <c r="L41" s="46">
        <f t="shared" si="4"/>
        <v>0</v>
      </c>
    </row>
    <row r="42" spans="2:12" x14ac:dyDescent="0.25">
      <c r="B42" s="46" t="s">
        <v>146</v>
      </c>
      <c r="C42" s="46"/>
      <c r="D42" s="46">
        <f>E42*10.764</f>
        <v>0</v>
      </c>
      <c r="E42" s="63">
        <f>SUM(E6:E41)</f>
        <v>0</v>
      </c>
      <c r="F42" s="46"/>
      <c r="G42" s="46"/>
      <c r="H42" s="46">
        <f>I42*10.764</f>
        <v>0</v>
      </c>
      <c r="I42" s="62">
        <f>SUM(I6:I41)</f>
        <v>0</v>
      </c>
      <c r="J42" s="46"/>
      <c r="K42" s="46">
        <f>L42*10.764</f>
        <v>0</v>
      </c>
      <c r="L42" s="61">
        <f>SUM(L6:L41)</f>
        <v>0</v>
      </c>
    </row>
    <row r="44" spans="2:12" x14ac:dyDescent="0.25">
      <c r="D44" s="45">
        <f>D42+H42</f>
        <v>0</v>
      </c>
      <c r="E44" s="45">
        <f>E42+I42</f>
        <v>0</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Report</vt:lpstr>
      <vt:lpstr>valuation</vt:lpstr>
      <vt:lpstr>Research</vt:lpstr>
      <vt:lpstr>Remarks</vt:lpstr>
      <vt:lpstr>Area Calculation</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madhurapanchal77@gmail.com</cp:lastModifiedBy>
  <cp:lastPrinted>2025-08-12T11:32:08Z</cp:lastPrinted>
  <dcterms:created xsi:type="dcterms:W3CDTF">2019-07-16T09:29:46Z</dcterms:created>
  <dcterms:modified xsi:type="dcterms:W3CDTF">2025-08-12T11:33:57Z</dcterms:modified>
</cp:coreProperties>
</file>