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New\"/>
    </mc:Choice>
  </mc:AlternateContent>
  <xr:revisionPtr revIDLastSave="0" documentId="13_ncr:1_{B444F41C-A250-4DDD-92D6-13940FA8EEE5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1" i="1" l="1"/>
  <c r="D396" i="1"/>
  <c r="F396" i="1" s="1"/>
  <c r="D395" i="1"/>
  <c r="F395" i="1" s="1"/>
  <c r="A395" i="1"/>
  <c r="A396" i="1" s="1"/>
  <c r="D394" i="1"/>
  <c r="F394" i="1" s="1"/>
  <c r="D393" i="1"/>
  <c r="F393" i="1" s="1"/>
  <c r="F391" i="1"/>
  <c r="D390" i="1"/>
  <c r="F390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F384" i="1" s="1"/>
  <c r="D383" i="1"/>
  <c r="F383" i="1" s="1"/>
  <c r="D382" i="1"/>
  <c r="F382" i="1" s="1"/>
  <c r="A382" i="1"/>
  <c r="A383" i="1" s="1"/>
  <c r="A384" i="1" s="1"/>
  <c r="A385" i="1" s="1"/>
  <c r="A386" i="1" s="1"/>
  <c r="A387" i="1" s="1"/>
  <c r="A388" i="1" s="1"/>
  <c r="A389" i="1" s="1"/>
  <c r="A390" i="1" s="1"/>
  <c r="A391" i="1" s="1"/>
  <c r="A393" i="1" s="1"/>
  <c r="G381" i="1"/>
  <c r="D381" i="1"/>
  <c r="F381" i="1" s="1"/>
  <c r="D376" i="1"/>
  <c r="F376" i="1" s="1"/>
  <c r="D374" i="1"/>
  <c r="F374" i="1" s="1"/>
  <c r="D379" i="1"/>
  <c r="F379" i="1" s="1"/>
  <c r="A379" i="1"/>
  <c r="D378" i="1"/>
  <c r="F378" i="1" s="1"/>
  <c r="A378" i="1"/>
  <c r="D377" i="1"/>
  <c r="F377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A365" i="1"/>
  <c r="A366" i="1" s="1"/>
  <c r="A367" i="1" s="1"/>
  <c r="A368" i="1" s="1"/>
  <c r="A369" i="1" s="1"/>
  <c r="A370" i="1" s="1"/>
  <c r="A371" i="1" s="1"/>
  <c r="A372" i="1" s="1"/>
  <c r="A373" i="1" s="1"/>
  <c r="G364" i="1"/>
  <c r="D364" i="1"/>
  <c r="F364" i="1" s="1"/>
  <c r="G348" i="1"/>
  <c r="D362" i="1"/>
  <c r="F362" i="1" s="1"/>
  <c r="D361" i="1"/>
  <c r="D360" i="1"/>
  <c r="F360" i="1" s="1"/>
  <c r="D359" i="1"/>
  <c r="D358" i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D349" i="1"/>
  <c r="D348" i="1"/>
  <c r="F348" i="1" s="1"/>
  <c r="F361" i="1"/>
  <c r="A361" i="1"/>
  <c r="A362" i="1" s="1"/>
  <c r="F359" i="1"/>
  <c r="F358" i="1"/>
  <c r="F350" i="1"/>
  <c r="F349" i="1"/>
  <c r="A349" i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D344" i="1"/>
  <c r="F344" i="1" s="1"/>
  <c r="D342" i="1"/>
  <c r="F342" i="1" s="1"/>
  <c r="D334" i="1"/>
  <c r="F334" i="1" s="1"/>
  <c r="A374" i="1" l="1"/>
  <c r="A376" i="1" s="1"/>
  <c r="C94" i="1"/>
  <c r="E41" i="1" l="1"/>
  <c r="D59" i="1" l="1"/>
  <c r="C146" i="1"/>
  <c r="G332" i="1"/>
  <c r="D346" i="1"/>
  <c r="F346" i="1" s="1"/>
  <c r="D343" i="1"/>
  <c r="F343" i="1" s="1"/>
  <c r="D340" i="1"/>
  <c r="F340" i="1" s="1"/>
  <c r="D339" i="1"/>
  <c r="F339" i="1" s="1"/>
  <c r="D338" i="1"/>
  <c r="F338" i="1" s="1"/>
  <c r="D333" i="1"/>
  <c r="D332" i="1"/>
  <c r="A343" i="1"/>
  <c r="A344" i="1" s="1"/>
  <c r="A337" i="1"/>
  <c r="A338" i="1" s="1"/>
  <c r="A339" i="1" s="1"/>
  <c r="A340" i="1" s="1"/>
  <c r="I330" i="1"/>
  <c r="A333" i="1"/>
  <c r="A334" i="1" s="1"/>
  <c r="A335" i="1" s="1"/>
  <c r="C101" i="1"/>
  <c r="J110" i="1"/>
  <c r="J109" i="1"/>
  <c r="J108" i="1"/>
  <c r="J107" i="1"/>
  <c r="E42" i="1"/>
  <c r="H102" i="1"/>
  <c r="C151" i="1" l="1"/>
  <c r="E151" i="1"/>
  <c r="F332" i="1"/>
  <c r="F333" i="1"/>
  <c r="J105" i="1"/>
  <c r="J106" i="1" s="1"/>
  <c r="J103" i="1"/>
  <c r="J99" i="1"/>
  <c r="J101" i="1" s="1"/>
  <c r="D113" i="1"/>
  <c r="D111" i="1"/>
  <c r="D109" i="1"/>
  <c r="D107" i="1"/>
  <c r="J102" i="1"/>
  <c r="J104" i="1"/>
  <c r="C105" i="1" s="1"/>
  <c r="D114" i="1"/>
  <c r="D112" i="1"/>
  <c r="D110" i="1"/>
  <c r="D108" i="1"/>
  <c r="J111" i="1" l="1"/>
  <c r="J112" i="1" s="1"/>
  <c r="G151" i="1"/>
  <c r="D105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89" i="1"/>
  <c r="D188" i="1"/>
  <c r="D187" i="1"/>
  <c r="L171" i="1"/>
  <c r="D184" i="1"/>
  <c r="D185" i="1"/>
  <c r="D183" i="1"/>
  <c r="L170" i="1"/>
  <c r="C106" i="1" l="1"/>
  <c r="G105" i="1" s="1"/>
  <c r="J100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A188" i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1" i="1" s="1"/>
  <c r="A202" i="1" s="1"/>
  <c r="A203" i="1" s="1"/>
  <c r="A204" i="1" s="1"/>
  <c r="I185" i="1"/>
  <c r="G187" i="1"/>
  <c r="F187" i="1"/>
  <c r="D172" i="1"/>
  <c r="F172" i="1" s="1"/>
  <c r="J170" i="1" s="1"/>
  <c r="D176" i="1"/>
  <c r="F176" i="1" s="1"/>
  <c r="D171" i="1"/>
  <c r="F171" i="1" s="1"/>
  <c r="D174" i="1"/>
  <c r="F174" i="1" s="1"/>
  <c r="I172" i="1" s="1"/>
  <c r="D175" i="1"/>
  <c r="F175" i="1" s="1"/>
  <c r="D168" i="1"/>
  <c r="F168" i="1" s="1"/>
  <c r="D167" i="1"/>
  <c r="F167" i="1" s="1"/>
  <c r="J165" i="1" s="1"/>
  <c r="D164" i="1"/>
  <c r="F164" i="1" s="1"/>
  <c r="I162" i="1" s="1"/>
  <c r="D163" i="1"/>
  <c r="F163" i="1" s="1"/>
  <c r="D170" i="1"/>
  <c r="F170" i="1" s="1"/>
  <c r="D173" i="1"/>
  <c r="F173" i="1" s="1"/>
  <c r="D169" i="1"/>
  <c r="F169" i="1" s="1"/>
  <c r="I167" i="1" s="1"/>
  <c r="D166" i="1"/>
  <c r="F166" i="1" s="1"/>
  <c r="D165" i="1"/>
  <c r="F165" i="1" s="1"/>
  <c r="D162" i="1"/>
  <c r="G162" i="1"/>
  <c r="K156" i="1"/>
  <c r="A168" i="1"/>
  <c r="A169" i="1" s="1"/>
  <c r="A170" i="1" s="1"/>
  <c r="A171" i="1" s="1"/>
  <c r="A172" i="1" s="1"/>
  <c r="A173" i="1" s="1"/>
  <c r="A174" i="1" s="1"/>
  <c r="A175" i="1" s="1"/>
  <c r="A176" i="1" s="1"/>
  <c r="A163" i="1"/>
  <c r="A165" i="1" s="1"/>
  <c r="A166" i="1" s="1"/>
  <c r="E105" i="1" l="1"/>
  <c r="D106" i="1"/>
  <c r="I100" i="1" s="1"/>
  <c r="I101" i="1" s="1"/>
  <c r="F162" i="1"/>
  <c r="E145" i="1"/>
  <c r="E146" i="1" s="1"/>
  <c r="J171" i="1"/>
  <c r="I272" i="1"/>
  <c r="I99" i="1" l="1"/>
  <c r="C103" i="1" s="1"/>
  <c r="J160" i="1"/>
  <c r="G145" i="1"/>
  <c r="G146" i="1" s="1"/>
  <c r="D323" i="1"/>
  <c r="F323" i="1" s="1"/>
  <c r="D329" i="1"/>
  <c r="F329" i="1" s="1"/>
  <c r="D328" i="1"/>
  <c r="F328" i="1" s="1"/>
  <c r="D327" i="1"/>
  <c r="F327" i="1" s="1"/>
  <c r="K149" i="1" s="1"/>
  <c r="J166" i="1" s="1"/>
  <c r="D326" i="1"/>
  <c r="F326" i="1" s="1"/>
  <c r="D325" i="1"/>
  <c r="F325" i="1" s="1"/>
  <c r="D322" i="1"/>
  <c r="F322" i="1" s="1"/>
  <c r="K143" i="1" s="1"/>
  <c r="J161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A313" i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I310" i="1"/>
  <c r="G312" i="1"/>
  <c r="D312" i="1"/>
  <c r="F312" i="1" s="1"/>
  <c r="D310" i="1"/>
  <c r="F310" i="1" s="1"/>
  <c r="D291" i="1"/>
  <c r="F291" i="1" s="1"/>
  <c r="D309" i="1"/>
  <c r="D308" i="1"/>
  <c r="D307" i="1"/>
  <c r="D306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2" i="1"/>
  <c r="D271" i="1"/>
  <c r="F271" i="1" s="1"/>
  <c r="D265" i="1"/>
  <c r="D266" i="1"/>
  <c r="D267" i="1"/>
  <c r="D268" i="1"/>
  <c r="D264" i="1"/>
  <c r="I262" i="1"/>
  <c r="C150" i="1" l="1"/>
  <c r="E150" i="1"/>
  <c r="F264" i="1"/>
  <c r="C80" i="1"/>
  <c r="C82" i="1" l="1"/>
  <c r="F308" i="1"/>
  <c r="F267" i="1"/>
  <c r="F266" i="1"/>
  <c r="F309" i="1"/>
  <c r="F307" i="1"/>
  <c r="F306" i="1"/>
  <c r="F304" i="1"/>
  <c r="F303" i="1"/>
  <c r="F302" i="1"/>
  <c r="F301" i="1"/>
  <c r="F300" i="1"/>
  <c r="F299" i="1"/>
  <c r="F298" i="1"/>
  <c r="F297" i="1"/>
  <c r="F296" i="1"/>
  <c r="F295" i="1"/>
  <c r="F294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G293" i="1"/>
  <c r="F293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G274" i="1"/>
  <c r="F274" i="1"/>
  <c r="F272" i="1"/>
  <c r="F268" i="1"/>
  <c r="I266" i="1" s="1"/>
  <c r="F265" i="1"/>
  <c r="A265" i="1"/>
  <c r="A266" i="1" s="1"/>
  <c r="A267" i="1" s="1"/>
  <c r="A268" i="1" s="1"/>
  <c r="A269" i="1" s="1"/>
  <c r="A270" i="1" s="1"/>
  <c r="A271" i="1" s="1"/>
  <c r="A272" i="1" s="1"/>
  <c r="K248" i="1"/>
  <c r="G264" i="1"/>
  <c r="J262" i="1"/>
  <c r="C87" i="1"/>
  <c r="J96" i="1"/>
  <c r="J95" i="1"/>
  <c r="J94" i="1"/>
  <c r="J93" i="1"/>
  <c r="G150" i="1" l="1"/>
  <c r="A306" i="1"/>
  <c r="A307" i="1" s="1"/>
  <c r="A308" i="1" s="1"/>
  <c r="A309" i="1" s="1"/>
  <c r="A310" i="1" s="1"/>
  <c r="A287" i="1"/>
  <c r="A288" i="1" s="1"/>
  <c r="A289" i="1" s="1"/>
  <c r="A290" i="1" s="1"/>
  <c r="A291" i="1" s="1"/>
  <c r="J263" i="1"/>
  <c r="D451" i="1"/>
  <c r="D424" i="1"/>
  <c r="K116" i="1" l="1"/>
  <c r="J44" i="1"/>
  <c r="D460" i="1"/>
  <c r="F460" i="1" s="1"/>
  <c r="D459" i="1"/>
  <c r="F459" i="1" s="1"/>
  <c r="D458" i="1"/>
  <c r="F458" i="1" s="1"/>
  <c r="D457" i="1"/>
  <c r="F457" i="1" s="1"/>
  <c r="D456" i="1"/>
  <c r="F456" i="1" s="1"/>
  <c r="D455" i="1"/>
  <c r="F455" i="1" s="1"/>
  <c r="D454" i="1"/>
  <c r="F454" i="1" s="1"/>
  <c r="D453" i="1"/>
  <c r="F453" i="1" s="1"/>
  <c r="D450" i="1"/>
  <c r="F450" i="1" s="1"/>
  <c r="D449" i="1"/>
  <c r="F449" i="1" s="1"/>
  <c r="D448" i="1"/>
  <c r="F448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9" i="1"/>
  <c r="F439" i="1" s="1"/>
  <c r="D438" i="1"/>
  <c r="F438" i="1" s="1"/>
  <c r="D437" i="1"/>
  <c r="F437" i="1" s="1"/>
  <c r="D436" i="1"/>
  <c r="F436" i="1" s="1"/>
  <c r="D435" i="1"/>
  <c r="F435" i="1" s="1"/>
  <c r="I428" i="1" s="1"/>
  <c r="D433" i="1"/>
  <c r="F433" i="1" s="1"/>
  <c r="D432" i="1"/>
  <c r="F432" i="1" s="1"/>
  <c r="D431" i="1"/>
  <c r="F431" i="1" s="1"/>
  <c r="D430" i="1"/>
  <c r="F430" i="1" s="1"/>
  <c r="D429" i="1"/>
  <c r="F429" i="1" s="1"/>
  <c r="D428" i="1"/>
  <c r="F428" i="1" s="1"/>
  <c r="D427" i="1"/>
  <c r="F427" i="1" s="1"/>
  <c r="D426" i="1"/>
  <c r="F424" i="1"/>
  <c r="I416" i="1" s="1"/>
  <c r="D423" i="1"/>
  <c r="D422" i="1"/>
  <c r="D421" i="1"/>
  <c r="D414" i="1"/>
  <c r="F414" i="1" s="1"/>
  <c r="D413" i="1"/>
  <c r="F413" i="1" s="1"/>
  <c r="D412" i="1"/>
  <c r="F412" i="1" s="1"/>
  <c r="D411" i="1"/>
  <c r="F411" i="1" s="1"/>
  <c r="D410" i="1"/>
  <c r="F410" i="1" s="1"/>
  <c r="D409" i="1"/>
  <c r="F409" i="1" s="1"/>
  <c r="D406" i="1"/>
  <c r="F406" i="1" s="1"/>
  <c r="D405" i="1"/>
  <c r="D404" i="1"/>
  <c r="D403" i="1"/>
  <c r="D402" i="1"/>
  <c r="D401" i="1"/>
  <c r="F451" i="1"/>
  <c r="A453" i="1"/>
  <c r="A454" i="1" s="1"/>
  <c r="A455" i="1" s="1"/>
  <c r="A456" i="1" s="1"/>
  <c r="A457" i="1" s="1"/>
  <c r="A458" i="1" s="1"/>
  <c r="A459" i="1" s="1"/>
  <c r="A460" i="1" s="1"/>
  <c r="A449" i="1"/>
  <c r="G448" i="1"/>
  <c r="A409" i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G408" i="1"/>
  <c r="A436" i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G435" i="1"/>
  <c r="D261" i="1"/>
  <c r="F261" i="1" s="1"/>
  <c r="D260" i="1"/>
  <c r="F260" i="1" s="1"/>
  <c r="D259" i="1"/>
  <c r="F259" i="1" s="1"/>
  <c r="I257" i="1" s="1"/>
  <c r="D257" i="1"/>
  <c r="F257" i="1" s="1"/>
  <c r="D256" i="1"/>
  <c r="F256" i="1" s="1"/>
  <c r="I254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2" i="1"/>
  <c r="F242" i="1" s="1"/>
  <c r="D241" i="1"/>
  <c r="F241" i="1" s="1"/>
  <c r="D240" i="1"/>
  <c r="F240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185" i="1"/>
  <c r="I183" i="1" s="1"/>
  <c r="F184" i="1"/>
  <c r="A245" i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G244" i="1"/>
  <c r="I204" i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G225" i="1"/>
  <c r="A207" i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G206" i="1"/>
  <c r="A184" i="1"/>
  <c r="G183" i="1"/>
  <c r="C149" i="1" l="1"/>
  <c r="E149" i="1"/>
  <c r="E152" i="1"/>
  <c r="C152" i="1"/>
  <c r="F206" i="1"/>
  <c r="F183" i="1"/>
  <c r="G149" i="1" s="1"/>
  <c r="F401" i="1"/>
  <c r="E153" i="1" l="1"/>
  <c r="E154" i="1" s="1"/>
  <c r="C153" i="1"/>
  <c r="C154" i="1" s="1"/>
  <c r="J181" i="1"/>
  <c r="K167" i="1"/>
  <c r="I344" i="1"/>
  <c r="F405" i="1"/>
  <c r="F404" i="1"/>
  <c r="J182" i="1" l="1"/>
  <c r="C14" i="1"/>
  <c r="E29" i="1" l="1"/>
  <c r="F402" i="1" l="1"/>
  <c r="F403" i="1"/>
  <c r="A401" i="1"/>
  <c r="A402" i="1" s="1"/>
  <c r="A403" i="1" s="1"/>
  <c r="A404" i="1" s="1"/>
  <c r="A405" i="1" s="1"/>
  <c r="A406" i="1" s="1"/>
  <c r="G400" i="1"/>
  <c r="F142" i="1" l="1"/>
  <c r="B464" i="1" l="1"/>
  <c r="F426" i="1" l="1"/>
  <c r="F422" i="1"/>
  <c r="F421" i="1"/>
  <c r="F423" i="1"/>
  <c r="G152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89" i="1"/>
  <c r="G421" i="1"/>
  <c r="A422" i="1"/>
  <c r="J124" i="1"/>
  <c r="J123" i="1"/>
  <c r="J122" i="1"/>
  <c r="J121" i="1"/>
  <c r="C115" i="1"/>
  <c r="J82" i="1"/>
  <c r="J81" i="1"/>
  <c r="J80" i="1"/>
  <c r="J79" i="1"/>
  <c r="C73" i="1"/>
  <c r="E43" i="1"/>
  <c r="E26" i="1"/>
  <c r="E24" i="1"/>
  <c r="E7" i="1"/>
  <c r="E3" i="1"/>
  <c r="H74" i="1"/>
  <c r="H116" i="1"/>
  <c r="G153" i="1" l="1"/>
  <c r="G154" i="1" s="1"/>
  <c r="A423" i="1"/>
  <c r="A425" i="1" s="1"/>
  <c r="A426" i="1" s="1"/>
  <c r="A427" i="1" s="1"/>
  <c r="A428" i="1" s="1"/>
  <c r="A429" i="1" s="1"/>
  <c r="A430" i="1" s="1"/>
  <c r="A431" i="1" s="1"/>
  <c r="A432" i="1" s="1"/>
  <c r="A433" i="1" s="1"/>
  <c r="D126" i="1"/>
  <c r="D127" i="1"/>
  <c r="D128" i="1"/>
  <c r="D122" i="1"/>
  <c r="D123" i="1"/>
  <c r="D124" i="1"/>
  <c r="D125" i="1"/>
  <c r="J113" i="1"/>
  <c r="D86" i="1"/>
  <c r="D84" i="1"/>
  <c r="D83" i="1"/>
  <c r="D82" i="1"/>
  <c r="D80" i="1"/>
  <c r="J71" i="1"/>
  <c r="D85" i="1"/>
  <c r="D81" i="1"/>
  <c r="J75" i="1"/>
  <c r="J76" i="1"/>
  <c r="C77" i="1" s="1"/>
  <c r="J74" i="1"/>
  <c r="J77" i="1"/>
  <c r="J78" i="1" s="1"/>
  <c r="J119" i="1"/>
  <c r="J120" i="1" s="1"/>
  <c r="J125" i="1" s="1"/>
  <c r="J117" i="1"/>
  <c r="J118" i="1"/>
  <c r="C119" i="1" s="1"/>
  <c r="J116" i="1"/>
  <c r="J126" i="1" l="1"/>
  <c r="J83" i="1"/>
  <c r="D121" i="1"/>
  <c r="J115" i="1"/>
  <c r="D79" i="1"/>
  <c r="J73" i="1"/>
  <c r="D77" i="1"/>
  <c r="D119" i="1"/>
  <c r="D120" i="1" l="1"/>
  <c r="I114" i="1" s="1"/>
  <c r="I115" i="1" s="1"/>
  <c r="J84" i="1"/>
  <c r="J72" i="1" s="1"/>
  <c r="H88" i="1"/>
  <c r="J91" i="1" l="1"/>
  <c r="J89" i="1"/>
  <c r="J85" i="1"/>
  <c r="J87" i="1" s="1"/>
  <c r="D99" i="1"/>
  <c r="D97" i="1"/>
  <c r="D95" i="1"/>
  <c r="D93" i="1"/>
  <c r="J88" i="1"/>
  <c r="J90" i="1"/>
  <c r="C91" i="1" s="1"/>
  <c r="D100" i="1"/>
  <c r="D98" i="1"/>
  <c r="D96" i="1"/>
  <c r="D94" i="1"/>
  <c r="J114" i="1"/>
  <c r="I113" i="1" s="1"/>
  <c r="C117" i="1" s="1"/>
  <c r="E119" i="1"/>
  <c r="G119" i="1"/>
  <c r="G77" i="1"/>
  <c r="D71" i="1" s="1"/>
  <c r="D72" i="1" s="1"/>
  <c r="D78" i="1"/>
  <c r="I72" i="1" s="1"/>
  <c r="I73" i="1" s="1"/>
  <c r="I71" i="1" s="1"/>
  <c r="C75" i="1" s="1"/>
  <c r="E77" i="1"/>
  <c r="J92" i="1" l="1"/>
  <c r="J97" i="1" s="1"/>
  <c r="J98" i="1" s="1"/>
  <c r="C92" i="1" s="1"/>
  <c r="G91" i="1" s="1"/>
  <c r="D91" i="1"/>
  <c r="F72" i="1"/>
  <c r="E91" i="1" l="1"/>
  <c r="D92" i="1"/>
  <c r="I86" i="1" s="1"/>
  <c r="I87" i="1" s="1"/>
  <c r="J86" i="1"/>
  <c r="I85" i="1" l="1"/>
  <c r="C89" i="1" s="1"/>
</calcChain>
</file>

<file path=xl/sharedStrings.xml><?xml version="1.0" encoding="utf-8"?>
<sst xmlns="http://schemas.openxmlformats.org/spreadsheetml/2006/main" count="481" uniqueCount="274">
  <si>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</si>
  <si>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</si>
  <si>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</si>
  <si>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</si>
  <si>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</si>
  <si>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</si>
  <si>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</si>
  <si>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</si>
  <si>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</si>
  <si>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</si>
  <si>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</si>
  <si>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</si>
  <si>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</si>
  <si>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</si>
  <si>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</si>
  <si>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</si>
  <si>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</si>
  <si>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</si>
  <si>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</si>
  <si>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</si>
  <si>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</si>
  <si>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</si>
  <si>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</si>
  <si>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</si>
  <si>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</si>
  <si>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</si>
  <si>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</si>
  <si>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</si>
  <si>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</si>
  <si>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</si>
  <si>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</si>
  <si>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</si>
  <si>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</si>
  <si>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</si>
  <si>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</si>
  <si>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</si>
  <si>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</si>
  <si>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</si>
  <si>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</si>
  <si>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</si>
  <si>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</si>
  <si>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</si>
  <si>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</si>
  <si>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</si>
  <si>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</si>
  <si>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</si>
  <si>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</si>
  <si>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</si>
  <si>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</si>
  <si>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</si>
  <si>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</si>
  <si>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</si>
  <si>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</si>
  <si>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</si>
  <si>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</si>
  <si>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</si>
  <si>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</si>
  <si>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</si>
  <si>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</si>
  <si>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</si>
  <si>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</si>
  <si>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</si>
  <si>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</si>
  <si>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</si>
  <si>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</si>
  <si>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</si>
  <si>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</si>
  <si>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</si>
  <si>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</si>
  <si>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</si>
  <si>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</si>
  <si>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</si>
  <si>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</si>
  <si>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</si>
  <si>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</si>
  <si>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</si>
  <si>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</si>
  <si>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</si>
  <si>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</si>
  <si>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</si>
  <si>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</si>
  <si>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</si>
  <si>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</si>
  <si>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</si>
  <si>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</si>
  <si>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</si>
  <si>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Restrictive Covenants in regard to Land Use</t>
  </si>
  <si>
    <t>Boundries</t>
  </si>
  <si>
    <t>Development Charges</t>
  </si>
  <si>
    <t>Club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</si>
  <si>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</si>
  <si>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</si>
  <si>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</si>
  <si>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</si>
  <si>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</si>
  <si>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</si>
  <si>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</si>
  <si>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</si>
  <si>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</si>
  <si>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</si>
  <si>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</si>
  <si>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</si>
  <si>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</si>
  <si>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</si>
  <si>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</si>
  <si>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</si>
  <si>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</si>
  <si>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</si>
  <si>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</si>
  <si>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</si>
  <si>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</si>
  <si>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</si>
  <si>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</si>
  <si>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</si>
  <si>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</si>
  <si>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</si>
  <si>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</si>
  <si>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</si>
  <si>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</si>
  <si>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</si>
  <si>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</si>
  <si>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</si>
  <si>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</si>
  <si>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</si>
  <si>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</si>
  <si>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</si>
  <si>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</si>
  <si>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</si>
  <si>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</si>
  <si>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</si>
  <si>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</si>
  <si>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</si>
  <si>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</si>
  <si>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</si>
  <si>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</si>
  <si>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</si>
  <si>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</si>
  <si>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</si>
  <si>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</si>
  <si>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</si>
  <si>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</si>
  <si>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</si>
  <si>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</si>
  <si>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</si>
  <si>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</si>
  <si>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</si>
  <si>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</si>
  <si>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</si>
  <si>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</si>
  <si>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</si>
  <si>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</si>
  <si>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</si>
  <si>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</si>
  <si>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</si>
  <si>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</si>
  <si>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>Axis Thane</t>
  </si>
  <si>
    <t>Macrotech Developers Limited</t>
  </si>
  <si>
    <t>Approved Plans, CC</t>
  </si>
  <si>
    <t>The Municipal Corporation of The City of Thane</t>
  </si>
  <si>
    <t>Survey No</t>
  </si>
  <si>
    <t>Thane</t>
  </si>
  <si>
    <t>Kolshet</t>
  </si>
  <si>
    <t>https://goo.gl/maps/D2zfaRD54Aup1m8y9</t>
  </si>
  <si>
    <t>Kolshet Road</t>
  </si>
  <si>
    <t>Tower 1 = Gr/Stilt + 1st to 23rd Floor</t>
  </si>
  <si>
    <t>Plot B2</t>
  </si>
  <si>
    <t>Tower 1</t>
  </si>
  <si>
    <t>Meter Room</t>
  </si>
  <si>
    <t>On Site, we meet Mr. Afsal.</t>
  </si>
  <si>
    <t>Refuge Area</t>
  </si>
  <si>
    <t>Tower 4</t>
  </si>
  <si>
    <t>1st to 6th Floor for Residential &amp; Parking</t>
  </si>
  <si>
    <t>3b</t>
  </si>
  <si>
    <t>7th Floor</t>
  </si>
  <si>
    <t>Amenity Area</t>
  </si>
  <si>
    <t>3a</t>
  </si>
  <si>
    <t>Thane West</t>
  </si>
  <si>
    <t>Lodha Sterling Apartment</t>
  </si>
  <si>
    <t>Belgrave Square</t>
  </si>
  <si>
    <t>V.P.No.S05/0083/14/TMC/TD-DP/TPS/4135/22</t>
  </si>
  <si>
    <t>Tower 4 = Gr/Stilt + 1st to 7th Floor (Part Parking + Part Resi) + 8th to 23rd Floor</t>
  </si>
  <si>
    <t>Tower 2</t>
  </si>
  <si>
    <t xml:space="preserve">Plot B2 </t>
  </si>
  <si>
    <t>Ground Floor for Residential &amp; Parking</t>
  </si>
  <si>
    <t>Ground Floor for Parking</t>
  </si>
  <si>
    <t>1st to 7th Floor, 9th to 12th Floor,
14th to 17th (15th to 18th Floor as per Builder),
19th to 22nd Floor (20th to 23rd Floor as per Builder)</t>
  </si>
  <si>
    <t>8th Floor,
13th &amp; 18th Floor (14th &amp; 19th Floor as per builder)
(Part Refuge Area)</t>
  </si>
  <si>
    <t>23rd Floor (24th Floor as per Builder) (Part Refuge Area)</t>
  </si>
  <si>
    <t>9th to 12th Floor, 
14th to 17th Floor (15th to 18th Floor as per Builder), 
19th to 22nd Floor (20th to 23rd Floor as per Builder)</t>
  </si>
  <si>
    <t>rate sheet</t>
  </si>
  <si>
    <t>market</t>
  </si>
  <si>
    <t>OWC (Double Height)</t>
  </si>
  <si>
    <t>Utility Connection &amp; Related Expenses</t>
  </si>
  <si>
    <t>Land under construction (LUC)Reimbursement charges</t>
  </si>
  <si>
    <t>Advance Maintenance Charges for 3 years</t>
  </si>
  <si>
    <t>11300 to 11700</t>
  </si>
  <si>
    <t>Sanket</t>
  </si>
  <si>
    <t>cost sheet</t>
  </si>
  <si>
    <t>Construction Details Taken From Mr. Rajendra Giri.</t>
  </si>
  <si>
    <t>Layout</t>
  </si>
  <si>
    <t>Mr. Ajay Songare</t>
  </si>
  <si>
    <t>S05/0083/14/TMC/TD-DP/TPS/4442/23</t>
  </si>
  <si>
    <t>Ground Floor for Entrance Lobby, Society Office, Letter Box, Meter Room, Residential &amp; Parking</t>
  </si>
  <si>
    <t>2BHK</t>
  </si>
  <si>
    <t>Tower 2 = Gr/Stilt + 1st to 23rd Floor</t>
  </si>
  <si>
    <t>Mr. Rajendra Giri - 9820248856</t>
  </si>
  <si>
    <t xml:space="preserve">We have updated approved Layout plan, Floor plans &amp; CC for Tower 2 (on 22/07/2023).
</t>
  </si>
  <si>
    <t>Commencement-CC No
Valid Up to: 
Plot B2</t>
  </si>
  <si>
    <t>Latitude, Longitude</t>
  </si>
  <si>
    <t xml:space="preserve">Site Person - Contact Details ( Name &amp; Contact No.)
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</si>
  <si>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</si>
  <si>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</si>
  <si>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Attached loft area</t>
  </si>
  <si>
    <t>Shop</t>
  </si>
  <si>
    <t>1st Floor</t>
  </si>
  <si>
    <t>2nd to 7th Floor, 9th to 12th Floor,
14th to 17th (15th to 18th Floor as per Builder),
19th to 22nd Floor (20th to 23rd Floor as per Builder)</t>
  </si>
  <si>
    <t>Commercial Area Details : Shop</t>
  </si>
  <si>
    <t xml:space="preserve">We have updated approved Floor plans Ground Floor &amp; 1st Floor for Tower 1 (on 22/07/2023).
</t>
  </si>
  <si>
    <t>22000 to 29000</t>
  </si>
  <si>
    <t>SAnket</t>
  </si>
  <si>
    <t>Verbal</t>
  </si>
  <si>
    <t>Tower 1 to 4</t>
  </si>
  <si>
    <t>RERA Name &amp; No.</t>
  </si>
  <si>
    <t>6.0 KM from Thane Railway Station</t>
  </si>
  <si>
    <t>19.2347373,72.9881413</t>
  </si>
  <si>
    <t>As per Layout</t>
  </si>
  <si>
    <t>Other Plot</t>
  </si>
  <si>
    <t>Internal Road / Lodha Clariant Tower A- iThink</t>
  </si>
  <si>
    <t>40.0 M Wide Kolshet Road</t>
  </si>
  <si>
    <t>Building</t>
  </si>
  <si>
    <t>Internal Road/ Tower A</t>
  </si>
  <si>
    <t>MLCP/Tower 4</t>
  </si>
  <si>
    <t>4 Towers</t>
  </si>
  <si>
    <t>Total land area of the project in Sq. Mt. (Plot B2)</t>
  </si>
  <si>
    <t>Total Approved Builtup area of the project (Sq.Mt)
(Plot B2)</t>
  </si>
  <si>
    <t>Approved Builtup Area of Tower 1 to 4 (Sq.Mt)</t>
  </si>
  <si>
    <t>https://housing.com/in/buy/projects/page/279911-lodha-crown-kolshet-tower-3-by-lodha-group-in-azad-nagar</t>
  </si>
  <si>
    <t>24X7 Water Supply, Cycling &amp; Jogging Track, Internal Roads
Party Lawn, Video Door Security, CCTV, Lift(s), Paved Compound, Power Backup, Closed Car Parking, Jogging Track, Community Hall, Swimming Pool etc.</t>
  </si>
  <si>
    <t>Tower 3</t>
  </si>
  <si>
    <t>Meter Room Area</t>
  </si>
  <si>
    <t>Ground Floor For Residential &amp; (Part Meter Room, Society Office &amp; Parking Area)</t>
  </si>
  <si>
    <t xml:space="preserve">As per RERA - Tower 1 = 31/03/2026 
                      Tower 2 = 31/07/2027
                      Tower 3 = 30/09/2027
                      Tower 4 = 31/05/2026
                         </t>
  </si>
  <si>
    <t xml:space="preserve">O. Certificate No.: 
Approved upto :  
</t>
  </si>
  <si>
    <t>Grand Total</t>
  </si>
  <si>
    <t xml:space="preserve">Details of Residential &amp; Commercial in Building   </t>
  </si>
  <si>
    <t>Lodha Crown Kolshet­Tower 1 (P51700045858)
Lodha Crown Kolshet ­Tower 2 (P51700049074)
Lodha Crown Kolshet ­Tower 3 (P51700046319)
Lodha Crown Kolshet-Tower 4  (P51700046037)</t>
  </si>
  <si>
    <t>Gents &amp; Ledies Changing Room</t>
  </si>
  <si>
    <t>Tower 3 = Gr/St + 1st to 23rd Floor</t>
  </si>
  <si>
    <t>Lodha Crown Kolshet - Tower 1 to 4</t>
  </si>
  <si>
    <t xml:space="preserve">Environmental Clearance Certificate :
</t>
  </si>
  <si>
    <t>SEIAA-EC-0000000343</t>
  </si>
  <si>
    <t xml:space="preserve">We have updated Environment Clearance Certificate on 13/03/2024.
</t>
  </si>
  <si>
    <t>54/1, 55/14, 55/15,59/1, 60/1, 60/2/A, 60/2/B, 61/1, …….. 104/1B, 104/1C, 104/2, 274/1</t>
  </si>
  <si>
    <t>We considered Gross carpet area = Net carpet.</t>
  </si>
  <si>
    <t>Office No. 1031, Wing J, Akshar Business Park, Plot No. 03 Sector 25, Near APMC Market, Vashi, 
Navi Mumbai, Maharashtra 400703 TEL: 022-46090378/79/80
E mail : vsjcapf@gmail.com. Web site : www.vsjadon.com</t>
  </si>
  <si>
    <r>
      <t xml:space="preserve">Approved Floor plan No. 
</t>
    </r>
    <r>
      <rPr>
        <b/>
        <sz val="12"/>
        <color indexed="8"/>
        <rFont val="Times New Roman"/>
        <family val="1"/>
      </rPr>
      <t xml:space="preserve">(Tower 1 = 2nd to 23rd Floor &amp; Tower 4) </t>
    </r>
  </si>
  <si>
    <t>NewS05/0083/14/TMC/TDD/0157/(P/C)/2024/AutoDCR</t>
  </si>
  <si>
    <t xml:space="preserve">Tower 1 = Gr/Stilt + 1st to 23rd Floor
Tower 2 = Gr/Stilt + 1st to 23rd Floor
Tower 3 = Gr/St Floor
Tower 4 = Gr/Stilt + 1st to 6th (Part Parking + Part Resi.) + 7th to 23rd Floor 
</t>
  </si>
  <si>
    <r>
      <t xml:space="preserve">Approved Floor plan No.  
</t>
    </r>
    <r>
      <rPr>
        <b/>
        <sz val="12"/>
        <color indexed="8"/>
        <rFont val="Times New Roman"/>
        <family val="1"/>
      </rPr>
      <t xml:space="preserve">(Tower 3) </t>
    </r>
  </si>
  <si>
    <r>
      <t xml:space="preserve">Approved Floor plan No.  
</t>
    </r>
    <r>
      <rPr>
        <b/>
        <sz val="12"/>
        <color indexed="8"/>
        <rFont val="Times New Roman"/>
        <family val="1"/>
      </rPr>
      <t xml:space="preserve">(Tower 1= Gr + 1st Floor &amp; Tower 2) </t>
    </r>
  </si>
  <si>
    <t>check bua during next update</t>
  </si>
  <si>
    <t>-</t>
  </si>
  <si>
    <t>Society Office &amp; Telecom Room</t>
  </si>
  <si>
    <t>Entrance Lobby</t>
  </si>
  <si>
    <t xml:space="preserve">We have updated approved Floor plans of Tower 3 and CC for all Towers(on 15/10/2024).
</t>
  </si>
  <si>
    <t>In Tower 1 on 1st Floor, Tower 2 &amp; 3, Flat No. 13 is not mentioned on any floor in approved plan.</t>
  </si>
  <si>
    <t>Tower 1 = Gr/Stilt + 1st to 23rd Floor
Tower 2 = Gr/Stilt + 1st to 11th Floor
Tower 3 = Gr/Stilt + 1st to 23rd Floor
Tower 4 = Gr/Stilt + 1st to 7th Floor (Part Parking + Part Resi) + 8th to 23rd Floor</t>
  </si>
  <si>
    <t>Flats - 1418, Shop - 15</t>
  </si>
  <si>
    <t>Plot bearing S. No. 62, 63/1, 63/2, 63/3, 63/4, 63/5, 63/6, 63/7, 63/8,….274/1,60/8B, 60/9B, 60/10A,60/11B
Total BUA area (sq. m.): 1410519.89
BUA Area of (Plot B) - 11325 sqm</t>
  </si>
  <si>
    <t xml:space="preserve">Tower 1 to 4 = Construction work is in process at the time of Visit. Internal photographs not allowed.
Tower 3 = Excavation work is in the process.
</t>
  </si>
  <si>
    <t>60 Years After Completion</t>
  </si>
  <si>
    <t>Gaurav Panchal</t>
  </si>
  <si>
    <t>12000 to 12400 by bhargav Tower 2 Flat 1114 on 20/09/2025</t>
  </si>
  <si>
    <t xml:space="preserve">Recommended Rates / Other charges of the Property (Commercial) have been revised on 20/09/2025 on basis of Cost sheet.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</si>
</sst>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64" fontId="7" fillId="0" borderId="0" xfId="1" applyNumberFormat="1" applyFont="1"/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12" fillId="2" borderId="0" xfId="1" applyFont="1" applyFill="1"/>
    <xf numFmtId="14" fontId="12" fillId="2" borderId="0" xfId="1" applyNumberFormat="1" applyFont="1" applyFill="1"/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2" borderId="0" xfId="1" applyFont="1" applyFill="1"/>
    <xf numFmtId="0" fontId="15" fillId="2" borderId="0" xfId="1" applyFont="1" applyFill="1"/>
    <xf numFmtId="14" fontId="7" fillId="2" borderId="0" xfId="1" applyNumberFormat="1" applyFont="1" applyFill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26" fillId="0" borderId="0" xfId="10"/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Border="1" applyAlignment="1" applyProtection="1">
      <alignment horizontal="center" vertical="center" wrapText="1"/>
      <protection locked="0"/>
    </xf>
    <xf numFmtId="168" fontId="12" fillId="0" borderId="24" xfId="1" applyNumberFormat="1" applyFont="1" applyBorder="1" applyAlignment="1" applyProtection="1">
      <alignment horizontal="center" vertical="center" wrapText="1"/>
      <protection locked="0"/>
    </xf>
    <xf numFmtId="168" fontId="12" fillId="0" borderId="18" xfId="1" applyNumberFormat="1" applyFont="1" applyBorder="1" applyAlignment="1" applyProtection="1">
      <alignment horizontal="center" vertical="center" wrapText="1"/>
      <protection locked="0"/>
    </xf>
    <xf numFmtId="168" fontId="12" fillId="0" borderId="25" xfId="1" applyNumberFormat="1" applyFont="1" applyBorder="1" applyAlignment="1" applyProtection="1">
      <alignment horizontal="center" vertical="center" wrapText="1"/>
      <protection locked="0"/>
    </xf>
    <xf numFmtId="168" fontId="12" fillId="0" borderId="0" xfId="1" applyNumberFormat="1" applyFont="1" applyAlignment="1" applyProtection="1">
      <alignment horizontal="center" vertical="center" wrapText="1"/>
      <protection locked="0"/>
    </xf>
    <xf numFmtId="168" fontId="12" fillId="0" borderId="26" xfId="1" applyNumberFormat="1" applyFont="1" applyBorder="1" applyAlignment="1" applyProtection="1">
      <alignment horizontal="center" vertical="center" wrapText="1"/>
      <protection locked="0"/>
    </xf>
    <xf numFmtId="168" fontId="12" fillId="0" borderId="19" xfId="1" applyNumberFormat="1" applyFont="1" applyBorder="1" applyAlignment="1" applyProtection="1">
      <alignment horizontal="center" vertical="center" wrapText="1"/>
      <protection locked="0"/>
    </xf>
    <xf numFmtId="168" fontId="12" fillId="0" borderId="2" xfId="1" applyNumberFormat="1" applyFont="1" applyBorder="1" applyAlignment="1" applyProtection="1">
      <alignment horizontal="center" vertical="center" wrapText="1"/>
      <protection locked="0"/>
    </xf>
    <xf numFmtId="168" fontId="12" fillId="0" borderId="20" xfId="1" applyNumberFormat="1" applyFont="1" applyBorder="1" applyAlignment="1" applyProtection="1">
      <alignment horizontal="center" vertical="center" wrapText="1"/>
      <protection locked="0"/>
    </xf>
    <xf numFmtId="168" fontId="12" fillId="0" borderId="8" xfId="1" applyNumberFormat="1" applyFont="1" applyBorder="1" applyAlignment="1" applyProtection="1">
      <alignment horizontal="center" vertical="center" wrapText="1"/>
      <protection locked="0"/>
    </xf>
    <xf numFmtId="168" fontId="12" fillId="0" borderId="21" xfId="1" applyNumberFormat="1" applyFont="1" applyBorder="1" applyAlignment="1" applyProtection="1">
      <alignment horizontal="center" vertical="center" wrapText="1"/>
      <protection locked="0"/>
    </xf>
    <xf numFmtId="168" fontId="12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68" fontId="7" fillId="0" borderId="19" xfId="1" applyNumberFormat="1" applyFont="1" applyBorder="1" applyAlignment="1" applyProtection="1">
      <alignment horizontal="center" vertical="center" wrapText="1"/>
      <protection locked="0"/>
    </xf>
    <xf numFmtId="168" fontId="7" fillId="0" borderId="2" xfId="1" applyNumberFormat="1" applyFont="1" applyBorder="1" applyAlignment="1" applyProtection="1">
      <alignment horizontal="center" vertical="center" wrapText="1"/>
      <protection locked="0"/>
    </xf>
    <xf numFmtId="168" fontId="7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6" xfId="0" applyNumberFormat="1" applyFont="1" applyBorder="1" applyAlignment="1" applyProtection="1">
      <alignment horizontal="center" vertical="center"/>
      <protection locked="0"/>
    </xf>
    <xf numFmtId="1" fontId="10" fillId="0" borderId="37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4" fontId="7" fillId="0" borderId="8" xfId="1" applyNumberFormat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2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720D7"/>
      <color rgb="FFC23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5" Type="http://schemas.microsoft.com/office/2007/relationships/hdphoto" Target="../media/hdphoto1.wdp"/><Relationship Id="rId15" Type="http://schemas.openxmlformats.org/officeDocument/2006/relationships/image" Target="../media/image14.jpeg"/><Relationship Id="rId23" Type="http://schemas.openxmlformats.org/officeDocument/2006/relationships/image" Target="../media/image22.pn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png"/><Relationship Id="rId27" Type="http://schemas.openxmlformats.org/officeDocument/2006/relationships/image" Target="../media/image26.jpeg"/><Relationship Id="rId30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713378</xdr:colOff>
      <xdr:row>566</xdr:row>
      <xdr:rowOff>105828</xdr:rowOff>
    </xdr:from>
    <xdr:to>
      <xdr:col>7</xdr:col>
      <xdr:colOff>67236</xdr:colOff>
      <xdr:row>584</xdr:row>
      <xdr:rowOff>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3378" y="104163652"/>
          <a:ext cx="5057652" cy="35255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219075</xdr:colOff>
      <xdr:row>467</xdr:row>
      <xdr:rowOff>9525</xdr:rowOff>
    </xdr:from>
    <xdr:ext cx="364523" cy="31149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286875" y="80295750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T1</a:t>
          </a:r>
        </a:p>
      </xdr:txBody>
    </xdr:sp>
    <xdr:clientData/>
  </xdr:oneCellAnchor>
  <xdr:oneCellAnchor>
    <xdr:from>
      <xdr:col>11</xdr:col>
      <xdr:colOff>547158</xdr:colOff>
      <xdr:row>465</xdr:row>
      <xdr:rowOff>9525</xdr:rowOff>
    </xdr:from>
    <xdr:ext cx="364523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700683" y="58569225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T2</a:t>
          </a:r>
        </a:p>
      </xdr:txBody>
    </xdr:sp>
    <xdr:clientData/>
  </xdr:oneCellAnchor>
  <xdr:oneCellAnchor>
    <xdr:from>
      <xdr:col>9</xdr:col>
      <xdr:colOff>419100</xdr:colOff>
      <xdr:row>510</xdr:row>
      <xdr:rowOff>85725</xdr:rowOff>
    </xdr:from>
    <xdr:ext cx="364523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105775" y="83800950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T1</a:t>
          </a:r>
        </a:p>
      </xdr:txBody>
    </xdr:sp>
    <xdr:clientData/>
  </xdr:oneCellAnchor>
  <xdr:oneCellAnchor>
    <xdr:from>
      <xdr:col>11</xdr:col>
      <xdr:colOff>547158</xdr:colOff>
      <xdr:row>506</xdr:row>
      <xdr:rowOff>9525</xdr:rowOff>
    </xdr:from>
    <xdr:ext cx="364523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700683" y="72971025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T2</a:t>
          </a:r>
        </a:p>
      </xdr:txBody>
    </xdr:sp>
    <xdr:clientData/>
  </xdr:oneCellAnchor>
  <xdr:oneCellAnchor>
    <xdr:from>
      <xdr:col>10</xdr:col>
      <xdr:colOff>219075</xdr:colOff>
      <xdr:row>434</xdr:row>
      <xdr:rowOff>66675</xdr:rowOff>
    </xdr:from>
    <xdr:ext cx="364523" cy="31149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286875" y="80295750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T1</a:t>
          </a:r>
        </a:p>
      </xdr:txBody>
    </xdr:sp>
    <xdr:clientData/>
  </xdr:oneCellAnchor>
  <xdr:oneCellAnchor>
    <xdr:from>
      <xdr:col>10</xdr:col>
      <xdr:colOff>371475</xdr:colOff>
      <xdr:row>435</xdr:row>
      <xdr:rowOff>19050</xdr:rowOff>
    </xdr:from>
    <xdr:ext cx="364523" cy="31149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439275" y="80448150"/>
          <a:ext cx="364523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T1</a:t>
          </a:r>
        </a:p>
      </xdr:txBody>
    </xdr:sp>
    <xdr:clientData/>
  </xdr:oneCellAnchor>
  <xdr:twoCellAnchor>
    <xdr:from>
      <xdr:col>8</xdr:col>
      <xdr:colOff>657225</xdr:colOff>
      <xdr:row>490</xdr:row>
      <xdr:rowOff>47625</xdr:rowOff>
    </xdr:from>
    <xdr:to>
      <xdr:col>9</xdr:col>
      <xdr:colOff>695325</xdr:colOff>
      <xdr:row>492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81850" y="89401650"/>
          <a:ext cx="120015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T1</a:t>
          </a:r>
        </a:p>
      </xdr:txBody>
    </xdr:sp>
    <xdr:clientData/>
  </xdr:twoCellAnchor>
  <xdr:twoCellAnchor>
    <xdr:from>
      <xdr:col>11</xdr:col>
      <xdr:colOff>200025</xdr:colOff>
      <xdr:row>467</xdr:row>
      <xdr:rowOff>180975</xdr:rowOff>
    </xdr:from>
    <xdr:to>
      <xdr:col>12</xdr:col>
      <xdr:colOff>638175</xdr:colOff>
      <xdr:row>470</xdr:row>
      <xdr:rowOff>114300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020300" y="87563325"/>
          <a:ext cx="128587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T4</a:t>
          </a:r>
        </a:p>
      </xdr:txBody>
    </xdr:sp>
    <xdr:clientData/>
  </xdr:twoCellAnchor>
  <xdr:twoCellAnchor>
    <xdr:from>
      <xdr:col>8</xdr:col>
      <xdr:colOff>495300</xdr:colOff>
      <xdr:row>482</xdr:row>
      <xdr:rowOff>190500</xdr:rowOff>
    </xdr:from>
    <xdr:to>
      <xdr:col>10</xdr:col>
      <xdr:colOff>228600</xdr:colOff>
      <xdr:row>485</xdr:row>
      <xdr:rowOff>123825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019925" y="87953850"/>
          <a:ext cx="165735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4th Floor</a:t>
          </a:r>
        </a:p>
      </xdr:txBody>
    </xdr:sp>
    <xdr:clientData/>
  </xdr:twoCellAnchor>
  <xdr:twoCellAnchor>
    <xdr:from>
      <xdr:col>9</xdr:col>
      <xdr:colOff>723900</xdr:colOff>
      <xdr:row>477</xdr:row>
      <xdr:rowOff>104775</xdr:rowOff>
    </xdr:from>
    <xdr:to>
      <xdr:col>12</xdr:col>
      <xdr:colOff>104775</xdr:colOff>
      <xdr:row>480</xdr:row>
      <xdr:rowOff>28575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972550" y="89077800"/>
          <a:ext cx="180022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2nd Floor</a:t>
          </a:r>
        </a:p>
      </xdr:txBody>
    </xdr:sp>
    <xdr:clientData/>
  </xdr:twoCellAnchor>
  <xdr:twoCellAnchor>
    <xdr:from>
      <xdr:col>9</xdr:col>
      <xdr:colOff>628650</xdr:colOff>
      <xdr:row>468</xdr:row>
      <xdr:rowOff>57150</xdr:rowOff>
    </xdr:from>
    <xdr:to>
      <xdr:col>11</xdr:col>
      <xdr:colOff>390525</xdr:colOff>
      <xdr:row>470</xdr:row>
      <xdr:rowOff>190500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315325" y="88220550"/>
          <a:ext cx="122872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T1</a:t>
          </a:r>
        </a:p>
      </xdr:txBody>
    </xdr:sp>
    <xdr:clientData/>
  </xdr:twoCellAnchor>
  <xdr:twoCellAnchor>
    <xdr:from>
      <xdr:col>9</xdr:col>
      <xdr:colOff>504825</xdr:colOff>
      <xdr:row>482</xdr:row>
      <xdr:rowOff>171450</xdr:rowOff>
    </xdr:from>
    <xdr:to>
      <xdr:col>11</xdr:col>
      <xdr:colOff>209550</xdr:colOff>
      <xdr:row>485</xdr:row>
      <xdr:rowOff>95250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401050" y="97497900"/>
          <a:ext cx="117157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T4</a:t>
          </a:r>
        </a:p>
      </xdr:txBody>
    </xdr:sp>
    <xdr:clientData/>
  </xdr:twoCellAnchor>
  <xdr:twoCellAnchor>
    <xdr:from>
      <xdr:col>9</xdr:col>
      <xdr:colOff>438150</xdr:colOff>
      <xdr:row>476</xdr:row>
      <xdr:rowOff>0</xdr:rowOff>
    </xdr:from>
    <xdr:to>
      <xdr:col>11</xdr:col>
      <xdr:colOff>685800</xdr:colOff>
      <xdr:row>478</xdr:row>
      <xdr:rowOff>123825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124825" y="89354025"/>
          <a:ext cx="171450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4th Floor</a:t>
          </a:r>
        </a:p>
      </xdr:txBody>
    </xdr:sp>
    <xdr:clientData/>
  </xdr:twoCellAnchor>
  <xdr:twoCellAnchor>
    <xdr:from>
      <xdr:col>11</xdr:col>
      <xdr:colOff>266700</xdr:colOff>
      <xdr:row>472</xdr:row>
      <xdr:rowOff>152400</xdr:rowOff>
    </xdr:from>
    <xdr:to>
      <xdr:col>13</xdr:col>
      <xdr:colOff>361950</xdr:colOff>
      <xdr:row>477</xdr:row>
      <xdr:rowOff>76200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420225" y="89506425"/>
          <a:ext cx="167640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7th Floor</a:t>
          </a:r>
        </a:p>
      </xdr:txBody>
    </xdr:sp>
    <xdr:clientData/>
  </xdr:twoCellAnchor>
  <xdr:twoCellAnchor>
    <xdr:from>
      <xdr:col>9</xdr:col>
      <xdr:colOff>9525</xdr:colOff>
      <xdr:row>501</xdr:row>
      <xdr:rowOff>133350</xdr:rowOff>
    </xdr:from>
    <xdr:to>
      <xdr:col>10</xdr:col>
      <xdr:colOff>447675</xdr:colOff>
      <xdr:row>504</xdr:row>
      <xdr:rowOff>57150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696200" y="91687650"/>
          <a:ext cx="120015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T2</a:t>
          </a:r>
        </a:p>
      </xdr:txBody>
    </xdr:sp>
    <xdr:clientData/>
  </xdr:twoCellAnchor>
  <xdr:twoCellAnchor>
    <xdr:from>
      <xdr:col>0</xdr:col>
      <xdr:colOff>666750</xdr:colOff>
      <xdr:row>545</xdr:row>
      <xdr:rowOff>160313</xdr:rowOff>
    </xdr:from>
    <xdr:to>
      <xdr:col>7</xdr:col>
      <xdr:colOff>57150</xdr:colOff>
      <xdr:row>563</xdr:row>
      <xdr:rowOff>77880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66750" y="120965888"/>
          <a:ext cx="5086350" cy="3518017"/>
          <a:chOff x="238125" y="96533219"/>
          <a:chExt cx="5830613" cy="5781706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38125" y="96554925"/>
            <a:ext cx="5830613" cy="57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 rot="2168434">
            <a:off x="2264968" y="100411073"/>
            <a:ext cx="443347" cy="1149880"/>
          </a:xfrm>
          <a:prstGeom prst="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2743584" y="97017267"/>
            <a:ext cx="1190625" cy="571500"/>
          </a:xfrm>
          <a:prstGeom prst="rect">
            <a:avLst/>
          </a:prstGeom>
          <a:noFill/>
          <a:ln w="3810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 rot="18418661">
            <a:off x="2013331" y="101017529"/>
            <a:ext cx="1626077" cy="3204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Tower 1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 rot="17925820">
            <a:off x="3378768" y="98566592"/>
            <a:ext cx="1574949" cy="3204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Tower 3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2869727" y="96533219"/>
            <a:ext cx="1091691" cy="45657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Tower 4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2162314">
            <a:off x="2869185" y="99336404"/>
            <a:ext cx="440448" cy="1148638"/>
          </a:xfrm>
          <a:prstGeom prst="rect">
            <a:avLst/>
          </a:prstGeom>
          <a:noFill/>
          <a:ln w="38100">
            <a:solidFill>
              <a:srgbClr val="0720D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 rot="463005">
            <a:off x="3348075" y="97943438"/>
            <a:ext cx="767587" cy="1498230"/>
          </a:xfrm>
          <a:custGeom>
            <a:avLst/>
            <a:gdLst>
              <a:gd name="connsiteX0" fmla="*/ 588065 w 985630"/>
              <a:gd name="connsiteY0" fmla="*/ 0 h 1374913"/>
              <a:gd name="connsiteX1" fmla="*/ 588065 w 985630"/>
              <a:gd name="connsiteY1" fmla="*/ 0 h 1374913"/>
              <a:gd name="connsiteX2" fmla="*/ 985630 w 985630"/>
              <a:gd name="connsiteY2" fmla="*/ 24848 h 1374913"/>
              <a:gd name="connsiteX3" fmla="*/ 886239 w 985630"/>
              <a:gd name="connsiteY3" fmla="*/ 505239 h 1374913"/>
              <a:gd name="connsiteX4" fmla="*/ 397565 w 985630"/>
              <a:gd name="connsiteY4" fmla="*/ 1374913 h 1374913"/>
              <a:gd name="connsiteX5" fmla="*/ 0 w 985630"/>
              <a:gd name="connsiteY5" fmla="*/ 1159565 h 1374913"/>
              <a:gd name="connsiteX6" fmla="*/ 521804 w 985630"/>
              <a:gd name="connsiteY6" fmla="*/ 306456 h 1374913"/>
              <a:gd name="connsiteX7" fmla="*/ 530087 w 985630"/>
              <a:gd name="connsiteY7" fmla="*/ 8283 h 1374913"/>
              <a:gd name="connsiteX8" fmla="*/ 753717 w 985630"/>
              <a:gd name="connsiteY8" fmla="*/ 16565 h 1374913"/>
              <a:gd name="connsiteX9" fmla="*/ 935935 w 985630"/>
              <a:gd name="connsiteY9" fmla="*/ 33130 h 1374913"/>
              <a:gd name="connsiteX0" fmla="*/ 494439 w 892004"/>
              <a:gd name="connsiteY0" fmla="*/ 0 h 1374913"/>
              <a:gd name="connsiteX1" fmla="*/ 494439 w 892004"/>
              <a:gd name="connsiteY1" fmla="*/ 0 h 1374913"/>
              <a:gd name="connsiteX2" fmla="*/ 892004 w 892004"/>
              <a:gd name="connsiteY2" fmla="*/ 24848 h 1374913"/>
              <a:gd name="connsiteX3" fmla="*/ 792613 w 892004"/>
              <a:gd name="connsiteY3" fmla="*/ 505239 h 1374913"/>
              <a:gd name="connsiteX4" fmla="*/ 303939 w 892004"/>
              <a:gd name="connsiteY4" fmla="*/ 1374913 h 1374913"/>
              <a:gd name="connsiteX5" fmla="*/ 0 w 892004"/>
              <a:gd name="connsiteY5" fmla="*/ 1190086 h 1374913"/>
              <a:gd name="connsiteX6" fmla="*/ 428178 w 892004"/>
              <a:gd name="connsiteY6" fmla="*/ 306456 h 1374913"/>
              <a:gd name="connsiteX7" fmla="*/ 436461 w 892004"/>
              <a:gd name="connsiteY7" fmla="*/ 8283 h 1374913"/>
              <a:gd name="connsiteX8" fmla="*/ 660091 w 892004"/>
              <a:gd name="connsiteY8" fmla="*/ 16565 h 1374913"/>
              <a:gd name="connsiteX9" fmla="*/ 842309 w 892004"/>
              <a:gd name="connsiteY9" fmla="*/ 33130 h 1374913"/>
              <a:gd name="connsiteX0" fmla="*/ 494439 w 892004"/>
              <a:gd name="connsiteY0" fmla="*/ 0 h 1432611"/>
              <a:gd name="connsiteX1" fmla="*/ 494439 w 892004"/>
              <a:gd name="connsiteY1" fmla="*/ 0 h 1432611"/>
              <a:gd name="connsiteX2" fmla="*/ 892004 w 892004"/>
              <a:gd name="connsiteY2" fmla="*/ 24848 h 1432611"/>
              <a:gd name="connsiteX3" fmla="*/ 792613 w 892004"/>
              <a:gd name="connsiteY3" fmla="*/ 505239 h 1432611"/>
              <a:gd name="connsiteX4" fmla="*/ 309957 w 892004"/>
              <a:gd name="connsiteY4" fmla="*/ 1432611 h 1432611"/>
              <a:gd name="connsiteX5" fmla="*/ 0 w 892004"/>
              <a:gd name="connsiteY5" fmla="*/ 1190086 h 1432611"/>
              <a:gd name="connsiteX6" fmla="*/ 428178 w 892004"/>
              <a:gd name="connsiteY6" fmla="*/ 306456 h 1432611"/>
              <a:gd name="connsiteX7" fmla="*/ 436461 w 892004"/>
              <a:gd name="connsiteY7" fmla="*/ 8283 h 1432611"/>
              <a:gd name="connsiteX8" fmla="*/ 660091 w 892004"/>
              <a:gd name="connsiteY8" fmla="*/ 16565 h 1432611"/>
              <a:gd name="connsiteX9" fmla="*/ 842309 w 892004"/>
              <a:gd name="connsiteY9" fmla="*/ 33130 h 1432611"/>
              <a:gd name="connsiteX0" fmla="*/ 494439 w 892004"/>
              <a:gd name="connsiteY0" fmla="*/ 0 h 1432611"/>
              <a:gd name="connsiteX1" fmla="*/ 494439 w 892004"/>
              <a:gd name="connsiteY1" fmla="*/ 0 h 1432611"/>
              <a:gd name="connsiteX2" fmla="*/ 892004 w 892004"/>
              <a:gd name="connsiteY2" fmla="*/ 24848 h 1432611"/>
              <a:gd name="connsiteX3" fmla="*/ 763563 w 892004"/>
              <a:gd name="connsiteY3" fmla="*/ 486851 h 1432611"/>
              <a:gd name="connsiteX4" fmla="*/ 309957 w 892004"/>
              <a:gd name="connsiteY4" fmla="*/ 1432611 h 1432611"/>
              <a:gd name="connsiteX5" fmla="*/ 0 w 892004"/>
              <a:gd name="connsiteY5" fmla="*/ 1190086 h 1432611"/>
              <a:gd name="connsiteX6" fmla="*/ 428178 w 892004"/>
              <a:gd name="connsiteY6" fmla="*/ 306456 h 1432611"/>
              <a:gd name="connsiteX7" fmla="*/ 436461 w 892004"/>
              <a:gd name="connsiteY7" fmla="*/ 8283 h 1432611"/>
              <a:gd name="connsiteX8" fmla="*/ 660091 w 892004"/>
              <a:gd name="connsiteY8" fmla="*/ 16565 h 1432611"/>
              <a:gd name="connsiteX9" fmla="*/ 842309 w 892004"/>
              <a:gd name="connsiteY9" fmla="*/ 33130 h 1432611"/>
              <a:gd name="connsiteX0" fmla="*/ 494439 w 892004"/>
              <a:gd name="connsiteY0" fmla="*/ 0 h 1432611"/>
              <a:gd name="connsiteX1" fmla="*/ 494439 w 892004"/>
              <a:gd name="connsiteY1" fmla="*/ 0 h 1432611"/>
              <a:gd name="connsiteX2" fmla="*/ 892004 w 892004"/>
              <a:gd name="connsiteY2" fmla="*/ 24848 h 1432611"/>
              <a:gd name="connsiteX3" fmla="*/ 763563 w 892004"/>
              <a:gd name="connsiteY3" fmla="*/ 486851 h 1432611"/>
              <a:gd name="connsiteX4" fmla="*/ 309957 w 892004"/>
              <a:gd name="connsiteY4" fmla="*/ 1432611 h 1432611"/>
              <a:gd name="connsiteX5" fmla="*/ 0 w 892004"/>
              <a:gd name="connsiteY5" fmla="*/ 1190086 h 1432611"/>
              <a:gd name="connsiteX6" fmla="*/ 428178 w 892004"/>
              <a:gd name="connsiteY6" fmla="*/ 306456 h 1432611"/>
              <a:gd name="connsiteX7" fmla="*/ 436461 w 892004"/>
              <a:gd name="connsiteY7" fmla="*/ 8283 h 1432611"/>
              <a:gd name="connsiteX8" fmla="*/ 660091 w 892004"/>
              <a:gd name="connsiteY8" fmla="*/ 16565 h 1432611"/>
              <a:gd name="connsiteX9" fmla="*/ 778938 w 892004"/>
              <a:gd name="connsiteY9" fmla="*/ 32536 h 1432611"/>
              <a:gd name="connsiteX0" fmla="*/ 494439 w 820955"/>
              <a:gd name="connsiteY0" fmla="*/ 0 h 1432611"/>
              <a:gd name="connsiteX1" fmla="*/ 494439 w 820955"/>
              <a:gd name="connsiteY1" fmla="*/ 0 h 1432611"/>
              <a:gd name="connsiteX2" fmla="*/ 820955 w 820955"/>
              <a:gd name="connsiteY2" fmla="*/ 37357 h 1432611"/>
              <a:gd name="connsiteX3" fmla="*/ 763563 w 820955"/>
              <a:gd name="connsiteY3" fmla="*/ 486851 h 1432611"/>
              <a:gd name="connsiteX4" fmla="*/ 309957 w 820955"/>
              <a:gd name="connsiteY4" fmla="*/ 1432611 h 1432611"/>
              <a:gd name="connsiteX5" fmla="*/ 0 w 820955"/>
              <a:gd name="connsiteY5" fmla="*/ 1190086 h 1432611"/>
              <a:gd name="connsiteX6" fmla="*/ 428178 w 820955"/>
              <a:gd name="connsiteY6" fmla="*/ 306456 h 1432611"/>
              <a:gd name="connsiteX7" fmla="*/ 436461 w 820955"/>
              <a:gd name="connsiteY7" fmla="*/ 8283 h 1432611"/>
              <a:gd name="connsiteX8" fmla="*/ 660091 w 820955"/>
              <a:gd name="connsiteY8" fmla="*/ 16565 h 1432611"/>
              <a:gd name="connsiteX9" fmla="*/ 778938 w 820955"/>
              <a:gd name="connsiteY9" fmla="*/ 32536 h 143261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0955" h="1432611">
                <a:moveTo>
                  <a:pt x="494439" y="0"/>
                </a:moveTo>
                <a:lnTo>
                  <a:pt x="494439" y="0"/>
                </a:lnTo>
                <a:lnTo>
                  <a:pt x="820955" y="37357"/>
                </a:lnTo>
                <a:lnTo>
                  <a:pt x="763563" y="486851"/>
                </a:lnTo>
                <a:lnTo>
                  <a:pt x="309957" y="1432611"/>
                </a:lnTo>
                <a:lnTo>
                  <a:pt x="0" y="1190086"/>
                </a:lnTo>
                <a:lnTo>
                  <a:pt x="428178" y="306456"/>
                </a:lnTo>
                <a:lnTo>
                  <a:pt x="436461" y="8283"/>
                </a:lnTo>
                <a:lnTo>
                  <a:pt x="660091" y="16565"/>
                </a:lnTo>
                <a:lnTo>
                  <a:pt x="778938" y="32536"/>
                </a:lnTo>
              </a:path>
            </a:pathLst>
          </a:custGeom>
          <a:noFill/>
          <a:ln w="38100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 rot="17925820">
            <a:off x="2665849" y="99957444"/>
            <a:ext cx="1556681" cy="32046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>
                <a:solidFill>
                  <a:srgbClr val="FF0000"/>
                </a:solidFill>
              </a:rPr>
              <a:t>Tower 2</a:t>
            </a:r>
          </a:p>
        </xdr:txBody>
      </xdr:sp>
    </xdr:grpSp>
    <xdr:clientData/>
  </xdr:twoCellAnchor>
  <xdr:twoCellAnchor>
    <xdr:from>
      <xdr:col>0</xdr:col>
      <xdr:colOff>392207</xdr:colOff>
      <xdr:row>584</xdr:row>
      <xdr:rowOff>168089</xdr:rowOff>
    </xdr:from>
    <xdr:to>
      <xdr:col>7</xdr:col>
      <xdr:colOff>346263</xdr:colOff>
      <xdr:row>605</xdr:row>
      <xdr:rowOff>118053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392207" y="128774639"/>
          <a:ext cx="5650006" cy="4150489"/>
          <a:chOff x="533400" y="4387334"/>
          <a:chExt cx="5695950" cy="4316522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33400" y="4387334"/>
            <a:ext cx="5695950" cy="4316522"/>
          </a:xfrm>
          <a:prstGeom prst="rect">
            <a:avLst/>
          </a:prstGeom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 rot="1396705">
            <a:off x="3092831" y="7083569"/>
            <a:ext cx="148382" cy="537026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 rot="1396705">
            <a:off x="3321839" y="6546565"/>
            <a:ext cx="148382" cy="553561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2" name="Freeform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 rot="21365700">
            <a:off x="3438524" y="6032500"/>
            <a:ext cx="351256" cy="549275"/>
          </a:xfrm>
          <a:custGeom>
            <a:avLst/>
            <a:gdLst>
              <a:gd name="connsiteX0" fmla="*/ 588065 w 985630"/>
              <a:gd name="connsiteY0" fmla="*/ 0 h 1374913"/>
              <a:gd name="connsiteX1" fmla="*/ 588065 w 985630"/>
              <a:gd name="connsiteY1" fmla="*/ 0 h 1374913"/>
              <a:gd name="connsiteX2" fmla="*/ 985630 w 985630"/>
              <a:gd name="connsiteY2" fmla="*/ 24848 h 1374913"/>
              <a:gd name="connsiteX3" fmla="*/ 886239 w 985630"/>
              <a:gd name="connsiteY3" fmla="*/ 505239 h 1374913"/>
              <a:gd name="connsiteX4" fmla="*/ 397565 w 985630"/>
              <a:gd name="connsiteY4" fmla="*/ 1374913 h 1374913"/>
              <a:gd name="connsiteX5" fmla="*/ 0 w 985630"/>
              <a:gd name="connsiteY5" fmla="*/ 1159565 h 1374913"/>
              <a:gd name="connsiteX6" fmla="*/ 521804 w 985630"/>
              <a:gd name="connsiteY6" fmla="*/ 306456 h 1374913"/>
              <a:gd name="connsiteX7" fmla="*/ 530087 w 985630"/>
              <a:gd name="connsiteY7" fmla="*/ 8283 h 1374913"/>
              <a:gd name="connsiteX8" fmla="*/ 753717 w 985630"/>
              <a:gd name="connsiteY8" fmla="*/ 16565 h 1374913"/>
              <a:gd name="connsiteX9" fmla="*/ 935935 w 985630"/>
              <a:gd name="connsiteY9" fmla="*/ 33130 h 1374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985630" h="1374913">
                <a:moveTo>
                  <a:pt x="588065" y="0"/>
                </a:moveTo>
                <a:lnTo>
                  <a:pt x="588065" y="0"/>
                </a:lnTo>
                <a:lnTo>
                  <a:pt x="985630" y="24848"/>
                </a:lnTo>
                <a:lnTo>
                  <a:pt x="886239" y="505239"/>
                </a:lnTo>
                <a:lnTo>
                  <a:pt x="397565" y="1374913"/>
                </a:lnTo>
                <a:lnTo>
                  <a:pt x="0" y="1159565"/>
                </a:lnTo>
                <a:lnTo>
                  <a:pt x="521804" y="306456"/>
                </a:lnTo>
                <a:lnTo>
                  <a:pt x="530087" y="8283"/>
                </a:lnTo>
                <a:lnTo>
                  <a:pt x="753717" y="16565"/>
                </a:lnTo>
                <a:lnTo>
                  <a:pt x="935935" y="33130"/>
                </a:lnTo>
              </a:path>
            </a:pathLst>
          </a:cu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3218493" y="5613559"/>
            <a:ext cx="512037" cy="172199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4" name="Text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 rot="17847134">
            <a:off x="2678924" y="7157675"/>
            <a:ext cx="674369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1</a:t>
            </a:r>
            <a:endParaRPr lang="en-IN" sz="9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5" name="Text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 rot="17847134">
            <a:off x="2913434" y="6594030"/>
            <a:ext cx="674369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2</a:t>
            </a:r>
            <a:endParaRPr lang="en-IN" sz="9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6" name="TextBox 11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 rot="17847134">
            <a:off x="3139174" y="6125259"/>
            <a:ext cx="674369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3</a:t>
            </a:r>
            <a:endParaRPr lang="en-IN" sz="9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7" name="TextBox 12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3153296" y="5418185"/>
            <a:ext cx="674369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4</a:t>
            </a:r>
            <a:endParaRPr lang="en-IN" sz="9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2</xdr:col>
      <xdr:colOff>533401</xdr:colOff>
      <xdr:row>532</xdr:row>
      <xdr:rowOff>6582</xdr:rowOff>
    </xdr:from>
    <xdr:to>
      <xdr:col>5</xdr:col>
      <xdr:colOff>114300</xdr:colOff>
      <xdr:row>545</xdr:row>
      <xdr:rowOff>322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1" y="96694857"/>
          <a:ext cx="2152649" cy="2594063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623046</xdr:colOff>
      <xdr:row>330</xdr:row>
      <xdr:rowOff>77881</xdr:rowOff>
    </xdr:from>
    <xdr:to>
      <xdr:col>15</xdr:col>
      <xdr:colOff>363668</xdr:colOff>
      <xdr:row>343</xdr:row>
      <xdr:rowOff>97298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09721" y="74668156"/>
          <a:ext cx="4284047" cy="2619741"/>
        </a:xfrm>
        <a:prstGeom prst="rect">
          <a:avLst/>
        </a:prstGeom>
      </xdr:spPr>
    </xdr:pic>
    <xdr:clientData/>
  </xdr:twoCellAnchor>
  <xdr:twoCellAnchor editAs="oneCell">
    <xdr:from>
      <xdr:col>8</xdr:col>
      <xdr:colOff>727263</xdr:colOff>
      <xdr:row>49</xdr:row>
      <xdr:rowOff>412792</xdr:rowOff>
    </xdr:from>
    <xdr:to>
      <xdr:col>20</xdr:col>
      <xdr:colOff>500586</xdr:colOff>
      <xdr:row>51</xdr:row>
      <xdr:rowOff>427505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51888" y="12814342"/>
          <a:ext cx="8698248" cy="129498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441</xdr:row>
      <xdr:rowOff>66675</xdr:rowOff>
    </xdr:from>
    <xdr:to>
      <xdr:col>9</xdr:col>
      <xdr:colOff>9525</xdr:colOff>
      <xdr:row>443</xdr:row>
      <xdr:rowOff>190500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734175" y="88620600"/>
          <a:ext cx="1171575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T4</a:t>
          </a:r>
        </a:p>
      </xdr:txBody>
    </xdr:sp>
    <xdr:clientData/>
  </xdr:twoCellAnchor>
  <xdr:twoCellAnchor>
    <xdr:from>
      <xdr:col>8</xdr:col>
      <xdr:colOff>266700</xdr:colOff>
      <xdr:row>488</xdr:row>
      <xdr:rowOff>123825</xdr:rowOff>
    </xdr:from>
    <xdr:to>
      <xdr:col>16</xdr:col>
      <xdr:colOff>382503</xdr:colOff>
      <xdr:row>515</xdr:row>
      <xdr:rowOff>8651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143750" y="109537500"/>
          <a:ext cx="6602328" cy="5275976"/>
          <a:chOff x="66675" y="110328075"/>
          <a:chExt cx="6602328" cy="5275976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66675" y="110432850"/>
            <a:ext cx="6602328" cy="5171201"/>
            <a:chOff x="66675" y="98907600"/>
            <a:chExt cx="6602328" cy="5171201"/>
          </a:xfrm>
        </xdr:grpSpPr>
        <xdr:pic>
          <xdr:nvPicPr>
            <xdr:cNvPr id="50" name="Picture 49" descr="insp-202029-1525.jpg (959×1280)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6023" y="101918801"/>
              <a:ext cx="161831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insp-202029-843.jpg (959×1280)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675" y="98948143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insp-202029-845.jpg (1079×810)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27275" y="101918801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insp-202029-847.jpg (959×1280)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11253" y="98907600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insp-202029-849.jpg (959×1280)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7548" y="101918801"/>
              <a:ext cx="161831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insp-202029-851.jpg (959×1280)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88964" y="98907600"/>
              <a:ext cx="2157750" cy="288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4810125" y="110337600"/>
            <a:ext cx="1171575" cy="5238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T4</a:t>
            </a: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2905125" y="110328075"/>
            <a:ext cx="1171575" cy="5238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T2</a:t>
            </a: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66675" y="110432849"/>
            <a:ext cx="631548" cy="52419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T1</a:t>
            </a:r>
          </a:p>
        </xdr:txBody>
      </xdr:sp>
    </xdr:grpSp>
    <xdr:clientData/>
  </xdr:twoCellAnchor>
  <xdr:twoCellAnchor>
    <xdr:from>
      <xdr:col>8</xdr:col>
      <xdr:colOff>212725</xdr:colOff>
      <xdr:row>489</xdr:row>
      <xdr:rowOff>22225</xdr:rowOff>
    </xdr:from>
    <xdr:to>
      <xdr:col>15</xdr:col>
      <xdr:colOff>664741</xdr:colOff>
      <xdr:row>514</xdr:row>
      <xdr:rowOff>176150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089775" y="109635925"/>
          <a:ext cx="6157491" cy="5145025"/>
          <a:chOff x="374650" y="108057950"/>
          <a:chExt cx="6436891" cy="5065650"/>
        </a:xfrm>
      </xdr:grpSpPr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3228" y="1109636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10810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1678" y="10810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4428" y="1109636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1109636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8164" y="108102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1314450" y="108115100"/>
            <a:ext cx="660400" cy="51598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T1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5142678" y="108057950"/>
            <a:ext cx="660400" cy="51598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T2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539750" y="110919150"/>
            <a:ext cx="660400" cy="51598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2800" b="1">
                <a:solidFill>
                  <a:srgbClr val="C00000"/>
                </a:solidFill>
              </a:rPr>
              <a:t>T4</a:t>
            </a:r>
          </a:p>
        </xdr:txBody>
      </xdr:sp>
    </xdr:grpSp>
    <xdr:clientData/>
  </xdr:twoCellAnchor>
  <xdr:twoCellAnchor editAs="oneCell">
    <xdr:from>
      <xdr:col>8</xdr:col>
      <xdr:colOff>533400</xdr:colOff>
      <xdr:row>69</xdr:row>
      <xdr:rowOff>1</xdr:rowOff>
    </xdr:from>
    <xdr:to>
      <xdr:col>12</xdr:col>
      <xdr:colOff>713925</xdr:colOff>
      <xdr:row>82</xdr:row>
      <xdr:rowOff>188993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B20F5-B91D-47A2-AD46-D64A81E29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0450" y="21412201"/>
          <a:ext cx="3600000" cy="3036967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86</xdr:row>
      <xdr:rowOff>142875</xdr:rowOff>
    </xdr:from>
    <xdr:to>
      <xdr:col>12</xdr:col>
      <xdr:colOff>590100</xdr:colOff>
      <xdr:row>101</xdr:row>
      <xdr:rowOff>110801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2BE7801-EFC2-4C8D-80D3-523AC497A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6625" y="25212675"/>
          <a:ext cx="3600000" cy="3187376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101</xdr:row>
      <xdr:rowOff>152400</xdr:rowOff>
    </xdr:from>
    <xdr:to>
      <xdr:col>13</xdr:col>
      <xdr:colOff>567150</xdr:colOff>
      <xdr:row>120</xdr:row>
      <xdr:rowOff>10814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56C346B-141C-4C98-B8D6-0A9E6ADB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34250" y="28441650"/>
          <a:ext cx="4320000" cy="3897014"/>
        </a:xfrm>
        <a:prstGeom prst="rect">
          <a:avLst/>
        </a:prstGeom>
      </xdr:spPr>
    </xdr:pic>
    <xdr:clientData/>
  </xdr:twoCellAnchor>
  <xdr:twoCellAnchor editAs="oneCell">
    <xdr:from>
      <xdr:col>12</xdr:col>
      <xdr:colOff>704850</xdr:colOff>
      <xdr:row>120</xdr:row>
      <xdr:rowOff>123825</xdr:rowOff>
    </xdr:from>
    <xdr:to>
      <xdr:col>19</xdr:col>
      <xdr:colOff>489000</xdr:colOff>
      <xdr:row>147</xdr:row>
      <xdr:rowOff>97058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CDA7A9-712D-468E-B985-4ED7AB36B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01375" y="32451675"/>
          <a:ext cx="4680000" cy="4183283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490</xdr:row>
      <xdr:rowOff>142874</xdr:rowOff>
    </xdr:from>
    <xdr:to>
      <xdr:col>7</xdr:col>
      <xdr:colOff>942975</xdr:colOff>
      <xdr:row>517</xdr:row>
      <xdr:rowOff>53999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B85E2787-D78C-44DA-8E45-61DF6F52A18E}"/>
            </a:ext>
          </a:extLst>
        </xdr:cNvPr>
        <xdr:cNvGrpSpPr/>
      </xdr:nvGrpSpPr>
      <xdr:grpSpPr>
        <a:xfrm>
          <a:off x="209550" y="109956599"/>
          <a:ext cx="6429375" cy="5302275"/>
          <a:chOff x="222562" y="419100"/>
          <a:chExt cx="6977289" cy="5788050"/>
        </a:xfrm>
      </xdr:grpSpPr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AD718775-EF70-4CA0-88D2-B0B7715968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9148" y="4191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5ABA009A-2D77-4CA8-9CD8-C82EBF176B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66148" y="4191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CEB9ECD2-B106-4CDD-893A-F9BE1965DB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562" y="38671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225F6A39-8020-4CC5-979F-902C12B8C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2651" y="3867150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1287C994-ED7A-430C-90AB-9C4E399A8C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46679" y="38671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393700</xdr:colOff>
      <xdr:row>490</xdr:row>
      <xdr:rowOff>165100</xdr:rowOff>
    </xdr:from>
    <xdr:to>
      <xdr:col>2</xdr:col>
      <xdr:colOff>225335</xdr:colOff>
      <xdr:row>493</xdr:row>
      <xdr:rowOff>89099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96CCBE68-BBB2-4A62-B1BD-44908D46037F}"/>
            </a:ext>
          </a:extLst>
        </xdr:cNvPr>
        <xdr:cNvSpPr/>
      </xdr:nvSpPr>
      <xdr:spPr>
        <a:xfrm>
          <a:off x="1155700" y="109559725"/>
          <a:ext cx="631735" cy="524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T1</a:t>
          </a:r>
        </a:p>
      </xdr:txBody>
    </xdr:sp>
    <xdr:clientData/>
  </xdr:twoCellAnchor>
  <xdr:twoCellAnchor>
    <xdr:from>
      <xdr:col>0</xdr:col>
      <xdr:colOff>669925</xdr:colOff>
      <xdr:row>506</xdr:row>
      <xdr:rowOff>41275</xdr:rowOff>
    </xdr:from>
    <xdr:to>
      <xdr:col>1</xdr:col>
      <xdr:colOff>539660</xdr:colOff>
      <xdr:row>508</xdr:row>
      <xdr:rowOff>165299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F1535199-6EA9-45B2-B872-082870AE26FF}"/>
            </a:ext>
          </a:extLst>
        </xdr:cNvPr>
        <xdr:cNvSpPr/>
      </xdr:nvSpPr>
      <xdr:spPr>
        <a:xfrm>
          <a:off x="669925" y="112636300"/>
          <a:ext cx="631735" cy="524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T4</a:t>
          </a:r>
        </a:p>
      </xdr:txBody>
    </xdr:sp>
    <xdr:clientData/>
  </xdr:twoCellAnchor>
  <xdr:twoCellAnchor>
    <xdr:from>
      <xdr:col>5</xdr:col>
      <xdr:colOff>365125</xdr:colOff>
      <xdr:row>490</xdr:row>
      <xdr:rowOff>41275</xdr:rowOff>
    </xdr:from>
    <xdr:to>
      <xdr:col>6</xdr:col>
      <xdr:colOff>215810</xdr:colOff>
      <xdr:row>492</xdr:row>
      <xdr:rowOff>165299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2FB301B5-13AF-4D49-8148-12D728018BFB}"/>
            </a:ext>
          </a:extLst>
        </xdr:cNvPr>
        <xdr:cNvSpPr/>
      </xdr:nvSpPr>
      <xdr:spPr>
        <a:xfrm>
          <a:off x="4498975" y="109435900"/>
          <a:ext cx="631735" cy="524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T2</a:t>
          </a:r>
        </a:p>
      </xdr:txBody>
    </xdr:sp>
    <xdr:clientData/>
  </xdr:twoCellAnchor>
  <xdr:twoCellAnchor editAs="oneCell">
    <xdr:from>
      <xdr:col>8</xdr:col>
      <xdr:colOff>581025</xdr:colOff>
      <xdr:row>469</xdr:row>
      <xdr:rowOff>38100</xdr:rowOff>
    </xdr:from>
    <xdr:to>
      <xdr:col>12</xdr:col>
      <xdr:colOff>761550</xdr:colOff>
      <xdr:row>478</xdr:row>
      <xdr:rowOff>43800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B80F3AB-4E95-4DFE-A5B7-84F9033C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458075" y="105432225"/>
          <a:ext cx="3600000" cy="2025000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478</xdr:row>
      <xdr:rowOff>142875</xdr:rowOff>
    </xdr:from>
    <xdr:to>
      <xdr:col>12</xdr:col>
      <xdr:colOff>713925</xdr:colOff>
      <xdr:row>492</xdr:row>
      <xdr:rowOff>73011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9E73491-3142-4709-B90D-D4E9653E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410450" y="107556300"/>
          <a:ext cx="3600000" cy="2730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124989</xdr:colOff>
      <xdr:row>15</xdr:row>
      <xdr:rowOff>0</xdr:rowOff>
    </xdr:from>
    <xdr:to>
      <xdr:col>6</xdr:col>
      <xdr:colOff>129555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695" y="2868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172528</xdr:rowOff>
    </xdr:from>
    <xdr:to>
      <xdr:col>6</xdr:col>
      <xdr:colOff>4566</xdr:colOff>
      <xdr:row>54</xdr:row>
      <xdr:rowOff>153028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6851234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79911-lodha-crown-kolshet-tower-3-by-lodha-group-in-azad-nagar" TargetMode="External"/><Relationship Id="rId1" Type="http://schemas.openxmlformats.org/officeDocument/2006/relationships/hyperlink" Target="https://goo.gl/maps/D2zfaRD54Aup1m8y9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66"/>
  <sheetViews>
    <sheetView tabSelected="1" showWhiteSpace="0" view="pageBreakPreview" zoomScaleNormal="100" zoomScaleSheetLayoutView="100" workbookViewId="0">
      <selection activeCell="J8" sqref="J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7.7109375" style="39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1.85546875" style="21" bestFit="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251" t="s">
        <v>254</v>
      </c>
      <c r="B1" s="251"/>
      <c r="C1" s="251"/>
      <c r="D1" s="251"/>
      <c r="E1" s="251"/>
      <c r="F1" s="251"/>
      <c r="G1" s="251"/>
      <c r="H1" s="251"/>
    </row>
    <row r="2" spans="1:8" ht="16.5" customHeight="1" x14ac:dyDescent="0.2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8" x14ac:dyDescent="0.25">
      <c r="A3" s="213" t="s">
        <v>1</v>
      </c>
      <c r="B3" s="213"/>
      <c r="C3" s="213"/>
      <c r="D3" s="213"/>
      <c r="E3" s="213" t="str">
        <f ca="1">TEXT(TODAY(),"DD/MM/YYYY")</f>
        <v>20/09/2025</v>
      </c>
      <c r="F3" s="213"/>
      <c r="G3" s="213"/>
      <c r="H3" s="213"/>
    </row>
    <row r="4" spans="1:8" ht="15" customHeight="1" x14ac:dyDescent="0.25">
      <c r="A4" s="213" t="s">
        <v>2</v>
      </c>
      <c r="B4" s="213"/>
      <c r="C4" s="213"/>
      <c r="D4" s="213"/>
      <c r="E4" s="213" t="s">
        <v>155</v>
      </c>
      <c r="F4" s="213"/>
      <c r="G4" s="213"/>
      <c r="H4" s="213"/>
    </row>
    <row r="5" spans="1:8" x14ac:dyDescent="0.25">
      <c r="A5" s="213" t="s">
        <v>3</v>
      </c>
      <c r="B5" s="213"/>
      <c r="C5" s="213"/>
      <c r="D5" s="213"/>
      <c r="E5" s="253">
        <v>45880</v>
      </c>
      <c r="F5" s="213"/>
      <c r="G5" s="213"/>
      <c r="H5" s="213"/>
    </row>
    <row r="6" spans="1:8" ht="16.5" customHeight="1" x14ac:dyDescent="0.25">
      <c r="A6" s="213" t="s">
        <v>4</v>
      </c>
      <c r="B6" s="213"/>
      <c r="C6" s="213"/>
      <c r="D6" s="213"/>
      <c r="E6" s="213" t="s">
        <v>156</v>
      </c>
      <c r="F6" s="213"/>
      <c r="G6" s="213"/>
      <c r="H6" s="213"/>
    </row>
    <row r="7" spans="1:8" ht="15" customHeight="1" x14ac:dyDescent="0.25">
      <c r="A7" s="213" t="s">
        <v>5</v>
      </c>
      <c r="B7" s="213"/>
      <c r="C7" s="213"/>
      <c r="D7" s="213"/>
      <c r="E7" s="213" t="str">
        <f>E6</f>
        <v>Macrotech Developers Limited</v>
      </c>
      <c r="F7" s="213"/>
      <c r="G7" s="213"/>
      <c r="H7" s="213"/>
    </row>
    <row r="8" spans="1:8" x14ac:dyDescent="0.25">
      <c r="A8" s="213" t="s">
        <v>6</v>
      </c>
      <c r="B8" s="213"/>
      <c r="C8" s="213"/>
      <c r="D8" s="213"/>
      <c r="E8" s="140" t="s">
        <v>248</v>
      </c>
      <c r="F8" s="252"/>
      <c r="G8" s="252"/>
      <c r="H8" s="252"/>
    </row>
    <row r="9" spans="1:8" x14ac:dyDescent="0.25">
      <c r="A9" s="213" t="s">
        <v>112</v>
      </c>
      <c r="B9" s="213"/>
      <c r="C9" s="213"/>
      <c r="D9" s="213"/>
      <c r="E9" s="213" t="s">
        <v>205</v>
      </c>
      <c r="F9" s="213"/>
      <c r="G9" s="213"/>
      <c r="H9" s="213"/>
    </row>
    <row r="10" spans="1:8" hidden="1" x14ac:dyDescent="0.25">
      <c r="A10" s="231" t="s">
        <v>209</v>
      </c>
      <c r="B10" s="213"/>
      <c r="C10" s="213"/>
      <c r="D10" s="213"/>
      <c r="E10" s="213" t="s">
        <v>205</v>
      </c>
      <c r="F10" s="213"/>
      <c r="G10" s="213"/>
      <c r="H10" s="213"/>
    </row>
    <row r="11" spans="1:8" x14ac:dyDescent="0.25">
      <c r="A11" s="213" t="s">
        <v>7</v>
      </c>
      <c r="B11" s="213"/>
      <c r="C11" s="213"/>
      <c r="D11" s="213"/>
      <c r="E11" s="213" t="s">
        <v>221</v>
      </c>
      <c r="F11" s="213"/>
      <c r="G11" s="213"/>
      <c r="H11" s="213"/>
    </row>
    <row r="12" spans="1:8" x14ac:dyDescent="0.25">
      <c r="A12" s="186" t="s">
        <v>8</v>
      </c>
      <c r="B12" s="186"/>
      <c r="C12" s="186"/>
      <c r="D12" s="186"/>
      <c r="E12" s="231" t="s">
        <v>157</v>
      </c>
      <c r="F12" s="254"/>
      <c r="G12" s="254"/>
      <c r="H12" s="254"/>
    </row>
    <row r="13" spans="1:8" ht="66" customHeight="1" x14ac:dyDescent="0.25">
      <c r="A13" s="186" t="s">
        <v>222</v>
      </c>
      <c r="B13" s="186"/>
      <c r="C13" s="186"/>
      <c r="D13" s="186"/>
      <c r="E13" s="231" t="s">
        <v>245</v>
      </c>
      <c r="F13" s="213"/>
      <c r="G13" s="213"/>
      <c r="H13" s="213"/>
    </row>
    <row r="14" spans="1:8" ht="48.75" customHeight="1" x14ac:dyDescent="0.25">
      <c r="A14" s="219" t="s">
        <v>9</v>
      </c>
      <c r="B14" s="219"/>
      <c r="C14" s="21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Lodha Crown Kolshet - Tower 1 to 4, Survey No.54/1, 55/14, 55/15,59/1, 60/1, 60/2/A, 60/2/B, 61/1, …….. 104/1B, 104/1C, 104/2, 274/1, near Lodha Sterling Apartment, Kolshet Road, , Kolshet, Thane West, Thane, Thane - 400607.</v>
      </c>
      <c r="D14" s="219"/>
      <c r="E14" s="219"/>
      <c r="F14" s="219"/>
      <c r="G14" s="219"/>
      <c r="H14" s="219"/>
    </row>
    <row r="15" spans="1:8" ht="31.5" customHeight="1" x14ac:dyDescent="0.25">
      <c r="A15" s="231" t="s">
        <v>159</v>
      </c>
      <c r="B15" s="231"/>
      <c r="C15" s="231" t="s">
        <v>252</v>
      </c>
      <c r="D15" s="231"/>
      <c r="E15" s="231"/>
      <c r="F15" s="231"/>
      <c r="G15" s="231"/>
      <c r="H15" s="231"/>
    </row>
    <row r="16" spans="1:8" ht="15.75" hidden="1" customHeight="1" x14ac:dyDescent="0.25">
      <c r="A16" s="180" t="s">
        <v>153</v>
      </c>
      <c r="B16" s="181"/>
      <c r="C16" s="180" t="s">
        <v>28</v>
      </c>
      <c r="D16" s="182"/>
      <c r="E16" s="182"/>
      <c r="F16" s="182"/>
      <c r="G16" s="182"/>
      <c r="H16" s="181"/>
    </row>
    <row r="17" spans="1:10" ht="15.75" customHeight="1" x14ac:dyDescent="0.25">
      <c r="A17" s="219" t="s">
        <v>10</v>
      </c>
      <c r="B17" s="219"/>
      <c r="C17" s="213" t="s">
        <v>163</v>
      </c>
      <c r="D17" s="213"/>
      <c r="E17" s="219" t="s">
        <v>154</v>
      </c>
      <c r="F17" s="219"/>
      <c r="G17" s="231" t="s">
        <v>161</v>
      </c>
      <c r="H17" s="231"/>
      <c r="J17" s="23"/>
    </row>
    <row r="18" spans="1:10" x14ac:dyDescent="0.25">
      <c r="A18" s="186" t="s">
        <v>12</v>
      </c>
      <c r="B18" s="186"/>
      <c r="C18" s="231" t="s">
        <v>176</v>
      </c>
      <c r="D18" s="231"/>
      <c r="E18" s="219" t="s">
        <v>11</v>
      </c>
      <c r="F18" s="219"/>
      <c r="G18" s="250" t="s">
        <v>160</v>
      </c>
      <c r="H18" s="250"/>
    </row>
    <row r="19" spans="1:10" x14ac:dyDescent="0.25">
      <c r="A19" s="186" t="s">
        <v>69</v>
      </c>
      <c r="B19" s="186"/>
      <c r="C19" s="231" t="s">
        <v>160</v>
      </c>
      <c r="D19" s="231"/>
      <c r="E19" s="219" t="s">
        <v>13</v>
      </c>
      <c r="F19" s="219"/>
      <c r="G19" s="231">
        <v>400607</v>
      </c>
      <c r="H19" s="231"/>
    </row>
    <row r="20" spans="1:10" ht="32.25" customHeight="1" x14ac:dyDescent="0.25">
      <c r="A20" s="186" t="s">
        <v>113</v>
      </c>
      <c r="B20" s="186"/>
      <c r="C20" s="231" t="s">
        <v>177</v>
      </c>
      <c r="D20" s="231"/>
      <c r="E20" s="219" t="s">
        <v>14</v>
      </c>
      <c r="F20" s="219"/>
      <c r="G20" s="231" t="s">
        <v>223</v>
      </c>
      <c r="H20" s="231"/>
    </row>
    <row r="21" spans="1:10" ht="15" customHeight="1" x14ac:dyDescent="0.25">
      <c r="A21" s="219" t="s">
        <v>71</v>
      </c>
      <c r="B21" s="219"/>
      <c r="C21" s="219"/>
      <c r="D21" s="219"/>
      <c r="E21" s="213" t="s">
        <v>15</v>
      </c>
      <c r="F21" s="213"/>
      <c r="G21" s="213"/>
      <c r="H21" s="213"/>
    </row>
    <row r="22" spans="1:10" ht="18.75" customHeight="1" x14ac:dyDescent="0.25">
      <c r="A22" s="219"/>
      <c r="B22" s="219"/>
      <c r="C22" s="219"/>
      <c r="D22" s="219"/>
      <c r="E22" s="213"/>
      <c r="F22" s="213"/>
      <c r="G22" s="213"/>
      <c r="H22" s="213"/>
    </row>
    <row r="23" spans="1:10" ht="15" customHeight="1" x14ac:dyDescent="0.25">
      <c r="A23" s="219" t="s">
        <v>16</v>
      </c>
      <c r="B23" s="219"/>
      <c r="C23" s="219"/>
      <c r="D23" s="219"/>
      <c r="E23" s="231" t="s">
        <v>17</v>
      </c>
      <c r="F23" s="231"/>
      <c r="G23" s="231"/>
      <c r="H23" s="231"/>
    </row>
    <row r="24" spans="1:10" ht="15" customHeight="1" x14ac:dyDescent="0.25">
      <c r="A24" s="186" t="s">
        <v>18</v>
      </c>
      <c r="B24" s="186"/>
      <c r="C24" s="186"/>
      <c r="D24" s="186"/>
      <c r="E24" s="231" t="str">
        <f>IF(AND(G18="Mumbai"),"Upper Class","Middle Class")</f>
        <v>Middle Class</v>
      </c>
      <c r="F24" s="231"/>
      <c r="G24" s="231"/>
      <c r="H24" s="231"/>
    </row>
    <row r="25" spans="1:10" x14ac:dyDescent="0.25">
      <c r="A25" s="186" t="s">
        <v>19</v>
      </c>
      <c r="B25" s="186"/>
      <c r="C25" s="186"/>
      <c r="D25" s="186"/>
      <c r="E25" s="231" t="s">
        <v>20</v>
      </c>
      <c r="F25" s="231"/>
      <c r="G25" s="231"/>
      <c r="H25" s="231"/>
    </row>
    <row r="26" spans="1:10" ht="15.75" customHeight="1" x14ac:dyDescent="0.25">
      <c r="A26" s="186" t="s">
        <v>21</v>
      </c>
      <c r="B26" s="186"/>
      <c r="C26" s="186"/>
      <c r="D26" s="186"/>
      <c r="E26" s="231" t="str">
        <f>IF(AND(G18="Mumbai"),"Developed","Developing")</f>
        <v>Developing</v>
      </c>
      <c r="F26" s="231"/>
      <c r="G26" s="231"/>
      <c r="H26" s="231"/>
    </row>
    <row r="27" spans="1:10" x14ac:dyDescent="0.25">
      <c r="A27" s="186" t="s">
        <v>22</v>
      </c>
      <c r="B27" s="186"/>
      <c r="C27" s="186"/>
      <c r="D27" s="186"/>
      <c r="E27" s="231" t="s">
        <v>23</v>
      </c>
      <c r="F27" s="231"/>
      <c r="G27" s="231"/>
      <c r="H27" s="231"/>
    </row>
    <row r="28" spans="1:10" ht="15.75" customHeight="1" x14ac:dyDescent="0.25">
      <c r="A28" s="186" t="s">
        <v>76</v>
      </c>
      <c r="B28" s="186"/>
      <c r="C28" s="186"/>
      <c r="D28" s="186"/>
      <c r="E28" s="231" t="s">
        <v>77</v>
      </c>
      <c r="F28" s="231"/>
      <c r="G28" s="231"/>
      <c r="H28" s="231"/>
    </row>
    <row r="29" spans="1:10" ht="15" customHeight="1" x14ac:dyDescent="0.25">
      <c r="A29" s="186" t="s">
        <v>31</v>
      </c>
      <c r="B29" s="186"/>
      <c r="C29" s="186"/>
      <c r="D29" s="186"/>
      <c r="E29" s="231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29" s="231"/>
      <c r="G29" s="231"/>
      <c r="H29" s="231"/>
    </row>
    <row r="30" spans="1:10" ht="15.75" customHeight="1" x14ac:dyDescent="0.25">
      <c r="A30" s="186" t="s">
        <v>86</v>
      </c>
      <c r="B30" s="186"/>
      <c r="C30" s="186"/>
      <c r="D30" s="186"/>
      <c r="E30" s="231" t="s">
        <v>32</v>
      </c>
      <c r="F30" s="231"/>
      <c r="G30" s="231"/>
      <c r="H30" s="231"/>
    </row>
    <row r="31" spans="1:10" s="22" customFormat="1" x14ac:dyDescent="0.25">
      <c r="A31" s="248" t="s">
        <v>87</v>
      </c>
      <c r="B31" s="248"/>
      <c r="C31" s="247" t="s">
        <v>225</v>
      </c>
      <c r="D31" s="247"/>
      <c r="E31" s="247"/>
      <c r="F31" s="247" t="s">
        <v>29</v>
      </c>
      <c r="G31" s="247"/>
      <c r="H31" s="247"/>
    </row>
    <row r="32" spans="1:10" s="22" customFormat="1" x14ac:dyDescent="0.25">
      <c r="A32" s="233" t="s">
        <v>24</v>
      </c>
      <c r="B32" s="233" t="s">
        <v>28</v>
      </c>
      <c r="C32" s="234" t="s">
        <v>228</v>
      </c>
      <c r="D32" s="234"/>
      <c r="E32" s="234"/>
      <c r="F32" s="234" t="s">
        <v>163</v>
      </c>
      <c r="G32" s="234"/>
      <c r="H32" s="234"/>
    </row>
    <row r="33" spans="1:10" ht="29.25" customHeight="1" x14ac:dyDescent="0.25">
      <c r="A33" s="249" t="s">
        <v>25</v>
      </c>
      <c r="B33" s="249" t="s">
        <v>28</v>
      </c>
      <c r="C33" s="249" t="s">
        <v>230</v>
      </c>
      <c r="D33" s="249"/>
      <c r="E33" s="249"/>
      <c r="F33" s="236" t="s">
        <v>227</v>
      </c>
      <c r="G33" s="236"/>
      <c r="H33" s="236"/>
    </row>
    <row r="34" spans="1:10" s="22" customFormat="1" x14ac:dyDescent="0.25">
      <c r="A34" s="233" t="s">
        <v>27</v>
      </c>
      <c r="B34" s="233" t="s">
        <v>28</v>
      </c>
      <c r="C34" s="234" t="s">
        <v>231</v>
      </c>
      <c r="D34" s="234"/>
      <c r="E34" s="234"/>
      <c r="F34" s="234" t="s">
        <v>229</v>
      </c>
      <c r="G34" s="234"/>
      <c r="H34" s="234"/>
    </row>
    <row r="35" spans="1:10" x14ac:dyDescent="0.25">
      <c r="A35" s="233" t="s">
        <v>26</v>
      </c>
      <c r="B35" s="233" t="s">
        <v>28</v>
      </c>
      <c r="C35" s="234" t="s">
        <v>226</v>
      </c>
      <c r="D35" s="234"/>
      <c r="E35" s="234"/>
      <c r="F35" s="234" t="s">
        <v>178</v>
      </c>
      <c r="G35" s="234"/>
      <c r="H35" s="234"/>
    </row>
    <row r="36" spans="1:10" x14ac:dyDescent="0.25">
      <c r="A36" s="186" t="s">
        <v>30</v>
      </c>
      <c r="B36" s="186"/>
      <c r="C36" s="186"/>
      <c r="D36" s="186"/>
      <c r="E36" s="186"/>
      <c r="F36" s="186"/>
      <c r="G36" s="186"/>
      <c r="H36" s="186"/>
    </row>
    <row r="37" spans="1:10" ht="15.75" customHeight="1" x14ac:dyDescent="0.25">
      <c r="A37" s="155" t="s">
        <v>208</v>
      </c>
      <c r="B37" s="155"/>
      <c r="C37" s="242" t="s">
        <v>224</v>
      </c>
      <c r="D37" s="242"/>
      <c r="E37" s="242"/>
      <c r="F37" s="242"/>
      <c r="G37" s="242"/>
      <c r="H37" s="242"/>
    </row>
    <row r="38" spans="1:10" x14ac:dyDescent="0.25">
      <c r="A38" s="155" t="s">
        <v>152</v>
      </c>
      <c r="B38" s="155"/>
      <c r="C38" s="183" t="s">
        <v>162</v>
      </c>
      <c r="D38" s="184"/>
      <c r="E38" s="184"/>
      <c r="F38" s="184"/>
      <c r="G38" s="184"/>
      <c r="H38" s="184"/>
    </row>
    <row r="39" spans="1:10" x14ac:dyDescent="0.25">
      <c r="A39" s="237" t="s">
        <v>33</v>
      </c>
      <c r="B39" s="237"/>
      <c r="C39" s="237"/>
      <c r="D39" s="237"/>
      <c r="E39" s="237"/>
      <c r="F39" s="237"/>
      <c r="G39" s="237"/>
      <c r="H39" s="237"/>
    </row>
    <row r="40" spans="1:10" x14ac:dyDescent="0.25">
      <c r="A40" s="186" t="s">
        <v>233</v>
      </c>
      <c r="B40" s="186"/>
      <c r="C40" s="186"/>
      <c r="D40" s="186"/>
      <c r="E40" s="235">
        <v>14936.18</v>
      </c>
      <c r="F40" s="235"/>
      <c r="G40" s="235"/>
      <c r="H40" s="235"/>
      <c r="J40" s="60"/>
    </row>
    <row r="41" spans="1:10" x14ac:dyDescent="0.25">
      <c r="A41" s="186" t="s">
        <v>34</v>
      </c>
      <c r="B41" s="186"/>
      <c r="C41" s="186"/>
      <c r="D41" s="186"/>
      <c r="E41" s="211">
        <f>16429.8/E40</f>
        <v>1.1000001339030461</v>
      </c>
      <c r="F41" s="211"/>
      <c r="G41" s="211"/>
      <c r="H41" s="211"/>
    </row>
    <row r="42" spans="1:10" x14ac:dyDescent="0.25">
      <c r="A42" s="186" t="s">
        <v>35</v>
      </c>
      <c r="B42" s="186"/>
      <c r="C42" s="186"/>
      <c r="D42" s="186"/>
      <c r="E42" s="211">
        <f>E44/E40-E41</f>
        <v>2.6682264139826919</v>
      </c>
      <c r="F42" s="211"/>
      <c r="G42" s="211"/>
      <c r="H42" s="211"/>
    </row>
    <row r="43" spans="1:10" x14ac:dyDescent="0.25">
      <c r="A43" s="186" t="s">
        <v>36</v>
      </c>
      <c r="B43" s="186"/>
      <c r="C43" s="186"/>
      <c r="D43" s="186"/>
      <c r="E43" s="211">
        <f>E41+E42</f>
        <v>3.768226547885738</v>
      </c>
      <c r="F43" s="211"/>
      <c r="G43" s="211"/>
      <c r="H43" s="211"/>
    </row>
    <row r="44" spans="1:10" ht="30" customHeight="1" x14ac:dyDescent="0.25">
      <c r="A44" s="219" t="s">
        <v>234</v>
      </c>
      <c r="B44" s="186"/>
      <c r="C44" s="186"/>
      <c r="D44" s="186"/>
      <c r="E44" s="212">
        <v>56282.91</v>
      </c>
      <c r="F44" s="212"/>
      <c r="G44" s="212"/>
      <c r="H44" s="212"/>
      <c r="J44" s="21">
        <f>16312.33+17709.6</f>
        <v>34021.93</v>
      </c>
    </row>
    <row r="45" spans="1:10" x14ac:dyDescent="0.25">
      <c r="A45" s="213" t="s">
        <v>37</v>
      </c>
      <c r="B45" s="213"/>
      <c r="C45" s="213"/>
      <c r="D45" s="213"/>
      <c r="E45" s="213" t="s">
        <v>232</v>
      </c>
      <c r="F45" s="213"/>
      <c r="G45" s="213"/>
      <c r="H45" s="213"/>
    </row>
    <row r="46" spans="1:10" x14ac:dyDescent="0.25">
      <c r="A46" s="237" t="s">
        <v>38</v>
      </c>
      <c r="B46" s="237"/>
      <c r="C46" s="237"/>
      <c r="D46" s="237"/>
      <c r="E46" s="237"/>
      <c r="F46" s="237"/>
      <c r="G46" s="237"/>
      <c r="H46" s="237"/>
    </row>
    <row r="47" spans="1:10" ht="33.75" customHeight="1" x14ac:dyDescent="0.25">
      <c r="A47" s="203" t="s">
        <v>142</v>
      </c>
      <c r="B47" s="204"/>
      <c r="C47" s="205" t="s">
        <v>158</v>
      </c>
      <c r="D47" s="206"/>
      <c r="E47" s="206"/>
      <c r="F47" s="206"/>
      <c r="G47" s="206"/>
      <c r="H47" s="207"/>
    </row>
    <row r="48" spans="1:10" ht="32.25" customHeight="1" x14ac:dyDescent="0.25">
      <c r="A48" s="203" t="s">
        <v>39</v>
      </c>
      <c r="B48" s="204"/>
      <c r="C48" s="203" t="s">
        <v>201</v>
      </c>
      <c r="D48" s="226"/>
      <c r="E48" s="204"/>
      <c r="F48" s="18" t="s">
        <v>40</v>
      </c>
      <c r="G48" s="238">
        <v>45121</v>
      </c>
      <c r="H48" s="204"/>
    </row>
    <row r="49" spans="1:14" ht="50.45" customHeight="1" x14ac:dyDescent="0.25">
      <c r="A49" s="203" t="s">
        <v>255</v>
      </c>
      <c r="B49" s="204"/>
      <c r="C49" s="203" t="s">
        <v>179</v>
      </c>
      <c r="D49" s="226"/>
      <c r="E49" s="204"/>
      <c r="F49" s="18" t="s">
        <v>40</v>
      </c>
      <c r="G49" s="238">
        <v>44757</v>
      </c>
      <c r="H49" s="239"/>
    </row>
    <row r="50" spans="1:14" ht="49.5" customHeight="1" x14ac:dyDescent="0.25">
      <c r="A50" s="203" t="s">
        <v>259</v>
      </c>
      <c r="B50" s="204"/>
      <c r="C50" s="203" t="s">
        <v>201</v>
      </c>
      <c r="D50" s="226"/>
      <c r="E50" s="204"/>
      <c r="F50" s="18" t="s">
        <v>40</v>
      </c>
      <c r="G50" s="238">
        <v>45121</v>
      </c>
      <c r="H50" s="204"/>
    </row>
    <row r="51" spans="1:14" ht="51.75" customHeight="1" x14ac:dyDescent="0.25">
      <c r="A51" s="203" t="s">
        <v>258</v>
      </c>
      <c r="B51" s="204"/>
      <c r="C51" s="180" t="s">
        <v>256</v>
      </c>
      <c r="D51" s="182"/>
      <c r="E51" s="181"/>
      <c r="F51" s="18" t="s">
        <v>40</v>
      </c>
      <c r="G51" s="240">
        <v>45562</v>
      </c>
      <c r="H51" s="241"/>
    </row>
    <row r="52" spans="1:14" ht="37.5" customHeight="1" x14ac:dyDescent="0.25">
      <c r="A52" s="220" t="s">
        <v>207</v>
      </c>
      <c r="B52" s="261"/>
      <c r="C52" s="180" t="s">
        <v>256</v>
      </c>
      <c r="D52" s="182"/>
      <c r="E52" s="181"/>
      <c r="F52" s="80" t="s">
        <v>40</v>
      </c>
      <c r="G52" s="240">
        <v>45562</v>
      </c>
      <c r="H52" s="241"/>
    </row>
    <row r="53" spans="1:14" ht="67.5" customHeight="1" x14ac:dyDescent="0.25">
      <c r="A53" s="223"/>
      <c r="B53" s="225"/>
      <c r="C53" s="180" t="s">
        <v>257</v>
      </c>
      <c r="D53" s="182"/>
      <c r="E53" s="182"/>
      <c r="F53" s="182"/>
      <c r="G53" s="182"/>
      <c r="H53" s="181"/>
    </row>
    <row r="54" spans="1:14" x14ac:dyDescent="0.25">
      <c r="A54" s="265" t="s">
        <v>249</v>
      </c>
      <c r="B54" s="266"/>
      <c r="C54" s="227" t="s">
        <v>250</v>
      </c>
      <c r="D54" s="228"/>
      <c r="E54" s="229"/>
      <c r="F54" s="84" t="s">
        <v>40</v>
      </c>
      <c r="G54" s="263">
        <v>43264</v>
      </c>
      <c r="H54" s="264"/>
    </row>
    <row r="55" spans="1:14" ht="67.5" customHeight="1" x14ac:dyDescent="0.25">
      <c r="A55" s="267"/>
      <c r="B55" s="268"/>
      <c r="C55" s="227" t="s">
        <v>268</v>
      </c>
      <c r="D55" s="228"/>
      <c r="E55" s="228"/>
      <c r="F55" s="228"/>
      <c r="G55" s="228"/>
      <c r="H55" s="229"/>
    </row>
    <row r="56" spans="1:14" x14ac:dyDescent="0.25">
      <c r="A56" s="289" t="s">
        <v>242</v>
      </c>
      <c r="B56" s="290"/>
      <c r="C56" s="291" t="s">
        <v>28</v>
      </c>
      <c r="D56" s="292"/>
      <c r="E56" s="293"/>
      <c r="F56" s="83" t="s">
        <v>40</v>
      </c>
      <c r="G56" s="294" t="s">
        <v>28</v>
      </c>
      <c r="H56" s="295"/>
    </row>
    <row r="57" spans="1:14" hidden="1" x14ac:dyDescent="0.25">
      <c r="A57" s="135"/>
      <c r="B57" s="134"/>
      <c r="C57" s="291" t="s">
        <v>28</v>
      </c>
      <c r="D57" s="292"/>
      <c r="E57" s="292"/>
      <c r="F57" s="292"/>
      <c r="G57" s="292"/>
      <c r="H57" s="293"/>
    </row>
    <row r="58" spans="1:14" x14ac:dyDescent="0.25">
      <c r="A58" s="230" t="s">
        <v>42</v>
      </c>
      <c r="B58" s="230"/>
      <c r="C58" s="230"/>
      <c r="D58" s="230"/>
      <c r="E58" s="230"/>
      <c r="F58" s="230"/>
      <c r="G58" s="230"/>
      <c r="H58" s="230"/>
      <c r="I58" s="24"/>
    </row>
    <row r="59" spans="1:14" ht="37.5" customHeight="1" x14ac:dyDescent="0.25">
      <c r="A59" s="231" t="s">
        <v>235</v>
      </c>
      <c r="B59" s="231"/>
      <c r="C59" s="231"/>
      <c r="D59" s="213">
        <f>(17888.08+253.15)+(18052.19)+(725.47)+(17065.5+103.05)</f>
        <v>54087.44</v>
      </c>
      <c r="E59" s="213"/>
      <c r="F59" s="213"/>
      <c r="G59" s="213"/>
      <c r="H59" s="213"/>
      <c r="J59" s="21" t="s">
        <v>260</v>
      </c>
    </row>
    <row r="60" spans="1:14" ht="15.75" customHeight="1" x14ac:dyDescent="0.25">
      <c r="A60" s="231" t="s">
        <v>43</v>
      </c>
      <c r="B60" s="213"/>
      <c r="C60" s="213"/>
      <c r="D60" s="213" t="s">
        <v>267</v>
      </c>
      <c r="E60" s="213"/>
      <c r="F60" s="213"/>
      <c r="G60" s="213"/>
      <c r="H60" s="213"/>
    </row>
    <row r="61" spans="1:14" ht="84" customHeight="1" x14ac:dyDescent="0.25">
      <c r="A61" s="231" t="s">
        <v>44</v>
      </c>
      <c r="B61" s="231"/>
      <c r="C61" s="231"/>
      <c r="D61" s="231" t="s">
        <v>266</v>
      </c>
      <c r="E61" s="213"/>
      <c r="F61" s="213"/>
      <c r="G61" s="213"/>
      <c r="H61" s="213"/>
    </row>
    <row r="62" spans="1:14" ht="15.75" customHeight="1" x14ac:dyDescent="0.25">
      <c r="A62" s="220" t="s">
        <v>84</v>
      </c>
      <c r="B62" s="243"/>
      <c r="C62" s="243"/>
      <c r="D62" s="220" t="s">
        <v>164</v>
      </c>
      <c r="E62" s="221"/>
      <c r="F62" s="221"/>
      <c r="G62" s="221"/>
      <c r="H62" s="222"/>
    </row>
    <row r="63" spans="1:14" ht="18" customHeight="1" x14ac:dyDescent="0.25">
      <c r="A63" s="244"/>
      <c r="B63" s="245"/>
      <c r="C63" s="245"/>
      <c r="D63" s="231" t="s">
        <v>204</v>
      </c>
      <c r="E63" s="213"/>
      <c r="F63" s="213"/>
      <c r="G63" s="213"/>
      <c r="H63" s="213"/>
    </row>
    <row r="64" spans="1:14" x14ac:dyDescent="0.25">
      <c r="A64" s="244"/>
      <c r="B64" s="245"/>
      <c r="C64" s="245"/>
      <c r="D64" s="231" t="s">
        <v>247</v>
      </c>
      <c r="E64" s="213"/>
      <c r="F64" s="213"/>
      <c r="G64" s="213"/>
      <c r="H64" s="213"/>
      <c r="J64" s="25"/>
      <c r="K64" s="24"/>
      <c r="N64" s="24"/>
    </row>
    <row r="65" spans="1:14" ht="36" customHeight="1" x14ac:dyDescent="0.25">
      <c r="A65" s="244"/>
      <c r="B65" s="246"/>
      <c r="C65" s="246"/>
      <c r="D65" s="223" t="s">
        <v>180</v>
      </c>
      <c r="E65" s="224"/>
      <c r="F65" s="224"/>
      <c r="G65" s="224"/>
      <c r="H65" s="225"/>
      <c r="N65" s="24"/>
    </row>
    <row r="66" spans="1:14" ht="63.75" customHeight="1" x14ac:dyDescent="0.25">
      <c r="A66" s="186" t="s">
        <v>41</v>
      </c>
      <c r="B66" s="186"/>
      <c r="C66" s="186"/>
      <c r="D66" s="259" t="s">
        <v>241</v>
      </c>
      <c r="E66" s="259"/>
      <c r="F66" s="259"/>
      <c r="G66" s="259"/>
      <c r="H66" s="259"/>
      <c r="J66" s="26"/>
      <c r="K66" s="26"/>
    </row>
    <row r="67" spans="1:14" x14ac:dyDescent="0.25">
      <c r="A67" s="186" t="s">
        <v>82</v>
      </c>
      <c r="B67" s="186"/>
      <c r="C67" s="186"/>
      <c r="D67" s="232" t="s">
        <v>270</v>
      </c>
      <c r="E67" s="232"/>
      <c r="F67" s="232"/>
      <c r="G67" s="232"/>
      <c r="H67" s="232"/>
      <c r="I67" s="81" t="s">
        <v>236</v>
      </c>
    </row>
    <row r="68" spans="1:14" x14ac:dyDescent="0.25">
      <c r="A68" s="186" t="s">
        <v>83</v>
      </c>
      <c r="B68" s="186"/>
      <c r="C68" s="186"/>
      <c r="D68" s="219" t="s">
        <v>23</v>
      </c>
      <c r="E68" s="219"/>
      <c r="F68" s="219"/>
      <c r="G68" s="219"/>
      <c r="H68" s="219"/>
      <c r="I68" s="27"/>
      <c r="J68" s="27"/>
      <c r="K68" s="27"/>
      <c r="L68" s="27"/>
      <c r="M68" s="27"/>
      <c r="N68" s="27"/>
    </row>
    <row r="69" spans="1:14" ht="63.75" customHeight="1" x14ac:dyDescent="0.25">
      <c r="A69" s="186" t="s">
        <v>70</v>
      </c>
      <c r="B69" s="186"/>
      <c r="C69" s="186"/>
      <c r="D69" s="231" t="s">
        <v>237</v>
      </c>
      <c r="E69" s="219"/>
      <c r="F69" s="219"/>
      <c r="G69" s="219"/>
      <c r="H69" s="219"/>
      <c r="J69" s="26"/>
    </row>
    <row r="70" spans="1:14" ht="16.5" thickBot="1" x14ac:dyDescent="0.3">
      <c r="A70" s="219" t="s">
        <v>139</v>
      </c>
      <c r="B70" s="219"/>
      <c r="C70" s="219"/>
      <c r="D70" s="219" t="s">
        <v>28</v>
      </c>
      <c r="E70" s="219"/>
      <c r="F70" s="219"/>
      <c r="G70" s="219"/>
      <c r="H70" s="219"/>
    </row>
    <row r="71" spans="1:14" ht="15.75" customHeight="1" x14ac:dyDescent="0.25">
      <c r="A71" s="262" t="s">
        <v>81</v>
      </c>
      <c r="B71" s="262"/>
      <c r="C71" s="262"/>
      <c r="D71" s="258" t="str">
        <f ca="1">(IF(G77&gt;95%,"Nothing",IF(G77&gt;0%,"Cement, Aggregate, Steel, etc",IF(G77=0%,"Work not yet Started"))))</f>
        <v>Cement, Aggregate, Steel, etc</v>
      </c>
      <c r="E71" s="258"/>
      <c r="F71" s="258"/>
      <c r="G71" s="258"/>
      <c r="H71" s="258"/>
      <c r="I71" s="45" t="str">
        <f ca="1">IF(D86=100%,"All work Completed. Possession granted to the Building.",IF(D85=100%,"All work Completed, Waiting for OC",I72&amp;""&amp;I73&amp;""&amp;J72&amp;""&amp;J71&amp;" "&amp;J73))</f>
        <v>Excavation, Plinth, RCC Slab, Brickwork, Internal Plaster, External Plaster, Flooring, Painting Completed, Finishing upto 12 Floor Completed</v>
      </c>
      <c r="J71" s="46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Finishing upto 12 Floor</v>
      </c>
    </row>
    <row r="72" spans="1:14" ht="16.5" thickBot="1" x14ac:dyDescent="0.3">
      <c r="A72" s="269" t="s">
        <v>109</v>
      </c>
      <c r="B72" s="269"/>
      <c r="C72" s="269"/>
      <c r="D72" s="258" t="str">
        <f ca="1">(IF(D71="Nothing","Yes",IF(D71="Cement, Aggregate, Steel, etc","Under Construction",IF(D71="Work not yet Started","Work not yet Started"))))</f>
        <v>Under Construction</v>
      </c>
      <c r="E72" s="258"/>
      <c r="F72" s="258" t="str">
        <f ca="1">(IF(D71="Nothing","Yes",IF(D71="Cement, Aggregate, Steel, etc","Under Construction",IF(D71="Work not yet Started","Work not yet Started"))))</f>
        <v>Under Construction</v>
      </c>
      <c r="G72" s="258"/>
      <c r="H72" s="258"/>
      <c r="I72" s="47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Plinth, RCC Slab, Brickwork, Internal Plaster, External Plaster, Flooring, Painting</v>
      </c>
      <c r="J72" s="48" t="str">
        <f ca="1">(IF(C77=0,"Work not yet Started.",IF(D77=25%,"Piling work in process",IF(D77=50%,"Excavation work in process",IF(D77=100%,"","0")))))&amp;(IF(C78=0%,"",IF(C78=J77,", Footing work is process",IF(C78=J78,", Footing work Completed",IF(C78=J79,", 1st Basement Completed",IF(C78=J80,", 1st &amp; 2nd Basement Completed",IF(C78=J81,", 1st to 3rd Basement Completed",IF(C78=J82,", 1st to 4th Basement Completed",IF(C78=J83,", Plinth work is process",IF(C78=J84,"","0"))))))))))</f>
        <v/>
      </c>
    </row>
    <row r="73" spans="1:14" x14ac:dyDescent="0.25">
      <c r="A73" s="214" t="s">
        <v>131</v>
      </c>
      <c r="B73" s="215"/>
      <c r="C73" s="216" t="str">
        <f>D62</f>
        <v>Tower 1 = Gr/Stilt + 1st to 23rd Floor</v>
      </c>
      <c r="D73" s="217"/>
      <c r="E73" s="217"/>
      <c r="F73" s="217"/>
      <c r="G73" s="217"/>
      <c r="H73" s="218"/>
      <c r="I73" s="47" t="str">
        <f ca="1">IF(I72&lt;&gt;""," Completed","")</f>
        <v xml:space="preserve"> Completed</v>
      </c>
      <c r="J73" s="48" t="str">
        <f ca="1">IF(J71&lt;&gt;"","Completed","")</f>
        <v>Completed</v>
      </c>
    </row>
    <row r="74" spans="1:14" ht="15.75" customHeight="1" x14ac:dyDescent="0.25">
      <c r="A74" s="16" t="s">
        <v>133</v>
      </c>
      <c r="B74" s="52">
        <v>0</v>
      </c>
      <c r="C74" s="52" t="s">
        <v>68</v>
      </c>
      <c r="D74" s="52">
        <v>1</v>
      </c>
      <c r="E74" s="52" t="s">
        <v>67</v>
      </c>
      <c r="F74" s="52">
        <v>0</v>
      </c>
      <c r="G74" s="43" t="s">
        <v>75</v>
      </c>
      <c r="H74" s="17">
        <f ca="1">--TRIM(RIGHT(SUBSTITUTE(LEFT(C73,_xlfn.AGGREGATE(16,6,FIND({0,1,2,3,4,5,6,7,8,9},C73,ROW(INDIRECT("1:"&amp;LEN(C73)))),1))," ",REPT(" ",LEN(C73))),LEN(C73)))</f>
        <v>23</v>
      </c>
      <c r="I74" s="14" t="s">
        <v>132</v>
      </c>
      <c r="J74" s="28">
        <f ca="1">H74*25%</f>
        <v>5.75</v>
      </c>
    </row>
    <row r="75" spans="1:14" ht="34.5" customHeight="1" x14ac:dyDescent="0.25">
      <c r="A75" s="138" t="s">
        <v>85</v>
      </c>
      <c r="B75" s="139"/>
      <c r="C75" s="140" t="str">
        <f ca="1">(IF($C$55=C73,"All work Completed. OC Received.",I71))</f>
        <v>Excavation, Plinth, RCC Slab, Brickwork, Internal Plaster, External Plaster, Flooring, Painting Completed, Finishing upto 12 Floor Completed</v>
      </c>
      <c r="D75" s="140"/>
      <c r="E75" s="140"/>
      <c r="F75" s="140"/>
      <c r="G75" s="140"/>
      <c r="H75" s="141"/>
      <c r="I75" s="14" t="s">
        <v>92</v>
      </c>
      <c r="J75" s="29">
        <f ca="1">H74*50%</f>
        <v>11.5</v>
      </c>
    </row>
    <row r="76" spans="1:14" x14ac:dyDescent="0.25">
      <c r="A76" s="105" t="s">
        <v>45</v>
      </c>
      <c r="B76" s="106"/>
      <c r="C76" s="41" t="s">
        <v>130</v>
      </c>
      <c r="D76" s="41" t="s">
        <v>78</v>
      </c>
      <c r="E76" s="106" t="s">
        <v>80</v>
      </c>
      <c r="F76" s="106"/>
      <c r="G76" s="106" t="s">
        <v>79</v>
      </c>
      <c r="H76" s="142"/>
      <c r="I76" s="14" t="s">
        <v>93</v>
      </c>
      <c r="J76" s="29">
        <f ca="1">H74</f>
        <v>23</v>
      </c>
    </row>
    <row r="77" spans="1:14" ht="15.75" customHeight="1" x14ac:dyDescent="0.25">
      <c r="A77" s="106" t="s">
        <v>119</v>
      </c>
      <c r="B77" s="106"/>
      <c r="C77" s="86">
        <f ca="1">J76</f>
        <v>23</v>
      </c>
      <c r="D77" s="19">
        <f ca="1">((100/H74)*C77)/100</f>
        <v>1</v>
      </c>
      <c r="E77" s="208">
        <f ca="1">(((C78/H74*10)+(40/(D74+F74+H74)*C79)+(7.5/(H74)*C80)+(7.5/(H74)*C81)+(10/H74*C82)+(10/H74*C83)+(5/H74*C84)+(5/H74*C85)+(5/H74*C86))/100)</f>
        <v>0.92608695652173911</v>
      </c>
      <c r="F77" s="208"/>
      <c r="G77" s="208">
        <f ca="1">((((C77/H74)*20)+((C78/H74)*25)+(30/(H74+F74+D74)*C79)+(5/H74*C80)+(5/H74*C81)+(5/H74*C82)+(5/H74*C83)+(0/H74*C84)+(0/H74*C85)+(5/H74*C86))/100)</f>
        <v>0.95</v>
      </c>
      <c r="H77" s="208"/>
      <c r="I77" s="14" t="s">
        <v>94</v>
      </c>
      <c r="J77" s="30">
        <f ca="1">(IF(B74&gt;1,(H74/(B74+2)),H74/4))</f>
        <v>5.75</v>
      </c>
    </row>
    <row r="78" spans="1:14" ht="15.75" customHeight="1" x14ac:dyDescent="0.25">
      <c r="A78" s="106" t="s">
        <v>46</v>
      </c>
      <c r="B78" s="106"/>
      <c r="C78" s="87">
        <v>23</v>
      </c>
      <c r="D78" s="19">
        <f ca="1">((100/H74)*C78)/100</f>
        <v>1</v>
      </c>
      <c r="E78" s="208"/>
      <c r="F78" s="208"/>
      <c r="G78" s="208"/>
      <c r="H78" s="208"/>
      <c r="I78" s="14" t="s">
        <v>95</v>
      </c>
      <c r="J78" s="30">
        <f ca="1">(IF(B74&gt;1,(H74/(B74+2)+J77),H74/4+J77))</f>
        <v>11.5</v>
      </c>
    </row>
    <row r="79" spans="1:14" ht="15.75" customHeight="1" x14ac:dyDescent="0.25">
      <c r="A79" s="106" t="s">
        <v>120</v>
      </c>
      <c r="B79" s="106"/>
      <c r="C79" s="86">
        <v>24</v>
      </c>
      <c r="D79" s="19">
        <f ca="1">((100/(D74+F74+H74))*C79)/100</f>
        <v>1</v>
      </c>
      <c r="E79" s="208"/>
      <c r="F79" s="208"/>
      <c r="G79" s="208"/>
      <c r="H79" s="208"/>
      <c r="I79" s="14" t="s">
        <v>137</v>
      </c>
      <c r="J79" s="30">
        <f>(IF(B74&gt;1,(H74/(B74+2)+J78),0))</f>
        <v>0</v>
      </c>
    </row>
    <row r="80" spans="1:14" ht="15" customHeight="1" x14ac:dyDescent="0.25">
      <c r="A80" s="106" t="s">
        <v>127</v>
      </c>
      <c r="B80" s="106" t="s">
        <v>121</v>
      </c>
      <c r="C80" s="86">
        <f>C79-1</f>
        <v>23</v>
      </c>
      <c r="D80" s="19">
        <f ca="1">((100/H74)*C80)/100</f>
        <v>1</v>
      </c>
      <c r="E80" s="208"/>
      <c r="F80" s="208"/>
      <c r="G80" s="208"/>
      <c r="H80" s="208"/>
      <c r="I80" s="14" t="s">
        <v>134</v>
      </c>
      <c r="J80" s="30">
        <f>(IF(B74&gt;2,(H74/(B74+2)+J79),0))</f>
        <v>0</v>
      </c>
    </row>
    <row r="81" spans="1:10" ht="15.75" customHeight="1" x14ac:dyDescent="0.25">
      <c r="A81" s="106" t="s">
        <v>128</v>
      </c>
      <c r="B81" s="106" t="s">
        <v>121</v>
      </c>
      <c r="C81" s="87">
        <v>23</v>
      </c>
      <c r="D81" s="19">
        <f ca="1">((100/H74)*C81)/100</f>
        <v>1</v>
      </c>
      <c r="E81" s="208"/>
      <c r="F81" s="208"/>
      <c r="G81" s="208"/>
      <c r="H81" s="208"/>
      <c r="I81" s="14" t="s">
        <v>135</v>
      </c>
      <c r="J81" s="31">
        <f>(IF(B74&gt;3,(H74/(B74+2)+J80),0))</f>
        <v>0</v>
      </c>
    </row>
    <row r="82" spans="1:10" ht="15.75" customHeight="1" x14ac:dyDescent="0.25">
      <c r="A82" s="106" t="s">
        <v>126</v>
      </c>
      <c r="B82" s="106" t="s">
        <v>123</v>
      </c>
      <c r="C82" s="87">
        <f>C81</f>
        <v>23</v>
      </c>
      <c r="D82" s="19">
        <f ca="1">((100/(H74))*C82)/100</f>
        <v>1</v>
      </c>
      <c r="E82" s="208"/>
      <c r="F82" s="208"/>
      <c r="G82" s="208"/>
      <c r="H82" s="208"/>
      <c r="I82" s="14" t="s">
        <v>136</v>
      </c>
      <c r="J82" s="30">
        <f>(IF(B74&gt;4,(H74/(B74+2)+J81),0))</f>
        <v>0</v>
      </c>
    </row>
    <row r="83" spans="1:10" ht="15.75" customHeight="1" x14ac:dyDescent="0.25">
      <c r="A83" s="106" t="s">
        <v>122</v>
      </c>
      <c r="B83" s="106" t="s">
        <v>122</v>
      </c>
      <c r="C83" s="86">
        <v>23</v>
      </c>
      <c r="D83" s="19">
        <f ca="1">((100/H74)*C83)/100</f>
        <v>1</v>
      </c>
      <c r="E83" s="208"/>
      <c r="F83" s="208"/>
      <c r="G83" s="208"/>
      <c r="H83" s="208"/>
      <c r="I83" s="14" t="s">
        <v>138</v>
      </c>
      <c r="J83" s="30">
        <f ca="1">(IF(B74=1,(H74/(B74+3)+J78),IF(B74=0,(H74/4+J78),IF(B74&gt;1,0))))</f>
        <v>17.25</v>
      </c>
    </row>
    <row r="84" spans="1:10" ht="16.5" thickBot="1" x14ac:dyDescent="0.3">
      <c r="A84" s="106" t="s">
        <v>129</v>
      </c>
      <c r="B84" s="106"/>
      <c r="C84" s="86">
        <v>23</v>
      </c>
      <c r="D84" s="19">
        <f ca="1">((100/H74)*C84)/100</f>
        <v>1</v>
      </c>
      <c r="E84" s="208"/>
      <c r="F84" s="208"/>
      <c r="G84" s="208"/>
      <c r="H84" s="208"/>
      <c r="I84" s="15" t="s">
        <v>96</v>
      </c>
      <c r="J84" s="32">
        <f ca="1">(IF(B74&gt;1.5,(H74/(B74+2)+J78+MAX(0,J79-J78)+MAX(0,J80-J79)+MAX(0,J81-J80)+MAX(0,J82-J81)+MAX(0,J83-J82)),IF(B74=1,(H74/(B74+3)+J83),IF(B74=0,H74/4+J83))))</f>
        <v>23</v>
      </c>
    </row>
    <row r="85" spans="1:10" ht="15.75" customHeight="1" x14ac:dyDescent="0.25">
      <c r="A85" s="106" t="s">
        <v>124</v>
      </c>
      <c r="B85" s="106" t="s">
        <v>124</v>
      </c>
      <c r="C85" s="86">
        <v>12</v>
      </c>
      <c r="D85" s="19">
        <f ca="1">((100/(H74))*C85)/100</f>
        <v>0.52173913043478259</v>
      </c>
      <c r="E85" s="208"/>
      <c r="F85" s="208"/>
      <c r="G85" s="208"/>
      <c r="H85" s="208"/>
      <c r="I85" s="88" t="str">
        <f ca="1">IF(D100=100%,"All work Completed. Possession granted to the Building.",IF(D99=100%,"All work Completed, Waiting for OC",I86&amp;""&amp;I87&amp;""&amp;J86&amp;""&amp;J85&amp;" "&amp;J87))</f>
        <v>Excavation, Plinth, RCC Slab, Brickwork Completed, Internal Plaster upto 22 Floor, External Plaster upto 20 Floor, Flooring upto 5 Floor Completed</v>
      </c>
      <c r="J85" s="46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>, Internal Plaster upto 22 Floor, External Plaster upto 20 Floor, Flooring upto 5 Floor</v>
      </c>
    </row>
    <row r="86" spans="1:10" x14ac:dyDescent="0.25">
      <c r="A86" s="106" t="s">
        <v>125</v>
      </c>
      <c r="B86" s="106"/>
      <c r="C86" s="86">
        <v>0</v>
      </c>
      <c r="D86" s="19">
        <f ca="1">((100/(H74))*C86)/100</f>
        <v>0</v>
      </c>
      <c r="E86" s="208"/>
      <c r="F86" s="208"/>
      <c r="G86" s="208"/>
      <c r="H86" s="208"/>
      <c r="I86" s="89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Plinth, RCC Slab, Brickwork</v>
      </c>
      <c r="J86" s="48" t="str">
        <f ca="1">(IF(C91=0,"Work not yet Started.",IF(D91=25%,"Piling work in process",IF(D91=50%,"Excavation work in process",IF(D91=100%,"","0")))))&amp;(IF(C92=0%,"",IF(C92=J91,", Footing work is process",IF(C92=J92,", Footing work Completed",IF(C92=J93,", 1st Basement Completed",IF(C92=J94,", 1st &amp; 2nd Basement Completed",IF(C92=J95,", 1st to 3rd Basement Completed",IF(C92=J96,", 1st to 4th Basement Completed",IF(C92=J97,", Plinth work is process",IF(C92=J98,"","0"))))))))))</f>
        <v/>
      </c>
    </row>
    <row r="87" spans="1:10" x14ac:dyDescent="0.25">
      <c r="A87" s="260" t="s">
        <v>131</v>
      </c>
      <c r="B87" s="260"/>
      <c r="C87" s="260" t="str">
        <f>D63</f>
        <v>Tower 2 = Gr/Stilt + 1st to 23rd Floor</v>
      </c>
      <c r="D87" s="260"/>
      <c r="E87" s="260"/>
      <c r="F87" s="260"/>
      <c r="G87" s="260"/>
      <c r="H87" s="260"/>
      <c r="I87" s="89" t="str">
        <f ca="1">IF(I86&lt;&gt;""," Completed","")</f>
        <v xml:space="preserve"> Completed</v>
      </c>
      <c r="J87" s="48" t="str">
        <f ca="1">IF(J85&lt;&gt;"","Completed","")</f>
        <v>Completed</v>
      </c>
    </row>
    <row r="88" spans="1:10" ht="15.75" customHeight="1" x14ac:dyDescent="0.25">
      <c r="A88" s="93" t="s">
        <v>133</v>
      </c>
      <c r="B88" s="93">
        <v>0</v>
      </c>
      <c r="C88" s="93" t="s">
        <v>68</v>
      </c>
      <c r="D88" s="93">
        <v>1</v>
      </c>
      <c r="E88" s="93" t="s">
        <v>67</v>
      </c>
      <c r="F88" s="93">
        <v>0</v>
      </c>
      <c r="G88" s="65" t="s">
        <v>75</v>
      </c>
      <c r="H88" s="93">
        <f ca="1">--TRIM(RIGHT(SUBSTITUTE(LEFT(C87,_xlfn.AGGREGATE(16,6,FIND({0,1,2,3,4,5,6,7,8,9},C87,ROW(INDIRECT("1:"&amp;LEN(C87)))),1))," ",REPT(" ",LEN(C87))),LEN(C87)))</f>
        <v>23</v>
      </c>
      <c r="I88" s="14" t="s">
        <v>132</v>
      </c>
      <c r="J88" s="28">
        <f ca="1">H88*25%</f>
        <v>5.75</v>
      </c>
    </row>
    <row r="89" spans="1:10" ht="33" customHeight="1" x14ac:dyDescent="0.25">
      <c r="A89" s="252" t="s">
        <v>85</v>
      </c>
      <c r="B89" s="252"/>
      <c r="C89" s="140" t="str">
        <f ca="1">(IF($C$55=C87,"All work Completed. OC Received.",I85))</f>
        <v>Excavation, Plinth, RCC Slab, Brickwork Completed, Internal Plaster upto 22 Floor, External Plaster upto 20 Floor, Flooring upto 5 Floor Completed</v>
      </c>
      <c r="D89" s="140"/>
      <c r="E89" s="140"/>
      <c r="F89" s="140"/>
      <c r="G89" s="140"/>
      <c r="H89" s="140"/>
      <c r="I89" s="14" t="s">
        <v>92</v>
      </c>
      <c r="J89" s="29">
        <f ca="1">H88*50%</f>
        <v>11.5</v>
      </c>
    </row>
    <row r="90" spans="1:10" x14ac:dyDescent="0.25">
      <c r="A90" s="106" t="s">
        <v>45</v>
      </c>
      <c r="B90" s="106"/>
      <c r="C90" s="92" t="s">
        <v>130</v>
      </c>
      <c r="D90" s="92" t="s">
        <v>78</v>
      </c>
      <c r="E90" s="106" t="s">
        <v>80</v>
      </c>
      <c r="F90" s="106"/>
      <c r="G90" s="106" t="s">
        <v>79</v>
      </c>
      <c r="H90" s="106"/>
      <c r="I90" s="14" t="s">
        <v>93</v>
      </c>
      <c r="J90" s="29">
        <f ca="1">H88</f>
        <v>23</v>
      </c>
    </row>
    <row r="91" spans="1:10" ht="15.75" customHeight="1" x14ac:dyDescent="0.25">
      <c r="A91" s="106" t="s">
        <v>119</v>
      </c>
      <c r="B91" s="106"/>
      <c r="C91" s="92">
        <f ca="1">J90</f>
        <v>23</v>
      </c>
      <c r="D91" s="19">
        <f ca="1">((100/H88)*C91)/100</f>
        <v>1</v>
      </c>
      <c r="E91" s="208">
        <f ca="1">(((C92/H88*10)+(40/(D88+F88+H88)*C93)+(7.5/(H88)*C94)+(7.5/(H88)*C95)+(10/H88*C96)+(10/H88*C97)+(5/H88*C98)+(5/H88*C99)+(5/H88*C100))/100)</f>
        <v>0.75543478260869579</v>
      </c>
      <c r="F91" s="208"/>
      <c r="G91" s="208">
        <f ca="1">((((C91/H88)*20)+((C92/H88)*25)+(30/(H88+F88+D88)*C93)+(5/H88*C94)+(5/H88*C95)+(5/H88*C96)+(5/H88*C97)+(0/H88*C98)+(0/H88*C99)+(5/H88*C100))/100)</f>
        <v>0.90217391304347816</v>
      </c>
      <c r="H91" s="208"/>
      <c r="I91" s="14" t="s">
        <v>94</v>
      </c>
      <c r="J91" s="30">
        <f ca="1">(IF(B88&gt;1,(H88/(B88+2)),H88/4))</f>
        <v>5.75</v>
      </c>
    </row>
    <row r="92" spans="1:10" ht="15.75" customHeight="1" x14ac:dyDescent="0.25">
      <c r="A92" s="106" t="s">
        <v>46</v>
      </c>
      <c r="B92" s="106"/>
      <c r="C92" s="75">
        <f ca="1">J98</f>
        <v>23</v>
      </c>
      <c r="D92" s="19">
        <f ca="1">((100/H88)*C92)/100</f>
        <v>1</v>
      </c>
      <c r="E92" s="208"/>
      <c r="F92" s="208"/>
      <c r="G92" s="208"/>
      <c r="H92" s="208"/>
      <c r="I92" s="14" t="s">
        <v>95</v>
      </c>
      <c r="J92" s="30">
        <f ca="1">(IF(B88&gt;1,(H88/(B88+2)+J91),H88/4+J91))</f>
        <v>11.5</v>
      </c>
    </row>
    <row r="93" spans="1:10" ht="15.75" customHeight="1" x14ac:dyDescent="0.25">
      <c r="A93" s="106" t="s">
        <v>120</v>
      </c>
      <c r="B93" s="106"/>
      <c r="C93" s="92">
        <v>24</v>
      </c>
      <c r="D93" s="19">
        <f ca="1">((100/(D88+F88+H88))*C93)/100</f>
        <v>1</v>
      </c>
      <c r="E93" s="208"/>
      <c r="F93" s="208"/>
      <c r="G93" s="208"/>
      <c r="H93" s="208"/>
      <c r="I93" s="14" t="s">
        <v>137</v>
      </c>
      <c r="J93" s="30">
        <f>(IF(B88&gt;1,(H88/(B88+2)+J92),0))</f>
        <v>0</v>
      </c>
    </row>
    <row r="94" spans="1:10" ht="15" customHeight="1" x14ac:dyDescent="0.25">
      <c r="A94" s="106" t="s">
        <v>127</v>
      </c>
      <c r="B94" s="106" t="s">
        <v>121</v>
      </c>
      <c r="C94" s="92">
        <f>C93-1</f>
        <v>23</v>
      </c>
      <c r="D94" s="19">
        <f ca="1">((100/H88)*C94)/100</f>
        <v>1</v>
      </c>
      <c r="E94" s="208"/>
      <c r="F94" s="208"/>
      <c r="G94" s="208"/>
      <c r="H94" s="208"/>
      <c r="I94" s="14" t="s">
        <v>134</v>
      </c>
      <c r="J94" s="30">
        <f>(IF(B88&gt;2,(H88/(B88+2)+J93),0))</f>
        <v>0</v>
      </c>
    </row>
    <row r="95" spans="1:10" ht="15.75" customHeight="1" x14ac:dyDescent="0.25">
      <c r="A95" s="106" t="s">
        <v>128</v>
      </c>
      <c r="B95" s="106" t="s">
        <v>121</v>
      </c>
      <c r="C95" s="53">
        <v>22</v>
      </c>
      <c r="D95" s="19">
        <f ca="1">((100/H88)*C95)/100</f>
        <v>0.9565217391304347</v>
      </c>
      <c r="E95" s="208"/>
      <c r="F95" s="208"/>
      <c r="G95" s="208"/>
      <c r="H95" s="208"/>
      <c r="I95" s="14" t="s">
        <v>135</v>
      </c>
      <c r="J95" s="31">
        <f>(IF(B88&gt;3,(H88/(B88+2)+J94),0))</f>
        <v>0</v>
      </c>
    </row>
    <row r="96" spans="1:10" ht="15.75" customHeight="1" x14ac:dyDescent="0.25">
      <c r="A96" s="106" t="s">
        <v>126</v>
      </c>
      <c r="B96" s="106" t="s">
        <v>123</v>
      </c>
      <c r="C96" s="53">
        <v>20</v>
      </c>
      <c r="D96" s="19">
        <f ca="1">((100/(H88))*C96)/100</f>
        <v>0.86956521739130432</v>
      </c>
      <c r="E96" s="208"/>
      <c r="F96" s="208"/>
      <c r="G96" s="208"/>
      <c r="H96" s="208"/>
      <c r="I96" s="14" t="s">
        <v>136</v>
      </c>
      <c r="J96" s="30">
        <f>(IF(B88&gt;4,(H88/(B88+2)+J95),0))</f>
        <v>0</v>
      </c>
    </row>
    <row r="97" spans="1:10" ht="15.75" customHeight="1" x14ac:dyDescent="0.25">
      <c r="A97" s="106" t="s">
        <v>122</v>
      </c>
      <c r="B97" s="106" t="s">
        <v>122</v>
      </c>
      <c r="C97" s="92">
        <v>5</v>
      </c>
      <c r="D97" s="19">
        <f ca="1">((100/H88)*C97)/100</f>
        <v>0.21739130434782608</v>
      </c>
      <c r="E97" s="208"/>
      <c r="F97" s="208"/>
      <c r="G97" s="208"/>
      <c r="H97" s="208"/>
      <c r="I97" s="14" t="s">
        <v>138</v>
      </c>
      <c r="J97" s="30">
        <f ca="1">(IF(B88=1,(H88/(B88+3)+J92),IF(B88=0,(H88/4+J92),IF(B88&gt;1,0))))</f>
        <v>17.25</v>
      </c>
    </row>
    <row r="98" spans="1:10" ht="16.5" thickBot="1" x14ac:dyDescent="0.3">
      <c r="A98" s="106" t="s">
        <v>129</v>
      </c>
      <c r="B98" s="106"/>
      <c r="C98" s="92">
        <v>0</v>
      </c>
      <c r="D98" s="19">
        <f ca="1">((100/H88)*C98)/100</f>
        <v>0</v>
      </c>
      <c r="E98" s="208"/>
      <c r="F98" s="208"/>
      <c r="G98" s="208"/>
      <c r="H98" s="208"/>
      <c r="I98" s="15" t="s">
        <v>96</v>
      </c>
      <c r="J98" s="32">
        <f ca="1">(IF(B88&gt;1.5,(H88/(B88+2)+J92+MAX(0,J93-J92)+MAX(0,J94-J93)+MAX(0,J95-J94)+MAX(0,J96-J95)+MAX(0,J97-J96)),IF(B88=1,(H88/(B88+3)+J97),IF(B88=0,H88/4+J97))))</f>
        <v>23</v>
      </c>
    </row>
    <row r="99" spans="1:10" x14ac:dyDescent="0.25">
      <c r="A99" s="106" t="s">
        <v>124</v>
      </c>
      <c r="B99" s="106" t="s">
        <v>124</v>
      </c>
      <c r="C99" s="92">
        <v>0</v>
      </c>
      <c r="D99" s="19">
        <f ca="1">((100/(H88))*C99)/100</f>
        <v>0</v>
      </c>
      <c r="E99" s="208"/>
      <c r="F99" s="208"/>
      <c r="G99" s="208"/>
      <c r="H99" s="208"/>
      <c r="I99" s="88" t="str">
        <f ca="1">IF(D114=100%,"All work Completed. Possession granted to the Building.",IF(D113=100%,"All work Completed, Waiting for OC",I100&amp;""&amp;I101&amp;""&amp;J100&amp;""&amp;J99&amp;" "&amp;J101))</f>
        <v xml:space="preserve">Excavation, Plinth Completed </v>
      </c>
      <c r="J99" s="46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/>
      </c>
    </row>
    <row r="100" spans="1:10" x14ac:dyDescent="0.25">
      <c r="A100" s="106" t="s">
        <v>125</v>
      </c>
      <c r="B100" s="106"/>
      <c r="C100" s="92">
        <v>0</v>
      </c>
      <c r="D100" s="19">
        <f ca="1">((100/(H88))*C100)/100</f>
        <v>0</v>
      </c>
      <c r="E100" s="208"/>
      <c r="F100" s="208"/>
      <c r="G100" s="208"/>
      <c r="H100" s="208"/>
      <c r="I100" s="89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Excavation, Plinth</v>
      </c>
      <c r="J100" s="48" t="str">
        <f ca="1">(IF(C105=0,"Work not yet Started.",IF(D105=25%,"Piling work in process",IF(D105=50%,"Excavation work in process",IF(D105=100%,"","0")))))&amp;(IF(C106=0%,"",IF(C106=J105,", Footing work is process",IF(C106=J106,", Footing work Completed",IF(C106=J107,", 1st Basement Completed",IF(C106=J108,", 1st &amp; 2nd Basement Completed",IF(C106=J109,", 1st to 3rd Basement Completed",IF(C106=J110,", 1st to 4th Basement Completed",IF(C106=J111,", Plinth work is process",IF(C106=J112,"","0"))))))))))</f>
        <v/>
      </c>
    </row>
    <row r="101" spans="1:10" x14ac:dyDescent="0.25">
      <c r="A101" s="133" t="s">
        <v>131</v>
      </c>
      <c r="B101" s="134"/>
      <c r="C101" s="135" t="str">
        <f>D64</f>
        <v>Tower 3 = Gr/St + 1st to 23rd Floor</v>
      </c>
      <c r="D101" s="136"/>
      <c r="E101" s="136"/>
      <c r="F101" s="136"/>
      <c r="G101" s="136"/>
      <c r="H101" s="137"/>
      <c r="I101" s="47" t="str">
        <f ca="1">IF(I100&lt;&gt;""," Completed","")</f>
        <v xml:space="preserve"> Completed</v>
      </c>
      <c r="J101" s="48" t="str">
        <f ca="1">IF(J99&lt;&gt;"","Completed","")</f>
        <v/>
      </c>
    </row>
    <row r="102" spans="1:10" ht="15.75" customHeight="1" x14ac:dyDescent="0.25">
      <c r="A102" s="16" t="s">
        <v>133</v>
      </c>
      <c r="B102" s="79">
        <v>0</v>
      </c>
      <c r="C102" s="79" t="s">
        <v>68</v>
      </c>
      <c r="D102" s="79">
        <v>1</v>
      </c>
      <c r="E102" s="79" t="s">
        <v>67</v>
      </c>
      <c r="F102" s="79">
        <v>0</v>
      </c>
      <c r="G102" s="65" t="s">
        <v>75</v>
      </c>
      <c r="H102" s="17">
        <f ca="1">--TRIM(RIGHT(SUBSTITUTE(LEFT(C101,_xlfn.AGGREGATE(16,6,FIND({0,1,2,3,4,5,6,7,8,9},C101,ROW(INDIRECT("1:"&amp;LEN(C101)))),1))," ",REPT(" ",LEN(C101))),LEN(C101)))</f>
        <v>23</v>
      </c>
      <c r="I102" s="14" t="s">
        <v>132</v>
      </c>
      <c r="J102" s="28">
        <f ca="1">H102*25%</f>
        <v>5.75</v>
      </c>
    </row>
    <row r="103" spans="1:10" x14ac:dyDescent="0.25">
      <c r="A103" s="138" t="s">
        <v>85</v>
      </c>
      <c r="B103" s="139"/>
      <c r="C103" s="140" t="str">
        <f ca="1">(IF($C$55=C101,"All work Completed. OC Received.",I99))</f>
        <v xml:space="preserve">Excavation, Plinth Completed </v>
      </c>
      <c r="D103" s="140"/>
      <c r="E103" s="140"/>
      <c r="F103" s="140"/>
      <c r="G103" s="140"/>
      <c r="H103" s="141"/>
      <c r="I103" s="14" t="s">
        <v>92</v>
      </c>
      <c r="J103" s="29">
        <f ca="1">H102*50%</f>
        <v>11.5</v>
      </c>
    </row>
    <row r="104" spans="1:10" x14ac:dyDescent="0.25">
      <c r="A104" s="105" t="s">
        <v>45</v>
      </c>
      <c r="B104" s="106"/>
      <c r="C104" s="77" t="s">
        <v>130</v>
      </c>
      <c r="D104" s="77" t="s">
        <v>78</v>
      </c>
      <c r="E104" s="106" t="s">
        <v>80</v>
      </c>
      <c r="F104" s="106"/>
      <c r="G104" s="106" t="s">
        <v>79</v>
      </c>
      <c r="H104" s="142"/>
      <c r="I104" s="14" t="s">
        <v>93</v>
      </c>
      <c r="J104" s="29">
        <f ca="1">H102</f>
        <v>23</v>
      </c>
    </row>
    <row r="105" spans="1:10" ht="15.75" customHeight="1" x14ac:dyDescent="0.25">
      <c r="A105" s="105" t="s">
        <v>119</v>
      </c>
      <c r="B105" s="106"/>
      <c r="C105" s="77">
        <f ca="1">J104</f>
        <v>23</v>
      </c>
      <c r="D105" s="19">
        <f ca="1">((100/H102)*C105)/100</f>
        <v>1</v>
      </c>
      <c r="E105" s="143">
        <f ca="1">(((C106/H102*10)+(40/(D102+F102+H102)*C107)+(7.5/(H102)*C108)+(7.5/(H102)*C109)+(10/H102*C110)+(10/H102*C111)+(5/H102*C112)+(5/H102*C113)+(5/H102*C114))/100)</f>
        <v>0.1</v>
      </c>
      <c r="F105" s="144"/>
      <c r="G105" s="143">
        <f ca="1">((((C105/H102)*20)+((C106/H102)*25)+(30/(H102+F102+D102)*C107)+(5/H102*C108)+(5/H102*C109)+(5/H102*C110)+(5/H102*C111)+(0/H102*C112)+(0/H102*C113)+(5/H102*C114))/100)</f>
        <v>0.45</v>
      </c>
      <c r="H105" s="149"/>
      <c r="I105" s="14" t="s">
        <v>94</v>
      </c>
      <c r="J105" s="30">
        <f ca="1">(IF(B102&gt;1,(H102/(B102+2)),H102/4))</f>
        <v>5.75</v>
      </c>
    </row>
    <row r="106" spans="1:10" ht="15.75" customHeight="1" x14ac:dyDescent="0.25">
      <c r="A106" s="105" t="s">
        <v>46</v>
      </c>
      <c r="B106" s="106"/>
      <c r="C106" s="53">
        <f ca="1">J112</f>
        <v>23</v>
      </c>
      <c r="D106" s="19">
        <f ca="1">((100/H102)*C106)/100</f>
        <v>1</v>
      </c>
      <c r="E106" s="145"/>
      <c r="F106" s="146"/>
      <c r="G106" s="145"/>
      <c r="H106" s="150"/>
      <c r="I106" s="14" t="s">
        <v>95</v>
      </c>
      <c r="J106" s="30">
        <f ca="1">(IF(B102&gt;1,(H102/(B102+2)+J105),H102/4+J105))</f>
        <v>11.5</v>
      </c>
    </row>
    <row r="107" spans="1:10" ht="15.75" customHeight="1" x14ac:dyDescent="0.25">
      <c r="A107" s="105" t="s">
        <v>120</v>
      </c>
      <c r="B107" s="106"/>
      <c r="C107" s="77">
        <v>0</v>
      </c>
      <c r="D107" s="19">
        <f ca="1">((100/(D102+F102+H102))*C107)/100</f>
        <v>0</v>
      </c>
      <c r="E107" s="145"/>
      <c r="F107" s="146"/>
      <c r="G107" s="145"/>
      <c r="H107" s="150"/>
      <c r="I107" s="14" t="s">
        <v>137</v>
      </c>
      <c r="J107" s="30">
        <f>(IF(B102&gt;1,(H102/(B102+2)+J106),0))</f>
        <v>0</v>
      </c>
    </row>
    <row r="108" spans="1:10" ht="15" customHeight="1" x14ac:dyDescent="0.25">
      <c r="A108" s="105" t="s">
        <v>127</v>
      </c>
      <c r="B108" s="106" t="s">
        <v>121</v>
      </c>
      <c r="C108" s="77">
        <v>0</v>
      </c>
      <c r="D108" s="19">
        <f ca="1">((100/H102)*C108)/100</f>
        <v>0</v>
      </c>
      <c r="E108" s="145"/>
      <c r="F108" s="146"/>
      <c r="G108" s="145"/>
      <c r="H108" s="150"/>
      <c r="I108" s="14" t="s">
        <v>134</v>
      </c>
      <c r="J108" s="30">
        <f>(IF(B102&gt;2,(H102/(B102+2)+J107),0))</f>
        <v>0</v>
      </c>
    </row>
    <row r="109" spans="1:10" ht="15.75" customHeight="1" x14ac:dyDescent="0.25">
      <c r="A109" s="105" t="s">
        <v>128</v>
      </c>
      <c r="B109" s="106" t="s">
        <v>121</v>
      </c>
      <c r="C109" s="77">
        <v>0</v>
      </c>
      <c r="D109" s="19">
        <f ca="1">((100/H102)*C109)/100</f>
        <v>0</v>
      </c>
      <c r="E109" s="145"/>
      <c r="F109" s="146"/>
      <c r="G109" s="145"/>
      <c r="H109" s="150"/>
      <c r="I109" s="14" t="s">
        <v>135</v>
      </c>
      <c r="J109" s="31">
        <f>(IF(B102&gt;3,(H102/(B102+2)+J108),0))</f>
        <v>0</v>
      </c>
    </row>
    <row r="110" spans="1:10" ht="15.75" customHeight="1" x14ac:dyDescent="0.25">
      <c r="A110" s="105" t="s">
        <v>126</v>
      </c>
      <c r="B110" s="106" t="s">
        <v>123</v>
      </c>
      <c r="C110" s="77">
        <v>0</v>
      </c>
      <c r="D110" s="19">
        <f ca="1">((100/(H102))*C110)/100</f>
        <v>0</v>
      </c>
      <c r="E110" s="145"/>
      <c r="F110" s="146"/>
      <c r="G110" s="145"/>
      <c r="H110" s="150"/>
      <c r="I110" s="14" t="s">
        <v>136</v>
      </c>
      <c r="J110" s="30">
        <f>(IF(B102&gt;4,(H102/(B102+2)+J109),0))</f>
        <v>0</v>
      </c>
    </row>
    <row r="111" spans="1:10" ht="15.75" customHeight="1" x14ac:dyDescent="0.25">
      <c r="A111" s="105" t="s">
        <v>122</v>
      </c>
      <c r="B111" s="106" t="s">
        <v>122</v>
      </c>
      <c r="C111" s="77">
        <v>0</v>
      </c>
      <c r="D111" s="19">
        <f ca="1">((100/H102)*C111)/100</f>
        <v>0</v>
      </c>
      <c r="E111" s="145"/>
      <c r="F111" s="146"/>
      <c r="G111" s="145"/>
      <c r="H111" s="150"/>
      <c r="I111" s="14" t="s">
        <v>138</v>
      </c>
      <c r="J111" s="30">
        <f ca="1">(IF(B102=1,(H102/(B102+3)+J106),IF(B102=0,(H102/4+J106),IF(B102&gt;1,0))))</f>
        <v>17.25</v>
      </c>
    </row>
    <row r="112" spans="1:10" ht="16.5" thickBot="1" x14ac:dyDescent="0.3">
      <c r="A112" s="105" t="s">
        <v>129</v>
      </c>
      <c r="B112" s="106"/>
      <c r="C112" s="77">
        <v>0</v>
      </c>
      <c r="D112" s="19">
        <f ca="1">((100/H102)*C112)/100</f>
        <v>0</v>
      </c>
      <c r="E112" s="145"/>
      <c r="F112" s="146"/>
      <c r="G112" s="145"/>
      <c r="H112" s="150"/>
      <c r="I112" s="15" t="s">
        <v>96</v>
      </c>
      <c r="J112" s="32">
        <f ca="1">(IF(B102&gt;1.5,(H102/(B102+2)+J106+MAX(0,J107-J106)+MAX(0,J108-J107)+MAX(0,J109-J108)+MAX(0,J110-J109)+MAX(0,J111-J110)),IF(B102=1,(H102/(B102+3)+J111),IF(B102=0,H102/4+J111))))</f>
        <v>23</v>
      </c>
    </row>
    <row r="113" spans="1:12" x14ac:dyDescent="0.25">
      <c r="A113" s="105" t="s">
        <v>124</v>
      </c>
      <c r="B113" s="106" t="s">
        <v>124</v>
      </c>
      <c r="C113" s="77">
        <v>0</v>
      </c>
      <c r="D113" s="19">
        <f ca="1">((100/(H102))*C113)/100</f>
        <v>0</v>
      </c>
      <c r="E113" s="145"/>
      <c r="F113" s="146"/>
      <c r="G113" s="145"/>
      <c r="H113" s="150"/>
      <c r="I113" s="45" t="str">
        <f ca="1">IF(D128=100%,"All work Completed. Possession granted to the Building.",IF(D127=100%,"All work Completed, Waiting for OC",I114&amp;""&amp;I115&amp;""&amp;J114&amp;""&amp;J113&amp;" "&amp;J115))</f>
        <v>Excavation, Plinth, RCC Slab, Brickwork, Internal Plaster, External Plaster Completed, Flooring upto 22 Floor, Painting upto 20 Floor Completed</v>
      </c>
      <c r="J113" s="46" t="str">
        <f ca="1">(IF(C121=(D116+F116+H116),"",IF(C121&gt;0,", RCC upto "&amp;C121&amp;" Slab","")))&amp;(IF(C122=H116,"",IF(C122&gt;0,", Brickwork upto "&amp;C122&amp;" Floor","")))&amp;(IF(C123=H116,"",IF(C123&gt;0,", Internal Plaster upto "&amp;C123&amp;" Floor","")))&amp;(IF(C124=H116,"",IF(C124&gt;0,", External Plaster upto "&amp;C124&amp;" Floor","")))&amp;(IF(C125=H116,"",IF(C125&gt;0,", Flooring upto "&amp;C125&amp;" Floor","")))&amp;(IF(C126=H116,"",IF(C126&gt;0,", Painting upto "&amp;C126&amp;" Floor","")))&amp;(IF(C127=H116,"",IF(C127&gt;0,", Finishing upto "&amp;C127&amp;" Floor","")))&amp;(IF(C128=H116,"",IF(C128&gt;0,", Possession upto "&amp;C128&amp;" Floor","")))</f>
        <v>, Flooring upto 22 Floor, Painting upto 20 Floor</v>
      </c>
    </row>
    <row r="114" spans="1:12" ht="16.5" thickBot="1" x14ac:dyDescent="0.3">
      <c r="A114" s="107" t="s">
        <v>125</v>
      </c>
      <c r="B114" s="108"/>
      <c r="C114" s="78">
        <v>0</v>
      </c>
      <c r="D114" s="20">
        <f ca="1">((100/(H102))*C114)/100</f>
        <v>0</v>
      </c>
      <c r="E114" s="147"/>
      <c r="F114" s="148"/>
      <c r="G114" s="147"/>
      <c r="H114" s="151"/>
      <c r="I114" s="47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Excavation, Plinth, RCC Slab, Brickwork, Internal Plaster, External Plaster</v>
      </c>
      <c r="J114" s="48" t="str">
        <f ca="1">(IF(C119=0,"Work not yet Started.",IF(D119=25%,"Piling work in process",IF(D119=50%,"Excavation work in process",IF(D119=100%,"","0")))))&amp;(IF(C120=0%,"",IF(C120=J119,", Footing work is process",IF(C120=J120,", Footing work Completed",IF(C120=J121,", 1st Basement Completed",IF(C120=J122,", 1st &amp; 2nd Basement Completed",IF(C120=J123,", 1st to 3rd Basement Completed",IF(C120=J124,", 1st to 4th Basement Completed",IF(C120=J125,", Plinth work is process",IF(C120=J126,"","0"))))))))))</f>
        <v/>
      </c>
      <c r="K114" s="62" t="s">
        <v>197</v>
      </c>
      <c r="L114" s="63">
        <v>44817</v>
      </c>
    </row>
    <row r="115" spans="1:12" x14ac:dyDescent="0.25">
      <c r="A115" s="214" t="s">
        <v>131</v>
      </c>
      <c r="B115" s="215"/>
      <c r="C115" s="216" t="str">
        <f>D65</f>
        <v>Tower 4 = Gr/Stilt + 1st to 7th Floor (Part Parking + Part Resi) + 8th to 23rd Floor</v>
      </c>
      <c r="D115" s="217"/>
      <c r="E115" s="217"/>
      <c r="F115" s="217"/>
      <c r="G115" s="217"/>
      <c r="H115" s="218"/>
      <c r="I115" s="47" t="str">
        <f ca="1">IF(I114&lt;&gt;""," Completed","")</f>
        <v xml:space="preserve"> Completed</v>
      </c>
      <c r="J115" s="48" t="str">
        <f ca="1">IF(J113&lt;&gt;"","Completed","")</f>
        <v>Completed</v>
      </c>
      <c r="K115" s="73" t="s">
        <v>220</v>
      </c>
      <c r="L115" s="74">
        <v>45169</v>
      </c>
    </row>
    <row r="116" spans="1:12" x14ac:dyDescent="0.25">
      <c r="A116" s="16" t="s">
        <v>133</v>
      </c>
      <c r="B116" s="52">
        <v>0</v>
      </c>
      <c r="C116" s="52" t="s">
        <v>68</v>
      </c>
      <c r="D116" s="52">
        <v>1</v>
      </c>
      <c r="E116" s="52" t="s">
        <v>67</v>
      </c>
      <c r="F116" s="52">
        <v>0</v>
      </c>
      <c r="G116" s="43" t="s">
        <v>75</v>
      </c>
      <c r="H116" s="17">
        <f ca="1">--TRIM(RIGHT(SUBSTITUTE(LEFT(C115,_xlfn.AGGREGATE(16,6,FIND({0,1,2,3,4,5,6,7,8,9},C115,ROW(INDIRECT("1:"&amp;LEN(C115)))),1))," ",REPT(" ",LEN(C115))),LEN(C115)))</f>
        <v>23</v>
      </c>
      <c r="I116" s="14" t="s">
        <v>132</v>
      </c>
      <c r="J116" s="28">
        <f ca="1">H116*25%</f>
        <v>5.75</v>
      </c>
      <c r="K116" s="22" t="e">
        <f>AVERAGE(K114:K115)</f>
        <v>#DIV/0!</v>
      </c>
    </row>
    <row r="117" spans="1:12" s="33" customFormat="1" ht="33.950000000000003" customHeight="1" x14ac:dyDescent="0.25">
      <c r="A117" s="138" t="s">
        <v>85</v>
      </c>
      <c r="B117" s="139"/>
      <c r="C117" s="140" t="str">
        <f ca="1">(IF($C$55=C115,"All work Completed. OC Received.",I113))</f>
        <v>Excavation, Plinth, RCC Slab, Brickwork, Internal Plaster, External Plaster Completed, Flooring upto 22 Floor, Painting upto 20 Floor Completed</v>
      </c>
      <c r="D117" s="140"/>
      <c r="E117" s="140"/>
      <c r="F117" s="140"/>
      <c r="G117" s="140"/>
      <c r="H117" s="141"/>
      <c r="I117" s="14" t="s">
        <v>92</v>
      </c>
      <c r="J117" s="29">
        <f ca="1">H116*50%</f>
        <v>11.5</v>
      </c>
    </row>
    <row r="118" spans="1:12" s="33" customFormat="1" x14ac:dyDescent="0.25">
      <c r="A118" s="105" t="s">
        <v>45</v>
      </c>
      <c r="B118" s="106"/>
      <c r="C118" s="41" t="s">
        <v>130</v>
      </c>
      <c r="D118" s="41" t="s">
        <v>78</v>
      </c>
      <c r="E118" s="106" t="s">
        <v>80</v>
      </c>
      <c r="F118" s="106"/>
      <c r="G118" s="106" t="s">
        <v>79</v>
      </c>
      <c r="H118" s="142"/>
      <c r="I118" s="14" t="s">
        <v>93</v>
      </c>
      <c r="J118" s="29">
        <f ca="1">H116</f>
        <v>23</v>
      </c>
    </row>
    <row r="119" spans="1:12" s="33" customFormat="1" x14ac:dyDescent="0.25">
      <c r="A119" s="106" t="s">
        <v>119</v>
      </c>
      <c r="B119" s="106"/>
      <c r="C119" s="92">
        <f ca="1">J118</f>
        <v>23</v>
      </c>
      <c r="D119" s="19">
        <f ca="1">((100/H116)*C119)/100</f>
        <v>1</v>
      </c>
      <c r="E119" s="208">
        <f ca="1">(((C120/H116*10)+(40/(D116+F116+H116)*C121)+(7.5/(H116)*C122)+(7.5/(H116)*C123)+(10/H116*C124)+(10/H116*C125)+(5/H116*C126)+(5/H116*C127)+(5/H116*C128))/100)</f>
        <v>0.88913043478260856</v>
      </c>
      <c r="F119" s="208"/>
      <c r="G119" s="208">
        <f ca="1">((((C119/H116)*20)+((C120/H116)*25)+(30/(H116+F116+D116)*C121)+(5/H116*C122)+(5/H116*C123)+(5/H116*C124)+(5/H116*C125)+(0/H116*C126)+(0/H116*C127)+(5/H116*C128))/100)</f>
        <v>0.94782608695652171</v>
      </c>
      <c r="H119" s="208"/>
      <c r="I119" s="14" t="s">
        <v>94</v>
      </c>
      <c r="J119" s="30">
        <f ca="1">(IF(B116&gt;1,(H116/(B116+2)),H116/4))</f>
        <v>5.75</v>
      </c>
    </row>
    <row r="120" spans="1:12" s="33" customFormat="1" x14ac:dyDescent="0.25">
      <c r="A120" s="106" t="s">
        <v>46</v>
      </c>
      <c r="B120" s="106"/>
      <c r="C120" s="53">
        <v>23</v>
      </c>
      <c r="D120" s="19">
        <f ca="1">((100/H116)*C120)/100</f>
        <v>1</v>
      </c>
      <c r="E120" s="208"/>
      <c r="F120" s="208"/>
      <c r="G120" s="208"/>
      <c r="H120" s="208"/>
      <c r="I120" s="14" t="s">
        <v>95</v>
      </c>
      <c r="J120" s="30">
        <f ca="1">(IF(B116&gt;1,(H116/(B116+2)+J119),H116/4+J119))</f>
        <v>11.5</v>
      </c>
    </row>
    <row r="121" spans="1:12" s="33" customFormat="1" x14ac:dyDescent="0.25">
      <c r="A121" s="106" t="s">
        <v>120</v>
      </c>
      <c r="B121" s="106"/>
      <c r="C121" s="92">
        <v>24</v>
      </c>
      <c r="D121" s="19">
        <f ca="1">((100/(D116+F116+H116))*C121)/100</f>
        <v>1</v>
      </c>
      <c r="E121" s="208"/>
      <c r="F121" s="208"/>
      <c r="G121" s="208"/>
      <c r="H121" s="208"/>
      <c r="I121" s="14" t="s">
        <v>137</v>
      </c>
      <c r="J121" s="30">
        <f>(IF(B116&gt;1,(H116/(B116+2)+J120),0))</f>
        <v>0</v>
      </c>
    </row>
    <row r="122" spans="1:12" s="33" customFormat="1" x14ac:dyDescent="0.25">
      <c r="A122" s="106" t="s">
        <v>127</v>
      </c>
      <c r="B122" s="106" t="s">
        <v>121</v>
      </c>
      <c r="C122" s="92">
        <v>23</v>
      </c>
      <c r="D122" s="19">
        <f ca="1">((100/H116)*C122)/100</f>
        <v>1</v>
      </c>
      <c r="E122" s="208"/>
      <c r="F122" s="208"/>
      <c r="G122" s="208"/>
      <c r="H122" s="208"/>
      <c r="I122" s="14" t="s">
        <v>134</v>
      </c>
      <c r="J122" s="30">
        <f>(IF(B116&gt;2,(H116/(B116+2)+J121),0))</f>
        <v>0</v>
      </c>
    </row>
    <row r="123" spans="1:12" s="33" customFormat="1" x14ac:dyDescent="0.25">
      <c r="A123" s="106" t="s">
        <v>128</v>
      </c>
      <c r="B123" s="106" t="s">
        <v>121</v>
      </c>
      <c r="C123" s="53">
        <v>23</v>
      </c>
      <c r="D123" s="19">
        <f ca="1">((100/H116)*C123)/100</f>
        <v>1</v>
      </c>
      <c r="E123" s="208"/>
      <c r="F123" s="208"/>
      <c r="G123" s="208"/>
      <c r="H123" s="208"/>
      <c r="I123" s="14" t="s">
        <v>135</v>
      </c>
      <c r="J123" s="31">
        <f>(IF(B116&gt;3,(H116/(B116+2)+J122),0))</f>
        <v>0</v>
      </c>
    </row>
    <row r="124" spans="1:12" s="33" customFormat="1" x14ac:dyDescent="0.25">
      <c r="A124" s="106" t="s">
        <v>126</v>
      </c>
      <c r="B124" s="106" t="s">
        <v>123</v>
      </c>
      <c r="C124" s="53">
        <v>23</v>
      </c>
      <c r="D124" s="19">
        <f ca="1">((100/(H116))*C124)/100</f>
        <v>1</v>
      </c>
      <c r="E124" s="208"/>
      <c r="F124" s="208"/>
      <c r="G124" s="208"/>
      <c r="H124" s="208"/>
      <c r="I124" s="14" t="s">
        <v>136</v>
      </c>
      <c r="J124" s="30">
        <f>(IF(B116&gt;4,(H116/(B116+2)+J123),0))</f>
        <v>0</v>
      </c>
    </row>
    <row r="125" spans="1:12" x14ac:dyDescent="0.25">
      <c r="A125" s="106" t="s">
        <v>122</v>
      </c>
      <c r="B125" s="106" t="s">
        <v>122</v>
      </c>
      <c r="C125" s="92">
        <v>22</v>
      </c>
      <c r="D125" s="19">
        <f ca="1">((100/H116)*C125)/100</f>
        <v>0.9565217391304347</v>
      </c>
      <c r="E125" s="208"/>
      <c r="F125" s="208"/>
      <c r="G125" s="208"/>
      <c r="H125" s="208"/>
      <c r="I125" s="14" t="s">
        <v>138</v>
      </c>
      <c r="J125" s="30">
        <f ca="1">(IF(B116=1,(H116/(B116+3)+J120),IF(B116=0,(H116/4+J120),IF(B116&gt;1,0))))</f>
        <v>17.25</v>
      </c>
    </row>
    <row r="126" spans="1:12" s="34" customFormat="1" ht="16.5" thickBot="1" x14ac:dyDescent="0.3">
      <c r="A126" s="106" t="s">
        <v>129</v>
      </c>
      <c r="B126" s="106"/>
      <c r="C126" s="92">
        <v>20</v>
      </c>
      <c r="D126" s="19">
        <f ca="1">((100/H116)*C126)/100</f>
        <v>0.86956521739130432</v>
      </c>
      <c r="E126" s="208"/>
      <c r="F126" s="208"/>
      <c r="G126" s="208"/>
      <c r="H126" s="208"/>
      <c r="I126" s="15" t="s">
        <v>96</v>
      </c>
      <c r="J126" s="32">
        <f ca="1">(IF(B116&gt;1.5,(H116/(B116+2)+J120+MAX(0,J121-J120)+MAX(0,J122-J121)+MAX(0,J123-J122)+MAX(0,J124-J123)+MAX(0,J125-J124)),IF(B116=1,(H116/(B116+3)+J125),IF(B116=0,H116/4+J125))))</f>
        <v>23</v>
      </c>
    </row>
    <row r="127" spans="1:12" s="35" customFormat="1" x14ac:dyDescent="0.25">
      <c r="A127" s="106" t="s">
        <v>124</v>
      </c>
      <c r="B127" s="106" t="s">
        <v>124</v>
      </c>
      <c r="C127" s="92">
        <v>0</v>
      </c>
      <c r="D127" s="19">
        <f ca="1">((100/(H116))*C127)/100</f>
        <v>0</v>
      </c>
      <c r="E127" s="208"/>
      <c r="F127" s="208"/>
      <c r="G127" s="208"/>
      <c r="H127" s="208"/>
      <c r="I127" s="21"/>
      <c r="J127" s="21"/>
    </row>
    <row r="128" spans="1:12" s="35" customFormat="1" ht="15.75" customHeight="1" x14ac:dyDescent="0.25">
      <c r="A128" s="106" t="s">
        <v>125</v>
      </c>
      <c r="B128" s="106"/>
      <c r="C128" s="92">
        <v>0</v>
      </c>
      <c r="D128" s="19">
        <f ca="1">((100/(H116))*C128)/100</f>
        <v>0</v>
      </c>
      <c r="E128" s="208"/>
      <c r="F128" s="208"/>
      <c r="G128" s="208"/>
      <c r="H128" s="208"/>
      <c r="I128" s="62" t="s">
        <v>195</v>
      </c>
      <c r="J128" s="62" t="s">
        <v>196</v>
      </c>
    </row>
    <row r="129" spans="1:14" s="35" customFormat="1" x14ac:dyDescent="0.25">
      <c r="A129" s="237" t="s">
        <v>146</v>
      </c>
      <c r="B129" s="237"/>
      <c r="C129" s="237"/>
      <c r="D129" s="237"/>
      <c r="E129" s="237"/>
      <c r="F129" s="155" t="s">
        <v>151</v>
      </c>
      <c r="G129" s="155"/>
      <c r="H129" s="155"/>
      <c r="I129" s="72" t="s">
        <v>218</v>
      </c>
      <c r="J129" s="73" t="s">
        <v>219</v>
      </c>
    </row>
    <row r="130" spans="1:14" s="35" customFormat="1" x14ac:dyDescent="0.25">
      <c r="A130" s="186" t="s">
        <v>149</v>
      </c>
      <c r="B130" s="186"/>
      <c r="C130" s="186"/>
      <c r="D130" s="186"/>
      <c r="E130" s="186"/>
      <c r="F130" s="272">
        <v>12400</v>
      </c>
      <c r="G130" s="272"/>
      <c r="H130" s="272"/>
      <c r="I130" s="21" t="s">
        <v>272</v>
      </c>
      <c r="J130" s="22"/>
    </row>
    <row r="131" spans="1:14" s="35" customFormat="1" ht="15.75" customHeight="1" x14ac:dyDescent="0.25">
      <c r="A131" s="186" t="s">
        <v>148</v>
      </c>
      <c r="B131" s="186"/>
      <c r="C131" s="186"/>
      <c r="D131" s="186"/>
      <c r="E131" s="186"/>
      <c r="F131" s="185">
        <v>29000</v>
      </c>
      <c r="G131" s="185"/>
      <c r="H131" s="185"/>
      <c r="I131" s="33"/>
      <c r="J131" s="33"/>
    </row>
    <row r="132" spans="1:14" s="35" customFormat="1" hidden="1" x14ac:dyDescent="0.25">
      <c r="A132" s="186" t="s">
        <v>150</v>
      </c>
      <c r="B132" s="186"/>
      <c r="C132" s="186"/>
      <c r="D132" s="186"/>
      <c r="E132" s="186"/>
      <c r="F132" s="185"/>
      <c r="G132" s="185"/>
      <c r="H132" s="185"/>
      <c r="I132" s="33"/>
      <c r="J132" s="33"/>
    </row>
    <row r="133" spans="1:14" s="35" customFormat="1" hidden="1" x14ac:dyDescent="0.25">
      <c r="A133" s="186" t="s">
        <v>147</v>
      </c>
      <c r="B133" s="186"/>
      <c r="C133" s="186"/>
      <c r="D133" s="186"/>
      <c r="E133" s="186"/>
      <c r="F133" s="185"/>
      <c r="G133" s="185"/>
      <c r="H133" s="185"/>
      <c r="I133" s="33"/>
      <c r="J133" s="33"/>
    </row>
    <row r="134" spans="1:14" s="35" customFormat="1" hidden="1" x14ac:dyDescent="0.25">
      <c r="A134" s="186" t="s">
        <v>88</v>
      </c>
      <c r="B134" s="186"/>
      <c r="C134" s="186"/>
      <c r="D134" s="186"/>
      <c r="E134" s="186"/>
      <c r="F134" s="185"/>
      <c r="G134" s="185"/>
      <c r="H134" s="185"/>
      <c r="I134" s="33"/>
      <c r="J134" s="33"/>
    </row>
    <row r="135" spans="1:14" s="35" customFormat="1" hidden="1" x14ac:dyDescent="0.25">
      <c r="A135" s="186" t="s">
        <v>89</v>
      </c>
      <c r="B135" s="186"/>
      <c r="C135" s="186"/>
      <c r="D135" s="186"/>
      <c r="E135" s="186"/>
      <c r="F135" s="185"/>
      <c r="G135" s="185"/>
      <c r="H135" s="185"/>
      <c r="I135" s="33"/>
      <c r="J135" s="33"/>
    </row>
    <row r="136" spans="1:14" s="34" customFormat="1" x14ac:dyDescent="0.25">
      <c r="A136" s="186" t="s">
        <v>192</v>
      </c>
      <c r="B136" s="186"/>
      <c r="C136" s="186"/>
      <c r="D136" s="186"/>
      <c r="E136" s="186"/>
      <c r="F136" s="185">
        <v>100000</v>
      </c>
      <c r="G136" s="185"/>
      <c r="H136" s="185"/>
      <c r="I136" s="33"/>
      <c r="J136" s="33"/>
    </row>
    <row r="137" spans="1:14" x14ac:dyDescent="0.25">
      <c r="A137" s="186" t="s">
        <v>193</v>
      </c>
      <c r="B137" s="186"/>
      <c r="C137" s="186"/>
      <c r="D137" s="186"/>
      <c r="E137" s="186"/>
      <c r="F137" s="185">
        <v>50000</v>
      </c>
      <c r="G137" s="185"/>
      <c r="H137" s="185"/>
      <c r="I137" s="33"/>
      <c r="J137" s="33"/>
    </row>
    <row r="138" spans="1:14" hidden="1" x14ac:dyDescent="0.25">
      <c r="A138" s="186" t="s">
        <v>90</v>
      </c>
      <c r="B138" s="186"/>
      <c r="C138" s="186"/>
      <c r="D138" s="186"/>
      <c r="E138" s="186"/>
      <c r="F138" s="185"/>
      <c r="G138" s="185"/>
      <c r="H138" s="185"/>
      <c r="I138" s="33"/>
      <c r="J138" s="33"/>
    </row>
    <row r="139" spans="1:14" s="69" customFormat="1" hidden="1" x14ac:dyDescent="0.25">
      <c r="A139" s="186" t="s">
        <v>91</v>
      </c>
      <c r="B139" s="186"/>
      <c r="C139" s="186"/>
      <c r="D139" s="186"/>
      <c r="E139" s="186"/>
      <c r="F139" s="185"/>
      <c r="G139" s="185"/>
      <c r="H139" s="185"/>
      <c r="I139" s="21"/>
      <c r="J139" s="21"/>
    </row>
    <row r="140" spans="1:14" s="69" customFormat="1" x14ac:dyDescent="0.25">
      <c r="A140" s="186" t="s">
        <v>194</v>
      </c>
      <c r="B140" s="186"/>
      <c r="C140" s="186"/>
      <c r="D140" s="186"/>
      <c r="E140" s="186"/>
      <c r="F140" s="185">
        <v>90000</v>
      </c>
      <c r="G140" s="185"/>
      <c r="H140" s="185"/>
      <c r="I140" s="34"/>
      <c r="J140" s="34"/>
    </row>
    <row r="141" spans="1:14" s="69" customFormat="1" x14ac:dyDescent="0.25">
      <c r="A141" s="186" t="s">
        <v>47</v>
      </c>
      <c r="B141" s="186"/>
      <c r="C141" s="186"/>
      <c r="D141" s="186"/>
      <c r="E141" s="186"/>
      <c r="F141" s="185">
        <v>700000</v>
      </c>
      <c r="G141" s="185"/>
      <c r="H141" s="185"/>
      <c r="I141" s="35"/>
      <c r="J141" s="35"/>
    </row>
    <row r="142" spans="1:14" s="69" customFormat="1" x14ac:dyDescent="0.25">
      <c r="A142" s="237" t="s">
        <v>48</v>
      </c>
      <c r="B142" s="237"/>
      <c r="C142" s="237"/>
      <c r="D142" s="237"/>
      <c r="E142" s="237"/>
      <c r="F142" s="185">
        <f>F130*0.8</f>
        <v>9920</v>
      </c>
      <c r="G142" s="185"/>
      <c r="H142" s="185"/>
      <c r="I142" s="35"/>
      <c r="J142" s="35" t="s">
        <v>189</v>
      </c>
    </row>
    <row r="143" spans="1:14" s="69" customFormat="1" ht="15.75" customHeight="1" x14ac:dyDescent="0.25">
      <c r="A143" s="153" t="s">
        <v>216</v>
      </c>
      <c r="B143" s="153"/>
      <c r="C143" s="153"/>
      <c r="D143" s="153"/>
      <c r="E143" s="153"/>
      <c r="F143" s="153"/>
      <c r="G143" s="153"/>
      <c r="H143" s="153"/>
      <c r="I143" s="35"/>
      <c r="J143" s="35" t="s">
        <v>190</v>
      </c>
      <c r="K143" s="69">
        <f>9600000/F322</f>
        <v>19205.430066475274</v>
      </c>
      <c r="L143" s="126"/>
      <c r="M143" s="126"/>
      <c r="N143" s="36"/>
    </row>
    <row r="144" spans="1:14" s="69" customFormat="1" x14ac:dyDescent="0.25">
      <c r="A144" s="123" t="s">
        <v>49</v>
      </c>
      <c r="B144" s="123"/>
      <c r="C144" s="154" t="s">
        <v>73</v>
      </c>
      <c r="D144" s="154"/>
      <c r="E144" s="122" t="s">
        <v>50</v>
      </c>
      <c r="F144" s="122"/>
      <c r="G144" s="123" t="s">
        <v>51</v>
      </c>
      <c r="H144" s="123"/>
      <c r="I144" s="35"/>
      <c r="J144" s="35"/>
      <c r="L144" s="126"/>
      <c r="M144" s="126"/>
      <c r="N144" s="36"/>
    </row>
    <row r="145" spans="1:14" s="69" customFormat="1" x14ac:dyDescent="0.25">
      <c r="A145" s="71" t="s">
        <v>182</v>
      </c>
      <c r="B145" s="70" t="s">
        <v>166</v>
      </c>
      <c r="C145" s="124">
        <v>15</v>
      </c>
      <c r="D145" s="124"/>
      <c r="E145" s="125">
        <f>SUM(D162:D176)</f>
        <v>2419.4242799999997</v>
      </c>
      <c r="F145" s="125"/>
      <c r="G145" s="125">
        <f>SUM(F162:F176)</f>
        <v>3750.1076339999991</v>
      </c>
      <c r="H145" s="125"/>
      <c r="I145" s="35"/>
      <c r="J145" s="35" t="s">
        <v>189</v>
      </c>
      <c r="L145" s="126"/>
      <c r="M145" s="126"/>
      <c r="N145" s="36"/>
    </row>
    <row r="146" spans="1:14" s="76" customFormat="1" x14ac:dyDescent="0.25">
      <c r="A146" s="153" t="s">
        <v>141</v>
      </c>
      <c r="B146" s="153"/>
      <c r="C146" s="154">
        <f t="shared" ref="C146:G146" si="0">SUM(C145)</f>
        <v>15</v>
      </c>
      <c r="D146" s="154"/>
      <c r="E146" s="191">
        <f t="shared" si="0"/>
        <v>2419.4242799999997</v>
      </c>
      <c r="F146" s="191"/>
      <c r="G146" s="191">
        <f t="shared" si="0"/>
        <v>3750.1076339999991</v>
      </c>
      <c r="H146" s="191"/>
      <c r="I146" s="35"/>
      <c r="J146" s="35"/>
      <c r="N146" s="36"/>
    </row>
    <row r="147" spans="1:14" s="69" customFormat="1" x14ac:dyDescent="0.25">
      <c r="A147" s="153" t="s">
        <v>66</v>
      </c>
      <c r="B147" s="153"/>
      <c r="C147" s="153"/>
      <c r="D147" s="153"/>
      <c r="E147" s="153"/>
      <c r="F147" s="153"/>
      <c r="G147" s="153"/>
      <c r="H147" s="153"/>
      <c r="I147" s="35"/>
      <c r="J147" s="35" t="s">
        <v>190</v>
      </c>
      <c r="L147" s="126"/>
      <c r="M147" s="126"/>
      <c r="N147" s="36"/>
    </row>
    <row r="148" spans="1:14" s="69" customFormat="1" x14ac:dyDescent="0.25">
      <c r="A148" s="123" t="s">
        <v>49</v>
      </c>
      <c r="B148" s="123"/>
      <c r="C148" s="154" t="s">
        <v>73</v>
      </c>
      <c r="D148" s="154"/>
      <c r="E148" s="122" t="s">
        <v>50</v>
      </c>
      <c r="F148" s="122"/>
      <c r="G148" s="123" t="s">
        <v>51</v>
      </c>
      <c r="H148" s="123"/>
      <c r="I148" s="35"/>
      <c r="J148" s="35" t="s">
        <v>190</v>
      </c>
      <c r="L148" s="126"/>
      <c r="M148" s="126"/>
      <c r="N148" s="36"/>
    </row>
    <row r="149" spans="1:14" s="69" customFormat="1" ht="15.75" customHeight="1" x14ac:dyDescent="0.25">
      <c r="A149" s="281" t="s">
        <v>182</v>
      </c>
      <c r="B149" s="61" t="s">
        <v>166</v>
      </c>
      <c r="C149" s="124">
        <f>COUNT(D183:D185)+COUNT(D187:D203)+COUNT(D206:D223)*18+COUNT(D225:D238,D240:D242)*3+COUNT(D244:D257,D259:D261)</f>
        <v>412</v>
      </c>
      <c r="D149" s="124"/>
      <c r="E149" s="125">
        <f>SUM(D183:D185)+SUM(D187:D203)+SUM(D206:D223)*18+SUM(D225:D238,D240:D242)*3+SUM(D244:D257,D259:D261)</f>
        <v>132487.83287999994</v>
      </c>
      <c r="F149" s="125"/>
      <c r="G149" s="125">
        <f>SUM(F183:F185)+SUM(F187:F203)+SUM(F206:F223)*18+SUM(F225:F238,F240:F242)*3+SUM(F244:F257,F259:F261)</f>
        <v>205356.14096399993</v>
      </c>
      <c r="H149" s="125"/>
      <c r="I149" s="35"/>
      <c r="J149" s="35">
        <v>11300</v>
      </c>
      <c r="K149" s="69">
        <f>9600000/F327</f>
        <v>19205.430066475274</v>
      </c>
      <c r="L149" s="126"/>
      <c r="M149" s="126"/>
      <c r="N149" s="36"/>
    </row>
    <row r="150" spans="1:14" s="76" customFormat="1" ht="15.75" customHeight="1" x14ac:dyDescent="0.25">
      <c r="A150" s="282"/>
      <c r="B150" s="66" t="s">
        <v>181</v>
      </c>
      <c r="C150" s="124">
        <f>COUNT(D264:D268,D271:D272)+COUNT(D274:D291)*19+COUNT(D293:D304,D306:D310)*3+COUNT(D312:D323,D325:D329)</f>
        <v>417</v>
      </c>
      <c r="D150" s="124"/>
      <c r="E150" s="125">
        <f>SUM(D264:D268,D271:D272)+SUM(D274:D291)*19+SUM(D293:D304,D306:D310)*3+SUM(D312:D323,D325:D329)</f>
        <v>134626.10148000001</v>
      </c>
      <c r="F150" s="125"/>
      <c r="G150" s="125">
        <f>SUM(F264:F268,F271:F272)+SUM(F274:F291)*19+SUM(F293:F304,F306:F310)*3+SUM(F312:F323,F325:F329)</f>
        <v>208670.45729400002</v>
      </c>
      <c r="H150" s="125"/>
      <c r="I150" s="35"/>
      <c r="J150" s="35"/>
      <c r="N150" s="36"/>
    </row>
    <row r="151" spans="1:14" s="69" customFormat="1" x14ac:dyDescent="0.25">
      <c r="A151" s="282"/>
      <c r="B151" s="61" t="s">
        <v>238</v>
      </c>
      <c r="C151" s="210">
        <f>COUNT(D332:D334,D338:D340,D342:D344,D346)+COUNT(D348:D362)*19+COUNT(D364:D374,D376:D379)*3+COUNT(D381:D391,D393:D396)</f>
        <v>355</v>
      </c>
      <c r="D151" s="124"/>
      <c r="E151" s="125">
        <f>SUM(D332:D334,D338:D340,D342:D344,D346)+SUM(D348:D362)*19+SUM(D364:D374,D376:D379)*3+SUM(D381:D391,D393:D396)</f>
        <v>187333.53443999987</v>
      </c>
      <c r="F151" s="125"/>
      <c r="G151" s="125">
        <f>SUM(F332:F334,F338:F340,F342:F344,F346)+SUM(F348:F362)*19+SUM(F364:F374,F376:F379)*3+SUM(F381:F391,F393:F396)</f>
        <v>290366.97838199994</v>
      </c>
      <c r="H151" s="125"/>
      <c r="I151" s="35"/>
      <c r="J151" s="35"/>
      <c r="L151" s="126"/>
      <c r="M151" s="126"/>
      <c r="N151" s="36"/>
    </row>
    <row r="152" spans="1:14" s="69" customFormat="1" x14ac:dyDescent="0.25">
      <c r="A152" s="283"/>
      <c r="B152" s="82" t="s">
        <v>170</v>
      </c>
      <c r="C152" s="124">
        <f>COUNT(D401:D406)*6+COUNT(D409:D414)+COUNT(D421:D424,D426:D433)*3+COUNT(D435:D446)*12+COUNT(D448:D451,D453:D460)</f>
        <v>234</v>
      </c>
      <c r="D152" s="124"/>
      <c r="E152" s="125">
        <f>SUM(D401:D406)*6+SUM(D409:D414)+SUM(D421:D424,D426:D433)*3+SUM(D435:D446)*12+SUM(D448:D451,D453:D460)</f>
        <v>122080.55184</v>
      </c>
      <c r="F152" s="125"/>
      <c r="G152" s="125">
        <f>SUM(F401:F406)*6+SUM(F409:F414)+SUM(F421:F424,F426:F433)*3+SUM(F435:F446)*12+SUM(F448:F451,F453:F460)</f>
        <v>189224.85535200004</v>
      </c>
      <c r="H152" s="125"/>
      <c r="I152" s="34"/>
      <c r="J152" s="34"/>
      <c r="L152" s="126"/>
      <c r="M152" s="126"/>
      <c r="N152" s="36"/>
    </row>
    <row r="153" spans="1:14" s="69" customFormat="1" ht="16.5" thickBot="1" x14ac:dyDescent="0.3">
      <c r="A153" s="156" t="s">
        <v>141</v>
      </c>
      <c r="B153" s="156"/>
      <c r="C153" s="188">
        <f>SUM(C149:C152)</f>
        <v>1418</v>
      </c>
      <c r="D153" s="188"/>
      <c r="E153" s="209">
        <f>SUM(E149:E152)</f>
        <v>576528.02063999977</v>
      </c>
      <c r="F153" s="209"/>
      <c r="G153" s="209">
        <f>SUM(G149:G152)</f>
        <v>893618.43199199997</v>
      </c>
      <c r="H153" s="209"/>
      <c r="I153" s="21"/>
      <c r="J153" s="21"/>
      <c r="L153" s="126"/>
      <c r="M153" s="126"/>
      <c r="N153" s="36"/>
    </row>
    <row r="154" spans="1:14" s="76" customFormat="1" ht="16.5" thickBot="1" x14ac:dyDescent="0.3">
      <c r="A154" s="284" t="s">
        <v>243</v>
      </c>
      <c r="B154" s="285"/>
      <c r="C154" s="286">
        <f>C146+C153</f>
        <v>1433</v>
      </c>
      <c r="D154" s="286"/>
      <c r="E154" s="189">
        <f>E146+E153</f>
        <v>578947.44491999981</v>
      </c>
      <c r="F154" s="189"/>
      <c r="G154" s="189">
        <f>G146+G153</f>
        <v>897368.53962599998</v>
      </c>
      <c r="H154" s="190"/>
      <c r="I154" s="21"/>
      <c r="J154" s="21"/>
      <c r="N154" s="36"/>
    </row>
    <row r="155" spans="1:14" s="69" customFormat="1" x14ac:dyDescent="0.25">
      <c r="A155" s="257" t="s">
        <v>52</v>
      </c>
      <c r="B155" s="257"/>
      <c r="C155" s="257"/>
      <c r="D155" s="257"/>
      <c r="E155" s="257"/>
      <c r="F155" s="257"/>
      <c r="G155" s="257"/>
      <c r="H155" s="257"/>
      <c r="I155" s="36"/>
      <c r="J155" s="21"/>
      <c r="L155" s="126"/>
      <c r="M155" s="126"/>
      <c r="N155" s="36"/>
    </row>
    <row r="156" spans="1:14" s="69" customFormat="1" ht="15.75" customHeight="1" x14ac:dyDescent="0.25">
      <c r="A156" s="155" t="s">
        <v>244</v>
      </c>
      <c r="B156" s="155"/>
      <c r="C156" s="155"/>
      <c r="D156" s="155"/>
      <c r="E156" s="155"/>
      <c r="F156" s="155"/>
      <c r="G156" s="155"/>
      <c r="H156" s="155"/>
      <c r="I156" s="36"/>
      <c r="K156" s="69" t="e">
        <f>9600000/F399</f>
        <v>#DIV/0!</v>
      </c>
      <c r="L156" s="126"/>
      <c r="M156" s="126"/>
      <c r="N156" s="36"/>
    </row>
    <row r="157" spans="1:14" s="69" customFormat="1" ht="47.25" x14ac:dyDescent="0.25">
      <c r="A157" s="273" t="s">
        <v>210</v>
      </c>
      <c r="B157" s="273" t="s">
        <v>211</v>
      </c>
      <c r="C157" s="275" t="s">
        <v>53</v>
      </c>
      <c r="D157" s="275" t="s">
        <v>54</v>
      </c>
      <c r="E157" s="277" t="s">
        <v>212</v>
      </c>
      <c r="F157" s="68" t="s">
        <v>140</v>
      </c>
      <c r="G157" s="273" t="s">
        <v>56</v>
      </c>
      <c r="H157" s="279"/>
      <c r="J157" s="36"/>
      <c r="L157" s="126"/>
      <c r="M157" s="126"/>
      <c r="N157" s="36"/>
    </row>
    <row r="158" spans="1:14" s="69" customFormat="1" x14ac:dyDescent="0.25">
      <c r="A158" s="274"/>
      <c r="B158" s="274"/>
      <c r="C158" s="276"/>
      <c r="D158" s="276"/>
      <c r="E158" s="278"/>
      <c r="F158" s="13">
        <v>0.6</v>
      </c>
      <c r="G158" s="274"/>
      <c r="H158" s="280"/>
      <c r="I158" s="56">
        <v>10.763999999999999</v>
      </c>
      <c r="J158" s="36"/>
      <c r="L158" s="126"/>
      <c r="M158" s="126"/>
      <c r="N158" s="36"/>
    </row>
    <row r="159" spans="1:14" s="69" customFormat="1" x14ac:dyDescent="0.25">
      <c r="A159" s="112" t="s">
        <v>165</v>
      </c>
      <c r="B159" s="113"/>
      <c r="C159" s="113"/>
      <c r="D159" s="113"/>
      <c r="E159" s="113"/>
      <c r="F159" s="113"/>
      <c r="G159" s="113"/>
      <c r="H159" s="114"/>
      <c r="J159" s="36"/>
      <c r="L159" s="126"/>
      <c r="M159" s="126"/>
      <c r="N159" s="36"/>
    </row>
    <row r="160" spans="1:14" s="69" customFormat="1" x14ac:dyDescent="0.25">
      <c r="A160" s="112" t="s">
        <v>166</v>
      </c>
      <c r="B160" s="113"/>
      <c r="C160" s="113"/>
      <c r="D160" s="113"/>
      <c r="E160" s="113"/>
      <c r="F160" s="113"/>
      <c r="G160" s="113"/>
      <c r="H160" s="114"/>
      <c r="I160" s="36"/>
      <c r="J160" s="69">
        <f>5900000/F162</f>
        <v>23845.447293425736</v>
      </c>
      <c r="L160" s="126"/>
      <c r="M160" s="126"/>
      <c r="N160" s="36"/>
    </row>
    <row r="161" spans="1:14" s="69" customFormat="1" x14ac:dyDescent="0.25">
      <c r="A161" s="112" t="s">
        <v>183</v>
      </c>
      <c r="B161" s="113"/>
      <c r="C161" s="113"/>
      <c r="D161" s="113"/>
      <c r="E161" s="113"/>
      <c r="F161" s="113"/>
      <c r="G161" s="113"/>
      <c r="H161" s="114"/>
      <c r="I161" s="36"/>
      <c r="J161" s="69">
        <f>AVERAGE(J143:K143)</f>
        <v>19205.430066475274</v>
      </c>
    </row>
    <row r="162" spans="1:14" x14ac:dyDescent="0.25">
      <c r="A162" s="110">
        <v>1</v>
      </c>
      <c r="B162" s="111"/>
      <c r="C162" s="49" t="s">
        <v>213</v>
      </c>
      <c r="D162" s="56">
        <f>14.83*10.764</f>
        <v>159.63012000000001</v>
      </c>
      <c r="E162" s="51">
        <v>0</v>
      </c>
      <c r="F162" s="51">
        <f t="shared" ref="F162:F176" si="1">D162*(($F$179)+1)+(IF(E162&lt;101,E162,IF(E162&lt;201,E162/2,IF(E162&lt;=301,E162/3,E162/4))))</f>
        <v>247.42668600000002</v>
      </c>
      <c r="G162" s="192" t="str">
        <f>A161</f>
        <v>Ground Floor for Residential &amp; Parking</v>
      </c>
      <c r="H162" s="193"/>
      <c r="I162" s="36">
        <f>5700000/F164</f>
        <v>20705.49055121285</v>
      </c>
      <c r="J162" s="69"/>
    </row>
    <row r="163" spans="1:14" s="44" customFormat="1" x14ac:dyDescent="0.25">
      <c r="A163" s="110">
        <f t="shared" ref="A163:A176" si="2">A162+1</f>
        <v>2</v>
      </c>
      <c r="B163" s="111"/>
      <c r="C163" s="49" t="s">
        <v>213</v>
      </c>
      <c r="D163" s="56">
        <f>16.5*10.764</f>
        <v>177.60599999999999</v>
      </c>
      <c r="E163" s="51">
        <v>0</v>
      </c>
      <c r="F163" s="51">
        <f t="shared" si="1"/>
        <v>275.28930000000003</v>
      </c>
      <c r="G163" s="194"/>
      <c r="H163" s="195"/>
      <c r="I163" s="36"/>
      <c r="J163" s="69"/>
    </row>
    <row r="164" spans="1:14" s="44" customFormat="1" x14ac:dyDescent="0.25">
      <c r="A164" s="110">
        <v>3</v>
      </c>
      <c r="B164" s="111"/>
      <c r="C164" s="49" t="s">
        <v>213</v>
      </c>
      <c r="D164" s="56">
        <f>16.5*10.764</f>
        <v>177.60599999999999</v>
      </c>
      <c r="E164" s="51">
        <v>0</v>
      </c>
      <c r="F164" s="51">
        <f t="shared" si="1"/>
        <v>275.28930000000003</v>
      </c>
      <c r="G164" s="194"/>
      <c r="H164" s="195"/>
      <c r="I164" s="36"/>
      <c r="J164" s="69"/>
    </row>
    <row r="165" spans="1:14" s="44" customFormat="1" x14ac:dyDescent="0.25">
      <c r="A165" s="110">
        <f t="shared" si="2"/>
        <v>4</v>
      </c>
      <c r="B165" s="111"/>
      <c r="C165" s="49" t="s">
        <v>213</v>
      </c>
      <c r="D165" s="56">
        <f>14.83*10.764</f>
        <v>159.63012000000001</v>
      </c>
      <c r="E165" s="51">
        <v>0</v>
      </c>
      <c r="F165" s="51">
        <f t="shared" si="1"/>
        <v>247.42668600000002</v>
      </c>
      <c r="G165" s="194"/>
      <c r="H165" s="195"/>
      <c r="I165" s="36"/>
      <c r="J165" s="69">
        <f>5900000/F167</f>
        <v>21431.998991606284</v>
      </c>
    </row>
    <row r="166" spans="1:14" s="44" customFormat="1" x14ac:dyDescent="0.25">
      <c r="A166" s="110">
        <f t="shared" si="2"/>
        <v>5</v>
      </c>
      <c r="B166" s="111"/>
      <c r="C166" s="49" t="s">
        <v>213</v>
      </c>
      <c r="D166" s="56">
        <f>14.83*10.764</f>
        <v>159.63012000000001</v>
      </c>
      <c r="E166" s="51">
        <v>0</v>
      </c>
      <c r="F166" s="51">
        <f t="shared" si="1"/>
        <v>247.42668600000002</v>
      </c>
      <c r="G166" s="194"/>
      <c r="H166" s="195"/>
      <c r="I166" s="36"/>
      <c r="J166" s="69">
        <f>AVERAGE(J149:K149)</f>
        <v>15252.715033237637</v>
      </c>
    </row>
    <row r="167" spans="1:14" s="44" customFormat="1" ht="15.75" customHeight="1" x14ac:dyDescent="0.25">
      <c r="A167" s="110">
        <v>6</v>
      </c>
      <c r="B167" s="111"/>
      <c r="C167" s="49" t="s">
        <v>213</v>
      </c>
      <c r="D167" s="56">
        <f>16.5*10.764</f>
        <v>177.60599999999999</v>
      </c>
      <c r="E167" s="51">
        <v>0</v>
      </c>
      <c r="F167" s="51">
        <f t="shared" si="1"/>
        <v>275.28930000000003</v>
      </c>
      <c r="G167" s="194"/>
      <c r="H167" s="195"/>
      <c r="I167" s="36">
        <f>5700000/F169</f>
        <v>23037.127046190966</v>
      </c>
      <c r="J167" s="69"/>
      <c r="K167" s="44">
        <f>9600000/F401</f>
        <v>11737.957666087295</v>
      </c>
      <c r="L167" s="126"/>
      <c r="M167" s="126"/>
      <c r="N167" s="36"/>
    </row>
    <row r="168" spans="1:14" s="44" customFormat="1" x14ac:dyDescent="0.25">
      <c r="A168" s="110">
        <f t="shared" si="2"/>
        <v>7</v>
      </c>
      <c r="B168" s="111"/>
      <c r="C168" s="49" t="s">
        <v>213</v>
      </c>
      <c r="D168" s="56">
        <f>16.5*10.764</f>
        <v>177.60599999999999</v>
      </c>
      <c r="E168" s="51">
        <v>0</v>
      </c>
      <c r="F168" s="51">
        <f t="shared" si="1"/>
        <v>275.28930000000003</v>
      </c>
      <c r="G168" s="194"/>
      <c r="H168" s="195"/>
      <c r="I168" s="36"/>
      <c r="J168" s="69"/>
      <c r="L168" s="126"/>
      <c r="M168" s="126"/>
      <c r="N168" s="36"/>
    </row>
    <row r="169" spans="1:14" s="44" customFormat="1" x14ac:dyDescent="0.25">
      <c r="A169" s="110">
        <f t="shared" si="2"/>
        <v>8</v>
      </c>
      <c r="B169" s="111"/>
      <c r="C169" s="49" t="s">
        <v>213</v>
      </c>
      <c r="D169" s="56">
        <f>14.83*10.764</f>
        <v>159.63012000000001</v>
      </c>
      <c r="E169" s="51">
        <v>0</v>
      </c>
      <c r="F169" s="51">
        <f t="shared" si="1"/>
        <v>247.42668600000002</v>
      </c>
      <c r="G169" s="194"/>
      <c r="H169" s="195"/>
      <c r="I169" s="36"/>
      <c r="J169" s="69"/>
      <c r="L169" s="126"/>
      <c r="M169" s="126"/>
      <c r="N169" s="36"/>
    </row>
    <row r="170" spans="1:14" s="69" customFormat="1" x14ac:dyDescent="0.25">
      <c r="A170" s="110">
        <f t="shared" si="2"/>
        <v>9</v>
      </c>
      <c r="B170" s="111"/>
      <c r="C170" s="49" t="s">
        <v>213</v>
      </c>
      <c r="D170" s="56">
        <f>11.47*10.764</f>
        <v>123.46308000000001</v>
      </c>
      <c r="E170" s="51">
        <v>0</v>
      </c>
      <c r="F170" s="51">
        <f t="shared" si="1"/>
        <v>191.36777400000003</v>
      </c>
      <c r="G170" s="194"/>
      <c r="H170" s="195"/>
      <c r="I170" s="36"/>
      <c r="J170" s="69">
        <f>5900000/F172</f>
        <v>21431.998991606284</v>
      </c>
      <c r="L170" s="69">
        <f>(1.05*1.83+2.05*1.48+1.33*0.6+3.05*3.43+2.85*2.9+1.07*1.53)*10.764</f>
        <v>281.12446439999997</v>
      </c>
    </row>
    <row r="171" spans="1:14" s="69" customFormat="1" ht="15.75" customHeight="1" x14ac:dyDescent="0.25">
      <c r="A171" s="110">
        <f t="shared" si="2"/>
        <v>10</v>
      </c>
      <c r="B171" s="111"/>
      <c r="C171" s="49" t="s">
        <v>213</v>
      </c>
      <c r="D171" s="56">
        <f>12.66*10.764</f>
        <v>136.27223999999998</v>
      </c>
      <c r="E171" s="51">
        <v>0</v>
      </c>
      <c r="F171" s="51">
        <f t="shared" si="1"/>
        <v>211.22197199999997</v>
      </c>
      <c r="G171" s="194"/>
      <c r="H171" s="195"/>
      <c r="I171" s="36"/>
      <c r="J171" s="69" t="e">
        <f>AVERAGE(J156:K156)</f>
        <v>#DIV/0!</v>
      </c>
      <c r="L171" s="126">
        <f>(1.05*1.83+2.05*1.48+1.38*0.58+1.38*0.6+1.22*1.05+2.85*2.9+3.05*3.43+1.07*1.53)</f>
        <v>28.2285</v>
      </c>
      <c r="M171" s="126"/>
      <c r="N171" s="36"/>
    </row>
    <row r="172" spans="1:14" s="69" customFormat="1" x14ac:dyDescent="0.25">
      <c r="A172" s="110">
        <f t="shared" si="2"/>
        <v>11</v>
      </c>
      <c r="B172" s="111"/>
      <c r="C172" s="49" t="s">
        <v>213</v>
      </c>
      <c r="D172" s="56">
        <f>16.5*10.764</f>
        <v>177.60599999999999</v>
      </c>
      <c r="E172" s="51">
        <v>0</v>
      </c>
      <c r="F172" s="51">
        <f t="shared" si="1"/>
        <v>275.28930000000003</v>
      </c>
      <c r="G172" s="194"/>
      <c r="H172" s="195"/>
      <c r="I172" s="36">
        <f>5700000/F174</f>
        <v>23037.127046190966</v>
      </c>
      <c r="L172" s="126"/>
      <c r="M172" s="126"/>
      <c r="N172" s="36"/>
    </row>
    <row r="173" spans="1:14" s="69" customFormat="1" x14ac:dyDescent="0.25">
      <c r="A173" s="110">
        <f t="shared" si="2"/>
        <v>12</v>
      </c>
      <c r="B173" s="111"/>
      <c r="C173" s="49" t="s">
        <v>213</v>
      </c>
      <c r="D173" s="56">
        <f>14.83*10.764</f>
        <v>159.63012000000001</v>
      </c>
      <c r="E173" s="51">
        <v>0</v>
      </c>
      <c r="F173" s="51">
        <f t="shared" si="1"/>
        <v>247.42668600000002</v>
      </c>
      <c r="G173" s="194"/>
      <c r="H173" s="195"/>
      <c r="I173" s="36"/>
      <c r="L173" s="126"/>
      <c r="M173" s="126"/>
      <c r="N173" s="36"/>
    </row>
    <row r="174" spans="1:14" s="69" customFormat="1" x14ac:dyDescent="0.25">
      <c r="A174" s="110">
        <f t="shared" si="2"/>
        <v>13</v>
      </c>
      <c r="B174" s="111"/>
      <c r="C174" s="49" t="s">
        <v>213</v>
      </c>
      <c r="D174" s="56">
        <f>14.83*10.764</f>
        <v>159.63012000000001</v>
      </c>
      <c r="E174" s="51">
        <v>0</v>
      </c>
      <c r="F174" s="51">
        <f t="shared" si="1"/>
        <v>247.42668600000002</v>
      </c>
      <c r="G174" s="194"/>
      <c r="H174" s="195"/>
      <c r="I174" s="36"/>
      <c r="L174" s="126"/>
      <c r="M174" s="126"/>
      <c r="N174" s="36"/>
    </row>
    <row r="175" spans="1:14" s="69" customFormat="1" x14ac:dyDescent="0.25">
      <c r="A175" s="110">
        <f t="shared" si="2"/>
        <v>14</v>
      </c>
      <c r="B175" s="111"/>
      <c r="C175" s="49" t="s">
        <v>213</v>
      </c>
      <c r="D175" s="56">
        <f>16.5*10.764</f>
        <v>177.60599999999999</v>
      </c>
      <c r="E175" s="51">
        <v>0</v>
      </c>
      <c r="F175" s="51">
        <f t="shared" si="1"/>
        <v>275.28930000000003</v>
      </c>
      <c r="G175" s="194"/>
      <c r="H175" s="195"/>
      <c r="I175" s="56"/>
      <c r="J175" s="36"/>
      <c r="L175" s="126"/>
      <c r="M175" s="126"/>
      <c r="N175" s="36"/>
    </row>
    <row r="176" spans="1:14" s="69" customFormat="1" x14ac:dyDescent="0.25">
      <c r="A176" s="110">
        <f t="shared" si="2"/>
        <v>15</v>
      </c>
      <c r="B176" s="111"/>
      <c r="C176" s="49" t="s">
        <v>213</v>
      </c>
      <c r="D176" s="56">
        <f>12.66*10.764</f>
        <v>136.27223999999998</v>
      </c>
      <c r="E176" s="51">
        <v>0</v>
      </c>
      <c r="F176" s="51">
        <f t="shared" si="1"/>
        <v>211.22197199999997</v>
      </c>
      <c r="G176" s="196"/>
      <c r="H176" s="197"/>
      <c r="I176" s="36"/>
      <c r="J176" s="21"/>
      <c r="L176" s="126"/>
      <c r="M176" s="126"/>
      <c r="N176" s="36"/>
    </row>
    <row r="177" spans="1:14" s="69" customFormat="1" x14ac:dyDescent="0.25">
      <c r="A177" s="152"/>
      <c r="B177" s="152"/>
      <c r="C177" s="152"/>
      <c r="D177" s="152"/>
      <c r="E177" s="152"/>
      <c r="F177" s="152"/>
      <c r="G177" s="152"/>
      <c r="H177" s="152"/>
      <c r="I177" s="36"/>
      <c r="J177" s="44"/>
      <c r="L177" s="126"/>
      <c r="M177" s="126"/>
      <c r="N177" s="36"/>
    </row>
    <row r="178" spans="1:14" s="69" customFormat="1" ht="47.25" x14ac:dyDescent="0.25">
      <c r="A178" s="187" t="s">
        <v>110</v>
      </c>
      <c r="B178" s="187" t="s">
        <v>111</v>
      </c>
      <c r="C178" s="187" t="s">
        <v>53</v>
      </c>
      <c r="D178" s="187" t="s">
        <v>54</v>
      </c>
      <c r="E178" s="271" t="s">
        <v>55</v>
      </c>
      <c r="F178" s="94" t="s">
        <v>140</v>
      </c>
      <c r="G178" s="187" t="s">
        <v>56</v>
      </c>
      <c r="H178" s="187"/>
      <c r="I178" s="44"/>
      <c r="J178" s="36"/>
      <c r="L178" s="126"/>
      <c r="M178" s="126"/>
      <c r="N178" s="36"/>
    </row>
    <row r="179" spans="1:14" s="69" customFormat="1" x14ac:dyDescent="0.25">
      <c r="A179" s="187"/>
      <c r="B179" s="187"/>
      <c r="C179" s="187"/>
      <c r="D179" s="187"/>
      <c r="E179" s="271"/>
      <c r="F179" s="95">
        <v>0.55000000000000004</v>
      </c>
      <c r="G179" s="187"/>
      <c r="H179" s="187"/>
      <c r="I179" s="56">
        <v>10.763999999999999</v>
      </c>
      <c r="J179" s="36"/>
      <c r="L179" s="126"/>
      <c r="M179" s="126"/>
      <c r="N179" s="36"/>
    </row>
    <row r="180" spans="1:14" s="69" customFormat="1" ht="15.75" customHeight="1" x14ac:dyDescent="0.25">
      <c r="A180" s="152" t="s">
        <v>165</v>
      </c>
      <c r="B180" s="152"/>
      <c r="C180" s="152"/>
      <c r="D180" s="152"/>
      <c r="E180" s="152"/>
      <c r="F180" s="152"/>
      <c r="G180" s="152"/>
      <c r="H180" s="152"/>
      <c r="I180" s="44"/>
      <c r="J180" s="36"/>
      <c r="L180" s="126"/>
      <c r="M180" s="126"/>
      <c r="N180" s="36"/>
    </row>
    <row r="181" spans="1:14" s="69" customFormat="1" x14ac:dyDescent="0.25">
      <c r="A181" s="152" t="s">
        <v>166</v>
      </c>
      <c r="B181" s="152"/>
      <c r="C181" s="152"/>
      <c r="D181" s="152"/>
      <c r="E181" s="152"/>
      <c r="F181" s="152"/>
      <c r="G181" s="152"/>
      <c r="H181" s="152"/>
      <c r="I181" s="36"/>
      <c r="J181" s="44">
        <f>5900000/F183</f>
        <v>12527.338801619064</v>
      </c>
      <c r="L181" s="126"/>
      <c r="M181" s="126"/>
      <c r="N181" s="36"/>
    </row>
    <row r="182" spans="1:14" s="69" customFormat="1" x14ac:dyDescent="0.25">
      <c r="A182" s="112" t="s">
        <v>183</v>
      </c>
      <c r="B182" s="113"/>
      <c r="C182" s="113"/>
      <c r="D182" s="113"/>
      <c r="E182" s="113"/>
      <c r="F182" s="113"/>
      <c r="G182" s="113"/>
      <c r="H182" s="114"/>
      <c r="I182" s="36"/>
      <c r="J182" s="44">
        <f>AVERAGE(J167:K167)</f>
        <v>11737.957666087295</v>
      </c>
      <c r="L182" s="126"/>
      <c r="M182" s="126"/>
      <c r="N182" s="36"/>
    </row>
    <row r="183" spans="1:14" s="69" customFormat="1" x14ac:dyDescent="0.25">
      <c r="A183" s="110">
        <v>1</v>
      </c>
      <c r="B183" s="111"/>
      <c r="C183" s="49">
        <v>1</v>
      </c>
      <c r="D183" s="56">
        <f>(1.05*1.83+2.05*1.48+1.38*0.58+1.38*0.6+1.22*1.05+2.85*2.9+3.05*3.43+1.07*1.53)*10.764</f>
        <v>303.85157399999997</v>
      </c>
      <c r="E183" s="51">
        <v>0</v>
      </c>
      <c r="F183" s="51">
        <f>D183*(($F$179)+1)+(IF(E183&lt;101,E183,IF(E183&lt;201,E183/2,IF(E183&lt;=301,E183/3,E183/4))))</f>
        <v>470.96993969999994</v>
      </c>
      <c r="G183" s="115" t="str">
        <f>A182</f>
        <v>Ground Floor for Residential &amp; Parking</v>
      </c>
      <c r="H183" s="116"/>
      <c r="I183" s="36">
        <f>5700000/F185</f>
        <v>12102.683249021808</v>
      </c>
      <c r="J183" s="44"/>
      <c r="L183" s="126"/>
      <c r="M183" s="126"/>
      <c r="N183" s="36"/>
    </row>
    <row r="184" spans="1:14" s="69" customFormat="1" x14ac:dyDescent="0.25">
      <c r="A184" s="110">
        <f t="shared" ref="A184" si="3">A183+1</f>
        <v>2</v>
      </c>
      <c r="B184" s="111"/>
      <c r="C184" s="49">
        <v>1</v>
      </c>
      <c r="D184" s="56">
        <f t="shared" ref="D184:D185" si="4">(1.05*1.83+2.05*1.48+1.38*0.58+1.38*0.6+1.22*1.05+2.85*2.9+3.05*3.43+1.07*1.53)*10.764</f>
        <v>303.85157399999997</v>
      </c>
      <c r="E184" s="51">
        <v>0</v>
      </c>
      <c r="F184" s="51">
        <f>D184*(($F$179)+1)+(IF(E184&lt;101,E184,IF(E184&lt;201,E184/2,IF(E184&lt;=301,E184/3,E184/4))))</f>
        <v>470.96993969999994</v>
      </c>
      <c r="G184" s="117"/>
      <c r="H184" s="118"/>
      <c r="J184" s="36"/>
      <c r="L184" s="126"/>
      <c r="M184" s="126"/>
      <c r="N184" s="36"/>
    </row>
    <row r="185" spans="1:14" s="69" customFormat="1" x14ac:dyDescent="0.25">
      <c r="A185" s="110">
        <v>3</v>
      </c>
      <c r="B185" s="111"/>
      <c r="C185" s="49">
        <v>1</v>
      </c>
      <c r="D185" s="56">
        <f t="shared" si="4"/>
        <v>303.85157399999997</v>
      </c>
      <c r="E185" s="51">
        <v>0</v>
      </c>
      <c r="F185" s="51">
        <f t="shared" ref="F185" si="5">D185*(($F$179)+1)+(IF(E185&lt;101,E185,IF(E185&lt;201,E185/2,IF(E185&lt;=301,E185/3,E185/4))))</f>
        <v>470.96993969999994</v>
      </c>
      <c r="G185" s="117"/>
      <c r="H185" s="118"/>
      <c r="I185" s="36">
        <f>3.05*3.43+2.05*1.48+2.85*2.9+1.07*1.53+1.33*0.6+1.38*0.6+1.05*1.83+1.22*1.05</f>
        <v>28.226099999999999</v>
      </c>
      <c r="L185" s="126"/>
      <c r="M185" s="126"/>
      <c r="N185" s="36"/>
    </row>
    <row r="186" spans="1:14" s="69" customFormat="1" x14ac:dyDescent="0.25">
      <c r="A186" s="112" t="s">
        <v>214</v>
      </c>
      <c r="B186" s="113"/>
      <c r="C186" s="113"/>
      <c r="D186" s="113"/>
      <c r="E186" s="113"/>
      <c r="F186" s="113"/>
      <c r="G186" s="113"/>
      <c r="H186" s="114"/>
      <c r="I186" s="36"/>
      <c r="L186" s="126"/>
      <c r="M186" s="126"/>
      <c r="N186" s="36"/>
    </row>
    <row r="187" spans="1:14" s="69" customFormat="1" x14ac:dyDescent="0.25">
      <c r="A187" s="110">
        <v>1</v>
      </c>
      <c r="B187" s="111"/>
      <c r="C187" s="49">
        <v>1</v>
      </c>
      <c r="D187" s="56">
        <f>(1.05*1.83+2.05*1.48+1.38*0.58+1.38*0.6+1.22*1.05+2.85*2.9+3.05*3.43+1.07*1.53)*10.764</f>
        <v>303.85157399999997</v>
      </c>
      <c r="E187" s="51">
        <v>0</v>
      </c>
      <c r="F187" s="51">
        <f>D187*(($F$179)+1)+(IF(E187&lt;101,E187,IF(E187&lt;201,E187/2,IF(E187&lt;=301,E187/3,E187/4))))</f>
        <v>470.96993969999994</v>
      </c>
      <c r="G187" s="115" t="str">
        <f>A186</f>
        <v>1st Floor</v>
      </c>
      <c r="H187" s="116"/>
      <c r="I187" s="36"/>
      <c r="L187" s="126"/>
      <c r="M187" s="126"/>
      <c r="N187" s="36"/>
    </row>
    <row r="188" spans="1:14" s="69" customFormat="1" x14ac:dyDescent="0.25">
      <c r="A188" s="110">
        <f t="shared" ref="A188:A204" si="6">A187+1</f>
        <v>2</v>
      </c>
      <c r="B188" s="111"/>
      <c r="C188" s="49">
        <v>1</v>
      </c>
      <c r="D188" s="56">
        <f t="shared" ref="D188:D204" si="7">(1.05*1.83+2.05*1.48+1.38*0.58+1.38*0.6+1.22*1.05+2.85*2.9+3.05*3.43+1.07*1.53)*10.764</f>
        <v>303.85157399999997</v>
      </c>
      <c r="E188" s="51">
        <v>0</v>
      </c>
      <c r="F188" s="51">
        <f>D188*(($F$179)+1)+(IF(E188&lt;101,E188,IF(E188&lt;201,E188/2,IF(E188&lt;=301,E188/3,E188/4))))</f>
        <v>470.96993969999994</v>
      </c>
      <c r="G188" s="117"/>
      <c r="H188" s="118"/>
      <c r="I188" s="36"/>
      <c r="L188" s="126"/>
      <c r="M188" s="126"/>
      <c r="N188" s="36"/>
    </row>
    <row r="189" spans="1:14" s="44" customFormat="1" x14ac:dyDescent="0.25">
      <c r="A189" s="110">
        <f t="shared" si="6"/>
        <v>3</v>
      </c>
      <c r="B189" s="111"/>
      <c r="C189" s="49">
        <v>1</v>
      </c>
      <c r="D189" s="56">
        <f t="shared" si="7"/>
        <v>303.85157399999997</v>
      </c>
      <c r="E189" s="51">
        <v>0</v>
      </c>
      <c r="F189" s="51">
        <f t="shared" ref="F189:F195" si="8">D189*(($F$179)+1)+(IF(E189&lt;101,E189,IF(E189&lt;201,E189/2,IF(E189&lt;=301,E189/3,E189/4))))</f>
        <v>470.96993969999994</v>
      </c>
      <c r="G189" s="117"/>
      <c r="H189" s="118"/>
      <c r="I189" s="36"/>
      <c r="J189" s="69"/>
    </row>
    <row r="190" spans="1:14" s="44" customFormat="1" ht="15.75" customHeight="1" x14ac:dyDescent="0.25">
      <c r="A190" s="110">
        <f t="shared" si="6"/>
        <v>4</v>
      </c>
      <c r="B190" s="111"/>
      <c r="C190" s="49">
        <v>1</v>
      </c>
      <c r="D190" s="56">
        <f t="shared" si="7"/>
        <v>303.85157399999997</v>
      </c>
      <c r="E190" s="51">
        <v>0</v>
      </c>
      <c r="F190" s="51">
        <f t="shared" si="8"/>
        <v>470.96993969999994</v>
      </c>
      <c r="G190" s="117"/>
      <c r="H190" s="118"/>
      <c r="I190" s="36"/>
      <c r="J190" s="69"/>
      <c r="L190" s="126"/>
      <c r="M190" s="126"/>
      <c r="N190" s="36"/>
    </row>
    <row r="191" spans="1:14" s="44" customFormat="1" x14ac:dyDescent="0.25">
      <c r="A191" s="110">
        <f t="shared" si="6"/>
        <v>5</v>
      </c>
      <c r="B191" s="111"/>
      <c r="C191" s="49">
        <v>1</v>
      </c>
      <c r="D191" s="56">
        <f t="shared" si="7"/>
        <v>303.85157399999997</v>
      </c>
      <c r="E191" s="51">
        <v>0</v>
      </c>
      <c r="F191" s="51">
        <f t="shared" si="8"/>
        <v>470.96993969999994</v>
      </c>
      <c r="G191" s="117"/>
      <c r="H191" s="118"/>
      <c r="I191" s="36"/>
      <c r="J191" s="69"/>
      <c r="L191" s="126"/>
      <c r="M191" s="126"/>
      <c r="N191" s="36"/>
    </row>
    <row r="192" spans="1:14" s="44" customFormat="1" x14ac:dyDescent="0.25">
      <c r="A192" s="110">
        <f t="shared" si="6"/>
        <v>6</v>
      </c>
      <c r="B192" s="111"/>
      <c r="C192" s="49">
        <v>1</v>
      </c>
      <c r="D192" s="56">
        <f t="shared" si="7"/>
        <v>303.85157399999997</v>
      </c>
      <c r="E192" s="51">
        <v>0</v>
      </c>
      <c r="F192" s="51">
        <f t="shared" si="8"/>
        <v>470.96993969999994</v>
      </c>
      <c r="G192" s="117"/>
      <c r="H192" s="118"/>
      <c r="I192" s="36"/>
      <c r="J192" s="69"/>
      <c r="L192" s="126"/>
      <c r="M192" s="126"/>
      <c r="N192" s="36"/>
    </row>
    <row r="193" spans="1:14" s="44" customFormat="1" x14ac:dyDescent="0.25">
      <c r="A193" s="110">
        <f t="shared" si="6"/>
        <v>7</v>
      </c>
      <c r="B193" s="111"/>
      <c r="C193" s="49">
        <v>1</v>
      </c>
      <c r="D193" s="56">
        <f t="shared" si="7"/>
        <v>303.85157399999997</v>
      </c>
      <c r="E193" s="51">
        <v>0</v>
      </c>
      <c r="F193" s="51">
        <f t="shared" si="8"/>
        <v>470.96993969999994</v>
      </c>
      <c r="G193" s="117"/>
      <c r="H193" s="118"/>
      <c r="I193" s="36"/>
      <c r="J193" s="69"/>
      <c r="L193" s="126"/>
      <c r="M193" s="126"/>
      <c r="N193" s="36"/>
    </row>
    <row r="194" spans="1:14" s="44" customFormat="1" x14ac:dyDescent="0.25">
      <c r="A194" s="110">
        <f t="shared" si="6"/>
        <v>8</v>
      </c>
      <c r="B194" s="111"/>
      <c r="C194" s="49">
        <v>1</v>
      </c>
      <c r="D194" s="56">
        <f t="shared" si="7"/>
        <v>303.85157399999997</v>
      </c>
      <c r="E194" s="51">
        <v>0</v>
      </c>
      <c r="F194" s="51">
        <f t="shared" si="8"/>
        <v>470.96993969999994</v>
      </c>
      <c r="G194" s="117"/>
      <c r="H194" s="118"/>
      <c r="I194" s="36"/>
      <c r="J194" s="69"/>
      <c r="L194" s="126"/>
      <c r="M194" s="126"/>
      <c r="N194" s="36"/>
    </row>
    <row r="195" spans="1:14" s="44" customFormat="1" x14ac:dyDescent="0.25">
      <c r="A195" s="110">
        <f t="shared" si="6"/>
        <v>9</v>
      </c>
      <c r="B195" s="111"/>
      <c r="C195" s="49">
        <v>1</v>
      </c>
      <c r="D195" s="56">
        <f t="shared" si="7"/>
        <v>303.85157399999997</v>
      </c>
      <c r="E195" s="51">
        <v>0</v>
      </c>
      <c r="F195" s="51">
        <f t="shared" si="8"/>
        <v>470.96993969999994</v>
      </c>
      <c r="G195" s="117"/>
      <c r="H195" s="118"/>
      <c r="I195" s="36"/>
      <c r="J195" s="69"/>
      <c r="L195" s="126"/>
      <c r="M195" s="126"/>
      <c r="N195" s="36"/>
    </row>
    <row r="196" spans="1:14" s="44" customFormat="1" x14ac:dyDescent="0.25">
      <c r="A196" s="110">
        <f t="shared" si="6"/>
        <v>10</v>
      </c>
      <c r="B196" s="111"/>
      <c r="C196" s="49">
        <v>1</v>
      </c>
      <c r="D196" s="56">
        <f t="shared" si="7"/>
        <v>303.85157399999997</v>
      </c>
      <c r="E196" s="51">
        <v>0</v>
      </c>
      <c r="F196" s="51">
        <f>D196*(($F$179)+1)+(IF(E196&lt;101,E196,IF(E196&lt;201,E196/2,IF(E196&lt;=301,E196/3,E196/4))))</f>
        <v>470.96993969999994</v>
      </c>
      <c r="G196" s="117"/>
      <c r="H196" s="118"/>
      <c r="I196" s="36"/>
      <c r="J196" s="69"/>
      <c r="L196" s="126"/>
      <c r="M196" s="126"/>
      <c r="N196" s="36"/>
    </row>
    <row r="197" spans="1:14" s="44" customFormat="1" x14ac:dyDescent="0.25">
      <c r="A197" s="110">
        <f t="shared" si="6"/>
        <v>11</v>
      </c>
      <c r="B197" s="111"/>
      <c r="C197" s="49">
        <v>1</v>
      </c>
      <c r="D197" s="56">
        <f t="shared" si="7"/>
        <v>303.85157399999997</v>
      </c>
      <c r="E197" s="51">
        <v>0</v>
      </c>
      <c r="F197" s="51">
        <f>D197*(($F$179)+1)+(IF(E197&lt;101,E197,IF(E197&lt;201,E197/2,IF(E197&lt;=301,E197/3,E197/4))))</f>
        <v>470.96993969999994</v>
      </c>
      <c r="G197" s="117"/>
      <c r="H197" s="118"/>
      <c r="I197" s="36"/>
      <c r="J197" s="69"/>
      <c r="L197" s="126"/>
      <c r="M197" s="126"/>
      <c r="N197" s="36"/>
    </row>
    <row r="198" spans="1:14" s="44" customFormat="1" x14ac:dyDescent="0.25">
      <c r="A198" s="110">
        <f t="shared" si="6"/>
        <v>12</v>
      </c>
      <c r="B198" s="111"/>
      <c r="C198" s="49">
        <v>1</v>
      </c>
      <c r="D198" s="56">
        <f t="shared" si="7"/>
        <v>303.85157399999997</v>
      </c>
      <c r="E198" s="51">
        <v>0</v>
      </c>
      <c r="F198" s="51">
        <f t="shared" ref="F198:F204" si="9">D198*(($F$179)+1)+(IF(E198&lt;101,E198,IF(E198&lt;201,E198/2,IF(E198&lt;=301,E198/3,E198/4))))</f>
        <v>470.96993969999994</v>
      </c>
      <c r="G198" s="117"/>
      <c r="H198" s="118"/>
      <c r="I198" s="36"/>
      <c r="J198" s="69"/>
      <c r="L198" s="126"/>
      <c r="M198" s="126"/>
      <c r="N198" s="36"/>
    </row>
    <row r="199" spans="1:14" s="44" customFormat="1" ht="15.75" customHeight="1" x14ac:dyDescent="0.25">
      <c r="A199" s="110">
        <v>14</v>
      </c>
      <c r="B199" s="111"/>
      <c r="C199" s="49">
        <v>1</v>
      </c>
      <c r="D199" s="56">
        <f t="shared" si="7"/>
        <v>303.85157399999997</v>
      </c>
      <c r="E199" s="51">
        <v>0</v>
      </c>
      <c r="F199" s="51">
        <f t="shared" si="9"/>
        <v>470.96993969999994</v>
      </c>
      <c r="G199" s="117"/>
      <c r="H199" s="118"/>
      <c r="I199" s="36"/>
      <c r="J199" s="69"/>
      <c r="L199" s="126"/>
      <c r="M199" s="126"/>
      <c r="N199" s="36"/>
    </row>
    <row r="200" spans="1:14" s="44" customFormat="1" x14ac:dyDescent="0.25">
      <c r="A200" s="110">
        <v>15</v>
      </c>
      <c r="B200" s="111"/>
      <c r="C200" s="49">
        <v>1</v>
      </c>
      <c r="D200" s="56">
        <f t="shared" si="7"/>
        <v>303.85157399999997</v>
      </c>
      <c r="E200" s="51">
        <v>0</v>
      </c>
      <c r="F200" s="51">
        <f t="shared" si="9"/>
        <v>470.96993969999994</v>
      </c>
      <c r="G200" s="117"/>
      <c r="H200" s="118"/>
      <c r="I200" s="36"/>
      <c r="J200" s="69"/>
      <c r="L200" s="126"/>
      <c r="M200" s="126"/>
      <c r="N200" s="36"/>
    </row>
    <row r="201" spans="1:14" s="44" customFormat="1" x14ac:dyDescent="0.25">
      <c r="A201" s="110">
        <f t="shared" si="6"/>
        <v>16</v>
      </c>
      <c r="B201" s="111"/>
      <c r="C201" s="49">
        <v>1</v>
      </c>
      <c r="D201" s="56">
        <f t="shared" si="7"/>
        <v>303.85157399999997</v>
      </c>
      <c r="E201" s="51">
        <v>0</v>
      </c>
      <c r="F201" s="51">
        <f t="shared" si="9"/>
        <v>470.96993969999994</v>
      </c>
      <c r="G201" s="117"/>
      <c r="H201" s="118"/>
      <c r="I201" s="36"/>
      <c r="J201" s="69"/>
      <c r="L201" s="126"/>
      <c r="M201" s="126"/>
      <c r="N201" s="36"/>
    </row>
    <row r="202" spans="1:14" s="44" customFormat="1" x14ac:dyDescent="0.25">
      <c r="A202" s="110">
        <f t="shared" si="6"/>
        <v>17</v>
      </c>
      <c r="B202" s="111"/>
      <c r="C202" s="49">
        <v>1</v>
      </c>
      <c r="D202" s="56">
        <f t="shared" si="7"/>
        <v>303.85157399999997</v>
      </c>
      <c r="E202" s="51">
        <v>0</v>
      </c>
      <c r="F202" s="51">
        <f t="shared" si="9"/>
        <v>470.96993969999994</v>
      </c>
      <c r="G202" s="117"/>
      <c r="H202" s="118"/>
      <c r="I202" s="36"/>
      <c r="J202" s="69"/>
      <c r="L202" s="126"/>
      <c r="M202" s="126"/>
      <c r="N202" s="36"/>
    </row>
    <row r="203" spans="1:14" s="44" customFormat="1" x14ac:dyDescent="0.25">
      <c r="A203" s="110">
        <f t="shared" si="6"/>
        <v>18</v>
      </c>
      <c r="B203" s="111"/>
      <c r="C203" s="49">
        <v>1</v>
      </c>
      <c r="D203" s="56">
        <f t="shared" si="7"/>
        <v>303.85157399999997</v>
      </c>
      <c r="E203" s="51">
        <v>0</v>
      </c>
      <c r="F203" s="51">
        <f t="shared" si="9"/>
        <v>470.96993969999994</v>
      </c>
      <c r="G203" s="117"/>
      <c r="H203" s="118"/>
      <c r="J203" s="36"/>
      <c r="L203" s="126"/>
      <c r="M203" s="126"/>
      <c r="N203" s="36"/>
    </row>
    <row r="204" spans="1:14" s="44" customFormat="1" hidden="1" x14ac:dyDescent="0.25">
      <c r="A204" s="110">
        <f t="shared" si="6"/>
        <v>19</v>
      </c>
      <c r="B204" s="111"/>
      <c r="C204" s="49">
        <v>1</v>
      </c>
      <c r="D204" s="56">
        <f t="shared" si="7"/>
        <v>303.85157399999997</v>
      </c>
      <c r="E204" s="51">
        <v>0</v>
      </c>
      <c r="F204" s="51">
        <f t="shared" si="9"/>
        <v>470.96993969999994</v>
      </c>
      <c r="G204" s="119"/>
      <c r="H204" s="120"/>
      <c r="I204" s="36">
        <f>3.05*3.43+2.05*1.48+2.85*2.9+1.07*1.53+1.33*0.6+1.38*0.6+1.05*1.83+1.22*1.05</f>
        <v>28.226099999999999</v>
      </c>
      <c r="L204" s="126"/>
      <c r="M204" s="126"/>
      <c r="N204" s="36"/>
    </row>
    <row r="205" spans="1:14" s="44" customFormat="1" ht="51.75" customHeight="1" x14ac:dyDescent="0.25">
      <c r="A205" s="112" t="s">
        <v>215</v>
      </c>
      <c r="B205" s="113"/>
      <c r="C205" s="113"/>
      <c r="D205" s="113"/>
      <c r="E205" s="113"/>
      <c r="F205" s="113"/>
      <c r="G205" s="113"/>
      <c r="H205" s="114"/>
      <c r="I205" s="36"/>
      <c r="L205" s="126"/>
      <c r="M205" s="126"/>
      <c r="N205" s="36"/>
    </row>
    <row r="206" spans="1:14" s="44" customFormat="1" x14ac:dyDescent="0.25">
      <c r="A206" s="121">
        <v>1</v>
      </c>
      <c r="B206" s="121"/>
      <c r="C206" s="49">
        <v>1</v>
      </c>
      <c r="D206" s="56">
        <f t="shared" ref="D206:D223" si="10">(29.93)*10.764</f>
        <v>322.16651999999999</v>
      </c>
      <c r="E206" s="51">
        <v>0</v>
      </c>
      <c r="F206" s="51">
        <f>D206*(($F$179)+1)+(IF(E206&lt;101,E206,IF(E206&lt;201,E206/2,IF(E206&lt;=301,E206/3,E206/4))))</f>
        <v>499.35810600000002</v>
      </c>
      <c r="G206" s="121" t="str">
        <f>A205</f>
        <v>2nd to 7th Floor, 9th to 12th Floor,
14th to 17th (15th to 18th Floor as per Builder),
19th to 22nd Floor (20th to 23rd Floor as per Builder)</v>
      </c>
      <c r="H206" s="121"/>
      <c r="I206" s="36"/>
      <c r="L206" s="126"/>
      <c r="M206" s="126"/>
      <c r="N206" s="36"/>
    </row>
    <row r="207" spans="1:14" s="44" customFormat="1" x14ac:dyDescent="0.25">
      <c r="A207" s="121">
        <f t="shared" ref="A207:A223" si="11">A206+1</f>
        <v>2</v>
      </c>
      <c r="B207" s="121"/>
      <c r="C207" s="49">
        <v>1</v>
      </c>
      <c r="D207" s="56">
        <f t="shared" si="10"/>
        <v>322.16651999999999</v>
      </c>
      <c r="E207" s="51">
        <v>0</v>
      </c>
      <c r="F207" s="51">
        <f>D207*(($F$179)+1)+(IF(E207&lt;101,E207,IF(E207&lt;201,E207/2,IF(E207&lt;=301,E207/3,E207/4))))</f>
        <v>499.35810600000002</v>
      </c>
      <c r="G207" s="121"/>
      <c r="H207" s="121"/>
      <c r="I207" s="36"/>
      <c r="L207" s="126"/>
      <c r="M207" s="126"/>
      <c r="N207" s="36"/>
    </row>
    <row r="208" spans="1:14" s="44" customFormat="1" x14ac:dyDescent="0.25">
      <c r="A208" s="121">
        <f t="shared" si="11"/>
        <v>3</v>
      </c>
      <c r="B208" s="121"/>
      <c r="C208" s="49">
        <v>1</v>
      </c>
      <c r="D208" s="56">
        <f t="shared" si="10"/>
        <v>322.16651999999999</v>
      </c>
      <c r="E208" s="51">
        <v>0</v>
      </c>
      <c r="F208" s="51">
        <f t="shared" ref="F208:F209" si="12">D208*(($F$179)+1)+(IF(E208&lt;101,E208,IF(E208&lt;201,E208/2,IF(E208&lt;=301,E208/3,E208/4))))</f>
        <v>499.35810600000002</v>
      </c>
      <c r="G208" s="121"/>
      <c r="H208" s="121"/>
      <c r="I208" s="36"/>
    </row>
    <row r="209" spans="1:14" s="44" customFormat="1" ht="15.75" customHeight="1" x14ac:dyDescent="0.25">
      <c r="A209" s="121">
        <f t="shared" si="11"/>
        <v>4</v>
      </c>
      <c r="B209" s="121"/>
      <c r="C209" s="49">
        <v>1</v>
      </c>
      <c r="D209" s="56">
        <f t="shared" si="10"/>
        <v>322.16651999999999</v>
      </c>
      <c r="E209" s="51">
        <v>0</v>
      </c>
      <c r="F209" s="51">
        <f t="shared" si="12"/>
        <v>499.35810600000002</v>
      </c>
      <c r="G209" s="121"/>
      <c r="H209" s="121"/>
      <c r="I209" s="36"/>
      <c r="L209" s="126"/>
      <c r="M209" s="126"/>
      <c r="N209" s="36"/>
    </row>
    <row r="210" spans="1:14" s="44" customFormat="1" x14ac:dyDescent="0.25">
      <c r="A210" s="121">
        <f t="shared" si="11"/>
        <v>5</v>
      </c>
      <c r="B210" s="121"/>
      <c r="C210" s="49">
        <v>1</v>
      </c>
      <c r="D210" s="56">
        <f t="shared" si="10"/>
        <v>322.16651999999999</v>
      </c>
      <c r="E210" s="51">
        <v>0</v>
      </c>
      <c r="F210" s="51">
        <f t="shared" ref="F210:F214" si="13">D210*(($F$179)+1)+(IF(E210&lt;101,E210,IF(E210&lt;201,E210/2,IF(E210&lt;=301,E210/3,E210/4))))</f>
        <v>499.35810600000002</v>
      </c>
      <c r="G210" s="121"/>
      <c r="H210" s="121"/>
      <c r="I210" s="36"/>
      <c r="L210" s="126"/>
      <c r="M210" s="126"/>
      <c r="N210" s="36"/>
    </row>
    <row r="211" spans="1:14" s="44" customFormat="1" x14ac:dyDescent="0.25">
      <c r="A211" s="121">
        <f t="shared" si="11"/>
        <v>6</v>
      </c>
      <c r="B211" s="121"/>
      <c r="C211" s="49">
        <v>1</v>
      </c>
      <c r="D211" s="56">
        <f t="shared" si="10"/>
        <v>322.16651999999999</v>
      </c>
      <c r="E211" s="51">
        <v>0</v>
      </c>
      <c r="F211" s="51">
        <f t="shared" si="13"/>
        <v>499.35810600000002</v>
      </c>
      <c r="G211" s="121"/>
      <c r="H211" s="121"/>
      <c r="I211" s="36"/>
      <c r="L211" s="126"/>
      <c r="M211" s="126"/>
      <c r="N211" s="36"/>
    </row>
    <row r="212" spans="1:14" s="44" customFormat="1" x14ac:dyDescent="0.25">
      <c r="A212" s="121">
        <f t="shared" si="11"/>
        <v>7</v>
      </c>
      <c r="B212" s="121"/>
      <c r="C212" s="49">
        <v>1</v>
      </c>
      <c r="D212" s="56">
        <f t="shared" si="10"/>
        <v>322.16651999999999</v>
      </c>
      <c r="E212" s="51">
        <v>0</v>
      </c>
      <c r="F212" s="51">
        <f t="shared" si="13"/>
        <v>499.35810600000002</v>
      </c>
      <c r="G212" s="121"/>
      <c r="H212" s="121"/>
      <c r="I212" s="36"/>
      <c r="L212" s="126"/>
      <c r="M212" s="126"/>
      <c r="N212" s="36"/>
    </row>
    <row r="213" spans="1:14" s="44" customFormat="1" x14ac:dyDescent="0.25">
      <c r="A213" s="121">
        <f t="shared" si="11"/>
        <v>8</v>
      </c>
      <c r="B213" s="121"/>
      <c r="C213" s="49">
        <v>1</v>
      </c>
      <c r="D213" s="56">
        <f t="shared" si="10"/>
        <v>322.16651999999999</v>
      </c>
      <c r="E213" s="51">
        <v>0</v>
      </c>
      <c r="F213" s="51">
        <f t="shared" si="13"/>
        <v>499.35810600000002</v>
      </c>
      <c r="G213" s="121"/>
      <c r="H213" s="121"/>
      <c r="I213" s="36"/>
      <c r="L213" s="126"/>
      <c r="M213" s="126"/>
      <c r="N213" s="36"/>
    </row>
    <row r="214" spans="1:14" s="44" customFormat="1" x14ac:dyDescent="0.25">
      <c r="A214" s="121">
        <f t="shared" si="11"/>
        <v>9</v>
      </c>
      <c r="B214" s="121"/>
      <c r="C214" s="49">
        <v>1</v>
      </c>
      <c r="D214" s="56">
        <f t="shared" si="10"/>
        <v>322.16651999999999</v>
      </c>
      <c r="E214" s="51">
        <v>0</v>
      </c>
      <c r="F214" s="51">
        <f t="shared" si="13"/>
        <v>499.35810600000002</v>
      </c>
      <c r="G214" s="121"/>
      <c r="H214" s="121"/>
      <c r="I214" s="36"/>
      <c r="L214" s="126"/>
      <c r="M214" s="126"/>
      <c r="N214" s="36"/>
    </row>
    <row r="215" spans="1:14" s="44" customFormat="1" x14ac:dyDescent="0.25">
      <c r="A215" s="121">
        <f t="shared" si="11"/>
        <v>10</v>
      </c>
      <c r="B215" s="121"/>
      <c r="C215" s="49">
        <v>1</v>
      </c>
      <c r="D215" s="56">
        <f t="shared" si="10"/>
        <v>322.16651999999999</v>
      </c>
      <c r="E215" s="51">
        <v>0</v>
      </c>
      <c r="F215" s="51">
        <f>D215*(($F$179)+1)+(IF(E215&lt;101,E215,IF(E215&lt;201,E215/2,IF(E215&lt;=301,E215/3,E215/4))))</f>
        <v>499.35810600000002</v>
      </c>
      <c r="G215" s="121"/>
      <c r="H215" s="121"/>
      <c r="I215" s="36"/>
      <c r="L215" s="126"/>
      <c r="M215" s="126"/>
      <c r="N215" s="36"/>
    </row>
    <row r="216" spans="1:14" s="44" customFormat="1" x14ac:dyDescent="0.25">
      <c r="A216" s="121">
        <f t="shared" si="11"/>
        <v>11</v>
      </c>
      <c r="B216" s="121"/>
      <c r="C216" s="49">
        <v>1</v>
      </c>
      <c r="D216" s="56">
        <f t="shared" si="10"/>
        <v>322.16651999999999</v>
      </c>
      <c r="E216" s="51">
        <v>0</v>
      </c>
      <c r="F216" s="51">
        <f>D216*(($F$179)+1)+(IF(E216&lt;101,E216,IF(E216&lt;201,E216/2,IF(E216&lt;=301,E216/3,E216/4))))</f>
        <v>499.35810600000002</v>
      </c>
      <c r="G216" s="121"/>
      <c r="H216" s="121"/>
      <c r="I216" s="36"/>
      <c r="L216" s="126"/>
      <c r="M216" s="126"/>
      <c r="N216" s="36"/>
    </row>
    <row r="217" spans="1:14" s="44" customFormat="1" x14ac:dyDescent="0.25">
      <c r="A217" s="121">
        <f t="shared" si="11"/>
        <v>12</v>
      </c>
      <c r="B217" s="121"/>
      <c r="C217" s="49">
        <v>1</v>
      </c>
      <c r="D217" s="56">
        <f t="shared" si="10"/>
        <v>322.16651999999999</v>
      </c>
      <c r="E217" s="51">
        <v>0</v>
      </c>
      <c r="F217" s="51">
        <f t="shared" ref="F217:F223" si="14">D217*(($F$179)+1)+(IF(E217&lt;101,E217,IF(E217&lt;201,E217/2,IF(E217&lt;=301,E217/3,E217/4))))</f>
        <v>499.35810600000002</v>
      </c>
      <c r="G217" s="121"/>
      <c r="H217" s="121"/>
      <c r="I217" s="36"/>
      <c r="L217" s="126"/>
      <c r="M217" s="126"/>
      <c r="N217" s="36"/>
    </row>
    <row r="218" spans="1:14" s="44" customFormat="1" ht="15.75" customHeight="1" x14ac:dyDescent="0.25">
      <c r="A218" s="121">
        <f t="shared" si="11"/>
        <v>13</v>
      </c>
      <c r="B218" s="121"/>
      <c r="C218" s="49">
        <v>1</v>
      </c>
      <c r="D218" s="56">
        <f t="shared" si="10"/>
        <v>322.16651999999999</v>
      </c>
      <c r="E218" s="51">
        <v>0</v>
      </c>
      <c r="F218" s="51">
        <f t="shared" si="14"/>
        <v>499.35810600000002</v>
      </c>
      <c r="G218" s="121"/>
      <c r="H218" s="121"/>
      <c r="I218" s="36"/>
      <c r="L218" s="126"/>
      <c r="M218" s="126"/>
      <c r="N218" s="36"/>
    </row>
    <row r="219" spans="1:14" s="44" customFormat="1" x14ac:dyDescent="0.25">
      <c r="A219" s="121">
        <f t="shared" si="11"/>
        <v>14</v>
      </c>
      <c r="B219" s="121"/>
      <c r="C219" s="49">
        <v>1</v>
      </c>
      <c r="D219" s="56">
        <f t="shared" si="10"/>
        <v>322.16651999999999</v>
      </c>
      <c r="E219" s="51">
        <v>0</v>
      </c>
      <c r="F219" s="51">
        <f t="shared" si="14"/>
        <v>499.35810600000002</v>
      </c>
      <c r="G219" s="121"/>
      <c r="H219" s="121"/>
      <c r="I219" s="36"/>
      <c r="L219" s="126"/>
      <c r="M219" s="126"/>
      <c r="N219" s="36"/>
    </row>
    <row r="220" spans="1:14" s="44" customFormat="1" x14ac:dyDescent="0.25">
      <c r="A220" s="121">
        <f t="shared" si="11"/>
        <v>15</v>
      </c>
      <c r="B220" s="121"/>
      <c r="C220" s="49">
        <v>1</v>
      </c>
      <c r="D220" s="56">
        <f t="shared" si="10"/>
        <v>322.16651999999999</v>
      </c>
      <c r="E220" s="51">
        <v>0</v>
      </c>
      <c r="F220" s="51">
        <f t="shared" si="14"/>
        <v>499.35810600000002</v>
      </c>
      <c r="G220" s="121"/>
      <c r="H220" s="121"/>
      <c r="I220" s="36"/>
      <c r="L220" s="126"/>
      <c r="M220" s="126"/>
      <c r="N220" s="36"/>
    </row>
    <row r="221" spans="1:14" s="44" customFormat="1" x14ac:dyDescent="0.25">
      <c r="A221" s="121">
        <f t="shared" si="11"/>
        <v>16</v>
      </c>
      <c r="B221" s="121"/>
      <c r="C221" s="49">
        <v>1</v>
      </c>
      <c r="D221" s="56">
        <f t="shared" si="10"/>
        <v>322.16651999999999</v>
      </c>
      <c r="E221" s="51">
        <v>0</v>
      </c>
      <c r="F221" s="51">
        <f t="shared" si="14"/>
        <v>499.35810600000002</v>
      </c>
      <c r="G221" s="121"/>
      <c r="H221" s="121"/>
      <c r="I221" s="36"/>
      <c r="L221" s="126"/>
      <c r="M221" s="126"/>
      <c r="N221" s="36"/>
    </row>
    <row r="222" spans="1:14" s="44" customFormat="1" x14ac:dyDescent="0.25">
      <c r="A222" s="121">
        <f t="shared" si="11"/>
        <v>17</v>
      </c>
      <c r="B222" s="121"/>
      <c r="C222" s="49">
        <v>1</v>
      </c>
      <c r="D222" s="56">
        <f t="shared" si="10"/>
        <v>322.16651999999999</v>
      </c>
      <c r="E222" s="51">
        <v>0</v>
      </c>
      <c r="F222" s="51">
        <f t="shared" si="14"/>
        <v>499.35810600000002</v>
      </c>
      <c r="G222" s="121"/>
      <c r="H222" s="121"/>
      <c r="J222" s="36"/>
      <c r="L222" s="126"/>
      <c r="M222" s="126"/>
      <c r="N222" s="36"/>
    </row>
    <row r="223" spans="1:14" s="44" customFormat="1" x14ac:dyDescent="0.25">
      <c r="A223" s="121">
        <f t="shared" si="11"/>
        <v>18</v>
      </c>
      <c r="B223" s="121"/>
      <c r="C223" s="49">
        <v>1</v>
      </c>
      <c r="D223" s="56">
        <f t="shared" si="10"/>
        <v>322.16651999999999</v>
      </c>
      <c r="E223" s="51">
        <v>0</v>
      </c>
      <c r="F223" s="51">
        <f t="shared" si="14"/>
        <v>499.35810600000002</v>
      </c>
      <c r="G223" s="121"/>
      <c r="H223" s="121"/>
      <c r="I223" s="36"/>
      <c r="L223" s="126"/>
      <c r="M223" s="126"/>
      <c r="N223" s="36"/>
    </row>
    <row r="224" spans="1:14" s="44" customFormat="1" ht="49.5" customHeight="1" x14ac:dyDescent="0.25">
      <c r="A224" s="112" t="s">
        <v>186</v>
      </c>
      <c r="B224" s="113"/>
      <c r="C224" s="113"/>
      <c r="D224" s="113"/>
      <c r="E224" s="113"/>
      <c r="F224" s="113"/>
      <c r="G224" s="113"/>
      <c r="H224" s="114"/>
      <c r="I224" s="36"/>
      <c r="L224" s="126"/>
      <c r="M224" s="126"/>
      <c r="N224" s="36"/>
    </row>
    <row r="225" spans="1:14" s="44" customFormat="1" x14ac:dyDescent="0.25">
      <c r="A225" s="110">
        <v>1</v>
      </c>
      <c r="B225" s="111"/>
      <c r="C225" s="49">
        <v>1</v>
      </c>
      <c r="D225" s="56">
        <f t="shared" ref="D225:D238" si="15">(29.93)*10.764</f>
        <v>322.16651999999999</v>
      </c>
      <c r="E225" s="51">
        <v>0</v>
      </c>
      <c r="F225" s="51">
        <f>D225*(($F$179)+1)+(IF(E225&lt;101,E225,IF(E225&lt;201,E225/2,IF(E225&lt;=301,E225/3,E225/4))))</f>
        <v>499.35810600000002</v>
      </c>
      <c r="G225" s="115" t="str">
        <f>A224</f>
        <v>8th Floor,
13th &amp; 18th Floor (14th &amp; 19th Floor as per builder)
(Part Refuge Area)</v>
      </c>
      <c r="H225" s="116"/>
      <c r="I225" s="36"/>
      <c r="L225" s="126"/>
      <c r="M225" s="126"/>
      <c r="N225" s="36"/>
    </row>
    <row r="226" spans="1:14" s="44" customFormat="1" x14ac:dyDescent="0.25">
      <c r="A226" s="110">
        <f t="shared" ref="A226:A242" si="16">A225+1</f>
        <v>2</v>
      </c>
      <c r="B226" s="111"/>
      <c r="C226" s="49">
        <v>1</v>
      </c>
      <c r="D226" s="56">
        <f t="shared" si="15"/>
        <v>322.16651999999999</v>
      </c>
      <c r="E226" s="51">
        <v>0</v>
      </c>
      <c r="F226" s="51">
        <f>D226*(($F$179)+1)+(IF(E226&lt;101,E226,IF(E226&lt;201,E226/2,IF(E226&lt;=301,E226/3,E226/4))))</f>
        <v>499.35810600000002</v>
      </c>
      <c r="G226" s="117"/>
      <c r="H226" s="118"/>
      <c r="I226" s="36"/>
      <c r="L226" s="126"/>
      <c r="M226" s="126"/>
      <c r="N226" s="36"/>
    </row>
    <row r="227" spans="1:14" s="44" customFormat="1" x14ac:dyDescent="0.25">
      <c r="A227" s="110">
        <f t="shared" si="16"/>
        <v>3</v>
      </c>
      <c r="B227" s="111"/>
      <c r="C227" s="49">
        <v>1</v>
      </c>
      <c r="D227" s="56">
        <f t="shared" si="15"/>
        <v>322.16651999999999</v>
      </c>
      <c r="E227" s="51">
        <v>0</v>
      </c>
      <c r="F227" s="51">
        <f t="shared" ref="F227:F233" si="17">D227*(($F$179)+1)+(IF(E227&lt;101,E227,IF(E227&lt;201,E227/2,IF(E227&lt;=301,E227/3,E227/4))))</f>
        <v>499.35810600000002</v>
      </c>
      <c r="G227" s="117"/>
      <c r="H227" s="118"/>
      <c r="I227" s="36"/>
    </row>
    <row r="228" spans="1:14" s="44" customFormat="1" ht="15.75" customHeight="1" x14ac:dyDescent="0.25">
      <c r="A228" s="110">
        <f t="shared" si="16"/>
        <v>4</v>
      </c>
      <c r="B228" s="111"/>
      <c r="C228" s="49">
        <v>1</v>
      </c>
      <c r="D228" s="56">
        <f t="shared" si="15"/>
        <v>322.16651999999999</v>
      </c>
      <c r="E228" s="51">
        <v>0</v>
      </c>
      <c r="F228" s="51">
        <f t="shared" si="17"/>
        <v>499.35810600000002</v>
      </c>
      <c r="G228" s="117"/>
      <c r="H228" s="118"/>
      <c r="I228" s="36"/>
      <c r="L228" s="126"/>
      <c r="M228" s="126"/>
      <c r="N228" s="36"/>
    </row>
    <row r="229" spans="1:14" s="44" customFormat="1" x14ac:dyDescent="0.25">
      <c r="A229" s="110">
        <f t="shared" si="16"/>
        <v>5</v>
      </c>
      <c r="B229" s="111"/>
      <c r="C229" s="49">
        <v>1</v>
      </c>
      <c r="D229" s="56">
        <f t="shared" si="15"/>
        <v>322.16651999999999</v>
      </c>
      <c r="E229" s="51">
        <v>0</v>
      </c>
      <c r="F229" s="51">
        <f t="shared" si="17"/>
        <v>499.35810600000002</v>
      </c>
      <c r="G229" s="117"/>
      <c r="H229" s="118"/>
      <c r="I229" s="36"/>
      <c r="L229" s="126"/>
      <c r="M229" s="126"/>
      <c r="N229" s="36"/>
    </row>
    <row r="230" spans="1:14" s="44" customFormat="1" x14ac:dyDescent="0.25">
      <c r="A230" s="110">
        <f t="shared" si="16"/>
        <v>6</v>
      </c>
      <c r="B230" s="111"/>
      <c r="C230" s="49">
        <v>1</v>
      </c>
      <c r="D230" s="56">
        <f t="shared" si="15"/>
        <v>322.16651999999999</v>
      </c>
      <c r="E230" s="51">
        <v>0</v>
      </c>
      <c r="F230" s="51">
        <f t="shared" si="17"/>
        <v>499.35810600000002</v>
      </c>
      <c r="G230" s="117"/>
      <c r="H230" s="118"/>
      <c r="I230" s="36"/>
      <c r="L230" s="126"/>
      <c r="M230" s="126"/>
      <c r="N230" s="36"/>
    </row>
    <row r="231" spans="1:14" s="44" customFormat="1" x14ac:dyDescent="0.25">
      <c r="A231" s="110">
        <f t="shared" si="16"/>
        <v>7</v>
      </c>
      <c r="B231" s="111"/>
      <c r="C231" s="49">
        <v>1</v>
      </c>
      <c r="D231" s="56">
        <f t="shared" si="15"/>
        <v>322.16651999999999</v>
      </c>
      <c r="E231" s="51">
        <v>0</v>
      </c>
      <c r="F231" s="51">
        <f t="shared" si="17"/>
        <v>499.35810600000002</v>
      </c>
      <c r="G231" s="117"/>
      <c r="H231" s="118"/>
      <c r="I231" s="36"/>
      <c r="L231" s="126"/>
      <c r="M231" s="126"/>
      <c r="N231" s="36"/>
    </row>
    <row r="232" spans="1:14" s="44" customFormat="1" x14ac:dyDescent="0.25">
      <c r="A232" s="110">
        <f t="shared" si="16"/>
        <v>8</v>
      </c>
      <c r="B232" s="111"/>
      <c r="C232" s="49">
        <v>1</v>
      </c>
      <c r="D232" s="56">
        <f t="shared" si="15"/>
        <v>322.16651999999999</v>
      </c>
      <c r="E232" s="51">
        <v>0</v>
      </c>
      <c r="F232" s="51">
        <f t="shared" si="17"/>
        <v>499.35810600000002</v>
      </c>
      <c r="G232" s="117"/>
      <c r="H232" s="118"/>
      <c r="I232" s="36"/>
      <c r="L232" s="126"/>
      <c r="M232" s="126"/>
      <c r="N232" s="36"/>
    </row>
    <row r="233" spans="1:14" s="44" customFormat="1" x14ac:dyDescent="0.25">
      <c r="A233" s="110">
        <f t="shared" si="16"/>
        <v>9</v>
      </c>
      <c r="B233" s="111"/>
      <c r="C233" s="49">
        <v>1</v>
      </c>
      <c r="D233" s="56">
        <f t="shared" si="15"/>
        <v>322.16651999999999</v>
      </c>
      <c r="E233" s="51">
        <v>0</v>
      </c>
      <c r="F233" s="51">
        <f t="shared" si="17"/>
        <v>499.35810600000002</v>
      </c>
      <c r="G233" s="117"/>
      <c r="H233" s="118"/>
      <c r="I233" s="36"/>
      <c r="L233" s="126"/>
      <c r="M233" s="126"/>
      <c r="N233" s="36"/>
    </row>
    <row r="234" spans="1:14" s="44" customFormat="1" x14ac:dyDescent="0.25">
      <c r="A234" s="110">
        <f t="shared" si="16"/>
        <v>10</v>
      </c>
      <c r="B234" s="111"/>
      <c r="C234" s="49">
        <v>1</v>
      </c>
      <c r="D234" s="56">
        <f t="shared" si="15"/>
        <v>322.16651999999999</v>
      </c>
      <c r="E234" s="51">
        <v>0</v>
      </c>
      <c r="F234" s="51">
        <f>D234*(($F$179)+1)+(IF(E234&lt;101,E234,IF(E234&lt;201,E234/2,IF(E234&lt;=301,E234/3,E234/4))))</f>
        <v>499.35810600000002</v>
      </c>
      <c r="G234" s="117"/>
      <c r="H234" s="118"/>
      <c r="I234" s="36"/>
      <c r="L234" s="126"/>
      <c r="M234" s="126"/>
      <c r="N234" s="36"/>
    </row>
    <row r="235" spans="1:14" s="44" customFormat="1" x14ac:dyDescent="0.25">
      <c r="A235" s="110">
        <f t="shared" si="16"/>
        <v>11</v>
      </c>
      <c r="B235" s="111"/>
      <c r="C235" s="49">
        <v>1</v>
      </c>
      <c r="D235" s="56">
        <f t="shared" si="15"/>
        <v>322.16651999999999</v>
      </c>
      <c r="E235" s="51">
        <v>0</v>
      </c>
      <c r="F235" s="51">
        <f>D235*(($F$179)+1)+(IF(E235&lt;101,E235,IF(E235&lt;201,E235/2,IF(E235&lt;=301,E235/3,E235/4))))</f>
        <v>499.35810600000002</v>
      </c>
      <c r="G235" s="117"/>
      <c r="H235" s="118"/>
      <c r="I235" s="36"/>
      <c r="L235" s="126"/>
      <c r="M235" s="126"/>
      <c r="N235" s="36"/>
    </row>
    <row r="236" spans="1:14" s="44" customFormat="1" x14ac:dyDescent="0.25">
      <c r="A236" s="110">
        <f t="shared" si="16"/>
        <v>12</v>
      </c>
      <c r="B236" s="111"/>
      <c r="C236" s="49">
        <v>1</v>
      </c>
      <c r="D236" s="56">
        <f t="shared" si="15"/>
        <v>322.16651999999999</v>
      </c>
      <c r="E236" s="51">
        <v>0</v>
      </c>
      <c r="F236" s="51">
        <f t="shared" ref="F236:F242" si="18">D236*(($F$179)+1)+(IF(E236&lt;101,E236,IF(E236&lt;201,E236/2,IF(E236&lt;=301,E236/3,E236/4))))</f>
        <v>499.35810600000002</v>
      </c>
      <c r="G236" s="117"/>
      <c r="H236" s="118"/>
      <c r="I236" s="36"/>
      <c r="L236" s="126"/>
      <c r="M236" s="126"/>
      <c r="N236" s="36"/>
    </row>
    <row r="237" spans="1:14" s="44" customFormat="1" ht="15.75" customHeight="1" x14ac:dyDescent="0.25">
      <c r="A237" s="110">
        <f t="shared" si="16"/>
        <v>13</v>
      </c>
      <c r="B237" s="111"/>
      <c r="C237" s="49">
        <v>1</v>
      </c>
      <c r="D237" s="56">
        <f t="shared" si="15"/>
        <v>322.16651999999999</v>
      </c>
      <c r="E237" s="51">
        <v>0</v>
      </c>
      <c r="F237" s="51">
        <f t="shared" si="18"/>
        <v>499.35810600000002</v>
      </c>
      <c r="G237" s="117"/>
      <c r="H237" s="118"/>
      <c r="I237" s="36"/>
      <c r="L237" s="126"/>
      <c r="M237" s="126"/>
      <c r="N237" s="36"/>
    </row>
    <row r="238" spans="1:14" s="44" customFormat="1" x14ac:dyDescent="0.25">
      <c r="A238" s="110">
        <f t="shared" si="16"/>
        <v>14</v>
      </c>
      <c r="B238" s="111"/>
      <c r="C238" s="49">
        <v>1</v>
      </c>
      <c r="D238" s="56">
        <f t="shared" si="15"/>
        <v>322.16651999999999</v>
      </c>
      <c r="E238" s="51">
        <v>0</v>
      </c>
      <c r="F238" s="51">
        <f t="shared" si="18"/>
        <v>499.35810600000002</v>
      </c>
      <c r="G238" s="117"/>
      <c r="H238" s="118"/>
      <c r="I238" s="36"/>
      <c r="L238" s="126"/>
      <c r="M238" s="126"/>
      <c r="N238" s="36"/>
    </row>
    <row r="239" spans="1:14" s="44" customFormat="1" x14ac:dyDescent="0.25">
      <c r="A239" s="110">
        <f t="shared" si="16"/>
        <v>15</v>
      </c>
      <c r="B239" s="111"/>
      <c r="C239" s="158" t="s">
        <v>169</v>
      </c>
      <c r="D239" s="159"/>
      <c r="E239" s="159"/>
      <c r="F239" s="160"/>
      <c r="G239" s="117"/>
      <c r="H239" s="118"/>
      <c r="I239" s="36"/>
      <c r="L239" s="126"/>
      <c r="M239" s="126"/>
      <c r="N239" s="36"/>
    </row>
    <row r="240" spans="1:14" s="44" customFormat="1" x14ac:dyDescent="0.25">
      <c r="A240" s="110">
        <f t="shared" si="16"/>
        <v>16</v>
      </c>
      <c r="B240" s="111"/>
      <c r="C240" s="49">
        <v>1</v>
      </c>
      <c r="D240" s="56">
        <f>(29.93)*10.764</f>
        <v>322.16651999999999</v>
      </c>
      <c r="E240" s="51">
        <v>0</v>
      </c>
      <c r="F240" s="51">
        <f t="shared" si="18"/>
        <v>499.35810600000002</v>
      </c>
      <c r="G240" s="117"/>
      <c r="H240" s="118"/>
      <c r="I240" s="36"/>
      <c r="L240" s="126"/>
      <c r="M240" s="126"/>
      <c r="N240" s="36"/>
    </row>
    <row r="241" spans="1:14" s="44" customFormat="1" x14ac:dyDescent="0.25">
      <c r="A241" s="110">
        <f t="shared" si="16"/>
        <v>17</v>
      </c>
      <c r="B241" s="111"/>
      <c r="C241" s="49">
        <v>1</v>
      </c>
      <c r="D241" s="56">
        <f>(29.93)*10.764</f>
        <v>322.16651999999999</v>
      </c>
      <c r="E241" s="51">
        <v>0</v>
      </c>
      <c r="F241" s="51">
        <f t="shared" si="18"/>
        <v>499.35810600000002</v>
      </c>
      <c r="G241" s="117"/>
      <c r="H241" s="118"/>
      <c r="J241" s="36"/>
      <c r="L241" s="126"/>
      <c r="M241" s="126"/>
      <c r="N241" s="36"/>
    </row>
    <row r="242" spans="1:14" s="44" customFormat="1" x14ac:dyDescent="0.25">
      <c r="A242" s="110">
        <f t="shared" si="16"/>
        <v>18</v>
      </c>
      <c r="B242" s="111"/>
      <c r="C242" s="49">
        <v>1</v>
      </c>
      <c r="D242" s="56">
        <f>(29.93)*10.764</f>
        <v>322.16651999999999</v>
      </c>
      <c r="E242" s="51">
        <v>0</v>
      </c>
      <c r="F242" s="51">
        <f t="shared" si="18"/>
        <v>499.35810600000002</v>
      </c>
      <c r="G242" s="119"/>
      <c r="H242" s="120"/>
      <c r="I242" s="36"/>
      <c r="L242" s="126"/>
      <c r="M242" s="126"/>
      <c r="N242" s="36"/>
    </row>
    <row r="243" spans="1:14" s="44" customFormat="1" x14ac:dyDescent="0.25">
      <c r="A243" s="112" t="s">
        <v>187</v>
      </c>
      <c r="B243" s="113"/>
      <c r="C243" s="113"/>
      <c r="D243" s="113"/>
      <c r="E243" s="113"/>
      <c r="F243" s="113"/>
      <c r="G243" s="113"/>
      <c r="H243" s="114"/>
      <c r="I243" s="36"/>
      <c r="L243" s="126"/>
      <c r="M243" s="126"/>
      <c r="N243" s="36"/>
    </row>
    <row r="244" spans="1:14" s="44" customFormat="1" x14ac:dyDescent="0.25">
      <c r="A244" s="110">
        <v>1</v>
      </c>
      <c r="B244" s="111"/>
      <c r="C244" s="49">
        <v>1</v>
      </c>
      <c r="D244" s="56">
        <f t="shared" ref="D244:D257" si="19">(29.93)*10.764</f>
        <v>322.16651999999999</v>
      </c>
      <c r="E244" s="51">
        <v>0</v>
      </c>
      <c r="F244" s="51">
        <f>D244*(($F$179)+1)+(IF(E244&lt;101,E244,IF(E244&lt;201,E244/2,IF(E244&lt;=301,E244/3,E244/4))))</f>
        <v>499.35810600000002</v>
      </c>
      <c r="G244" s="115" t="str">
        <f>A243</f>
        <v>23rd Floor (24th Floor as per Builder) (Part Refuge Area)</v>
      </c>
      <c r="H244" s="116"/>
      <c r="I244" s="36"/>
      <c r="L244" s="126"/>
      <c r="M244" s="126"/>
      <c r="N244" s="36"/>
    </row>
    <row r="245" spans="1:14" s="44" customFormat="1" x14ac:dyDescent="0.25">
      <c r="A245" s="110">
        <f t="shared" ref="A245:A261" si="20">A244+1</f>
        <v>2</v>
      </c>
      <c r="B245" s="111"/>
      <c r="C245" s="49">
        <v>1</v>
      </c>
      <c r="D245" s="56">
        <f t="shared" si="19"/>
        <v>322.16651999999999</v>
      </c>
      <c r="E245" s="51">
        <v>0</v>
      </c>
      <c r="F245" s="51">
        <f>D245*(($F$179)+1)+(IF(E245&lt;101,E245,IF(E245&lt;201,E245/2,IF(E245&lt;=301,E245/3,E245/4))))</f>
        <v>499.35810600000002</v>
      </c>
      <c r="G245" s="117"/>
      <c r="H245" s="118"/>
      <c r="I245" s="36"/>
      <c r="L245" s="126"/>
      <c r="M245" s="126"/>
      <c r="N245" s="36"/>
    </row>
    <row r="246" spans="1:14" s="64" customFormat="1" x14ac:dyDescent="0.25">
      <c r="A246" s="110">
        <f t="shared" si="20"/>
        <v>3</v>
      </c>
      <c r="B246" s="111"/>
      <c r="C246" s="49">
        <v>1</v>
      </c>
      <c r="D246" s="56">
        <f t="shared" si="19"/>
        <v>322.16651999999999</v>
      </c>
      <c r="E246" s="51">
        <v>0</v>
      </c>
      <c r="F246" s="51">
        <f t="shared" ref="F246:F252" si="21">D246*(($F$179)+1)+(IF(E246&lt;101,E246,IF(E246&lt;201,E246/2,IF(E246&lt;=301,E246/3,E246/4))))</f>
        <v>499.35810600000002</v>
      </c>
      <c r="G246" s="117"/>
      <c r="H246" s="118"/>
      <c r="I246" s="36"/>
      <c r="J246" s="44"/>
    </row>
    <row r="247" spans="1:14" s="64" customFormat="1" ht="18" customHeight="1" x14ac:dyDescent="0.25">
      <c r="A247" s="110">
        <f t="shared" si="20"/>
        <v>4</v>
      </c>
      <c r="B247" s="111"/>
      <c r="C247" s="49">
        <v>1</v>
      </c>
      <c r="D247" s="56">
        <f t="shared" si="19"/>
        <v>322.16651999999999</v>
      </c>
      <c r="E247" s="51">
        <v>0</v>
      </c>
      <c r="F247" s="51">
        <f t="shared" si="21"/>
        <v>499.35810600000002</v>
      </c>
      <c r="G247" s="117"/>
      <c r="H247" s="118"/>
      <c r="I247" s="36"/>
      <c r="J247" s="44"/>
    </row>
    <row r="248" spans="1:14" s="64" customFormat="1" ht="15.75" customHeight="1" x14ac:dyDescent="0.25">
      <c r="A248" s="110">
        <f t="shared" si="20"/>
        <v>5</v>
      </c>
      <c r="B248" s="111"/>
      <c r="C248" s="49">
        <v>1</v>
      </c>
      <c r="D248" s="56">
        <f t="shared" si="19"/>
        <v>322.16651999999999</v>
      </c>
      <c r="E248" s="51">
        <v>0</v>
      </c>
      <c r="F248" s="51">
        <f t="shared" si="21"/>
        <v>499.35810600000002</v>
      </c>
      <c r="G248" s="117"/>
      <c r="H248" s="118"/>
      <c r="I248" s="36"/>
      <c r="J248" s="44"/>
      <c r="K248" s="64" t="e">
        <f>9600000/F469</f>
        <v>#DIV/0!</v>
      </c>
      <c r="L248" s="126"/>
      <c r="M248" s="126"/>
      <c r="N248" s="36"/>
    </row>
    <row r="249" spans="1:14" s="64" customFormat="1" x14ac:dyDescent="0.25">
      <c r="A249" s="110">
        <f t="shared" si="20"/>
        <v>6</v>
      </c>
      <c r="B249" s="111"/>
      <c r="C249" s="49">
        <v>1</v>
      </c>
      <c r="D249" s="56">
        <f t="shared" si="19"/>
        <v>322.16651999999999</v>
      </c>
      <c r="E249" s="51">
        <v>0</v>
      </c>
      <c r="F249" s="51">
        <f t="shared" si="21"/>
        <v>499.35810600000002</v>
      </c>
      <c r="G249" s="117"/>
      <c r="H249" s="118"/>
      <c r="I249" s="36"/>
      <c r="J249" s="44"/>
      <c r="L249" s="126"/>
      <c r="M249" s="126"/>
      <c r="N249" s="36"/>
    </row>
    <row r="250" spans="1:14" s="64" customFormat="1" x14ac:dyDescent="0.25">
      <c r="A250" s="110">
        <f t="shared" si="20"/>
        <v>7</v>
      </c>
      <c r="B250" s="111"/>
      <c r="C250" s="49">
        <v>1</v>
      </c>
      <c r="D250" s="56">
        <f t="shared" si="19"/>
        <v>322.16651999999999</v>
      </c>
      <c r="E250" s="51">
        <v>0</v>
      </c>
      <c r="F250" s="51">
        <f t="shared" si="21"/>
        <v>499.35810600000002</v>
      </c>
      <c r="G250" s="117"/>
      <c r="H250" s="118"/>
      <c r="I250" s="36"/>
      <c r="J250" s="44"/>
      <c r="L250" s="126"/>
      <c r="M250" s="126"/>
      <c r="N250" s="36"/>
    </row>
    <row r="251" spans="1:14" s="64" customFormat="1" x14ac:dyDescent="0.25">
      <c r="A251" s="110">
        <f t="shared" si="20"/>
        <v>8</v>
      </c>
      <c r="B251" s="111"/>
      <c r="C251" s="49">
        <v>1</v>
      </c>
      <c r="D251" s="56">
        <f t="shared" si="19"/>
        <v>322.16651999999999</v>
      </c>
      <c r="E251" s="51">
        <v>0</v>
      </c>
      <c r="F251" s="51">
        <f t="shared" si="21"/>
        <v>499.35810600000002</v>
      </c>
      <c r="G251" s="117"/>
      <c r="H251" s="118"/>
      <c r="I251" s="36"/>
      <c r="J251" s="44"/>
      <c r="L251" s="126"/>
      <c r="M251" s="126"/>
      <c r="N251" s="36"/>
    </row>
    <row r="252" spans="1:14" s="64" customFormat="1" x14ac:dyDescent="0.25">
      <c r="A252" s="110">
        <f t="shared" si="20"/>
        <v>9</v>
      </c>
      <c r="B252" s="111"/>
      <c r="C252" s="49">
        <v>1</v>
      </c>
      <c r="D252" s="56">
        <f t="shared" si="19"/>
        <v>322.16651999999999</v>
      </c>
      <c r="E252" s="51">
        <v>0</v>
      </c>
      <c r="F252" s="51">
        <f t="shared" si="21"/>
        <v>499.35810600000002</v>
      </c>
      <c r="G252" s="117"/>
      <c r="H252" s="118"/>
      <c r="I252" s="36"/>
      <c r="J252" s="44"/>
      <c r="L252" s="126"/>
      <c r="M252" s="126"/>
      <c r="N252" s="36"/>
    </row>
    <row r="253" spans="1:14" s="64" customFormat="1" x14ac:dyDescent="0.25">
      <c r="A253" s="110">
        <f t="shared" si="20"/>
        <v>10</v>
      </c>
      <c r="B253" s="111"/>
      <c r="C253" s="49">
        <v>1</v>
      </c>
      <c r="D253" s="56">
        <f t="shared" si="19"/>
        <v>322.16651999999999</v>
      </c>
      <c r="E253" s="51">
        <v>0</v>
      </c>
      <c r="F253" s="51">
        <f>D253*(($F$179)+1)+(IF(E253&lt;101,E253,IF(E253&lt;201,E253/2,IF(E253&lt;=301,E253/3,E253/4))))</f>
        <v>499.35810600000002</v>
      </c>
      <c r="G253" s="117"/>
      <c r="H253" s="118"/>
      <c r="I253" s="36"/>
      <c r="J253" s="44"/>
      <c r="L253" s="126"/>
      <c r="M253" s="126"/>
      <c r="N253" s="36"/>
    </row>
    <row r="254" spans="1:14" s="64" customFormat="1" x14ac:dyDescent="0.25">
      <c r="A254" s="110">
        <f t="shared" si="20"/>
        <v>11</v>
      </c>
      <c r="B254" s="111"/>
      <c r="C254" s="49">
        <v>1</v>
      </c>
      <c r="D254" s="56">
        <f t="shared" si="19"/>
        <v>322.16651999999999</v>
      </c>
      <c r="E254" s="51">
        <v>0</v>
      </c>
      <c r="F254" s="51">
        <f>D254*(($F$179)+1)+(IF(E254&lt;101,E254,IF(E254&lt;201,E254/2,IF(E254&lt;=301,E254/3,E254/4))))</f>
        <v>499.35810600000002</v>
      </c>
      <c r="G254" s="117"/>
      <c r="H254" s="118"/>
      <c r="I254" s="36">
        <f>5000000/F256</f>
        <v>10012.854382301746</v>
      </c>
      <c r="J254" s="44"/>
      <c r="L254" s="126"/>
      <c r="M254" s="126"/>
      <c r="N254" s="36"/>
    </row>
    <row r="255" spans="1:14" s="64" customFormat="1" x14ac:dyDescent="0.25">
      <c r="A255" s="110">
        <f t="shared" si="20"/>
        <v>12</v>
      </c>
      <c r="B255" s="111"/>
      <c r="C255" s="49">
        <v>1</v>
      </c>
      <c r="D255" s="56">
        <f t="shared" si="19"/>
        <v>322.16651999999999</v>
      </c>
      <c r="E255" s="51">
        <v>0</v>
      </c>
      <c r="F255" s="51">
        <f t="shared" ref="F255:F257" si="22">D255*(($F$179)+1)+(IF(E255&lt;101,E255,IF(E255&lt;201,E255/2,IF(E255&lt;=301,E255/3,E255/4))))</f>
        <v>499.35810600000002</v>
      </c>
      <c r="G255" s="117"/>
      <c r="H255" s="118"/>
      <c r="I255" s="36"/>
      <c r="J255" s="44"/>
      <c r="L255" s="126"/>
      <c r="M255" s="126"/>
      <c r="N255" s="36"/>
    </row>
    <row r="256" spans="1:14" s="64" customFormat="1" x14ac:dyDescent="0.25">
      <c r="A256" s="110">
        <f t="shared" si="20"/>
        <v>13</v>
      </c>
      <c r="B256" s="111"/>
      <c r="C256" s="49">
        <v>1</v>
      </c>
      <c r="D256" s="56">
        <f t="shared" si="19"/>
        <v>322.16651999999999</v>
      </c>
      <c r="E256" s="51">
        <v>0</v>
      </c>
      <c r="F256" s="51">
        <f t="shared" si="22"/>
        <v>499.35810600000002</v>
      </c>
      <c r="G256" s="117"/>
      <c r="H256" s="118"/>
      <c r="I256" s="36"/>
      <c r="J256" s="44"/>
      <c r="L256" s="126"/>
      <c r="M256" s="126"/>
      <c r="N256" s="36"/>
    </row>
    <row r="257" spans="1:14" s="64" customFormat="1" x14ac:dyDescent="0.25">
      <c r="A257" s="110">
        <f t="shared" si="20"/>
        <v>14</v>
      </c>
      <c r="B257" s="111"/>
      <c r="C257" s="49">
        <v>1</v>
      </c>
      <c r="D257" s="56">
        <f t="shared" si="19"/>
        <v>322.16651999999999</v>
      </c>
      <c r="E257" s="51">
        <v>0</v>
      </c>
      <c r="F257" s="51">
        <f t="shared" si="22"/>
        <v>499.35810600000002</v>
      </c>
      <c r="G257" s="117"/>
      <c r="H257" s="118"/>
      <c r="I257" s="36">
        <f>7860000/F259</f>
        <v>11429.024700949099</v>
      </c>
      <c r="J257" s="44"/>
    </row>
    <row r="258" spans="1:14" s="64" customFormat="1" ht="15.75" customHeight="1" x14ac:dyDescent="0.25">
      <c r="A258" s="110">
        <f t="shared" si="20"/>
        <v>15</v>
      </c>
      <c r="B258" s="111"/>
      <c r="C258" s="158" t="s">
        <v>169</v>
      </c>
      <c r="D258" s="159"/>
      <c r="E258" s="159"/>
      <c r="F258" s="160"/>
      <c r="G258" s="117"/>
      <c r="H258" s="118"/>
      <c r="I258" s="36"/>
      <c r="J258" s="44"/>
      <c r="L258" s="126"/>
      <c r="M258" s="126"/>
      <c r="N258" s="36"/>
    </row>
    <row r="259" spans="1:14" s="64" customFormat="1" x14ac:dyDescent="0.25">
      <c r="A259" s="161">
        <f t="shared" si="20"/>
        <v>16</v>
      </c>
      <c r="B259" s="162"/>
      <c r="C259" s="54">
        <v>2</v>
      </c>
      <c r="D259" s="57">
        <f>(41.22)*10.764</f>
        <v>443.69207999999998</v>
      </c>
      <c r="E259" s="55">
        <v>0</v>
      </c>
      <c r="F259" s="55">
        <f t="shared" ref="F259:F261" si="23">D259*(($F$179)+1)+(IF(E259&lt;101,E259,IF(E259&lt;201,E259/2,IF(E259&lt;=301,E259/3,E259/4))))</f>
        <v>687.72272399999997</v>
      </c>
      <c r="G259" s="117"/>
      <c r="H259" s="118"/>
      <c r="I259" s="36"/>
      <c r="J259" s="44"/>
      <c r="L259" s="126"/>
      <c r="M259" s="126"/>
      <c r="N259" s="36"/>
    </row>
    <row r="260" spans="1:14" s="64" customFormat="1" x14ac:dyDescent="0.25">
      <c r="A260" s="110">
        <f t="shared" si="20"/>
        <v>17</v>
      </c>
      <c r="B260" s="111"/>
      <c r="C260" s="49">
        <v>1</v>
      </c>
      <c r="D260" s="56">
        <f>(29.93)*10.764</f>
        <v>322.16651999999999</v>
      </c>
      <c r="E260" s="51">
        <v>0</v>
      </c>
      <c r="F260" s="51">
        <f t="shared" si="23"/>
        <v>499.35810600000002</v>
      </c>
      <c r="G260" s="117"/>
      <c r="H260" s="118"/>
      <c r="I260" s="56">
        <v>10.763999999999999</v>
      </c>
      <c r="J260" s="36"/>
      <c r="L260" s="126"/>
      <c r="M260" s="126"/>
      <c r="N260" s="36"/>
    </row>
    <row r="261" spans="1:14" s="64" customFormat="1" x14ac:dyDescent="0.25">
      <c r="A261" s="110">
        <f t="shared" si="20"/>
        <v>18</v>
      </c>
      <c r="B261" s="111"/>
      <c r="C261" s="49">
        <v>1</v>
      </c>
      <c r="D261" s="56">
        <f>(29.93)*10.764</f>
        <v>322.16651999999999</v>
      </c>
      <c r="E261" s="51">
        <v>0</v>
      </c>
      <c r="F261" s="51">
        <f t="shared" si="23"/>
        <v>499.35810600000002</v>
      </c>
      <c r="G261" s="119"/>
      <c r="H261" s="120"/>
      <c r="J261" s="36"/>
      <c r="L261" s="126"/>
      <c r="M261" s="126"/>
      <c r="N261" s="36"/>
    </row>
    <row r="262" spans="1:14" s="64" customFormat="1" x14ac:dyDescent="0.25">
      <c r="A262" s="152" t="s">
        <v>181</v>
      </c>
      <c r="B262" s="152"/>
      <c r="C262" s="152"/>
      <c r="D262" s="152"/>
      <c r="E262" s="152"/>
      <c r="F262" s="152"/>
      <c r="G262" s="152"/>
      <c r="H262" s="152"/>
      <c r="I262" s="36">
        <f>1.05*1.83+2.05*1.48+1.38*0.58+3.05*3.43+2.85*2.9+1.33*0.6+1.07*1.53+1.22*1.05</f>
        <v>28.198499999999999</v>
      </c>
      <c r="J262" s="64">
        <f>5900000/F264</f>
        <v>11803.337228354596</v>
      </c>
      <c r="L262" s="126"/>
      <c r="M262" s="126"/>
      <c r="N262" s="36"/>
    </row>
    <row r="263" spans="1:14" s="64" customFormat="1" x14ac:dyDescent="0.25">
      <c r="A263" s="152" t="s">
        <v>202</v>
      </c>
      <c r="B263" s="152"/>
      <c r="C263" s="152"/>
      <c r="D263" s="152"/>
      <c r="E263" s="152"/>
      <c r="F263" s="152"/>
      <c r="G263" s="152"/>
      <c r="H263" s="152"/>
      <c r="I263" s="36"/>
      <c r="J263" s="64" t="e">
        <f>AVERAGE(J248:K248)</f>
        <v>#DIV/0!</v>
      </c>
      <c r="L263" s="126"/>
      <c r="M263" s="126"/>
      <c r="N263" s="36"/>
    </row>
    <row r="264" spans="1:14" s="64" customFormat="1" x14ac:dyDescent="0.25">
      <c r="A264" s="121">
        <v>1</v>
      </c>
      <c r="B264" s="121"/>
      <c r="C264" s="49">
        <v>1</v>
      </c>
      <c r="D264" s="56">
        <f>(29.96)*10.764</f>
        <v>322.48944</v>
      </c>
      <c r="E264" s="51">
        <v>0</v>
      </c>
      <c r="F264" s="51">
        <f>D264*(($F$179)+1)+(IF(E264&lt;101,E264,IF(E264&lt;201,E264/2,IF(E264&lt;=301,E264/3,E264/4))))</f>
        <v>499.858632</v>
      </c>
      <c r="G264" s="121" t="str">
        <f>A263</f>
        <v>Ground Floor for Entrance Lobby, Society Office, Letter Box, Meter Room, Residential &amp; Parking</v>
      </c>
      <c r="H264" s="121"/>
      <c r="I264" s="36"/>
      <c r="L264" s="126"/>
      <c r="M264" s="126"/>
      <c r="N264" s="36"/>
    </row>
    <row r="265" spans="1:14" s="64" customFormat="1" x14ac:dyDescent="0.25">
      <c r="A265" s="121">
        <f t="shared" ref="A265:A272" si="24">A264+1</f>
        <v>2</v>
      </c>
      <c r="B265" s="121"/>
      <c r="C265" s="49">
        <v>1</v>
      </c>
      <c r="D265" s="56">
        <f t="shared" ref="D265:D268" si="25">(29.96)*10.764</f>
        <v>322.48944</v>
      </c>
      <c r="E265" s="51">
        <v>0</v>
      </c>
      <c r="F265" s="51">
        <f>D265*(($F$179)+1)+(IF(E265&lt;101,E265,IF(E265&lt;201,E265/2,IF(E265&lt;=301,E265/3,E265/4))))</f>
        <v>499.858632</v>
      </c>
      <c r="G265" s="121"/>
      <c r="H265" s="121"/>
      <c r="I265" s="36"/>
      <c r="L265" s="126"/>
      <c r="M265" s="126"/>
      <c r="N265" s="36"/>
    </row>
    <row r="266" spans="1:14" s="64" customFormat="1" x14ac:dyDescent="0.25">
      <c r="A266" s="121">
        <f t="shared" si="24"/>
        <v>3</v>
      </c>
      <c r="B266" s="121"/>
      <c r="C266" s="49">
        <v>1</v>
      </c>
      <c r="D266" s="56">
        <f t="shared" si="25"/>
        <v>322.48944</v>
      </c>
      <c r="E266" s="51">
        <v>0</v>
      </c>
      <c r="F266" s="51">
        <f t="shared" ref="F266:F267" si="26">D266*(($F$179)+1)+(IF(E266&lt;101,E266,IF(E266&lt;201,E266/2,IF(E266&lt;=301,E266/3,E266/4))))</f>
        <v>499.858632</v>
      </c>
      <c r="G266" s="121"/>
      <c r="H266" s="121"/>
      <c r="I266" s="36">
        <f>5700000/F268</f>
        <v>11403.224101969694</v>
      </c>
      <c r="L266" s="126"/>
      <c r="M266" s="126"/>
      <c r="N266" s="36"/>
    </row>
    <row r="267" spans="1:14" s="64" customFormat="1" ht="15.75" customHeight="1" x14ac:dyDescent="0.25">
      <c r="A267" s="121">
        <f t="shared" si="24"/>
        <v>4</v>
      </c>
      <c r="B267" s="121"/>
      <c r="C267" s="49">
        <v>1</v>
      </c>
      <c r="D267" s="56">
        <f t="shared" si="25"/>
        <v>322.48944</v>
      </c>
      <c r="E267" s="51">
        <v>0</v>
      </c>
      <c r="F267" s="51">
        <f t="shared" si="26"/>
        <v>499.858632</v>
      </c>
      <c r="G267" s="121"/>
      <c r="H267" s="121"/>
      <c r="I267" s="36"/>
      <c r="L267" s="126"/>
      <c r="M267" s="126"/>
      <c r="N267" s="36"/>
    </row>
    <row r="268" spans="1:14" s="64" customFormat="1" x14ac:dyDescent="0.25">
      <c r="A268" s="121">
        <f t="shared" si="24"/>
        <v>5</v>
      </c>
      <c r="B268" s="121"/>
      <c r="C268" s="49">
        <v>1</v>
      </c>
      <c r="D268" s="56">
        <f t="shared" si="25"/>
        <v>322.48944</v>
      </c>
      <c r="E268" s="51">
        <v>0</v>
      </c>
      <c r="F268" s="51">
        <f>D268*(($F$179)+1)+(IF(E268&lt;101,E268,IF(E268&lt;201,E268/2,IF(E268&lt;=301,E268/3,E268/4))))</f>
        <v>499.858632</v>
      </c>
      <c r="G268" s="121"/>
      <c r="H268" s="121"/>
      <c r="I268" s="36"/>
      <c r="L268" s="126"/>
      <c r="M268" s="126"/>
      <c r="N268" s="36"/>
    </row>
    <row r="269" spans="1:14" s="64" customFormat="1" x14ac:dyDescent="0.25">
      <c r="A269" s="121">
        <f t="shared" si="24"/>
        <v>6</v>
      </c>
      <c r="B269" s="121"/>
      <c r="C269" s="157" t="s">
        <v>167</v>
      </c>
      <c r="D269" s="157"/>
      <c r="E269" s="157"/>
      <c r="F269" s="157"/>
      <c r="G269" s="121"/>
      <c r="H269" s="121"/>
      <c r="I269" s="36"/>
      <c r="L269" s="126"/>
      <c r="M269" s="126"/>
      <c r="N269" s="36"/>
    </row>
    <row r="270" spans="1:14" s="64" customFormat="1" x14ac:dyDescent="0.25">
      <c r="A270" s="121">
        <f t="shared" si="24"/>
        <v>7</v>
      </c>
      <c r="B270" s="121"/>
      <c r="C270" s="157"/>
      <c r="D270" s="157"/>
      <c r="E270" s="157"/>
      <c r="F270" s="157"/>
      <c r="G270" s="121"/>
      <c r="H270" s="121"/>
      <c r="I270" s="36"/>
      <c r="L270" s="126"/>
      <c r="M270" s="126"/>
      <c r="N270" s="36"/>
    </row>
    <row r="271" spans="1:14" s="64" customFormat="1" x14ac:dyDescent="0.25">
      <c r="A271" s="121">
        <f t="shared" si="24"/>
        <v>8</v>
      </c>
      <c r="B271" s="121"/>
      <c r="C271" s="49">
        <v>1</v>
      </c>
      <c r="D271" s="56">
        <f t="shared" ref="D271:D272" si="27">(29.96)*10.764</f>
        <v>322.48944</v>
      </c>
      <c r="E271" s="51">
        <v>0</v>
      </c>
      <c r="F271" s="51">
        <f t="shared" ref="F271" si="28">D271*(($F$179)+1)+(IF(E271&lt;101,E271,IF(E271&lt;201,E271/2,IF(E271&lt;=301,E271/3,E271/4))))</f>
        <v>499.858632</v>
      </c>
      <c r="G271" s="121"/>
      <c r="H271" s="121"/>
      <c r="J271" s="36"/>
      <c r="L271" s="126"/>
      <c r="M271" s="126"/>
      <c r="N271" s="36"/>
    </row>
    <row r="272" spans="1:14" s="64" customFormat="1" x14ac:dyDescent="0.25">
      <c r="A272" s="121">
        <f t="shared" si="24"/>
        <v>9</v>
      </c>
      <c r="B272" s="121"/>
      <c r="C272" s="49">
        <v>1</v>
      </c>
      <c r="D272" s="56">
        <f t="shared" si="27"/>
        <v>322.48944</v>
      </c>
      <c r="E272" s="51">
        <v>0</v>
      </c>
      <c r="F272" s="51">
        <f>D272*(($F$179)+1)+(IF(E272&lt;101,E272,IF(E272&lt;201,E272/2,IF(E272&lt;=301,E272/3,E272/4))))</f>
        <v>499.858632</v>
      </c>
      <c r="G272" s="121"/>
      <c r="H272" s="121"/>
      <c r="I272" s="36">
        <f>3.05*3.43+2.05*1.48+2.85*2.9+1.07*1.53+1.33*0.6+1.38*0.6+1.05*1.83+1.22*1.05</f>
        <v>28.226099999999999</v>
      </c>
      <c r="L272" s="126"/>
      <c r="M272" s="126"/>
      <c r="N272" s="36"/>
    </row>
    <row r="273" spans="1:14" s="64" customFormat="1" ht="52.5" customHeight="1" x14ac:dyDescent="0.25">
      <c r="A273" s="112" t="s">
        <v>185</v>
      </c>
      <c r="B273" s="113"/>
      <c r="C273" s="113"/>
      <c r="D273" s="113"/>
      <c r="E273" s="113"/>
      <c r="F273" s="113"/>
      <c r="G273" s="113"/>
      <c r="H273" s="114"/>
      <c r="I273" s="36"/>
      <c r="L273" s="126"/>
      <c r="M273" s="126"/>
      <c r="N273" s="36"/>
    </row>
    <row r="274" spans="1:14" s="64" customFormat="1" x14ac:dyDescent="0.25">
      <c r="A274" s="110">
        <v>1</v>
      </c>
      <c r="B274" s="111"/>
      <c r="C274" s="49">
        <v>1</v>
      </c>
      <c r="D274" s="56">
        <f t="shared" ref="D274:D329" si="29">(29.96)*10.764</f>
        <v>322.48944</v>
      </c>
      <c r="E274" s="51">
        <v>0</v>
      </c>
      <c r="F274" s="51">
        <f>D274*(($F$179)+1)+(IF(E274&lt;101,E274,IF(E274&lt;201,E274/2,IF(E274&lt;=301,E274/3,E274/4))))</f>
        <v>499.858632</v>
      </c>
      <c r="G274" s="115" t="str">
        <f>A273</f>
        <v>1st to 7th Floor, 9th to 12th Floor,
14th to 17th (15th to 18th Floor as per Builder),
19th to 22nd Floor (20th to 23rd Floor as per Builder)</v>
      </c>
      <c r="H274" s="116"/>
      <c r="I274" s="36"/>
      <c r="L274" s="126"/>
      <c r="M274" s="126"/>
      <c r="N274" s="36"/>
    </row>
    <row r="275" spans="1:14" s="67" customFormat="1" x14ac:dyDescent="0.25">
      <c r="A275" s="110">
        <f t="shared" ref="A275:A291" si="30">A274+1</f>
        <v>2</v>
      </c>
      <c r="B275" s="111"/>
      <c r="C275" s="49">
        <v>1</v>
      </c>
      <c r="D275" s="56">
        <f t="shared" si="29"/>
        <v>322.48944</v>
      </c>
      <c r="E275" s="51">
        <v>0</v>
      </c>
      <c r="F275" s="51">
        <f>D275*(($F$179)+1)+(IF(E275&lt;101,E275,IF(E275&lt;201,E275/2,IF(E275&lt;=301,E275/3,E275/4))))</f>
        <v>499.858632</v>
      </c>
      <c r="G275" s="117"/>
      <c r="H275" s="118"/>
      <c r="I275" s="36"/>
      <c r="J275" s="64"/>
      <c r="L275" s="126"/>
      <c r="M275" s="126"/>
      <c r="N275" s="36"/>
    </row>
    <row r="276" spans="1:14" s="64" customFormat="1" x14ac:dyDescent="0.25">
      <c r="A276" s="110">
        <f t="shared" si="30"/>
        <v>3</v>
      </c>
      <c r="B276" s="111"/>
      <c r="C276" s="49">
        <v>1</v>
      </c>
      <c r="D276" s="56">
        <f t="shared" si="29"/>
        <v>322.48944</v>
      </c>
      <c r="E276" s="51">
        <v>0</v>
      </c>
      <c r="F276" s="51">
        <f t="shared" ref="F276:F282" si="31">D276*(($F$179)+1)+(IF(E276&lt;101,E276,IF(E276&lt;201,E276/2,IF(E276&lt;=301,E276/3,E276/4))))</f>
        <v>499.858632</v>
      </c>
      <c r="G276" s="117"/>
      <c r="H276" s="118"/>
      <c r="I276" s="36"/>
    </row>
    <row r="277" spans="1:14" s="64" customFormat="1" ht="15.75" customHeight="1" x14ac:dyDescent="0.25">
      <c r="A277" s="110">
        <f t="shared" si="30"/>
        <v>4</v>
      </c>
      <c r="B277" s="111"/>
      <c r="C277" s="49">
        <v>1</v>
      </c>
      <c r="D277" s="56">
        <f t="shared" si="29"/>
        <v>322.48944</v>
      </c>
      <c r="E277" s="51">
        <v>0</v>
      </c>
      <c r="F277" s="51">
        <f t="shared" si="31"/>
        <v>499.858632</v>
      </c>
      <c r="G277" s="117"/>
      <c r="H277" s="118"/>
      <c r="I277" s="36"/>
      <c r="L277" s="126"/>
      <c r="M277" s="126"/>
      <c r="N277" s="36"/>
    </row>
    <row r="278" spans="1:14" s="64" customFormat="1" x14ac:dyDescent="0.25">
      <c r="A278" s="110">
        <f t="shared" si="30"/>
        <v>5</v>
      </c>
      <c r="B278" s="111"/>
      <c r="C278" s="49">
        <v>1</v>
      </c>
      <c r="D278" s="56">
        <f t="shared" si="29"/>
        <v>322.48944</v>
      </c>
      <c r="E278" s="51">
        <v>0</v>
      </c>
      <c r="F278" s="51">
        <f t="shared" si="31"/>
        <v>499.858632</v>
      </c>
      <c r="G278" s="117"/>
      <c r="H278" s="118"/>
      <c r="I278" s="36"/>
      <c r="L278" s="126"/>
      <c r="M278" s="126"/>
      <c r="N278" s="36"/>
    </row>
    <row r="279" spans="1:14" s="64" customFormat="1" x14ac:dyDescent="0.25">
      <c r="A279" s="110">
        <f t="shared" si="30"/>
        <v>6</v>
      </c>
      <c r="B279" s="111"/>
      <c r="C279" s="49">
        <v>1</v>
      </c>
      <c r="D279" s="56">
        <f t="shared" si="29"/>
        <v>322.48944</v>
      </c>
      <c r="E279" s="51">
        <v>0</v>
      </c>
      <c r="F279" s="51">
        <f t="shared" si="31"/>
        <v>499.858632</v>
      </c>
      <c r="G279" s="117"/>
      <c r="H279" s="118"/>
      <c r="I279" s="36"/>
      <c r="L279" s="126"/>
      <c r="M279" s="126"/>
      <c r="N279" s="36"/>
    </row>
    <row r="280" spans="1:14" s="64" customFormat="1" x14ac:dyDescent="0.25">
      <c r="A280" s="110">
        <f t="shared" si="30"/>
        <v>7</v>
      </c>
      <c r="B280" s="111"/>
      <c r="C280" s="49">
        <v>1</v>
      </c>
      <c r="D280" s="56">
        <f t="shared" si="29"/>
        <v>322.48944</v>
      </c>
      <c r="E280" s="51">
        <v>0</v>
      </c>
      <c r="F280" s="51">
        <f t="shared" si="31"/>
        <v>499.858632</v>
      </c>
      <c r="G280" s="117"/>
      <c r="H280" s="118"/>
      <c r="I280" s="36"/>
      <c r="L280" s="126"/>
      <c r="M280" s="126"/>
      <c r="N280" s="36"/>
    </row>
    <row r="281" spans="1:14" s="64" customFormat="1" x14ac:dyDescent="0.25">
      <c r="A281" s="110">
        <f t="shared" si="30"/>
        <v>8</v>
      </c>
      <c r="B281" s="111"/>
      <c r="C281" s="49">
        <v>1</v>
      </c>
      <c r="D281" s="56">
        <f t="shared" si="29"/>
        <v>322.48944</v>
      </c>
      <c r="E281" s="51">
        <v>0</v>
      </c>
      <c r="F281" s="51">
        <f t="shared" si="31"/>
        <v>499.858632</v>
      </c>
      <c r="G281" s="117"/>
      <c r="H281" s="118"/>
      <c r="I281" s="36"/>
      <c r="L281" s="126"/>
      <c r="M281" s="126"/>
      <c r="N281" s="36"/>
    </row>
    <row r="282" spans="1:14" s="64" customFormat="1" x14ac:dyDescent="0.25">
      <c r="A282" s="110">
        <f t="shared" si="30"/>
        <v>9</v>
      </c>
      <c r="B282" s="111"/>
      <c r="C282" s="49">
        <v>1</v>
      </c>
      <c r="D282" s="56">
        <f t="shared" si="29"/>
        <v>322.48944</v>
      </c>
      <c r="E282" s="51">
        <v>0</v>
      </c>
      <c r="F282" s="51">
        <f t="shared" si="31"/>
        <v>499.858632</v>
      </c>
      <c r="G282" s="117"/>
      <c r="H282" s="118"/>
      <c r="I282" s="36"/>
      <c r="L282" s="126"/>
      <c r="M282" s="126"/>
      <c r="N282" s="36"/>
    </row>
    <row r="283" spans="1:14" s="64" customFormat="1" x14ac:dyDescent="0.25">
      <c r="A283" s="110">
        <f t="shared" si="30"/>
        <v>10</v>
      </c>
      <c r="B283" s="111"/>
      <c r="C283" s="49">
        <v>1</v>
      </c>
      <c r="D283" s="56">
        <f t="shared" si="29"/>
        <v>322.48944</v>
      </c>
      <c r="E283" s="51">
        <v>0</v>
      </c>
      <c r="F283" s="51">
        <f>D283*(($F$179)+1)+(IF(E283&lt;101,E283,IF(E283&lt;201,E283/2,IF(E283&lt;=301,E283/3,E283/4))))</f>
        <v>499.858632</v>
      </c>
      <c r="G283" s="117"/>
      <c r="H283" s="118"/>
      <c r="I283" s="36"/>
      <c r="L283" s="126"/>
      <c r="M283" s="126"/>
      <c r="N283" s="36"/>
    </row>
    <row r="284" spans="1:14" s="64" customFormat="1" x14ac:dyDescent="0.25">
      <c r="A284" s="110">
        <f t="shared" si="30"/>
        <v>11</v>
      </c>
      <c r="B284" s="111"/>
      <c r="C284" s="49">
        <v>1</v>
      </c>
      <c r="D284" s="56">
        <f t="shared" si="29"/>
        <v>322.48944</v>
      </c>
      <c r="E284" s="51">
        <v>0</v>
      </c>
      <c r="F284" s="51">
        <f>D284*(($F$179)+1)+(IF(E284&lt;101,E284,IF(E284&lt;201,E284/2,IF(E284&lt;=301,E284/3,E284/4))))</f>
        <v>499.858632</v>
      </c>
      <c r="G284" s="117"/>
      <c r="H284" s="118"/>
      <c r="I284" s="36"/>
      <c r="L284" s="126"/>
      <c r="M284" s="126"/>
      <c r="N284" s="36"/>
    </row>
    <row r="285" spans="1:14" s="64" customFormat="1" x14ac:dyDescent="0.25">
      <c r="A285" s="110">
        <f t="shared" si="30"/>
        <v>12</v>
      </c>
      <c r="B285" s="111"/>
      <c r="C285" s="49">
        <v>1</v>
      </c>
      <c r="D285" s="56">
        <f t="shared" si="29"/>
        <v>322.48944</v>
      </c>
      <c r="E285" s="51">
        <v>0</v>
      </c>
      <c r="F285" s="51">
        <f t="shared" ref="F285:F290" si="32">D285*(($F$179)+1)+(IF(E285&lt;101,E285,IF(E285&lt;201,E285/2,IF(E285&lt;=301,E285/3,E285/4))))</f>
        <v>499.858632</v>
      </c>
      <c r="G285" s="117"/>
      <c r="H285" s="118"/>
      <c r="I285" s="36"/>
      <c r="L285" s="126"/>
      <c r="M285" s="126"/>
      <c r="N285" s="36"/>
    </row>
    <row r="286" spans="1:14" s="64" customFormat="1" ht="15.75" customHeight="1" x14ac:dyDescent="0.25">
      <c r="A286" s="110">
        <v>14</v>
      </c>
      <c r="B286" s="111"/>
      <c r="C286" s="49">
        <v>1</v>
      </c>
      <c r="D286" s="56">
        <f t="shared" si="29"/>
        <v>322.48944</v>
      </c>
      <c r="E286" s="51">
        <v>0</v>
      </c>
      <c r="F286" s="51">
        <f t="shared" si="32"/>
        <v>499.858632</v>
      </c>
      <c r="G286" s="117"/>
      <c r="H286" s="118"/>
      <c r="I286" s="36"/>
      <c r="L286" s="126"/>
      <c r="M286" s="126"/>
      <c r="N286" s="36"/>
    </row>
    <row r="287" spans="1:14" s="64" customFormat="1" x14ac:dyDescent="0.25">
      <c r="A287" s="110">
        <f t="shared" si="30"/>
        <v>15</v>
      </c>
      <c r="B287" s="111"/>
      <c r="C287" s="49">
        <v>1</v>
      </c>
      <c r="D287" s="56">
        <f t="shared" si="29"/>
        <v>322.48944</v>
      </c>
      <c r="E287" s="51">
        <v>0</v>
      </c>
      <c r="F287" s="51">
        <f t="shared" si="32"/>
        <v>499.858632</v>
      </c>
      <c r="G287" s="117"/>
      <c r="H287" s="118"/>
      <c r="I287" s="36"/>
      <c r="L287" s="126"/>
      <c r="M287" s="126"/>
      <c r="N287" s="36"/>
    </row>
    <row r="288" spans="1:14" s="64" customFormat="1" x14ac:dyDescent="0.25">
      <c r="A288" s="110">
        <f t="shared" si="30"/>
        <v>16</v>
      </c>
      <c r="B288" s="111"/>
      <c r="C288" s="49">
        <v>1</v>
      </c>
      <c r="D288" s="56">
        <f t="shared" si="29"/>
        <v>322.48944</v>
      </c>
      <c r="E288" s="51">
        <v>0</v>
      </c>
      <c r="F288" s="51">
        <f t="shared" si="32"/>
        <v>499.858632</v>
      </c>
      <c r="G288" s="117"/>
      <c r="H288" s="118"/>
      <c r="I288" s="36"/>
      <c r="L288" s="126"/>
      <c r="M288" s="126"/>
      <c r="N288" s="36"/>
    </row>
    <row r="289" spans="1:14" s="64" customFormat="1" x14ac:dyDescent="0.25">
      <c r="A289" s="110">
        <f t="shared" si="30"/>
        <v>17</v>
      </c>
      <c r="B289" s="111"/>
      <c r="C289" s="49">
        <v>1</v>
      </c>
      <c r="D289" s="56">
        <f t="shared" si="29"/>
        <v>322.48944</v>
      </c>
      <c r="E289" s="51">
        <v>0</v>
      </c>
      <c r="F289" s="51">
        <f t="shared" si="32"/>
        <v>499.858632</v>
      </c>
      <c r="G289" s="117"/>
      <c r="H289" s="118"/>
      <c r="I289" s="36"/>
      <c r="J289" s="67"/>
      <c r="L289" s="126"/>
      <c r="M289" s="126"/>
      <c r="N289" s="36"/>
    </row>
    <row r="290" spans="1:14" s="64" customFormat="1" x14ac:dyDescent="0.25">
      <c r="A290" s="110">
        <f t="shared" si="30"/>
        <v>18</v>
      </c>
      <c r="B290" s="111"/>
      <c r="C290" s="49">
        <v>1</v>
      </c>
      <c r="D290" s="56">
        <f t="shared" si="29"/>
        <v>322.48944</v>
      </c>
      <c r="E290" s="51">
        <v>0</v>
      </c>
      <c r="F290" s="51">
        <f t="shared" si="32"/>
        <v>499.858632</v>
      </c>
      <c r="G290" s="117"/>
      <c r="H290" s="118"/>
      <c r="J290" s="36"/>
      <c r="L290" s="126"/>
      <c r="M290" s="126"/>
      <c r="N290" s="36"/>
    </row>
    <row r="291" spans="1:14" s="64" customFormat="1" x14ac:dyDescent="0.25">
      <c r="A291" s="110">
        <f t="shared" si="30"/>
        <v>19</v>
      </c>
      <c r="B291" s="111"/>
      <c r="C291" s="49">
        <v>1</v>
      </c>
      <c r="D291" s="56">
        <f t="shared" si="29"/>
        <v>322.48944</v>
      </c>
      <c r="E291" s="51">
        <v>0</v>
      </c>
      <c r="F291" s="51">
        <f t="shared" ref="F291" si="33">D291*(($F$179)+1)+(IF(E291&lt;101,E291,IF(E291&lt;201,E291/2,IF(E291&lt;=301,E291/3,E291/4))))</f>
        <v>499.858632</v>
      </c>
      <c r="G291" s="119"/>
      <c r="H291" s="120"/>
      <c r="I291" s="36"/>
      <c r="L291" s="126"/>
      <c r="M291" s="126"/>
      <c r="N291" s="36"/>
    </row>
    <row r="292" spans="1:14" s="64" customFormat="1" ht="50.25" customHeight="1" x14ac:dyDescent="0.25">
      <c r="A292" s="112" t="s">
        <v>186</v>
      </c>
      <c r="B292" s="113"/>
      <c r="C292" s="113"/>
      <c r="D292" s="113"/>
      <c r="E292" s="113"/>
      <c r="F292" s="113"/>
      <c r="G292" s="113"/>
      <c r="H292" s="114"/>
      <c r="I292" s="36"/>
      <c r="L292" s="126"/>
      <c r="M292" s="126"/>
      <c r="N292" s="36"/>
    </row>
    <row r="293" spans="1:14" s="64" customFormat="1" x14ac:dyDescent="0.25">
      <c r="A293" s="121">
        <v>1</v>
      </c>
      <c r="B293" s="121"/>
      <c r="C293" s="49">
        <v>1</v>
      </c>
      <c r="D293" s="56">
        <f t="shared" si="29"/>
        <v>322.48944</v>
      </c>
      <c r="E293" s="51">
        <v>0</v>
      </c>
      <c r="F293" s="51">
        <f>D293*(($F$179)+1)+(IF(E293&lt;101,E293,IF(E293&lt;201,E293/2,IF(E293&lt;=301,E293/3,E293/4))))</f>
        <v>499.858632</v>
      </c>
      <c r="G293" s="121" t="str">
        <f>A292</f>
        <v>8th Floor,
13th &amp; 18th Floor (14th &amp; 19th Floor as per builder)
(Part Refuge Area)</v>
      </c>
      <c r="H293" s="121"/>
      <c r="I293" s="36"/>
      <c r="L293" s="126"/>
      <c r="M293" s="126"/>
      <c r="N293" s="36"/>
    </row>
    <row r="294" spans="1:14" s="67" customFormat="1" x14ac:dyDescent="0.25">
      <c r="A294" s="121">
        <f t="shared" ref="A294:A310" si="34">A293+1</f>
        <v>2</v>
      </c>
      <c r="B294" s="121"/>
      <c r="C294" s="49">
        <v>1</v>
      </c>
      <c r="D294" s="56">
        <f t="shared" si="29"/>
        <v>322.48944</v>
      </c>
      <c r="E294" s="51">
        <v>0</v>
      </c>
      <c r="F294" s="51">
        <f>D294*(($F$179)+1)+(IF(E294&lt;101,E294,IF(E294&lt;201,E294/2,IF(E294&lt;=301,E294/3,E294/4))))</f>
        <v>499.858632</v>
      </c>
      <c r="G294" s="121"/>
      <c r="H294" s="121"/>
      <c r="I294" s="36"/>
      <c r="J294" s="64"/>
      <c r="L294" s="126"/>
      <c r="M294" s="126"/>
      <c r="N294" s="36"/>
    </row>
    <row r="295" spans="1:14" s="67" customFormat="1" ht="18" customHeight="1" x14ac:dyDescent="0.25">
      <c r="A295" s="121">
        <f t="shared" si="34"/>
        <v>3</v>
      </c>
      <c r="B295" s="121"/>
      <c r="C295" s="49">
        <v>1</v>
      </c>
      <c r="D295" s="56">
        <f t="shared" si="29"/>
        <v>322.48944</v>
      </c>
      <c r="E295" s="51">
        <v>0</v>
      </c>
      <c r="F295" s="51">
        <f t="shared" ref="F295:F301" si="35">D295*(($F$179)+1)+(IF(E295&lt;101,E295,IF(E295&lt;201,E295/2,IF(E295&lt;=301,E295/3,E295/4))))</f>
        <v>499.858632</v>
      </c>
      <c r="G295" s="121"/>
      <c r="H295" s="121"/>
      <c r="I295" s="36"/>
      <c r="J295" s="64"/>
    </row>
    <row r="296" spans="1:14" s="67" customFormat="1" ht="15.75" customHeight="1" x14ac:dyDescent="0.25">
      <c r="A296" s="121">
        <f t="shared" si="34"/>
        <v>4</v>
      </c>
      <c r="B296" s="121"/>
      <c r="C296" s="49">
        <v>1</v>
      </c>
      <c r="D296" s="56">
        <f t="shared" si="29"/>
        <v>322.48944</v>
      </c>
      <c r="E296" s="51">
        <v>0</v>
      </c>
      <c r="F296" s="51">
        <f t="shared" si="35"/>
        <v>499.858632</v>
      </c>
      <c r="G296" s="121"/>
      <c r="H296" s="121"/>
      <c r="I296" s="36"/>
      <c r="J296" s="64"/>
      <c r="L296" s="126"/>
      <c r="M296" s="126"/>
      <c r="N296" s="36"/>
    </row>
    <row r="297" spans="1:14" s="67" customFormat="1" x14ac:dyDescent="0.25">
      <c r="A297" s="121">
        <f t="shared" si="34"/>
        <v>5</v>
      </c>
      <c r="B297" s="121"/>
      <c r="C297" s="49">
        <v>1</v>
      </c>
      <c r="D297" s="56">
        <f t="shared" si="29"/>
        <v>322.48944</v>
      </c>
      <c r="E297" s="51">
        <v>0</v>
      </c>
      <c r="F297" s="51">
        <f t="shared" si="35"/>
        <v>499.858632</v>
      </c>
      <c r="G297" s="121"/>
      <c r="H297" s="121"/>
      <c r="I297" s="36"/>
      <c r="J297" s="64"/>
      <c r="L297" s="126"/>
      <c r="M297" s="126"/>
      <c r="N297" s="36"/>
    </row>
    <row r="298" spans="1:14" s="67" customFormat="1" x14ac:dyDescent="0.25">
      <c r="A298" s="121">
        <f t="shared" si="34"/>
        <v>6</v>
      </c>
      <c r="B298" s="121"/>
      <c r="C298" s="49">
        <v>1</v>
      </c>
      <c r="D298" s="56">
        <f t="shared" si="29"/>
        <v>322.48944</v>
      </c>
      <c r="E298" s="51">
        <v>0</v>
      </c>
      <c r="F298" s="51">
        <f t="shared" si="35"/>
        <v>499.858632</v>
      </c>
      <c r="G298" s="121"/>
      <c r="H298" s="121"/>
      <c r="I298" s="36"/>
      <c r="J298" s="64"/>
      <c r="L298" s="126"/>
      <c r="M298" s="126"/>
      <c r="N298" s="36"/>
    </row>
    <row r="299" spans="1:14" s="67" customFormat="1" x14ac:dyDescent="0.25">
      <c r="A299" s="121">
        <f t="shared" si="34"/>
        <v>7</v>
      </c>
      <c r="B299" s="121"/>
      <c r="C299" s="49">
        <v>1</v>
      </c>
      <c r="D299" s="56">
        <f t="shared" si="29"/>
        <v>322.48944</v>
      </c>
      <c r="E299" s="51">
        <v>0</v>
      </c>
      <c r="F299" s="51">
        <f t="shared" si="35"/>
        <v>499.858632</v>
      </c>
      <c r="G299" s="121"/>
      <c r="H299" s="121"/>
      <c r="I299" s="36"/>
      <c r="J299" s="64"/>
      <c r="L299" s="126"/>
      <c r="M299" s="126"/>
      <c r="N299" s="36"/>
    </row>
    <row r="300" spans="1:14" s="67" customFormat="1" x14ac:dyDescent="0.25">
      <c r="A300" s="121">
        <f t="shared" si="34"/>
        <v>8</v>
      </c>
      <c r="B300" s="121"/>
      <c r="C300" s="49">
        <v>1</v>
      </c>
      <c r="D300" s="56">
        <f t="shared" si="29"/>
        <v>322.48944</v>
      </c>
      <c r="E300" s="51">
        <v>0</v>
      </c>
      <c r="F300" s="51">
        <f t="shared" si="35"/>
        <v>499.858632</v>
      </c>
      <c r="G300" s="121"/>
      <c r="H300" s="121"/>
      <c r="I300" s="36"/>
      <c r="J300" s="64"/>
      <c r="L300" s="126"/>
      <c r="M300" s="126"/>
      <c r="N300" s="36"/>
    </row>
    <row r="301" spans="1:14" s="67" customFormat="1" x14ac:dyDescent="0.25">
      <c r="A301" s="121">
        <f t="shared" si="34"/>
        <v>9</v>
      </c>
      <c r="B301" s="121"/>
      <c r="C301" s="49">
        <v>1</v>
      </c>
      <c r="D301" s="56">
        <f t="shared" si="29"/>
        <v>322.48944</v>
      </c>
      <c r="E301" s="51">
        <v>0</v>
      </c>
      <c r="F301" s="51">
        <f t="shared" si="35"/>
        <v>499.858632</v>
      </c>
      <c r="G301" s="121"/>
      <c r="H301" s="121"/>
      <c r="I301" s="36"/>
      <c r="J301" s="64"/>
      <c r="L301" s="126"/>
      <c r="M301" s="126"/>
      <c r="N301" s="36"/>
    </row>
    <row r="302" spans="1:14" s="67" customFormat="1" x14ac:dyDescent="0.25">
      <c r="A302" s="121">
        <f t="shared" si="34"/>
        <v>10</v>
      </c>
      <c r="B302" s="121"/>
      <c r="C302" s="49">
        <v>1</v>
      </c>
      <c r="D302" s="56">
        <f t="shared" si="29"/>
        <v>322.48944</v>
      </c>
      <c r="E302" s="51">
        <v>0</v>
      </c>
      <c r="F302" s="51">
        <f>D302*(($F$179)+1)+(IF(E302&lt;101,E302,IF(E302&lt;201,E302/2,IF(E302&lt;=301,E302/3,E302/4))))</f>
        <v>499.858632</v>
      </c>
      <c r="G302" s="121"/>
      <c r="H302" s="121"/>
      <c r="I302" s="36"/>
      <c r="J302" s="64"/>
      <c r="L302" s="126"/>
      <c r="M302" s="126"/>
      <c r="N302" s="36"/>
    </row>
    <row r="303" spans="1:14" s="67" customFormat="1" x14ac:dyDescent="0.25">
      <c r="A303" s="121">
        <f t="shared" si="34"/>
        <v>11</v>
      </c>
      <c r="B303" s="121"/>
      <c r="C303" s="49">
        <v>1</v>
      </c>
      <c r="D303" s="56">
        <f t="shared" si="29"/>
        <v>322.48944</v>
      </c>
      <c r="E303" s="51">
        <v>0</v>
      </c>
      <c r="F303" s="51">
        <f>D303*(($F$179)+1)+(IF(E303&lt;101,E303,IF(E303&lt;201,E303/2,IF(E303&lt;=301,E303/3,E303/4))))</f>
        <v>499.858632</v>
      </c>
      <c r="G303" s="121"/>
      <c r="H303" s="121"/>
      <c r="I303" s="36"/>
      <c r="J303" s="64"/>
      <c r="L303" s="126"/>
      <c r="M303" s="126"/>
      <c r="N303" s="36"/>
    </row>
    <row r="304" spans="1:14" s="67" customFormat="1" x14ac:dyDescent="0.25">
      <c r="A304" s="121">
        <f t="shared" si="34"/>
        <v>12</v>
      </c>
      <c r="B304" s="121"/>
      <c r="C304" s="49">
        <v>1</v>
      </c>
      <c r="D304" s="56">
        <f t="shared" si="29"/>
        <v>322.48944</v>
      </c>
      <c r="E304" s="51">
        <v>0</v>
      </c>
      <c r="F304" s="51">
        <f>D304*(($F$179)+1)+(IF(E304&lt;101,E304,IF(E304&lt;201,E304/2,IF(E304&lt;=301,E304/3,E304/4))))</f>
        <v>499.858632</v>
      </c>
      <c r="G304" s="121"/>
      <c r="H304" s="121"/>
      <c r="I304" s="36"/>
      <c r="J304" s="64"/>
      <c r="L304" s="126"/>
      <c r="M304" s="126"/>
      <c r="N304" s="36"/>
    </row>
    <row r="305" spans="1:14" s="67" customFormat="1" ht="15.75" customHeight="1" x14ac:dyDescent="0.25">
      <c r="A305" s="121">
        <v>14</v>
      </c>
      <c r="B305" s="121"/>
      <c r="C305" s="157" t="s">
        <v>169</v>
      </c>
      <c r="D305" s="157"/>
      <c r="E305" s="157"/>
      <c r="F305" s="157"/>
      <c r="G305" s="121"/>
      <c r="H305" s="121"/>
      <c r="I305" s="36"/>
      <c r="J305" s="64"/>
      <c r="L305" s="126"/>
      <c r="M305" s="126"/>
      <c r="N305" s="36"/>
    </row>
    <row r="306" spans="1:14" s="67" customFormat="1" x14ac:dyDescent="0.25">
      <c r="A306" s="121">
        <f t="shared" si="34"/>
        <v>15</v>
      </c>
      <c r="B306" s="121"/>
      <c r="C306" s="49">
        <v>1</v>
      </c>
      <c r="D306" s="56">
        <f t="shared" si="29"/>
        <v>322.48944</v>
      </c>
      <c r="E306" s="51">
        <v>0</v>
      </c>
      <c r="F306" s="51">
        <f t="shared" ref="F306:F309" si="36">D306*(($F$179)+1)+(IF(E306&lt;101,E306,IF(E306&lt;201,E306/2,IF(E306&lt;=301,E306/3,E306/4))))</f>
        <v>499.858632</v>
      </c>
      <c r="G306" s="121"/>
      <c r="H306" s="121"/>
      <c r="I306" s="36"/>
      <c r="J306" s="64"/>
      <c r="L306" s="126"/>
      <c r="M306" s="126"/>
      <c r="N306" s="36"/>
    </row>
    <row r="307" spans="1:14" s="67" customFormat="1" x14ac:dyDescent="0.25">
      <c r="A307" s="121">
        <f t="shared" si="34"/>
        <v>16</v>
      </c>
      <c r="B307" s="121"/>
      <c r="C307" s="49">
        <v>1</v>
      </c>
      <c r="D307" s="56">
        <f t="shared" si="29"/>
        <v>322.48944</v>
      </c>
      <c r="E307" s="51">
        <v>0</v>
      </c>
      <c r="F307" s="51">
        <f t="shared" si="36"/>
        <v>499.858632</v>
      </c>
      <c r="G307" s="121"/>
      <c r="H307" s="121"/>
      <c r="I307" s="36"/>
      <c r="J307" s="64"/>
      <c r="L307" s="126"/>
      <c r="M307" s="126"/>
      <c r="N307" s="36"/>
    </row>
    <row r="308" spans="1:14" s="67" customFormat="1" x14ac:dyDescent="0.25">
      <c r="A308" s="121">
        <f t="shared" si="34"/>
        <v>17</v>
      </c>
      <c r="B308" s="121"/>
      <c r="C308" s="49">
        <v>1</v>
      </c>
      <c r="D308" s="56">
        <f t="shared" si="29"/>
        <v>322.48944</v>
      </c>
      <c r="E308" s="51">
        <v>0</v>
      </c>
      <c r="F308" s="51">
        <f t="shared" ref="F308" si="37">D308*(($F$179)+1)+(IF(E308&lt;101,E308,IF(E308&lt;201,E308/2,IF(E308&lt;=301,E308/3,E308/4))))</f>
        <v>499.858632</v>
      </c>
      <c r="G308" s="121"/>
      <c r="H308" s="121"/>
      <c r="I308" s="36"/>
      <c r="L308" s="126"/>
      <c r="M308" s="126"/>
      <c r="N308" s="36"/>
    </row>
    <row r="309" spans="1:14" s="67" customFormat="1" x14ac:dyDescent="0.25">
      <c r="A309" s="121">
        <f t="shared" si="34"/>
        <v>18</v>
      </c>
      <c r="B309" s="121"/>
      <c r="C309" s="49">
        <v>1</v>
      </c>
      <c r="D309" s="56">
        <f t="shared" si="29"/>
        <v>322.48944</v>
      </c>
      <c r="E309" s="51">
        <v>0</v>
      </c>
      <c r="F309" s="51">
        <f t="shared" si="36"/>
        <v>499.858632</v>
      </c>
      <c r="G309" s="121"/>
      <c r="H309" s="121"/>
      <c r="J309" s="36"/>
      <c r="L309" s="126"/>
      <c r="M309" s="126"/>
      <c r="N309" s="36"/>
    </row>
    <row r="310" spans="1:14" s="67" customFormat="1" x14ac:dyDescent="0.25">
      <c r="A310" s="121">
        <f t="shared" si="34"/>
        <v>19</v>
      </c>
      <c r="B310" s="121"/>
      <c r="C310" s="49">
        <v>1</v>
      </c>
      <c r="D310" s="56">
        <f t="shared" si="29"/>
        <v>322.48944</v>
      </c>
      <c r="E310" s="51">
        <v>0</v>
      </c>
      <c r="F310" s="51">
        <f t="shared" ref="F310" si="38">D310*(($F$179)+1)+(IF(E310&lt;101,E310,IF(E310&lt;201,E310/2,IF(E310&lt;=301,E310/3,E310/4))))</f>
        <v>499.858632</v>
      </c>
      <c r="G310" s="121"/>
      <c r="H310" s="121"/>
      <c r="I310" s="36">
        <f>3.05*3.43+2.05*1.48+2.85*2.9+1.07*1.53+1.33*0.6+1.38*0.6+1.05*1.83+1.22*1.05</f>
        <v>28.226099999999999</v>
      </c>
      <c r="L310" s="126"/>
      <c r="M310" s="126"/>
      <c r="N310" s="36"/>
    </row>
    <row r="311" spans="1:14" s="67" customFormat="1" x14ac:dyDescent="0.25">
      <c r="A311" s="112" t="s">
        <v>187</v>
      </c>
      <c r="B311" s="113"/>
      <c r="C311" s="113"/>
      <c r="D311" s="113"/>
      <c r="E311" s="113"/>
      <c r="F311" s="113"/>
      <c r="G311" s="113"/>
      <c r="H311" s="114"/>
      <c r="I311" s="36"/>
      <c r="L311" s="126"/>
      <c r="M311" s="126"/>
      <c r="N311" s="36"/>
    </row>
    <row r="312" spans="1:14" s="67" customFormat="1" x14ac:dyDescent="0.25">
      <c r="A312" s="110">
        <v>1</v>
      </c>
      <c r="B312" s="111"/>
      <c r="C312" s="49">
        <v>1</v>
      </c>
      <c r="D312" s="56">
        <f t="shared" si="29"/>
        <v>322.48944</v>
      </c>
      <c r="E312" s="51">
        <v>0</v>
      </c>
      <c r="F312" s="51">
        <f>D312*(($F$179)+1)+(IF(E312&lt;101,E312,IF(E312&lt;201,E312/2,IF(E312&lt;=301,E312/3,E312/4))))</f>
        <v>499.858632</v>
      </c>
      <c r="G312" s="115" t="str">
        <f>A311</f>
        <v>23rd Floor (24th Floor as per Builder) (Part Refuge Area)</v>
      </c>
      <c r="H312" s="116"/>
      <c r="I312" s="36"/>
      <c r="L312" s="126"/>
      <c r="M312" s="126"/>
      <c r="N312" s="36"/>
    </row>
    <row r="313" spans="1:14" s="67" customFormat="1" x14ac:dyDescent="0.25">
      <c r="A313" s="110">
        <f t="shared" ref="A313:A329" si="39">A312+1</f>
        <v>2</v>
      </c>
      <c r="B313" s="111"/>
      <c r="C313" s="49">
        <v>1</v>
      </c>
      <c r="D313" s="56">
        <f t="shared" si="29"/>
        <v>322.48944</v>
      </c>
      <c r="E313" s="51">
        <v>0</v>
      </c>
      <c r="F313" s="51">
        <f>D313*(($F$179)+1)+(IF(E313&lt;101,E313,IF(E313&lt;201,E313/2,IF(E313&lt;=301,E313/3,E313/4))))</f>
        <v>499.858632</v>
      </c>
      <c r="G313" s="117"/>
      <c r="H313" s="118"/>
      <c r="I313" s="36"/>
      <c r="L313" s="126"/>
      <c r="M313" s="126"/>
      <c r="N313" s="36"/>
    </row>
    <row r="314" spans="1:14" s="44" customFormat="1" x14ac:dyDescent="0.25">
      <c r="A314" s="110">
        <f t="shared" si="39"/>
        <v>3</v>
      </c>
      <c r="B314" s="111"/>
      <c r="C314" s="49">
        <v>1</v>
      </c>
      <c r="D314" s="56">
        <f t="shared" si="29"/>
        <v>322.48944</v>
      </c>
      <c r="E314" s="51">
        <v>0</v>
      </c>
      <c r="F314" s="51">
        <f t="shared" ref="F314:F320" si="40">D314*(($F$179)+1)+(IF(E314&lt;101,E314,IF(E314&lt;201,E314/2,IF(E314&lt;=301,E314/3,E314/4))))</f>
        <v>499.858632</v>
      </c>
      <c r="G314" s="117"/>
      <c r="H314" s="118"/>
      <c r="I314" s="36"/>
      <c r="J314" s="67"/>
    </row>
    <row r="315" spans="1:14" s="44" customFormat="1" x14ac:dyDescent="0.25">
      <c r="A315" s="110">
        <f t="shared" si="39"/>
        <v>4</v>
      </c>
      <c r="B315" s="111"/>
      <c r="C315" s="49">
        <v>1</v>
      </c>
      <c r="D315" s="56">
        <f t="shared" si="29"/>
        <v>322.48944</v>
      </c>
      <c r="E315" s="51">
        <v>0</v>
      </c>
      <c r="F315" s="51">
        <f t="shared" si="40"/>
        <v>499.858632</v>
      </c>
      <c r="G315" s="117"/>
      <c r="H315" s="118"/>
      <c r="I315" s="36"/>
      <c r="J315" s="67"/>
    </row>
    <row r="316" spans="1:14" s="44" customFormat="1" x14ac:dyDescent="0.25">
      <c r="A316" s="110">
        <f t="shared" si="39"/>
        <v>5</v>
      </c>
      <c r="B316" s="111"/>
      <c r="C316" s="49">
        <v>1</v>
      </c>
      <c r="D316" s="56">
        <f t="shared" si="29"/>
        <v>322.48944</v>
      </c>
      <c r="E316" s="51">
        <v>0</v>
      </c>
      <c r="F316" s="51">
        <f t="shared" si="40"/>
        <v>499.858632</v>
      </c>
      <c r="G316" s="117"/>
      <c r="H316" s="118"/>
      <c r="I316" s="36"/>
      <c r="J316" s="67"/>
    </row>
    <row r="317" spans="1:14" s="44" customFormat="1" ht="15.75" customHeight="1" x14ac:dyDescent="0.25">
      <c r="A317" s="110">
        <f t="shared" si="39"/>
        <v>6</v>
      </c>
      <c r="B317" s="111"/>
      <c r="C317" s="49">
        <v>1</v>
      </c>
      <c r="D317" s="56">
        <f t="shared" si="29"/>
        <v>322.48944</v>
      </c>
      <c r="E317" s="51">
        <v>0</v>
      </c>
      <c r="F317" s="51">
        <f t="shared" si="40"/>
        <v>499.858632</v>
      </c>
      <c r="G317" s="117"/>
      <c r="H317" s="118"/>
      <c r="I317" s="36"/>
      <c r="J317" s="67"/>
      <c r="L317" s="126"/>
      <c r="M317" s="126"/>
      <c r="N317" s="36"/>
    </row>
    <row r="318" spans="1:14" s="44" customFormat="1" x14ac:dyDescent="0.25">
      <c r="A318" s="110">
        <f t="shared" si="39"/>
        <v>7</v>
      </c>
      <c r="B318" s="111"/>
      <c r="C318" s="49">
        <v>1</v>
      </c>
      <c r="D318" s="56">
        <f t="shared" si="29"/>
        <v>322.48944</v>
      </c>
      <c r="E318" s="51">
        <v>0</v>
      </c>
      <c r="F318" s="51">
        <f t="shared" si="40"/>
        <v>499.858632</v>
      </c>
      <c r="G318" s="117"/>
      <c r="H318" s="118"/>
      <c r="I318" s="36"/>
      <c r="J318" s="67"/>
      <c r="L318" s="126"/>
      <c r="M318" s="126"/>
      <c r="N318" s="36"/>
    </row>
    <row r="319" spans="1:14" s="44" customFormat="1" x14ac:dyDescent="0.25">
      <c r="A319" s="110">
        <f t="shared" si="39"/>
        <v>8</v>
      </c>
      <c r="B319" s="111"/>
      <c r="C319" s="49">
        <v>1</v>
      </c>
      <c r="D319" s="56">
        <f t="shared" si="29"/>
        <v>322.48944</v>
      </c>
      <c r="E319" s="51">
        <v>0</v>
      </c>
      <c r="F319" s="51">
        <f t="shared" si="40"/>
        <v>499.858632</v>
      </c>
      <c r="G319" s="117"/>
      <c r="H319" s="118"/>
      <c r="I319" s="36"/>
      <c r="J319" s="67"/>
      <c r="L319" s="126"/>
      <c r="M319" s="126"/>
      <c r="N319" s="36"/>
    </row>
    <row r="320" spans="1:14" s="44" customFormat="1" x14ac:dyDescent="0.25">
      <c r="A320" s="110">
        <f t="shared" si="39"/>
        <v>9</v>
      </c>
      <c r="B320" s="111"/>
      <c r="C320" s="49">
        <v>1</v>
      </c>
      <c r="D320" s="56">
        <f t="shared" si="29"/>
        <v>322.48944</v>
      </c>
      <c r="E320" s="51">
        <v>0</v>
      </c>
      <c r="F320" s="51">
        <f t="shared" si="40"/>
        <v>499.858632</v>
      </c>
      <c r="G320" s="117"/>
      <c r="H320" s="118"/>
      <c r="I320" s="36"/>
      <c r="J320" s="67"/>
      <c r="L320" s="126"/>
      <c r="M320" s="126"/>
      <c r="N320" s="36"/>
    </row>
    <row r="321" spans="1:14" s="44" customFormat="1" x14ac:dyDescent="0.25">
      <c r="A321" s="110">
        <f t="shared" si="39"/>
        <v>10</v>
      </c>
      <c r="B321" s="111"/>
      <c r="C321" s="49">
        <v>1</v>
      </c>
      <c r="D321" s="56">
        <f t="shared" si="29"/>
        <v>322.48944</v>
      </c>
      <c r="E321" s="51">
        <v>0</v>
      </c>
      <c r="F321" s="51">
        <f>D321*(($F$179)+1)+(IF(E321&lt;101,E321,IF(E321&lt;201,E321/2,IF(E321&lt;=301,E321/3,E321/4))))</f>
        <v>499.858632</v>
      </c>
      <c r="G321" s="117"/>
      <c r="H321" s="118"/>
      <c r="I321" s="36"/>
      <c r="J321" s="67"/>
      <c r="L321" s="126"/>
      <c r="M321" s="126"/>
      <c r="N321" s="36"/>
    </row>
    <row r="322" spans="1:14" s="44" customFormat="1" x14ac:dyDescent="0.25">
      <c r="A322" s="110">
        <f t="shared" si="39"/>
        <v>11</v>
      </c>
      <c r="B322" s="111"/>
      <c r="C322" s="49">
        <v>1</v>
      </c>
      <c r="D322" s="56">
        <f t="shared" si="29"/>
        <v>322.48944</v>
      </c>
      <c r="E322" s="51">
        <v>0</v>
      </c>
      <c r="F322" s="51">
        <f>D322*(($F$179)+1)+(IF(E322&lt;101,E322,IF(E322&lt;201,E322/2,IF(E322&lt;=301,E322/3,E322/4))))</f>
        <v>499.858632</v>
      </c>
      <c r="G322" s="117"/>
      <c r="H322" s="118"/>
      <c r="I322" s="36"/>
      <c r="J322" s="67"/>
      <c r="L322" s="126"/>
      <c r="M322" s="126"/>
      <c r="N322" s="36"/>
    </row>
    <row r="323" spans="1:14" s="44" customFormat="1" x14ac:dyDescent="0.25">
      <c r="A323" s="110">
        <f t="shared" si="39"/>
        <v>12</v>
      </c>
      <c r="B323" s="111"/>
      <c r="C323" s="49" t="s">
        <v>203</v>
      </c>
      <c r="D323" s="56">
        <f>(43.71)*10.764</f>
        <v>470.49444</v>
      </c>
      <c r="E323" s="51">
        <v>0</v>
      </c>
      <c r="F323" s="51">
        <f t="shared" ref="F323:F329" si="41">D323*(($F$179)+1)+(IF(E323&lt;101,E323,IF(E323&lt;201,E323/2,IF(E323&lt;=301,E323/3,E323/4))))</f>
        <v>729.26638200000002</v>
      </c>
      <c r="G323" s="117"/>
      <c r="H323" s="118"/>
      <c r="I323" s="36"/>
      <c r="J323" s="67"/>
      <c r="L323" s="126"/>
      <c r="M323" s="126"/>
      <c r="N323" s="36"/>
    </row>
    <row r="324" spans="1:14" s="44" customFormat="1" x14ac:dyDescent="0.25">
      <c r="A324" s="175">
        <v>14</v>
      </c>
      <c r="B324" s="176"/>
      <c r="C324" s="177" t="s">
        <v>169</v>
      </c>
      <c r="D324" s="178"/>
      <c r="E324" s="178"/>
      <c r="F324" s="179"/>
      <c r="G324" s="117"/>
      <c r="H324" s="118"/>
      <c r="I324" s="36"/>
      <c r="J324" s="67"/>
      <c r="L324" s="126"/>
      <c r="M324" s="126"/>
    </row>
    <row r="325" spans="1:14" s="44" customFormat="1" ht="15.75" customHeight="1" x14ac:dyDescent="0.25">
      <c r="A325" s="110">
        <f t="shared" si="39"/>
        <v>15</v>
      </c>
      <c r="B325" s="111"/>
      <c r="C325" s="49">
        <v>1</v>
      </c>
      <c r="D325" s="56">
        <f t="shared" si="29"/>
        <v>322.48944</v>
      </c>
      <c r="E325" s="51">
        <v>0</v>
      </c>
      <c r="F325" s="51">
        <f t="shared" si="41"/>
        <v>499.858632</v>
      </c>
      <c r="G325" s="117"/>
      <c r="H325" s="118"/>
      <c r="I325" s="36"/>
      <c r="J325" s="67"/>
      <c r="N325" s="36"/>
    </row>
    <row r="326" spans="1:14" s="44" customFormat="1" x14ac:dyDescent="0.25">
      <c r="A326" s="110">
        <f t="shared" si="39"/>
        <v>16</v>
      </c>
      <c r="B326" s="111"/>
      <c r="C326" s="49">
        <v>1</v>
      </c>
      <c r="D326" s="56">
        <f t="shared" si="29"/>
        <v>322.48944</v>
      </c>
      <c r="E326" s="51">
        <v>0</v>
      </c>
      <c r="F326" s="51">
        <f t="shared" si="41"/>
        <v>499.858632</v>
      </c>
      <c r="G326" s="117"/>
      <c r="H326" s="118"/>
      <c r="I326" s="36"/>
      <c r="J326" s="67"/>
      <c r="L326" s="50"/>
      <c r="N326" s="36"/>
    </row>
    <row r="327" spans="1:14" s="44" customFormat="1" x14ac:dyDescent="0.25">
      <c r="A327" s="110">
        <f t="shared" si="39"/>
        <v>17</v>
      </c>
      <c r="B327" s="111"/>
      <c r="C327" s="49">
        <v>1</v>
      </c>
      <c r="D327" s="56">
        <f t="shared" si="29"/>
        <v>322.48944</v>
      </c>
      <c r="E327" s="51">
        <v>0</v>
      </c>
      <c r="F327" s="51">
        <f t="shared" si="41"/>
        <v>499.858632</v>
      </c>
      <c r="G327" s="117"/>
      <c r="H327" s="118"/>
      <c r="I327" s="36"/>
      <c r="J327" s="67"/>
      <c r="N327" s="36"/>
    </row>
    <row r="328" spans="1:14" s="76" customFormat="1" x14ac:dyDescent="0.25">
      <c r="A328" s="110">
        <f t="shared" si="39"/>
        <v>18</v>
      </c>
      <c r="B328" s="111"/>
      <c r="C328" s="49">
        <v>1</v>
      </c>
      <c r="D328" s="56">
        <f t="shared" si="29"/>
        <v>322.48944</v>
      </c>
      <c r="E328" s="51">
        <v>0</v>
      </c>
      <c r="F328" s="51">
        <f t="shared" si="41"/>
        <v>499.858632</v>
      </c>
      <c r="G328" s="117"/>
      <c r="H328" s="118"/>
      <c r="I328" s="36"/>
      <c r="N328" s="36"/>
    </row>
    <row r="329" spans="1:14" s="76" customFormat="1" x14ac:dyDescent="0.25">
      <c r="A329" s="110">
        <f t="shared" si="39"/>
        <v>19</v>
      </c>
      <c r="B329" s="111"/>
      <c r="C329" s="49">
        <v>1</v>
      </c>
      <c r="D329" s="56">
        <f t="shared" si="29"/>
        <v>322.48944</v>
      </c>
      <c r="E329" s="51">
        <v>0</v>
      </c>
      <c r="F329" s="51">
        <f t="shared" si="41"/>
        <v>499.858632</v>
      </c>
      <c r="G329" s="119"/>
      <c r="H329" s="120"/>
      <c r="I329" s="36"/>
      <c r="N329" s="36"/>
    </row>
    <row r="330" spans="1:14" s="76" customFormat="1" ht="15.75" customHeight="1" x14ac:dyDescent="0.25">
      <c r="A330" s="130" t="s">
        <v>238</v>
      </c>
      <c r="B330" s="131"/>
      <c r="C330" s="131"/>
      <c r="D330" s="131"/>
      <c r="E330" s="131"/>
      <c r="F330" s="131"/>
      <c r="G330" s="131"/>
      <c r="H330" s="132"/>
      <c r="I330" s="36">
        <f>3.05*3.15+2.2*2.32+2.13*2.17+2.75*3.05+1.38*0.6+2.75*3.05+1.32*0.6+1.38*2.27+1.38*2.27+1.22*1.53</f>
        <v>45.860399999999991</v>
      </c>
      <c r="N330" s="36"/>
    </row>
    <row r="331" spans="1:14" s="76" customFormat="1" x14ac:dyDescent="0.25">
      <c r="A331" s="130" t="s">
        <v>240</v>
      </c>
      <c r="B331" s="131"/>
      <c r="C331" s="131"/>
      <c r="D331" s="131"/>
      <c r="E331" s="131"/>
      <c r="F331" s="131"/>
      <c r="G331" s="131"/>
      <c r="H331" s="131"/>
      <c r="I331" s="36"/>
      <c r="N331" s="36"/>
    </row>
    <row r="332" spans="1:14" s="76" customFormat="1" x14ac:dyDescent="0.25">
      <c r="A332" s="98">
        <v>1</v>
      </c>
      <c r="B332" s="98"/>
      <c r="C332" s="54">
        <v>2</v>
      </c>
      <c r="D332" s="56">
        <f>(49.3)*10.764</f>
        <v>530.66519999999991</v>
      </c>
      <c r="E332" s="90">
        <v>0</v>
      </c>
      <c r="F332" s="90">
        <f>D332*(($F$179)+1)+(IF(E332&lt;101,E332,IF(E332&lt;201,E332/2,IF(E332&lt;=301,E332/3,E332/4))))</f>
        <v>822.53105999999991</v>
      </c>
      <c r="G332" s="98" t="str">
        <f>A331</f>
        <v>Ground Floor For Residential &amp; (Part Meter Room, Society Office &amp; Parking Area)</v>
      </c>
      <c r="H332" s="98"/>
      <c r="I332" s="36"/>
      <c r="N332" s="36"/>
    </row>
    <row r="333" spans="1:14" s="76" customFormat="1" x14ac:dyDescent="0.25">
      <c r="A333" s="98">
        <f t="shared" ref="A333:A344" si="42">A332+1</f>
        <v>2</v>
      </c>
      <c r="B333" s="98"/>
      <c r="C333" s="54">
        <v>2</v>
      </c>
      <c r="D333" s="56">
        <f>(49.3)*10.764</f>
        <v>530.66519999999991</v>
      </c>
      <c r="E333" s="90">
        <v>0</v>
      </c>
      <c r="F333" s="90">
        <f>D333*(($F$179)+1)+(IF(E333&lt;101,E333,IF(E333&lt;201,E333/2,IF(E333&lt;=301,E333/3,E333/4))))</f>
        <v>822.53105999999991</v>
      </c>
      <c r="G333" s="98"/>
      <c r="H333" s="98"/>
      <c r="I333" s="36"/>
      <c r="N333" s="36"/>
    </row>
    <row r="334" spans="1:14" s="76" customFormat="1" ht="15.75" customHeight="1" x14ac:dyDescent="0.25">
      <c r="A334" s="98">
        <f t="shared" si="42"/>
        <v>3</v>
      </c>
      <c r="B334" s="98"/>
      <c r="C334" s="54">
        <v>2</v>
      </c>
      <c r="D334" s="56">
        <f>(49.3)*10.764</f>
        <v>530.66519999999991</v>
      </c>
      <c r="E334" s="90">
        <v>0</v>
      </c>
      <c r="F334" s="90">
        <f>D334*(($F$179)+1)+(IF(E334&lt;101,E334,IF(E334&lt;201,E334/2,IF(E334&lt;=301,E334/3,E334/4))))</f>
        <v>822.53105999999991</v>
      </c>
      <c r="G334" s="98"/>
      <c r="H334" s="98"/>
      <c r="I334" s="36"/>
      <c r="N334" s="36"/>
    </row>
    <row r="335" spans="1:14" s="76" customFormat="1" x14ac:dyDescent="0.25">
      <c r="A335" s="98">
        <f t="shared" si="42"/>
        <v>4</v>
      </c>
      <c r="B335" s="98"/>
      <c r="C335" s="287" t="s">
        <v>246</v>
      </c>
      <c r="D335" s="287"/>
      <c r="E335" s="287"/>
      <c r="F335" s="287"/>
      <c r="G335" s="98"/>
      <c r="H335" s="98"/>
      <c r="I335" s="36"/>
      <c r="N335" s="36"/>
    </row>
    <row r="336" spans="1:14" s="76" customFormat="1" x14ac:dyDescent="0.25">
      <c r="A336" s="98">
        <v>5</v>
      </c>
      <c r="B336" s="98"/>
      <c r="C336" s="109" t="s">
        <v>239</v>
      </c>
      <c r="D336" s="109"/>
      <c r="E336" s="109"/>
      <c r="F336" s="109"/>
      <c r="G336" s="98"/>
      <c r="H336" s="98"/>
      <c r="I336" s="36"/>
      <c r="N336" s="36"/>
    </row>
    <row r="337" spans="1:14" s="76" customFormat="1" x14ac:dyDescent="0.25">
      <c r="A337" s="98">
        <f t="shared" si="42"/>
        <v>6</v>
      </c>
      <c r="B337" s="98"/>
      <c r="C337" s="109"/>
      <c r="D337" s="109"/>
      <c r="E337" s="109"/>
      <c r="F337" s="109"/>
      <c r="G337" s="98"/>
      <c r="H337" s="98"/>
      <c r="I337" s="36"/>
      <c r="N337" s="36"/>
    </row>
    <row r="338" spans="1:14" s="76" customFormat="1" x14ac:dyDescent="0.25">
      <c r="A338" s="98">
        <f t="shared" si="42"/>
        <v>7</v>
      </c>
      <c r="B338" s="98"/>
      <c r="C338" s="54">
        <v>2</v>
      </c>
      <c r="D338" s="56">
        <f>(49.3)*10.764</f>
        <v>530.66519999999991</v>
      </c>
      <c r="E338" s="90">
        <v>0</v>
      </c>
      <c r="F338" s="90">
        <f t="shared" ref="F338:F340" si="43">D338*(($F$179)+1)+(IF(E338&lt;101,E338,IF(E338&lt;201,E338/2,IF(E338&lt;=301,E338/3,E338/4))))</f>
        <v>822.53105999999991</v>
      </c>
      <c r="G338" s="98"/>
      <c r="H338" s="98"/>
      <c r="I338" s="36"/>
      <c r="N338" s="36"/>
    </row>
    <row r="339" spans="1:14" s="76" customFormat="1" x14ac:dyDescent="0.25">
      <c r="A339" s="98">
        <f t="shared" si="42"/>
        <v>8</v>
      </c>
      <c r="B339" s="98"/>
      <c r="C339" s="54">
        <v>2</v>
      </c>
      <c r="D339" s="56">
        <f>(49.3)*10.764</f>
        <v>530.66519999999991</v>
      </c>
      <c r="E339" s="90">
        <v>0</v>
      </c>
      <c r="F339" s="90">
        <f t="shared" si="43"/>
        <v>822.53105999999991</v>
      </c>
      <c r="G339" s="98"/>
      <c r="H339" s="98"/>
      <c r="I339" s="36"/>
      <c r="N339" s="36"/>
    </row>
    <row r="340" spans="1:14" s="44" customFormat="1" x14ac:dyDescent="0.25">
      <c r="A340" s="98">
        <f t="shared" si="42"/>
        <v>9</v>
      </c>
      <c r="B340" s="98"/>
      <c r="C340" s="54">
        <v>2</v>
      </c>
      <c r="D340" s="56">
        <f>(49.3)*10.764</f>
        <v>530.66519999999991</v>
      </c>
      <c r="E340" s="90">
        <v>0</v>
      </c>
      <c r="F340" s="90">
        <f t="shared" si="43"/>
        <v>822.53105999999991</v>
      </c>
      <c r="G340" s="98"/>
      <c r="H340" s="98"/>
      <c r="I340" s="56">
        <v>10.763999999999999</v>
      </c>
      <c r="J340" s="36"/>
      <c r="N340" s="36"/>
    </row>
    <row r="341" spans="1:14" s="44" customFormat="1" x14ac:dyDescent="0.25">
      <c r="A341" s="98" t="s">
        <v>261</v>
      </c>
      <c r="B341" s="98"/>
      <c r="C341" s="288" t="s">
        <v>262</v>
      </c>
      <c r="D341" s="288"/>
      <c r="E341" s="288"/>
      <c r="F341" s="288"/>
      <c r="G341" s="98"/>
      <c r="H341" s="98"/>
      <c r="I341" s="36"/>
      <c r="J341" s="36"/>
      <c r="N341" s="36"/>
    </row>
    <row r="342" spans="1:14" s="44" customFormat="1" x14ac:dyDescent="0.25">
      <c r="A342" s="98">
        <v>10</v>
      </c>
      <c r="B342" s="98"/>
      <c r="C342" s="54">
        <v>2</v>
      </c>
      <c r="D342" s="56">
        <f>(49.3)*10.764</f>
        <v>530.66519999999991</v>
      </c>
      <c r="E342" s="90">
        <v>0</v>
      </c>
      <c r="F342" s="90">
        <f t="shared" ref="F342" si="44">D342*(($F$179)+1)+(IF(E342&lt;101,E342,IF(E342&lt;201,E342/2,IF(E342&lt;=301,E342/3,E342/4))))</f>
        <v>822.53105999999991</v>
      </c>
      <c r="G342" s="98"/>
      <c r="H342" s="98"/>
      <c r="J342" s="36"/>
      <c r="N342" s="36"/>
    </row>
    <row r="343" spans="1:14" s="44" customFormat="1" x14ac:dyDescent="0.25">
      <c r="A343" s="98">
        <f t="shared" si="42"/>
        <v>11</v>
      </c>
      <c r="B343" s="98"/>
      <c r="C343" s="54">
        <v>2</v>
      </c>
      <c r="D343" s="56">
        <f>(49.3)*10.764</f>
        <v>530.66519999999991</v>
      </c>
      <c r="E343" s="90">
        <v>0</v>
      </c>
      <c r="F343" s="90">
        <f>D343*(($F$179)+1)+(IF(E343&lt;101,E343,IF(E343&lt;201,E343/2,IF(E343&lt;=301,E343/3,E343/4))))</f>
        <v>822.53105999999991</v>
      </c>
      <c r="G343" s="98"/>
      <c r="H343" s="98"/>
      <c r="I343" s="36"/>
      <c r="N343" s="36"/>
    </row>
    <row r="344" spans="1:14" s="44" customFormat="1" ht="15.75" customHeight="1" x14ac:dyDescent="0.25">
      <c r="A344" s="98">
        <f t="shared" si="42"/>
        <v>12</v>
      </c>
      <c r="B344" s="98"/>
      <c r="C344" s="54">
        <v>2</v>
      </c>
      <c r="D344" s="56">
        <f>(49.3)*10.764</f>
        <v>530.66519999999991</v>
      </c>
      <c r="E344" s="90">
        <v>0</v>
      </c>
      <c r="F344" s="90">
        <f>D344*(($F$179)+1)+(IF(E344&lt;101,E344,IF(E344&lt;201,E344/2,IF(E344&lt;=301,E344/3,E344/4))))</f>
        <v>822.53105999999991</v>
      </c>
      <c r="G344" s="98"/>
      <c r="H344" s="98"/>
      <c r="I344" s="36">
        <f>9300000/F401</f>
        <v>11371.146489022067</v>
      </c>
      <c r="L344" s="50"/>
      <c r="N344" s="36"/>
    </row>
    <row r="345" spans="1:14" s="76" customFormat="1" x14ac:dyDescent="0.25">
      <c r="A345" s="98" t="s">
        <v>261</v>
      </c>
      <c r="B345" s="98"/>
      <c r="C345" s="288" t="s">
        <v>263</v>
      </c>
      <c r="D345" s="288"/>
      <c r="E345" s="288"/>
      <c r="F345" s="288"/>
      <c r="G345" s="98"/>
      <c r="H345" s="98"/>
      <c r="I345" s="36"/>
      <c r="L345" s="50"/>
      <c r="N345" s="36"/>
    </row>
    <row r="346" spans="1:14" s="44" customFormat="1" x14ac:dyDescent="0.25">
      <c r="A346" s="98">
        <v>13</v>
      </c>
      <c r="B346" s="98"/>
      <c r="C346" s="54">
        <v>2</v>
      </c>
      <c r="D346" s="56">
        <f>(49.3)*10.764</f>
        <v>530.66519999999991</v>
      </c>
      <c r="E346" s="90">
        <v>0</v>
      </c>
      <c r="F346" s="90">
        <f t="shared" ref="F346" si="45">D346*(($F$179)+1)+(IF(E346&lt;101,E346,IF(E346&lt;201,E346/2,IF(E346&lt;=301,E346/3,E346/4))))</f>
        <v>822.53105999999991</v>
      </c>
      <c r="G346" s="98"/>
      <c r="H346" s="98"/>
      <c r="I346" s="36"/>
      <c r="N346" s="36"/>
    </row>
    <row r="347" spans="1:14" s="85" customFormat="1" ht="52.5" customHeight="1" x14ac:dyDescent="0.25">
      <c r="A347" s="152" t="s">
        <v>185</v>
      </c>
      <c r="B347" s="152"/>
      <c r="C347" s="152"/>
      <c r="D347" s="152"/>
      <c r="E347" s="152"/>
      <c r="F347" s="152"/>
      <c r="G347" s="152"/>
      <c r="H347" s="152"/>
      <c r="I347" s="36"/>
      <c r="L347" s="126"/>
      <c r="M347" s="126"/>
      <c r="N347" s="36"/>
    </row>
    <row r="348" spans="1:14" s="85" customFormat="1" x14ac:dyDescent="0.25">
      <c r="A348" s="110">
        <v>1</v>
      </c>
      <c r="B348" s="111"/>
      <c r="C348" s="54">
        <v>2</v>
      </c>
      <c r="D348" s="56">
        <f t="shared" ref="D348:D396" si="46">(49.3)*10.764</f>
        <v>530.66519999999991</v>
      </c>
      <c r="E348" s="51">
        <v>0</v>
      </c>
      <c r="F348" s="51">
        <f>D348*(($F$179)+1)+(IF(E348&lt;101,E348,IF(E348&lt;201,E348/2,IF(E348&lt;=301,E348/3,E348/4))))</f>
        <v>822.53105999999991</v>
      </c>
      <c r="G348" s="99" t="str">
        <f>A347</f>
        <v>1st to 7th Floor, 9th to 12th Floor,
14th to 17th (15th to 18th Floor as per Builder),
19th to 22nd Floor (20th to 23rd Floor as per Builder)</v>
      </c>
      <c r="H348" s="100"/>
      <c r="I348" s="36"/>
      <c r="L348" s="126"/>
      <c r="M348" s="126"/>
      <c r="N348" s="36"/>
    </row>
    <row r="349" spans="1:14" s="85" customFormat="1" x14ac:dyDescent="0.25">
      <c r="A349" s="110">
        <f t="shared" ref="A349:A362" si="47">A348+1</f>
        <v>2</v>
      </c>
      <c r="B349" s="111"/>
      <c r="C349" s="54">
        <v>2</v>
      </c>
      <c r="D349" s="56">
        <f t="shared" si="46"/>
        <v>530.66519999999991</v>
      </c>
      <c r="E349" s="51">
        <v>0</v>
      </c>
      <c r="F349" s="51">
        <f>D349*(($F$179)+1)+(IF(E349&lt;101,E349,IF(E349&lt;201,E349/2,IF(E349&lt;=301,E349/3,E349/4))))</f>
        <v>822.53105999999991</v>
      </c>
      <c r="G349" s="101"/>
      <c r="H349" s="102"/>
      <c r="I349" s="36"/>
      <c r="L349" s="126"/>
      <c r="M349" s="126"/>
      <c r="N349" s="36"/>
    </row>
    <row r="350" spans="1:14" s="85" customFormat="1" x14ac:dyDescent="0.25">
      <c r="A350" s="110">
        <f t="shared" si="47"/>
        <v>3</v>
      </c>
      <c r="B350" s="111"/>
      <c r="C350" s="54">
        <v>2</v>
      </c>
      <c r="D350" s="56">
        <f t="shared" si="46"/>
        <v>530.66519999999991</v>
      </c>
      <c r="E350" s="51">
        <v>0</v>
      </c>
      <c r="F350" s="51">
        <f t="shared" ref="F350:F356" si="48">D350*(($F$179)+1)+(IF(E350&lt;101,E350,IF(E350&lt;201,E350/2,IF(E350&lt;=301,E350/3,E350/4))))</f>
        <v>822.53105999999991</v>
      </c>
      <c r="G350" s="101"/>
      <c r="H350" s="102"/>
      <c r="I350" s="36"/>
    </row>
    <row r="351" spans="1:14" s="85" customFormat="1" ht="15.75" customHeight="1" x14ac:dyDescent="0.25">
      <c r="A351" s="110">
        <f t="shared" si="47"/>
        <v>4</v>
      </c>
      <c r="B351" s="111"/>
      <c r="C351" s="54">
        <v>2</v>
      </c>
      <c r="D351" s="56">
        <f t="shared" si="46"/>
        <v>530.66519999999991</v>
      </c>
      <c r="E351" s="51">
        <v>0</v>
      </c>
      <c r="F351" s="51">
        <f t="shared" si="48"/>
        <v>822.53105999999991</v>
      </c>
      <c r="G351" s="101"/>
      <c r="H351" s="102"/>
      <c r="I351" s="36"/>
      <c r="L351" s="126"/>
      <c r="M351" s="126"/>
      <c r="N351" s="36"/>
    </row>
    <row r="352" spans="1:14" s="85" customFormat="1" x14ac:dyDescent="0.25">
      <c r="A352" s="110">
        <f t="shared" si="47"/>
        <v>5</v>
      </c>
      <c r="B352" s="111"/>
      <c r="C352" s="54">
        <v>2</v>
      </c>
      <c r="D352" s="56">
        <f t="shared" si="46"/>
        <v>530.66519999999991</v>
      </c>
      <c r="E352" s="51">
        <v>0</v>
      </c>
      <c r="F352" s="51">
        <f t="shared" si="48"/>
        <v>822.53105999999991</v>
      </c>
      <c r="G352" s="101"/>
      <c r="H352" s="102"/>
      <c r="I352" s="36"/>
      <c r="L352" s="126"/>
      <c r="M352" s="126"/>
      <c r="N352" s="36"/>
    </row>
    <row r="353" spans="1:14" s="85" customFormat="1" x14ac:dyDescent="0.25">
      <c r="A353" s="110">
        <f t="shared" si="47"/>
        <v>6</v>
      </c>
      <c r="B353" s="111"/>
      <c r="C353" s="54">
        <v>2</v>
      </c>
      <c r="D353" s="56">
        <f t="shared" si="46"/>
        <v>530.66519999999991</v>
      </c>
      <c r="E353" s="51">
        <v>0</v>
      </c>
      <c r="F353" s="51">
        <f t="shared" si="48"/>
        <v>822.53105999999991</v>
      </c>
      <c r="G353" s="101"/>
      <c r="H353" s="102"/>
      <c r="I353" s="36"/>
      <c r="L353" s="126"/>
      <c r="M353" s="126"/>
      <c r="N353" s="36"/>
    </row>
    <row r="354" spans="1:14" s="85" customFormat="1" x14ac:dyDescent="0.25">
      <c r="A354" s="110">
        <f t="shared" si="47"/>
        <v>7</v>
      </c>
      <c r="B354" s="111"/>
      <c r="C354" s="54">
        <v>2</v>
      </c>
      <c r="D354" s="56">
        <f t="shared" si="46"/>
        <v>530.66519999999991</v>
      </c>
      <c r="E354" s="51">
        <v>0</v>
      </c>
      <c r="F354" s="51">
        <f t="shared" si="48"/>
        <v>822.53105999999991</v>
      </c>
      <c r="G354" s="101"/>
      <c r="H354" s="102"/>
      <c r="I354" s="36"/>
      <c r="L354" s="126"/>
      <c r="M354" s="126"/>
      <c r="N354" s="36"/>
    </row>
    <row r="355" spans="1:14" s="85" customFormat="1" x14ac:dyDescent="0.25">
      <c r="A355" s="110">
        <f t="shared" si="47"/>
        <v>8</v>
      </c>
      <c r="B355" s="111"/>
      <c r="C355" s="54">
        <v>2</v>
      </c>
      <c r="D355" s="56">
        <f t="shared" si="46"/>
        <v>530.66519999999991</v>
      </c>
      <c r="E355" s="51">
        <v>0</v>
      </c>
      <c r="F355" s="51">
        <f t="shared" si="48"/>
        <v>822.53105999999991</v>
      </c>
      <c r="G355" s="101"/>
      <c r="H355" s="102"/>
      <c r="I355" s="36"/>
      <c r="L355" s="126"/>
      <c r="M355" s="126"/>
      <c r="N355" s="36"/>
    </row>
    <row r="356" spans="1:14" s="85" customFormat="1" x14ac:dyDescent="0.25">
      <c r="A356" s="110">
        <f t="shared" si="47"/>
        <v>9</v>
      </c>
      <c r="B356" s="111"/>
      <c r="C356" s="54">
        <v>2</v>
      </c>
      <c r="D356" s="56">
        <f t="shared" si="46"/>
        <v>530.66519999999991</v>
      </c>
      <c r="E356" s="51">
        <v>0</v>
      </c>
      <c r="F356" s="51">
        <f t="shared" si="48"/>
        <v>822.53105999999991</v>
      </c>
      <c r="G356" s="101"/>
      <c r="H356" s="102"/>
      <c r="I356" s="36"/>
      <c r="L356" s="126"/>
      <c r="M356" s="126"/>
      <c r="N356" s="36"/>
    </row>
    <row r="357" spans="1:14" s="85" customFormat="1" x14ac:dyDescent="0.25">
      <c r="A357" s="110">
        <f t="shared" si="47"/>
        <v>10</v>
      </c>
      <c r="B357" s="111"/>
      <c r="C357" s="54">
        <v>2</v>
      </c>
      <c r="D357" s="56">
        <f t="shared" si="46"/>
        <v>530.66519999999991</v>
      </c>
      <c r="E357" s="51">
        <v>0</v>
      </c>
      <c r="F357" s="51">
        <f>D357*(($F$179)+1)+(IF(E357&lt;101,E357,IF(E357&lt;201,E357/2,IF(E357&lt;=301,E357/3,E357/4))))</f>
        <v>822.53105999999991</v>
      </c>
      <c r="G357" s="101"/>
      <c r="H357" s="102"/>
      <c r="I357" s="36"/>
      <c r="L357" s="126"/>
      <c r="M357" s="126"/>
      <c r="N357" s="36"/>
    </row>
    <row r="358" spans="1:14" s="85" customFormat="1" x14ac:dyDescent="0.25">
      <c r="A358" s="110">
        <f t="shared" si="47"/>
        <v>11</v>
      </c>
      <c r="B358" s="111"/>
      <c r="C358" s="54">
        <v>2</v>
      </c>
      <c r="D358" s="56">
        <f t="shared" si="46"/>
        <v>530.66519999999991</v>
      </c>
      <c r="E358" s="51">
        <v>0</v>
      </c>
      <c r="F358" s="51">
        <f>D358*(($F$179)+1)+(IF(E358&lt;101,E358,IF(E358&lt;201,E358/2,IF(E358&lt;=301,E358/3,E358/4))))</f>
        <v>822.53105999999991</v>
      </c>
      <c r="G358" s="101"/>
      <c r="H358" s="102"/>
      <c r="I358" s="36"/>
      <c r="L358" s="126"/>
      <c r="M358" s="126"/>
      <c r="N358" s="36"/>
    </row>
    <row r="359" spans="1:14" s="85" customFormat="1" x14ac:dyDescent="0.25">
      <c r="A359" s="110">
        <f t="shared" si="47"/>
        <v>12</v>
      </c>
      <c r="B359" s="111"/>
      <c r="C359" s="54">
        <v>2</v>
      </c>
      <c r="D359" s="56">
        <f t="shared" si="46"/>
        <v>530.66519999999991</v>
      </c>
      <c r="E359" s="51">
        <v>0</v>
      </c>
      <c r="F359" s="51">
        <f t="shared" ref="F359:F362" si="49">D359*(($F$179)+1)+(IF(E359&lt;101,E359,IF(E359&lt;201,E359/2,IF(E359&lt;=301,E359/3,E359/4))))</f>
        <v>822.53105999999991</v>
      </c>
      <c r="G359" s="101"/>
      <c r="H359" s="102"/>
      <c r="I359" s="36"/>
      <c r="L359" s="126"/>
      <c r="M359" s="126"/>
      <c r="N359" s="36"/>
    </row>
    <row r="360" spans="1:14" s="85" customFormat="1" ht="15.75" customHeight="1" x14ac:dyDescent="0.25">
      <c r="A360" s="110">
        <v>14</v>
      </c>
      <c r="B360" s="111"/>
      <c r="C360" s="54">
        <v>2</v>
      </c>
      <c r="D360" s="56">
        <f t="shared" si="46"/>
        <v>530.66519999999991</v>
      </c>
      <c r="E360" s="51">
        <v>0</v>
      </c>
      <c r="F360" s="51">
        <f t="shared" si="49"/>
        <v>822.53105999999991</v>
      </c>
      <c r="G360" s="101"/>
      <c r="H360" s="102"/>
      <c r="I360" s="36"/>
      <c r="L360" s="126"/>
      <c r="M360" s="126"/>
      <c r="N360" s="36"/>
    </row>
    <row r="361" spans="1:14" s="85" customFormat="1" x14ac:dyDescent="0.25">
      <c r="A361" s="110">
        <f t="shared" si="47"/>
        <v>15</v>
      </c>
      <c r="B361" s="111"/>
      <c r="C361" s="54">
        <v>2</v>
      </c>
      <c r="D361" s="56">
        <f t="shared" si="46"/>
        <v>530.66519999999991</v>
      </c>
      <c r="E361" s="51">
        <v>0</v>
      </c>
      <c r="F361" s="51">
        <f t="shared" si="49"/>
        <v>822.53105999999991</v>
      </c>
      <c r="G361" s="101"/>
      <c r="H361" s="102"/>
      <c r="I361" s="36"/>
      <c r="L361" s="126"/>
      <c r="M361" s="126"/>
      <c r="N361" s="36"/>
    </row>
    <row r="362" spans="1:14" s="85" customFormat="1" x14ac:dyDescent="0.25">
      <c r="A362" s="110">
        <f t="shared" si="47"/>
        <v>16</v>
      </c>
      <c r="B362" s="111"/>
      <c r="C362" s="54">
        <v>2</v>
      </c>
      <c r="D362" s="56">
        <f t="shared" si="46"/>
        <v>530.66519999999991</v>
      </c>
      <c r="E362" s="51">
        <v>0</v>
      </c>
      <c r="F362" s="51">
        <f t="shared" si="49"/>
        <v>822.53105999999991</v>
      </c>
      <c r="G362" s="103"/>
      <c r="H362" s="104"/>
      <c r="I362" s="36"/>
      <c r="L362" s="126"/>
      <c r="M362" s="126"/>
      <c r="N362" s="36"/>
    </row>
    <row r="363" spans="1:14" s="85" customFormat="1" ht="52.5" customHeight="1" x14ac:dyDescent="0.25">
      <c r="A363" s="112" t="s">
        <v>186</v>
      </c>
      <c r="B363" s="113"/>
      <c r="C363" s="113"/>
      <c r="D363" s="113"/>
      <c r="E363" s="113"/>
      <c r="F363" s="113"/>
      <c r="G363" s="113"/>
      <c r="H363" s="114"/>
      <c r="I363" s="36"/>
      <c r="L363" s="126"/>
      <c r="M363" s="126"/>
      <c r="N363" s="36"/>
    </row>
    <row r="364" spans="1:14" s="85" customFormat="1" x14ac:dyDescent="0.25">
      <c r="A364" s="110">
        <v>1</v>
      </c>
      <c r="B364" s="111"/>
      <c r="C364" s="54">
        <v>2</v>
      </c>
      <c r="D364" s="56">
        <f t="shared" si="46"/>
        <v>530.66519999999991</v>
      </c>
      <c r="E364" s="51">
        <v>0</v>
      </c>
      <c r="F364" s="51">
        <f>D364*(($F$179)+1)+(IF(E364&lt;101,E364,IF(E364&lt;201,E364/2,IF(E364&lt;=301,E364/3,E364/4))))</f>
        <v>822.53105999999991</v>
      </c>
      <c r="G364" s="99" t="str">
        <f>A363</f>
        <v>8th Floor,
13th &amp; 18th Floor (14th &amp; 19th Floor as per builder)
(Part Refuge Area)</v>
      </c>
      <c r="H364" s="100"/>
      <c r="I364" s="36"/>
      <c r="L364" s="126"/>
      <c r="M364" s="126"/>
      <c r="N364" s="36"/>
    </row>
    <row r="365" spans="1:14" s="85" customFormat="1" x14ac:dyDescent="0.25">
      <c r="A365" s="110">
        <f t="shared" ref="A365:A379" si="50">A364+1</f>
        <v>2</v>
      </c>
      <c r="B365" s="111"/>
      <c r="C365" s="54">
        <v>2</v>
      </c>
      <c r="D365" s="56">
        <f t="shared" si="46"/>
        <v>530.66519999999991</v>
      </c>
      <c r="E365" s="51">
        <v>0</v>
      </c>
      <c r="F365" s="51">
        <f>D365*(($F$179)+1)+(IF(E365&lt;101,E365,IF(E365&lt;201,E365/2,IF(E365&lt;=301,E365/3,E365/4))))</f>
        <v>822.53105999999991</v>
      </c>
      <c r="G365" s="101"/>
      <c r="H365" s="102"/>
      <c r="I365" s="36"/>
      <c r="L365" s="126"/>
      <c r="M365" s="126"/>
      <c r="N365" s="36"/>
    </row>
    <row r="366" spans="1:14" s="85" customFormat="1" x14ac:dyDescent="0.25">
      <c r="A366" s="110">
        <f t="shared" si="50"/>
        <v>3</v>
      </c>
      <c r="B366" s="111"/>
      <c r="C366" s="54">
        <v>2</v>
      </c>
      <c r="D366" s="56">
        <f t="shared" si="46"/>
        <v>530.66519999999991</v>
      </c>
      <c r="E366" s="51">
        <v>0</v>
      </c>
      <c r="F366" s="51">
        <f t="shared" ref="F366:F372" si="51">D366*(($F$179)+1)+(IF(E366&lt;101,E366,IF(E366&lt;201,E366/2,IF(E366&lt;=301,E366/3,E366/4))))</f>
        <v>822.53105999999991</v>
      </c>
      <c r="G366" s="101"/>
      <c r="H366" s="102"/>
      <c r="I366" s="36"/>
    </row>
    <row r="367" spans="1:14" s="85" customFormat="1" ht="15.75" customHeight="1" x14ac:dyDescent="0.25">
      <c r="A367" s="110">
        <f t="shared" si="50"/>
        <v>4</v>
      </c>
      <c r="B367" s="111"/>
      <c r="C367" s="54">
        <v>2</v>
      </c>
      <c r="D367" s="56">
        <f t="shared" si="46"/>
        <v>530.66519999999991</v>
      </c>
      <c r="E367" s="51">
        <v>0</v>
      </c>
      <c r="F367" s="51">
        <f t="shared" si="51"/>
        <v>822.53105999999991</v>
      </c>
      <c r="G367" s="101"/>
      <c r="H367" s="102"/>
      <c r="I367" s="36"/>
      <c r="L367" s="126"/>
      <c r="M367" s="126"/>
      <c r="N367" s="36"/>
    </row>
    <row r="368" spans="1:14" s="85" customFormat="1" x14ac:dyDescent="0.25">
      <c r="A368" s="110">
        <f t="shared" si="50"/>
        <v>5</v>
      </c>
      <c r="B368" s="111"/>
      <c r="C368" s="54">
        <v>2</v>
      </c>
      <c r="D368" s="56">
        <f t="shared" si="46"/>
        <v>530.66519999999991</v>
      </c>
      <c r="E368" s="51">
        <v>0</v>
      </c>
      <c r="F368" s="51">
        <f t="shared" si="51"/>
        <v>822.53105999999991</v>
      </c>
      <c r="G368" s="101"/>
      <c r="H368" s="102"/>
      <c r="I368" s="36"/>
      <c r="L368" s="126"/>
      <c r="M368" s="126"/>
      <c r="N368" s="36"/>
    </row>
    <row r="369" spans="1:14" s="85" customFormat="1" x14ac:dyDescent="0.25">
      <c r="A369" s="110">
        <f t="shared" si="50"/>
        <v>6</v>
      </c>
      <c r="B369" s="111"/>
      <c r="C369" s="54">
        <v>2</v>
      </c>
      <c r="D369" s="56">
        <f t="shared" si="46"/>
        <v>530.66519999999991</v>
      </c>
      <c r="E369" s="51">
        <v>0</v>
      </c>
      <c r="F369" s="51">
        <f t="shared" si="51"/>
        <v>822.53105999999991</v>
      </c>
      <c r="G369" s="101"/>
      <c r="H369" s="102"/>
      <c r="I369" s="36"/>
      <c r="L369" s="126"/>
      <c r="M369" s="126"/>
      <c r="N369" s="36"/>
    </row>
    <row r="370" spans="1:14" s="85" customFormat="1" x14ac:dyDescent="0.25">
      <c r="A370" s="110">
        <f t="shared" si="50"/>
        <v>7</v>
      </c>
      <c r="B370" s="111"/>
      <c r="C370" s="54">
        <v>2</v>
      </c>
      <c r="D370" s="56">
        <f t="shared" si="46"/>
        <v>530.66519999999991</v>
      </c>
      <c r="E370" s="51">
        <v>0</v>
      </c>
      <c r="F370" s="51">
        <f t="shared" si="51"/>
        <v>822.53105999999991</v>
      </c>
      <c r="G370" s="101"/>
      <c r="H370" s="102"/>
      <c r="I370" s="36"/>
      <c r="L370" s="126"/>
      <c r="M370" s="126"/>
      <c r="N370" s="36"/>
    </row>
    <row r="371" spans="1:14" s="85" customFormat="1" x14ac:dyDescent="0.25">
      <c r="A371" s="110">
        <f t="shared" si="50"/>
        <v>8</v>
      </c>
      <c r="B371" s="111"/>
      <c r="C371" s="54">
        <v>2</v>
      </c>
      <c r="D371" s="56">
        <f t="shared" si="46"/>
        <v>530.66519999999991</v>
      </c>
      <c r="E371" s="51">
        <v>0</v>
      </c>
      <c r="F371" s="51">
        <f t="shared" si="51"/>
        <v>822.53105999999991</v>
      </c>
      <c r="G371" s="101"/>
      <c r="H371" s="102"/>
      <c r="I371" s="36"/>
      <c r="L371" s="126"/>
      <c r="M371" s="126"/>
      <c r="N371" s="36"/>
    </row>
    <row r="372" spans="1:14" s="85" customFormat="1" x14ac:dyDescent="0.25">
      <c r="A372" s="110">
        <f t="shared" si="50"/>
        <v>9</v>
      </c>
      <c r="B372" s="111"/>
      <c r="C372" s="54">
        <v>2</v>
      </c>
      <c r="D372" s="56">
        <f t="shared" si="46"/>
        <v>530.66519999999991</v>
      </c>
      <c r="E372" s="51">
        <v>0</v>
      </c>
      <c r="F372" s="51">
        <f t="shared" si="51"/>
        <v>822.53105999999991</v>
      </c>
      <c r="G372" s="101"/>
      <c r="H372" s="102"/>
      <c r="I372" s="36"/>
      <c r="L372" s="126"/>
      <c r="M372" s="126"/>
      <c r="N372" s="36"/>
    </row>
    <row r="373" spans="1:14" s="85" customFormat="1" x14ac:dyDescent="0.25">
      <c r="A373" s="110">
        <f t="shared" si="50"/>
        <v>10</v>
      </c>
      <c r="B373" s="111"/>
      <c r="C373" s="54">
        <v>2</v>
      </c>
      <c r="D373" s="56">
        <f t="shared" si="46"/>
        <v>530.66519999999991</v>
      </c>
      <c r="E373" s="51">
        <v>0</v>
      </c>
      <c r="F373" s="51">
        <f>D373*(($F$179)+1)+(IF(E373&lt;101,E373,IF(E373&lt;201,E373/2,IF(E373&lt;=301,E373/3,E373/4))))</f>
        <v>822.53105999999991</v>
      </c>
      <c r="G373" s="101"/>
      <c r="H373" s="102"/>
      <c r="I373" s="36"/>
      <c r="L373" s="126"/>
      <c r="M373" s="126"/>
      <c r="N373" s="36"/>
    </row>
    <row r="374" spans="1:14" s="85" customFormat="1" x14ac:dyDescent="0.25">
      <c r="A374" s="110">
        <f t="shared" si="50"/>
        <v>11</v>
      </c>
      <c r="B374" s="111"/>
      <c r="C374" s="54">
        <v>1</v>
      </c>
      <c r="D374" s="56">
        <f>(35.33)*10.764</f>
        <v>380.29211999999995</v>
      </c>
      <c r="E374" s="51">
        <v>0</v>
      </c>
      <c r="F374" s="51">
        <f>D374*(($F$179)+1)+(IF(E374&lt;101,E374,IF(E374&lt;201,E374/2,IF(E374&lt;=301,E374/3,E374/4))))</f>
        <v>589.45278599999995</v>
      </c>
      <c r="G374" s="101"/>
      <c r="H374" s="102"/>
      <c r="I374" s="36"/>
      <c r="L374" s="126"/>
      <c r="M374" s="126"/>
      <c r="N374" s="36"/>
    </row>
    <row r="375" spans="1:14" s="85" customFormat="1" x14ac:dyDescent="0.25">
      <c r="A375" s="110" t="s">
        <v>261</v>
      </c>
      <c r="B375" s="111"/>
      <c r="C375" s="172" t="s">
        <v>169</v>
      </c>
      <c r="D375" s="173"/>
      <c r="E375" s="173"/>
      <c r="F375" s="174"/>
      <c r="G375" s="101"/>
      <c r="H375" s="102"/>
      <c r="I375" s="36"/>
      <c r="L375" s="126"/>
      <c r="M375" s="126"/>
      <c r="N375" s="36"/>
    </row>
    <row r="376" spans="1:14" s="85" customFormat="1" x14ac:dyDescent="0.25">
      <c r="A376" s="110">
        <f>A374+1</f>
        <v>12</v>
      </c>
      <c r="B376" s="111"/>
      <c r="C376" s="54">
        <v>1</v>
      </c>
      <c r="D376" s="56">
        <f>(35.33)*10.764</f>
        <v>380.29211999999995</v>
      </c>
      <c r="E376" s="51">
        <v>0</v>
      </c>
      <c r="F376" s="51">
        <f t="shared" ref="F376:F379" si="52">D376*(($F$179)+1)+(IF(E376&lt;101,E376,IF(E376&lt;201,E376/2,IF(E376&lt;=301,E376/3,E376/4))))</f>
        <v>589.45278599999995</v>
      </c>
      <c r="G376" s="101"/>
      <c r="H376" s="102"/>
      <c r="I376" s="36"/>
      <c r="L376" s="126"/>
      <c r="M376" s="126"/>
      <c r="N376" s="36"/>
    </row>
    <row r="377" spans="1:14" s="85" customFormat="1" ht="15.75" customHeight="1" x14ac:dyDescent="0.25">
      <c r="A377" s="110">
        <v>14</v>
      </c>
      <c r="B377" s="111"/>
      <c r="C377" s="54">
        <v>2</v>
      </c>
      <c r="D377" s="56">
        <f t="shared" si="46"/>
        <v>530.66519999999991</v>
      </c>
      <c r="E377" s="51">
        <v>0</v>
      </c>
      <c r="F377" s="51">
        <f t="shared" si="52"/>
        <v>822.53105999999991</v>
      </c>
      <c r="G377" s="101"/>
      <c r="H377" s="102"/>
      <c r="I377" s="36"/>
      <c r="L377" s="126"/>
      <c r="M377" s="126"/>
      <c r="N377" s="36"/>
    </row>
    <row r="378" spans="1:14" s="85" customFormat="1" x14ac:dyDescent="0.25">
      <c r="A378" s="110">
        <f t="shared" si="50"/>
        <v>15</v>
      </c>
      <c r="B378" s="111"/>
      <c r="C378" s="54">
        <v>2</v>
      </c>
      <c r="D378" s="56">
        <f t="shared" si="46"/>
        <v>530.66519999999991</v>
      </c>
      <c r="E378" s="51">
        <v>0</v>
      </c>
      <c r="F378" s="51">
        <f t="shared" si="52"/>
        <v>822.53105999999991</v>
      </c>
      <c r="G378" s="101"/>
      <c r="H378" s="102"/>
      <c r="I378" s="36"/>
      <c r="L378" s="126"/>
      <c r="M378" s="126"/>
      <c r="N378" s="36"/>
    </row>
    <row r="379" spans="1:14" s="85" customFormat="1" x14ac:dyDescent="0.25">
      <c r="A379" s="110">
        <f t="shared" si="50"/>
        <v>16</v>
      </c>
      <c r="B379" s="111"/>
      <c r="C379" s="54">
        <v>2</v>
      </c>
      <c r="D379" s="56">
        <f t="shared" si="46"/>
        <v>530.66519999999991</v>
      </c>
      <c r="E379" s="51">
        <v>0</v>
      </c>
      <c r="F379" s="51">
        <f t="shared" si="52"/>
        <v>822.53105999999991</v>
      </c>
      <c r="G379" s="103"/>
      <c r="H379" s="104"/>
      <c r="I379" s="36"/>
      <c r="L379" s="126"/>
      <c r="M379" s="126"/>
      <c r="N379" s="36"/>
    </row>
    <row r="380" spans="1:14" s="85" customFormat="1" x14ac:dyDescent="0.25">
      <c r="A380" s="152" t="s">
        <v>187</v>
      </c>
      <c r="B380" s="152"/>
      <c r="C380" s="152"/>
      <c r="D380" s="152"/>
      <c r="E380" s="152"/>
      <c r="F380" s="152"/>
      <c r="G380" s="152"/>
      <c r="H380" s="152"/>
      <c r="I380" s="36"/>
      <c r="L380" s="126"/>
      <c r="M380" s="126"/>
      <c r="N380" s="36"/>
    </row>
    <row r="381" spans="1:14" s="85" customFormat="1" x14ac:dyDescent="0.25">
      <c r="A381" s="121">
        <v>1</v>
      </c>
      <c r="B381" s="121"/>
      <c r="C381" s="54">
        <v>2</v>
      </c>
      <c r="D381" s="56">
        <f t="shared" si="46"/>
        <v>530.66519999999991</v>
      </c>
      <c r="E381" s="51">
        <v>0</v>
      </c>
      <c r="F381" s="51">
        <f>D381*(($F$179)+1)+(IF(E381&lt;101,E381,IF(E381&lt;201,E381/2,IF(E381&lt;=301,E381/3,E381/4))))</f>
        <v>822.53105999999991</v>
      </c>
      <c r="G381" s="98" t="str">
        <f>A380</f>
        <v>23rd Floor (24th Floor as per Builder) (Part Refuge Area)</v>
      </c>
      <c r="H381" s="98"/>
      <c r="I381" s="36"/>
      <c r="L381" s="126"/>
      <c r="M381" s="126"/>
      <c r="N381" s="36"/>
    </row>
    <row r="382" spans="1:14" s="85" customFormat="1" x14ac:dyDescent="0.25">
      <c r="A382" s="121">
        <f t="shared" ref="A382:A396" si="53">A381+1</f>
        <v>2</v>
      </c>
      <c r="B382" s="121"/>
      <c r="C382" s="54">
        <v>2</v>
      </c>
      <c r="D382" s="56">
        <f t="shared" si="46"/>
        <v>530.66519999999991</v>
      </c>
      <c r="E382" s="51">
        <v>0</v>
      </c>
      <c r="F382" s="51">
        <f>D382*(($F$179)+1)+(IF(E382&lt;101,E382,IF(E382&lt;201,E382/2,IF(E382&lt;=301,E382/3,E382/4))))</f>
        <v>822.53105999999991</v>
      </c>
      <c r="G382" s="98"/>
      <c r="H382" s="98"/>
      <c r="I382" s="36"/>
      <c r="L382" s="126"/>
      <c r="M382" s="126"/>
      <c r="N382" s="36"/>
    </row>
    <row r="383" spans="1:14" s="85" customFormat="1" x14ac:dyDescent="0.25">
      <c r="A383" s="121">
        <f t="shared" si="53"/>
        <v>3</v>
      </c>
      <c r="B383" s="121"/>
      <c r="C383" s="54">
        <v>2</v>
      </c>
      <c r="D383" s="56">
        <f t="shared" si="46"/>
        <v>530.66519999999991</v>
      </c>
      <c r="E383" s="51">
        <v>0</v>
      </c>
      <c r="F383" s="51">
        <f t="shared" ref="F383:F389" si="54">D383*(($F$179)+1)+(IF(E383&lt;101,E383,IF(E383&lt;201,E383/2,IF(E383&lt;=301,E383/3,E383/4))))</f>
        <v>822.53105999999991</v>
      </c>
      <c r="G383" s="98"/>
      <c r="H383" s="98"/>
      <c r="I383" s="36"/>
    </row>
    <row r="384" spans="1:14" s="85" customFormat="1" ht="15.75" customHeight="1" x14ac:dyDescent="0.25">
      <c r="A384" s="121">
        <f t="shared" si="53"/>
        <v>4</v>
      </c>
      <c r="B384" s="121"/>
      <c r="C384" s="54">
        <v>2</v>
      </c>
      <c r="D384" s="56">
        <f t="shared" si="46"/>
        <v>530.66519999999991</v>
      </c>
      <c r="E384" s="51">
        <v>0</v>
      </c>
      <c r="F384" s="51">
        <f t="shared" si="54"/>
        <v>822.53105999999991</v>
      </c>
      <c r="G384" s="98"/>
      <c r="H384" s="98"/>
      <c r="I384" s="36"/>
      <c r="L384" s="126"/>
      <c r="M384" s="126"/>
      <c r="N384" s="36"/>
    </row>
    <row r="385" spans="1:14" s="85" customFormat="1" x14ac:dyDescent="0.25">
      <c r="A385" s="121">
        <f t="shared" si="53"/>
        <v>5</v>
      </c>
      <c r="B385" s="121"/>
      <c r="C385" s="54">
        <v>2</v>
      </c>
      <c r="D385" s="56">
        <f t="shared" si="46"/>
        <v>530.66519999999991</v>
      </c>
      <c r="E385" s="51">
        <v>0</v>
      </c>
      <c r="F385" s="51">
        <f t="shared" si="54"/>
        <v>822.53105999999991</v>
      </c>
      <c r="G385" s="98"/>
      <c r="H385" s="98"/>
      <c r="I385" s="36"/>
      <c r="L385" s="126"/>
      <c r="M385" s="126"/>
      <c r="N385" s="36"/>
    </row>
    <row r="386" spans="1:14" s="85" customFormat="1" x14ac:dyDescent="0.25">
      <c r="A386" s="121">
        <f t="shared" si="53"/>
        <v>6</v>
      </c>
      <c r="B386" s="121"/>
      <c r="C386" s="54">
        <v>2</v>
      </c>
      <c r="D386" s="56">
        <f t="shared" si="46"/>
        <v>530.66519999999991</v>
      </c>
      <c r="E386" s="51">
        <v>0</v>
      </c>
      <c r="F386" s="51">
        <f t="shared" si="54"/>
        <v>822.53105999999991</v>
      </c>
      <c r="G386" s="98"/>
      <c r="H386" s="98"/>
      <c r="I386" s="36"/>
      <c r="L386" s="126"/>
      <c r="M386" s="126"/>
      <c r="N386" s="36"/>
    </row>
    <row r="387" spans="1:14" s="85" customFormat="1" x14ac:dyDescent="0.25">
      <c r="A387" s="121">
        <f t="shared" si="53"/>
        <v>7</v>
      </c>
      <c r="B387" s="121"/>
      <c r="C387" s="54">
        <v>2</v>
      </c>
      <c r="D387" s="56">
        <f t="shared" si="46"/>
        <v>530.66519999999991</v>
      </c>
      <c r="E387" s="51">
        <v>0</v>
      </c>
      <c r="F387" s="51">
        <f t="shared" si="54"/>
        <v>822.53105999999991</v>
      </c>
      <c r="G387" s="98"/>
      <c r="H387" s="98"/>
      <c r="I387" s="36"/>
      <c r="L387" s="126"/>
      <c r="M387" s="126"/>
      <c r="N387" s="36"/>
    </row>
    <row r="388" spans="1:14" s="85" customFormat="1" x14ac:dyDescent="0.25">
      <c r="A388" s="121">
        <f t="shared" si="53"/>
        <v>8</v>
      </c>
      <c r="B388" s="121"/>
      <c r="C388" s="54">
        <v>2</v>
      </c>
      <c r="D388" s="56">
        <f t="shared" si="46"/>
        <v>530.66519999999991</v>
      </c>
      <c r="E388" s="51">
        <v>0</v>
      </c>
      <c r="F388" s="51">
        <f t="shared" si="54"/>
        <v>822.53105999999991</v>
      </c>
      <c r="G388" s="98"/>
      <c r="H388" s="98"/>
      <c r="I388" s="36"/>
      <c r="L388" s="126"/>
      <c r="M388" s="126"/>
      <c r="N388" s="36"/>
    </row>
    <row r="389" spans="1:14" s="85" customFormat="1" x14ac:dyDescent="0.25">
      <c r="A389" s="121">
        <f t="shared" si="53"/>
        <v>9</v>
      </c>
      <c r="B389" s="121"/>
      <c r="C389" s="54">
        <v>2</v>
      </c>
      <c r="D389" s="56">
        <f t="shared" si="46"/>
        <v>530.66519999999991</v>
      </c>
      <c r="E389" s="51">
        <v>0</v>
      </c>
      <c r="F389" s="51">
        <f t="shared" si="54"/>
        <v>822.53105999999991</v>
      </c>
      <c r="G389" s="98"/>
      <c r="H389" s="98"/>
      <c r="I389" s="36"/>
      <c r="L389" s="126"/>
      <c r="M389" s="126"/>
      <c r="N389" s="36"/>
    </row>
    <row r="390" spans="1:14" s="85" customFormat="1" x14ac:dyDescent="0.25">
      <c r="A390" s="121">
        <f t="shared" si="53"/>
        <v>10</v>
      </c>
      <c r="B390" s="121"/>
      <c r="C390" s="54">
        <v>2</v>
      </c>
      <c r="D390" s="56">
        <f t="shared" si="46"/>
        <v>530.66519999999991</v>
      </c>
      <c r="E390" s="51">
        <v>0</v>
      </c>
      <c r="F390" s="51">
        <f>D390*(($F$179)+1)+(IF(E390&lt;101,E390,IF(E390&lt;201,E390/2,IF(E390&lt;=301,E390/3,E390/4))))</f>
        <v>822.53105999999991</v>
      </c>
      <c r="G390" s="98"/>
      <c r="H390" s="98"/>
      <c r="I390" s="36"/>
      <c r="L390" s="126"/>
      <c r="M390" s="126"/>
      <c r="N390" s="36"/>
    </row>
    <row r="391" spans="1:14" s="85" customFormat="1" x14ac:dyDescent="0.25">
      <c r="A391" s="121">
        <f t="shared" si="53"/>
        <v>11</v>
      </c>
      <c r="B391" s="121"/>
      <c r="C391" s="54">
        <v>2</v>
      </c>
      <c r="D391" s="56">
        <f t="shared" si="46"/>
        <v>530.66519999999991</v>
      </c>
      <c r="E391" s="51">
        <v>0</v>
      </c>
      <c r="F391" s="51">
        <f>D391*(($F$179)+1)+(IF(E391&lt;101,E391,IF(E391&lt;201,E391/2,IF(E391&lt;=301,E391/3,E391/4))))</f>
        <v>822.53105999999991</v>
      </c>
      <c r="G391" s="98"/>
      <c r="H391" s="98"/>
      <c r="I391" s="36"/>
      <c r="L391" s="126"/>
      <c r="M391" s="126"/>
      <c r="N391" s="36"/>
    </row>
    <row r="392" spans="1:14" s="85" customFormat="1" x14ac:dyDescent="0.25">
      <c r="A392" s="121" t="s">
        <v>261</v>
      </c>
      <c r="B392" s="121"/>
      <c r="C392" s="109" t="s">
        <v>169</v>
      </c>
      <c r="D392" s="109"/>
      <c r="E392" s="109"/>
      <c r="F392" s="109"/>
      <c r="G392" s="98"/>
      <c r="H392" s="98"/>
      <c r="I392" s="36"/>
      <c r="L392" s="126"/>
      <c r="M392" s="126"/>
      <c r="N392" s="36"/>
    </row>
    <row r="393" spans="1:14" s="85" customFormat="1" x14ac:dyDescent="0.25">
      <c r="A393" s="121">
        <f>A391+1</f>
        <v>12</v>
      </c>
      <c r="B393" s="121"/>
      <c r="C393" s="54">
        <v>1</v>
      </c>
      <c r="D393" s="56">
        <f>(35.33)*10.764</f>
        <v>380.29211999999995</v>
      </c>
      <c r="E393" s="51">
        <v>0</v>
      </c>
      <c r="F393" s="51">
        <f t="shared" ref="F393:F396" si="55">D393*(($F$179)+1)+(IF(E393&lt;101,E393,IF(E393&lt;201,E393/2,IF(E393&lt;=301,E393/3,E393/4))))</f>
        <v>589.45278599999995</v>
      </c>
      <c r="G393" s="98"/>
      <c r="H393" s="98"/>
      <c r="I393" s="36"/>
      <c r="L393" s="126"/>
      <c r="M393" s="126"/>
      <c r="N393" s="36"/>
    </row>
    <row r="394" spans="1:14" s="85" customFormat="1" ht="15.75" customHeight="1" x14ac:dyDescent="0.25">
      <c r="A394" s="121">
        <v>14</v>
      </c>
      <c r="B394" s="121"/>
      <c r="C394" s="54">
        <v>2</v>
      </c>
      <c r="D394" s="56">
        <f t="shared" si="46"/>
        <v>530.66519999999991</v>
      </c>
      <c r="E394" s="51">
        <v>0</v>
      </c>
      <c r="F394" s="51">
        <f t="shared" si="55"/>
        <v>822.53105999999991</v>
      </c>
      <c r="G394" s="98"/>
      <c r="H394" s="98"/>
      <c r="I394" s="36"/>
      <c r="L394" s="126"/>
      <c r="M394" s="126"/>
      <c r="N394" s="36"/>
    </row>
    <row r="395" spans="1:14" s="85" customFormat="1" x14ac:dyDescent="0.25">
      <c r="A395" s="121">
        <f t="shared" si="53"/>
        <v>15</v>
      </c>
      <c r="B395" s="121"/>
      <c r="C395" s="54">
        <v>2</v>
      </c>
      <c r="D395" s="56">
        <f t="shared" si="46"/>
        <v>530.66519999999991</v>
      </c>
      <c r="E395" s="51">
        <v>0</v>
      </c>
      <c r="F395" s="51">
        <f t="shared" si="55"/>
        <v>822.53105999999991</v>
      </c>
      <c r="G395" s="98"/>
      <c r="H395" s="98"/>
      <c r="I395" s="36"/>
      <c r="L395" s="126"/>
      <c r="M395" s="126"/>
      <c r="N395" s="36"/>
    </row>
    <row r="396" spans="1:14" s="85" customFormat="1" x14ac:dyDescent="0.25">
      <c r="A396" s="121">
        <f t="shared" si="53"/>
        <v>16</v>
      </c>
      <c r="B396" s="121"/>
      <c r="C396" s="54">
        <v>2</v>
      </c>
      <c r="D396" s="56">
        <f t="shared" si="46"/>
        <v>530.66519999999991</v>
      </c>
      <c r="E396" s="51">
        <v>0</v>
      </c>
      <c r="F396" s="51">
        <f t="shared" si="55"/>
        <v>822.53105999999991</v>
      </c>
      <c r="G396" s="98"/>
      <c r="H396" s="98"/>
      <c r="I396" s="36"/>
      <c r="L396" s="126"/>
      <c r="M396" s="126"/>
      <c r="N396" s="36"/>
    </row>
    <row r="397" spans="1:14" s="44" customFormat="1" x14ac:dyDescent="0.25">
      <c r="A397" s="130" t="s">
        <v>170</v>
      </c>
      <c r="B397" s="131"/>
      <c r="C397" s="131"/>
      <c r="D397" s="131"/>
      <c r="E397" s="131"/>
      <c r="F397" s="131"/>
      <c r="G397" s="131"/>
      <c r="H397" s="132"/>
      <c r="I397" s="36"/>
      <c r="N397" s="36"/>
    </row>
    <row r="398" spans="1:14" s="44" customFormat="1" x14ac:dyDescent="0.25">
      <c r="A398" s="130" t="s">
        <v>184</v>
      </c>
      <c r="B398" s="131"/>
      <c r="C398" s="131"/>
      <c r="D398" s="131"/>
      <c r="E398" s="131"/>
      <c r="F398" s="131"/>
      <c r="G398" s="131"/>
      <c r="H398" s="131"/>
      <c r="I398" s="36"/>
      <c r="N398" s="36"/>
    </row>
    <row r="399" spans="1:14" s="44" customFormat="1" x14ac:dyDescent="0.25">
      <c r="A399" s="130" t="s">
        <v>171</v>
      </c>
      <c r="B399" s="131"/>
      <c r="C399" s="131"/>
      <c r="D399" s="131"/>
      <c r="E399" s="131"/>
      <c r="F399" s="131"/>
      <c r="G399" s="131"/>
      <c r="H399" s="132"/>
      <c r="I399" s="36"/>
      <c r="L399" s="126"/>
      <c r="M399" s="126"/>
    </row>
    <row r="400" spans="1:14" s="44" customFormat="1" ht="15.75" customHeight="1" x14ac:dyDescent="0.25">
      <c r="A400" s="161">
        <v>1</v>
      </c>
      <c r="B400" s="162"/>
      <c r="C400" s="172" t="s">
        <v>191</v>
      </c>
      <c r="D400" s="173"/>
      <c r="E400" s="173"/>
      <c r="F400" s="174"/>
      <c r="G400" s="99" t="str">
        <f>A399</f>
        <v>1st to 6th Floor for Residential &amp; Parking</v>
      </c>
      <c r="H400" s="100"/>
      <c r="I400" s="36"/>
      <c r="N400" s="36"/>
    </row>
    <row r="401" spans="1:14" s="44" customFormat="1" x14ac:dyDescent="0.25">
      <c r="A401" s="161">
        <f t="shared" ref="A401:A406" si="56">A400+1</f>
        <v>2</v>
      </c>
      <c r="B401" s="162"/>
      <c r="C401" s="54">
        <v>2</v>
      </c>
      <c r="D401" s="57">
        <f t="shared" ref="D401:D406" si="57">(49.02)*10.764</f>
        <v>527.65128000000004</v>
      </c>
      <c r="E401" s="55">
        <v>0</v>
      </c>
      <c r="F401" s="55">
        <f>D401*(($F$179)+1)+(IF(E401&lt;101,E401,IF(E401&lt;201,E401/2,IF(E401&lt;=301,E401/3,E401/4))))</f>
        <v>817.85948400000007</v>
      </c>
      <c r="G401" s="101"/>
      <c r="H401" s="102"/>
      <c r="I401" s="36"/>
      <c r="L401" s="50"/>
      <c r="N401" s="36"/>
    </row>
    <row r="402" spans="1:14" s="44" customFormat="1" x14ac:dyDescent="0.25">
      <c r="A402" s="161">
        <f t="shared" si="56"/>
        <v>3</v>
      </c>
      <c r="B402" s="162"/>
      <c r="C402" s="54">
        <v>2</v>
      </c>
      <c r="D402" s="57">
        <f t="shared" si="57"/>
        <v>527.65128000000004</v>
      </c>
      <c r="E402" s="55">
        <v>0</v>
      </c>
      <c r="F402" s="55">
        <f t="shared" ref="F402:F405" si="58">D402*(($F$179)+1)+(IF(E402&lt;101,E402,IF(E402&lt;201,E402/2,IF(E402&lt;=301,E402/3,E402/4))))</f>
        <v>817.85948400000007</v>
      </c>
      <c r="G402" s="101"/>
      <c r="H402" s="102"/>
      <c r="I402" s="36"/>
      <c r="N402" s="36"/>
    </row>
    <row r="403" spans="1:14" s="44" customFormat="1" x14ac:dyDescent="0.25">
      <c r="A403" s="161">
        <f t="shared" si="56"/>
        <v>4</v>
      </c>
      <c r="B403" s="162"/>
      <c r="C403" s="54">
        <v>2</v>
      </c>
      <c r="D403" s="57">
        <f t="shared" si="57"/>
        <v>527.65128000000004</v>
      </c>
      <c r="E403" s="55">
        <v>0</v>
      </c>
      <c r="F403" s="55">
        <f t="shared" si="58"/>
        <v>817.85948400000007</v>
      </c>
      <c r="G403" s="101"/>
      <c r="H403" s="102"/>
      <c r="I403" s="36"/>
      <c r="N403" s="36"/>
    </row>
    <row r="404" spans="1:14" s="44" customFormat="1" x14ac:dyDescent="0.25">
      <c r="A404" s="161">
        <f t="shared" si="56"/>
        <v>5</v>
      </c>
      <c r="B404" s="162"/>
      <c r="C404" s="54">
        <v>2</v>
      </c>
      <c r="D404" s="57">
        <f t="shared" si="57"/>
        <v>527.65128000000004</v>
      </c>
      <c r="E404" s="55">
        <v>0</v>
      </c>
      <c r="F404" s="55">
        <f t="shared" si="58"/>
        <v>817.85948400000007</v>
      </c>
      <c r="G404" s="101"/>
      <c r="H404" s="102"/>
      <c r="I404" s="36"/>
      <c r="N404" s="36"/>
    </row>
    <row r="405" spans="1:14" s="44" customFormat="1" x14ac:dyDescent="0.25">
      <c r="A405" s="161">
        <f t="shared" si="56"/>
        <v>6</v>
      </c>
      <c r="B405" s="162"/>
      <c r="C405" s="54">
        <v>2</v>
      </c>
      <c r="D405" s="57">
        <f t="shared" si="57"/>
        <v>527.65128000000004</v>
      </c>
      <c r="E405" s="55">
        <v>0</v>
      </c>
      <c r="F405" s="55">
        <f t="shared" si="58"/>
        <v>817.85948400000007</v>
      </c>
      <c r="G405" s="101"/>
      <c r="H405" s="102"/>
      <c r="I405" s="36"/>
      <c r="N405" s="36"/>
    </row>
    <row r="406" spans="1:14" s="44" customFormat="1" x14ac:dyDescent="0.25">
      <c r="A406" s="161">
        <f t="shared" si="56"/>
        <v>7</v>
      </c>
      <c r="B406" s="162"/>
      <c r="C406" s="54">
        <v>2</v>
      </c>
      <c r="D406" s="57">
        <f t="shared" si="57"/>
        <v>527.65128000000004</v>
      </c>
      <c r="E406" s="55">
        <v>0</v>
      </c>
      <c r="F406" s="55">
        <f t="shared" ref="F406" si="59">D406*(($F$179)+1)+(IF(E406&lt;101,E406,IF(E406&lt;201,E406/2,IF(E406&lt;=301,E406/3,E406/4))))</f>
        <v>817.85948400000007</v>
      </c>
      <c r="G406" s="103"/>
      <c r="H406" s="104"/>
      <c r="I406" s="36"/>
      <c r="N406" s="36"/>
    </row>
    <row r="407" spans="1:14" s="44" customFormat="1" x14ac:dyDescent="0.25">
      <c r="A407" s="130" t="s">
        <v>173</v>
      </c>
      <c r="B407" s="131"/>
      <c r="C407" s="131"/>
      <c r="D407" s="131"/>
      <c r="E407" s="131"/>
      <c r="F407" s="131"/>
      <c r="G407" s="131"/>
      <c r="H407" s="132"/>
      <c r="I407" s="36"/>
      <c r="N407" s="36"/>
    </row>
    <row r="408" spans="1:14" s="44" customFormat="1" x14ac:dyDescent="0.25">
      <c r="A408" s="98">
        <v>1</v>
      </c>
      <c r="B408" s="98"/>
      <c r="C408" s="172" t="s">
        <v>191</v>
      </c>
      <c r="D408" s="173"/>
      <c r="E408" s="173"/>
      <c r="F408" s="174"/>
      <c r="G408" s="99" t="str">
        <f>A407</f>
        <v>7th Floor</v>
      </c>
      <c r="H408" s="100"/>
      <c r="I408" s="36"/>
      <c r="L408" s="50"/>
      <c r="N408" s="36"/>
    </row>
    <row r="409" spans="1:14" s="44" customFormat="1" x14ac:dyDescent="0.25">
      <c r="A409" s="98">
        <f>A408+1</f>
        <v>2</v>
      </c>
      <c r="B409" s="98"/>
      <c r="C409" s="54">
        <v>2</v>
      </c>
      <c r="D409" s="57">
        <f t="shared" ref="D409:D414" si="60">(49.02)*10.764</f>
        <v>527.65128000000004</v>
      </c>
      <c r="E409" s="55">
        <v>0</v>
      </c>
      <c r="F409" s="55">
        <f t="shared" ref="F409:F414" si="61">D409*(($F$179)+1)+(IF(E409&lt;101,E409,IF(E409&lt;201,E409/2,IF(E409&lt;=301,E409/3,E409/4))))</f>
        <v>817.85948400000007</v>
      </c>
      <c r="G409" s="101"/>
      <c r="H409" s="102"/>
      <c r="I409" s="36"/>
      <c r="N409" s="36"/>
    </row>
    <row r="410" spans="1:14" s="44" customFormat="1" x14ac:dyDescent="0.25">
      <c r="A410" s="98">
        <f>A409+1</f>
        <v>3</v>
      </c>
      <c r="B410" s="98"/>
      <c r="C410" s="54">
        <v>2</v>
      </c>
      <c r="D410" s="57">
        <f t="shared" si="60"/>
        <v>527.65128000000004</v>
      </c>
      <c r="E410" s="55">
        <v>0</v>
      </c>
      <c r="F410" s="55">
        <f t="shared" si="61"/>
        <v>817.85948400000007</v>
      </c>
      <c r="G410" s="101"/>
      <c r="H410" s="102"/>
      <c r="I410" s="36"/>
      <c r="N410" s="36"/>
    </row>
    <row r="411" spans="1:14" s="44" customFormat="1" x14ac:dyDescent="0.25">
      <c r="A411" s="98">
        <f>A410+1</f>
        <v>4</v>
      </c>
      <c r="B411" s="98"/>
      <c r="C411" s="54">
        <v>2</v>
      </c>
      <c r="D411" s="57">
        <f t="shared" si="60"/>
        <v>527.65128000000004</v>
      </c>
      <c r="E411" s="55">
        <v>0</v>
      </c>
      <c r="F411" s="55">
        <f t="shared" si="61"/>
        <v>817.85948400000007</v>
      </c>
      <c r="G411" s="101"/>
      <c r="H411" s="102"/>
      <c r="I411" s="36"/>
      <c r="N411" s="36"/>
    </row>
    <row r="412" spans="1:14" s="44" customFormat="1" x14ac:dyDescent="0.25">
      <c r="A412" s="98">
        <f>A411+1</f>
        <v>5</v>
      </c>
      <c r="B412" s="98"/>
      <c r="C412" s="54">
        <v>2</v>
      </c>
      <c r="D412" s="57">
        <f t="shared" si="60"/>
        <v>527.65128000000004</v>
      </c>
      <c r="E412" s="55">
        <v>0</v>
      </c>
      <c r="F412" s="55">
        <f t="shared" si="61"/>
        <v>817.85948400000007</v>
      </c>
      <c r="G412" s="101"/>
      <c r="H412" s="102"/>
      <c r="I412" s="36"/>
      <c r="N412" s="36"/>
    </row>
    <row r="413" spans="1:14" s="44" customFormat="1" x14ac:dyDescent="0.25">
      <c r="A413" s="98">
        <f>A412+1</f>
        <v>6</v>
      </c>
      <c r="B413" s="98"/>
      <c r="C413" s="54">
        <v>2</v>
      </c>
      <c r="D413" s="57">
        <f t="shared" si="60"/>
        <v>527.65128000000004</v>
      </c>
      <c r="E413" s="55">
        <v>0</v>
      </c>
      <c r="F413" s="55">
        <f t="shared" si="61"/>
        <v>817.85948400000007</v>
      </c>
      <c r="G413" s="101"/>
      <c r="H413" s="102"/>
      <c r="I413" s="36"/>
      <c r="L413" s="126"/>
      <c r="M413" s="126"/>
    </row>
    <row r="414" spans="1:14" s="44" customFormat="1" ht="15.75" customHeight="1" x14ac:dyDescent="0.25">
      <c r="A414" s="98">
        <f t="shared" ref="A414:A419" si="62">A413+1</f>
        <v>7</v>
      </c>
      <c r="B414" s="98"/>
      <c r="C414" s="54">
        <v>2</v>
      </c>
      <c r="D414" s="57">
        <f t="shared" si="60"/>
        <v>527.65128000000004</v>
      </c>
      <c r="E414" s="55">
        <v>0</v>
      </c>
      <c r="F414" s="55">
        <f t="shared" si="61"/>
        <v>817.85948400000007</v>
      </c>
      <c r="G414" s="101"/>
      <c r="H414" s="102"/>
      <c r="I414" s="36"/>
      <c r="N414" s="36"/>
    </row>
    <row r="415" spans="1:14" s="44" customFormat="1" x14ac:dyDescent="0.25">
      <c r="A415" s="98">
        <f t="shared" si="62"/>
        <v>8</v>
      </c>
      <c r="B415" s="98"/>
      <c r="C415" s="163" t="s">
        <v>174</v>
      </c>
      <c r="D415" s="164"/>
      <c r="E415" s="164"/>
      <c r="F415" s="165"/>
      <c r="G415" s="101"/>
      <c r="H415" s="102"/>
      <c r="I415" s="36"/>
      <c r="L415" s="50"/>
      <c r="N415" s="36"/>
    </row>
    <row r="416" spans="1:14" s="44" customFormat="1" x14ac:dyDescent="0.25">
      <c r="A416" s="98">
        <f t="shared" si="62"/>
        <v>9</v>
      </c>
      <c r="B416" s="98"/>
      <c r="C416" s="166"/>
      <c r="D416" s="167"/>
      <c r="E416" s="167"/>
      <c r="F416" s="168"/>
      <c r="G416" s="101"/>
      <c r="H416" s="102"/>
      <c r="I416" s="36">
        <f>6000000/F424</f>
        <v>12031.504784033106</v>
      </c>
      <c r="N416" s="36"/>
    </row>
    <row r="417" spans="1:14" s="44" customFormat="1" x14ac:dyDescent="0.25">
      <c r="A417" s="98">
        <f t="shared" si="62"/>
        <v>10</v>
      </c>
      <c r="B417" s="98"/>
      <c r="C417" s="166"/>
      <c r="D417" s="167"/>
      <c r="E417" s="167"/>
      <c r="F417" s="168"/>
      <c r="G417" s="101"/>
      <c r="H417" s="102"/>
      <c r="I417" s="36"/>
      <c r="N417" s="36"/>
    </row>
    <row r="418" spans="1:14" s="44" customFormat="1" x14ac:dyDescent="0.25">
      <c r="A418" s="98">
        <f t="shared" si="62"/>
        <v>11</v>
      </c>
      <c r="B418" s="98"/>
      <c r="C418" s="166"/>
      <c r="D418" s="167"/>
      <c r="E418" s="167"/>
      <c r="F418" s="168"/>
      <c r="G418" s="101"/>
      <c r="H418" s="102"/>
      <c r="I418" s="36"/>
      <c r="N418" s="36"/>
    </row>
    <row r="419" spans="1:14" s="44" customFormat="1" x14ac:dyDescent="0.25">
      <c r="A419" s="98">
        <f t="shared" si="62"/>
        <v>12</v>
      </c>
      <c r="B419" s="98"/>
      <c r="C419" s="169"/>
      <c r="D419" s="170"/>
      <c r="E419" s="170"/>
      <c r="F419" s="171"/>
      <c r="G419" s="103"/>
      <c r="H419" s="104"/>
      <c r="I419" s="36"/>
      <c r="N419" s="36"/>
    </row>
    <row r="420" spans="1:14" s="44" customFormat="1" ht="51" customHeight="1" x14ac:dyDescent="0.25">
      <c r="A420" s="130" t="s">
        <v>186</v>
      </c>
      <c r="B420" s="131"/>
      <c r="C420" s="131"/>
      <c r="D420" s="131"/>
      <c r="E420" s="131"/>
      <c r="F420" s="131"/>
      <c r="G420" s="131"/>
      <c r="H420" s="132"/>
      <c r="I420" s="36"/>
      <c r="N420" s="36"/>
    </row>
    <row r="421" spans="1:14" s="44" customFormat="1" x14ac:dyDescent="0.25">
      <c r="A421" s="98">
        <v>1</v>
      </c>
      <c r="B421" s="98"/>
      <c r="C421" s="54">
        <v>2</v>
      </c>
      <c r="D421" s="57">
        <f>(49.02)*10.764</f>
        <v>527.65128000000004</v>
      </c>
      <c r="E421" s="90">
        <v>0</v>
      </c>
      <c r="F421" s="90">
        <f t="shared" ref="F421:F422" si="63">D421*(($F$179)+1)+(IF(E421&lt;101,E421,IF(E421&lt;201,E421/2,IF(E421&lt;=301,E421/3,E421/4))))</f>
        <v>817.85948400000007</v>
      </c>
      <c r="G421" s="98" t="str">
        <f>A420</f>
        <v>8th Floor,
13th &amp; 18th Floor (14th &amp; 19th Floor as per builder)
(Part Refuge Area)</v>
      </c>
      <c r="H421" s="98"/>
      <c r="I421" s="36"/>
      <c r="L421" s="50"/>
      <c r="N421" s="36"/>
    </row>
    <row r="422" spans="1:14" s="44" customFormat="1" x14ac:dyDescent="0.25">
      <c r="A422" s="98">
        <f>A421+1</f>
        <v>2</v>
      </c>
      <c r="B422" s="98"/>
      <c r="C422" s="54">
        <v>2</v>
      </c>
      <c r="D422" s="57">
        <f>(49.02)*10.764</f>
        <v>527.65128000000004</v>
      </c>
      <c r="E422" s="90">
        <v>0</v>
      </c>
      <c r="F422" s="90">
        <f t="shared" si="63"/>
        <v>817.85948400000007</v>
      </c>
      <c r="G422" s="98"/>
      <c r="H422" s="98"/>
      <c r="I422" s="36"/>
      <c r="N422" s="36"/>
    </row>
    <row r="423" spans="1:14" s="44" customFormat="1" x14ac:dyDescent="0.25">
      <c r="A423" s="98">
        <f>A422+1</f>
        <v>3</v>
      </c>
      <c r="B423" s="98"/>
      <c r="C423" s="54">
        <v>1</v>
      </c>
      <c r="D423" s="57">
        <f>(32.24)*10.764</f>
        <v>347.03136000000001</v>
      </c>
      <c r="E423" s="90">
        <v>0</v>
      </c>
      <c r="F423" s="90">
        <f>D423*(($F$179)+1)+(IF(E423&lt;101,E423,IF(E423&lt;201,E423/2,IF(E423&lt;=301,E423/3,E423/4))))</f>
        <v>537.89860800000008</v>
      </c>
      <c r="G423" s="98"/>
      <c r="H423" s="98"/>
      <c r="I423" s="36"/>
      <c r="N423" s="36"/>
    </row>
    <row r="424" spans="1:14" s="44" customFormat="1" x14ac:dyDescent="0.25">
      <c r="A424" s="98" t="s">
        <v>172</v>
      </c>
      <c r="B424" s="98"/>
      <c r="C424" s="54">
        <v>1</v>
      </c>
      <c r="D424" s="57">
        <f>(29.89)*10.764</f>
        <v>321.73595999999998</v>
      </c>
      <c r="E424" s="90">
        <v>0</v>
      </c>
      <c r="F424" s="90">
        <f>D424*(($F$179)+1)+(IF(E424&lt;101,E424,IF(E424&lt;201,E424/2,IF(E424&lt;=301,E424/3,E424/4))))</f>
        <v>498.69073799999995</v>
      </c>
      <c r="G424" s="98"/>
      <c r="H424" s="98"/>
      <c r="I424" s="36"/>
      <c r="N424" s="36"/>
    </row>
    <row r="425" spans="1:14" s="44" customFormat="1" x14ac:dyDescent="0.25">
      <c r="A425" s="98">
        <f>A423+1</f>
        <v>4</v>
      </c>
      <c r="B425" s="98"/>
      <c r="C425" s="109" t="s">
        <v>169</v>
      </c>
      <c r="D425" s="109"/>
      <c r="E425" s="109"/>
      <c r="F425" s="109"/>
      <c r="G425" s="98"/>
      <c r="H425" s="98"/>
      <c r="I425" s="36"/>
      <c r="N425" s="36"/>
    </row>
    <row r="426" spans="1:14" s="44" customFormat="1" x14ac:dyDescent="0.25">
      <c r="A426" s="98">
        <f>A425+1</f>
        <v>5</v>
      </c>
      <c r="B426" s="98"/>
      <c r="C426" s="54">
        <v>2</v>
      </c>
      <c r="D426" s="57">
        <f t="shared" ref="D426:D433" si="64">(49.02)*10.764</f>
        <v>527.65128000000004</v>
      </c>
      <c r="E426" s="90">
        <v>0</v>
      </c>
      <c r="F426" s="90">
        <f>D426*(($F$179)+1)+(IF(E426&lt;101,E426,IF(E426&lt;201,E426/2,IF(E426&lt;=301,E426/3,E426/4))))</f>
        <v>817.85948400000007</v>
      </c>
      <c r="G426" s="98"/>
      <c r="H426" s="98"/>
      <c r="I426" s="36"/>
      <c r="L426" s="126"/>
      <c r="M426" s="126"/>
    </row>
    <row r="427" spans="1:14" s="44" customFormat="1" ht="15.75" customHeight="1" x14ac:dyDescent="0.25">
      <c r="A427" s="98">
        <f>A426+1</f>
        <v>6</v>
      </c>
      <c r="B427" s="98"/>
      <c r="C427" s="54">
        <v>2</v>
      </c>
      <c r="D427" s="57">
        <f t="shared" si="64"/>
        <v>527.65128000000004</v>
      </c>
      <c r="E427" s="90">
        <v>0</v>
      </c>
      <c r="F427" s="90">
        <f>D427*(($F$179)+1)+(IF(E427&lt;101,E427,IF(E427&lt;201,E427/2,IF(E427&lt;=301,E427/3,E427/4))))</f>
        <v>817.85948400000007</v>
      </c>
      <c r="G427" s="98"/>
      <c r="H427" s="98"/>
      <c r="I427" s="36"/>
      <c r="N427" s="36"/>
    </row>
    <row r="428" spans="1:14" s="44" customFormat="1" x14ac:dyDescent="0.25">
      <c r="A428" s="98">
        <f t="shared" ref="A428:A433" si="65">A427+1</f>
        <v>7</v>
      </c>
      <c r="B428" s="98"/>
      <c r="C428" s="54">
        <v>2</v>
      </c>
      <c r="D428" s="57">
        <f t="shared" si="64"/>
        <v>527.65128000000004</v>
      </c>
      <c r="E428" s="90">
        <v>0</v>
      </c>
      <c r="F428" s="90">
        <f t="shared" ref="F428:F429" si="66">D428*(($F$179)+1)+(IF(E428&lt;101,E428,IF(E428&lt;201,E428/2,IF(E428&lt;=301,E428/3,E428/4))))</f>
        <v>817.85948400000007</v>
      </c>
      <c r="G428" s="98"/>
      <c r="H428" s="98"/>
      <c r="I428" s="36">
        <f>9000000/F435</f>
        <v>11004.335311956838</v>
      </c>
      <c r="L428" s="50"/>
      <c r="N428" s="36"/>
    </row>
    <row r="429" spans="1:14" s="44" customFormat="1" x14ac:dyDescent="0.25">
      <c r="A429" s="98">
        <f t="shared" si="65"/>
        <v>8</v>
      </c>
      <c r="B429" s="98"/>
      <c r="C429" s="54">
        <v>2</v>
      </c>
      <c r="D429" s="57">
        <f t="shared" si="64"/>
        <v>527.65128000000004</v>
      </c>
      <c r="E429" s="90">
        <v>0</v>
      </c>
      <c r="F429" s="90">
        <f t="shared" si="66"/>
        <v>817.85948400000007</v>
      </c>
      <c r="G429" s="98"/>
      <c r="H429" s="98"/>
      <c r="I429" s="36"/>
      <c r="N429" s="36"/>
    </row>
    <row r="430" spans="1:14" s="44" customFormat="1" x14ac:dyDescent="0.25">
      <c r="A430" s="98">
        <f t="shared" si="65"/>
        <v>9</v>
      </c>
      <c r="B430" s="98"/>
      <c r="C430" s="54">
        <v>2</v>
      </c>
      <c r="D430" s="57">
        <f t="shared" si="64"/>
        <v>527.65128000000004</v>
      </c>
      <c r="E430" s="90">
        <v>0</v>
      </c>
      <c r="F430" s="90">
        <f>D430*(($F$179)+1)+(IF(E430&lt;101,E430,IF(E430&lt;201,E430/2,IF(E430&lt;=301,E430/3,E430/4))))</f>
        <v>817.85948400000007</v>
      </c>
      <c r="G430" s="98"/>
      <c r="H430" s="98"/>
      <c r="I430" s="36"/>
      <c r="N430" s="36"/>
    </row>
    <row r="431" spans="1:14" s="44" customFormat="1" x14ac:dyDescent="0.25">
      <c r="A431" s="98">
        <f t="shared" si="65"/>
        <v>10</v>
      </c>
      <c r="B431" s="98"/>
      <c r="C431" s="54">
        <v>2</v>
      </c>
      <c r="D431" s="57">
        <f t="shared" si="64"/>
        <v>527.65128000000004</v>
      </c>
      <c r="E431" s="90">
        <v>0</v>
      </c>
      <c r="F431" s="90">
        <f>D431*(($F$179)+1)+(IF(E431&lt;101,E431,IF(E431&lt;201,E431/2,IF(E431&lt;=301,E431/3,E431/4))))</f>
        <v>817.85948400000007</v>
      </c>
      <c r="G431" s="98"/>
      <c r="H431" s="98"/>
      <c r="I431" s="36"/>
      <c r="N431" s="36"/>
    </row>
    <row r="432" spans="1:14" s="44" customFormat="1" x14ac:dyDescent="0.25">
      <c r="A432" s="98">
        <f t="shared" si="65"/>
        <v>11</v>
      </c>
      <c r="B432" s="98"/>
      <c r="C432" s="54">
        <v>2</v>
      </c>
      <c r="D432" s="57">
        <f t="shared" si="64"/>
        <v>527.65128000000004</v>
      </c>
      <c r="E432" s="90">
        <v>0</v>
      </c>
      <c r="F432" s="90">
        <f>D432*(($F$179)+1)+(IF(E432&lt;101,E432,IF(E432&lt;201,E432/2,IF(E432&lt;=301,E432/3,E432/4))))</f>
        <v>817.85948400000007</v>
      </c>
      <c r="G432" s="98"/>
      <c r="H432" s="98"/>
      <c r="I432" s="36"/>
      <c r="N432" s="36"/>
    </row>
    <row r="433" spans="1:14" s="44" customFormat="1" x14ac:dyDescent="0.25">
      <c r="A433" s="98">
        <f t="shared" si="65"/>
        <v>12</v>
      </c>
      <c r="B433" s="98"/>
      <c r="C433" s="54">
        <v>2</v>
      </c>
      <c r="D433" s="57">
        <f t="shared" si="64"/>
        <v>527.65128000000004</v>
      </c>
      <c r="E433" s="90">
        <v>0</v>
      </c>
      <c r="F433" s="90">
        <f>D433*(($F$179)+1)+(IF(E433&lt;101,E433,IF(E433&lt;201,E433/2,IF(E433&lt;=301,E433/3,E433/4))))</f>
        <v>817.85948400000007</v>
      </c>
      <c r="G433" s="98"/>
      <c r="H433" s="98"/>
      <c r="I433" s="36"/>
      <c r="N433" s="36"/>
    </row>
    <row r="434" spans="1:14" s="44" customFormat="1" ht="58.5" customHeight="1" x14ac:dyDescent="0.25">
      <c r="A434" s="130" t="s">
        <v>188</v>
      </c>
      <c r="B434" s="131"/>
      <c r="C434" s="131"/>
      <c r="D434" s="131"/>
      <c r="E434" s="131"/>
      <c r="F434" s="131"/>
      <c r="G434" s="131"/>
      <c r="H434" s="132"/>
      <c r="I434" s="36"/>
      <c r="N434" s="36"/>
    </row>
    <row r="435" spans="1:14" s="44" customFormat="1" x14ac:dyDescent="0.25">
      <c r="A435" s="98">
        <v>1</v>
      </c>
      <c r="B435" s="98"/>
      <c r="C435" s="54">
        <v>2</v>
      </c>
      <c r="D435" s="57">
        <f t="shared" ref="D435:D446" si="67">(49.02)*10.764</f>
        <v>527.65128000000004</v>
      </c>
      <c r="E435" s="55">
        <v>0</v>
      </c>
      <c r="F435" s="55">
        <f t="shared" ref="F435:F438" si="68">D435*(($F$179)+1)+(IF(E435&lt;101,E435,IF(E435&lt;201,E435/2,IF(E435&lt;=301,E435/3,E435/4))))</f>
        <v>817.85948400000007</v>
      </c>
      <c r="G435" s="99" t="str">
        <f>A434</f>
        <v>9th to 12th Floor, 
14th to 17th Floor (15th to 18th Floor as per Builder), 
19th to 22nd Floor (20th to 23rd Floor as per Builder)</v>
      </c>
      <c r="H435" s="100"/>
      <c r="I435" s="36"/>
      <c r="L435" s="50"/>
      <c r="N435" s="36"/>
    </row>
    <row r="436" spans="1:14" s="44" customFormat="1" x14ac:dyDescent="0.25">
      <c r="A436" s="98">
        <f>A435+1</f>
        <v>2</v>
      </c>
      <c r="B436" s="98"/>
      <c r="C436" s="54">
        <v>2</v>
      </c>
      <c r="D436" s="57">
        <f t="shared" si="67"/>
        <v>527.65128000000004</v>
      </c>
      <c r="E436" s="55">
        <v>0</v>
      </c>
      <c r="F436" s="55">
        <f t="shared" si="68"/>
        <v>817.85948400000007</v>
      </c>
      <c r="G436" s="101"/>
      <c r="H436" s="102"/>
      <c r="I436" s="36"/>
      <c r="N436" s="36"/>
    </row>
    <row r="437" spans="1:14" s="44" customFormat="1" x14ac:dyDescent="0.25">
      <c r="A437" s="98">
        <f>A436+1</f>
        <v>3</v>
      </c>
      <c r="B437" s="98"/>
      <c r="C437" s="54">
        <v>2</v>
      </c>
      <c r="D437" s="57">
        <f t="shared" si="67"/>
        <v>527.65128000000004</v>
      </c>
      <c r="E437" s="55">
        <v>0</v>
      </c>
      <c r="F437" s="55">
        <f t="shared" si="68"/>
        <v>817.85948400000007</v>
      </c>
      <c r="G437" s="101"/>
      <c r="H437" s="102"/>
      <c r="I437" s="36"/>
      <c r="N437" s="36"/>
    </row>
    <row r="438" spans="1:14" s="44" customFormat="1" x14ac:dyDescent="0.25">
      <c r="A438" s="98">
        <f>A437+1</f>
        <v>4</v>
      </c>
      <c r="B438" s="98"/>
      <c r="C438" s="54">
        <v>2</v>
      </c>
      <c r="D438" s="57">
        <f t="shared" si="67"/>
        <v>527.65128000000004</v>
      </c>
      <c r="E438" s="55">
        <v>0</v>
      </c>
      <c r="F438" s="55">
        <f t="shared" si="68"/>
        <v>817.85948400000007</v>
      </c>
      <c r="G438" s="101"/>
      <c r="H438" s="102"/>
      <c r="I438" s="36"/>
      <c r="N438" s="36"/>
    </row>
    <row r="439" spans="1:14" s="44" customFormat="1" x14ac:dyDescent="0.25">
      <c r="A439" s="98">
        <f>A438+1</f>
        <v>5</v>
      </c>
      <c r="B439" s="98"/>
      <c r="C439" s="54">
        <v>2</v>
      </c>
      <c r="D439" s="57">
        <f t="shared" si="67"/>
        <v>527.65128000000004</v>
      </c>
      <c r="E439" s="55">
        <v>0</v>
      </c>
      <c r="F439" s="55">
        <f>D439*(($F$179)+1)+(IF(E439&lt;101,E439,IF(E439&lt;201,E439/2,IF(E439&lt;=301,E439/3,E439/4))))</f>
        <v>817.85948400000007</v>
      </c>
      <c r="G439" s="101"/>
      <c r="H439" s="102"/>
      <c r="I439" s="36"/>
      <c r="N439" s="36"/>
    </row>
    <row r="440" spans="1:14" s="35" customFormat="1" x14ac:dyDescent="0.25">
      <c r="A440" s="98">
        <f>A439+1</f>
        <v>6</v>
      </c>
      <c r="B440" s="98"/>
      <c r="C440" s="54">
        <v>2</v>
      </c>
      <c r="D440" s="57">
        <f t="shared" si="67"/>
        <v>527.65128000000004</v>
      </c>
      <c r="E440" s="55">
        <v>0</v>
      </c>
      <c r="F440" s="55">
        <f>D440*(($F$179)+1)+(IF(E440&lt;101,E440,IF(E440&lt;201,E440/2,IF(E440&lt;=301,E440/3,E440/4))))</f>
        <v>817.85948400000007</v>
      </c>
      <c r="G440" s="101"/>
      <c r="H440" s="102"/>
      <c r="I440" s="36"/>
      <c r="J440" s="44"/>
    </row>
    <row r="441" spans="1:14" s="59" customFormat="1" x14ac:dyDescent="0.25">
      <c r="A441" s="98">
        <f t="shared" ref="A441:A446" si="69">A440+1</f>
        <v>7</v>
      </c>
      <c r="B441" s="98"/>
      <c r="C441" s="54">
        <v>2</v>
      </c>
      <c r="D441" s="57">
        <f t="shared" si="67"/>
        <v>527.65128000000004</v>
      </c>
      <c r="E441" s="55">
        <v>0</v>
      </c>
      <c r="F441" s="55">
        <f t="shared" ref="F441:F442" si="70">D441*(($F$179)+1)+(IF(E441&lt;101,E441,IF(E441&lt;201,E441/2,IF(E441&lt;=301,E441/3,E441/4))))</f>
        <v>817.85948400000007</v>
      </c>
      <c r="G441" s="101"/>
      <c r="H441" s="102"/>
      <c r="I441" s="36"/>
      <c r="J441" s="44"/>
    </row>
    <row r="442" spans="1:14" s="35" customFormat="1" x14ac:dyDescent="0.25">
      <c r="A442" s="98">
        <f t="shared" si="69"/>
        <v>8</v>
      </c>
      <c r="B442" s="98"/>
      <c r="C442" s="54">
        <v>2</v>
      </c>
      <c r="D442" s="57">
        <f t="shared" si="67"/>
        <v>527.65128000000004</v>
      </c>
      <c r="E442" s="55">
        <v>0</v>
      </c>
      <c r="F442" s="55">
        <f t="shared" si="70"/>
        <v>817.85948400000007</v>
      </c>
      <c r="G442" s="101"/>
      <c r="H442" s="102"/>
      <c r="I442" s="36"/>
      <c r="J442" s="44"/>
    </row>
    <row r="443" spans="1:14" s="35" customFormat="1" x14ac:dyDescent="0.25">
      <c r="A443" s="98">
        <f t="shared" si="69"/>
        <v>9</v>
      </c>
      <c r="B443" s="98"/>
      <c r="C443" s="54">
        <v>2</v>
      </c>
      <c r="D443" s="57">
        <f t="shared" si="67"/>
        <v>527.65128000000004</v>
      </c>
      <c r="E443" s="55">
        <v>0</v>
      </c>
      <c r="F443" s="55">
        <f>D443*(($F$179)+1)+(IF(E443&lt;101,E443,IF(E443&lt;201,E443/2,IF(E443&lt;=301,E443/3,E443/4))))</f>
        <v>817.85948400000007</v>
      </c>
      <c r="G443" s="101"/>
      <c r="H443" s="102"/>
      <c r="I443" s="36"/>
      <c r="J443" s="44"/>
    </row>
    <row r="444" spans="1:14" s="35" customFormat="1" x14ac:dyDescent="0.25">
      <c r="A444" s="98">
        <f t="shared" si="69"/>
        <v>10</v>
      </c>
      <c r="B444" s="98"/>
      <c r="C444" s="54">
        <v>2</v>
      </c>
      <c r="D444" s="57">
        <f t="shared" si="67"/>
        <v>527.65128000000004</v>
      </c>
      <c r="E444" s="55">
        <v>0</v>
      </c>
      <c r="F444" s="55">
        <f>D444*(($F$179)+1)+(IF(E444&lt;101,E444,IF(E444&lt;201,E444/2,IF(E444&lt;=301,E444/3,E444/4))))</f>
        <v>817.85948400000007</v>
      </c>
      <c r="G444" s="101"/>
      <c r="H444" s="102"/>
      <c r="I444" s="36"/>
      <c r="J444" s="44"/>
    </row>
    <row r="445" spans="1:14" s="35" customFormat="1" x14ac:dyDescent="0.25">
      <c r="A445" s="98">
        <f t="shared" si="69"/>
        <v>11</v>
      </c>
      <c r="B445" s="98"/>
      <c r="C445" s="54">
        <v>2</v>
      </c>
      <c r="D445" s="57">
        <f t="shared" si="67"/>
        <v>527.65128000000004</v>
      </c>
      <c r="E445" s="55">
        <v>0</v>
      </c>
      <c r="F445" s="55">
        <f>D445*(($F$179)+1)+(IF(E445&lt;101,E445,IF(E445&lt;201,E445/2,IF(E445&lt;=301,E445/3,E445/4))))</f>
        <v>817.85948400000007</v>
      </c>
      <c r="G445" s="101"/>
      <c r="H445" s="102"/>
      <c r="I445" s="36"/>
      <c r="J445" s="44"/>
    </row>
    <row r="446" spans="1:14" s="35" customFormat="1" x14ac:dyDescent="0.25">
      <c r="A446" s="98">
        <f t="shared" si="69"/>
        <v>12</v>
      </c>
      <c r="B446" s="98"/>
      <c r="C446" s="54">
        <v>2</v>
      </c>
      <c r="D446" s="57">
        <f t="shared" si="67"/>
        <v>527.65128000000004</v>
      </c>
      <c r="E446" s="55">
        <v>0</v>
      </c>
      <c r="F446" s="55">
        <f>D446*(($F$179)+1)+(IF(E446&lt;101,E446,IF(E446&lt;201,E446/2,IF(E446&lt;=301,E446/3,E446/4))))</f>
        <v>817.85948400000007</v>
      </c>
      <c r="G446" s="103"/>
      <c r="H446" s="104"/>
      <c r="I446" s="36"/>
      <c r="J446" s="44"/>
    </row>
    <row r="447" spans="1:14" s="35" customFormat="1" x14ac:dyDescent="0.25">
      <c r="A447" s="130" t="s">
        <v>187</v>
      </c>
      <c r="B447" s="131"/>
      <c r="C447" s="131"/>
      <c r="D447" s="131"/>
      <c r="E447" s="131"/>
      <c r="F447" s="131"/>
      <c r="G447" s="131"/>
      <c r="H447" s="132"/>
      <c r="I447" s="36"/>
      <c r="J447" s="44"/>
    </row>
    <row r="448" spans="1:14" s="35" customFormat="1" x14ac:dyDescent="0.25">
      <c r="A448" s="98">
        <v>1</v>
      </c>
      <c r="B448" s="98"/>
      <c r="C448" s="54">
        <v>2</v>
      </c>
      <c r="D448" s="57">
        <f>(49.02)*10.764</f>
        <v>527.65128000000004</v>
      </c>
      <c r="E448" s="55">
        <v>0</v>
      </c>
      <c r="F448" s="55">
        <f t="shared" ref="F448:F449" si="71">D448*(($F$179)+1)+(IF(E448&lt;101,E448,IF(E448&lt;201,E448/2,IF(E448&lt;=301,E448/3,E448/4))))</f>
        <v>817.85948400000007</v>
      </c>
      <c r="G448" s="99" t="str">
        <f>A447</f>
        <v>23rd Floor (24th Floor as per Builder) (Part Refuge Area)</v>
      </c>
      <c r="H448" s="100"/>
      <c r="I448" s="36"/>
      <c r="J448" s="44"/>
    </row>
    <row r="449" spans="1:10" s="35" customFormat="1" x14ac:dyDescent="0.25">
      <c r="A449" s="98">
        <f>A448+1</f>
        <v>2</v>
      </c>
      <c r="B449" s="98"/>
      <c r="C449" s="54">
        <v>2</v>
      </c>
      <c r="D449" s="57">
        <f>(49.02)*10.764</f>
        <v>527.65128000000004</v>
      </c>
      <c r="E449" s="55">
        <v>0</v>
      </c>
      <c r="F449" s="55">
        <f t="shared" si="71"/>
        <v>817.85948400000007</v>
      </c>
      <c r="G449" s="101"/>
      <c r="H449" s="102"/>
      <c r="I449" s="36"/>
      <c r="J449" s="44"/>
    </row>
    <row r="450" spans="1:10" s="35" customFormat="1" hidden="1" x14ac:dyDescent="0.25">
      <c r="A450" s="98" t="s">
        <v>175</v>
      </c>
      <c r="B450" s="98"/>
      <c r="C450" s="54">
        <v>1</v>
      </c>
      <c r="D450" s="57">
        <f>(32.24)*10.764</f>
        <v>347.03136000000001</v>
      </c>
      <c r="E450" s="55">
        <v>0</v>
      </c>
      <c r="F450" s="55">
        <f>D450*(($F$179)+1)+(IF(E450&lt;101,E450,IF(E450&lt;201,E450/2,IF(E450&lt;=301,E450/3,E450/4))))</f>
        <v>537.89860800000008</v>
      </c>
      <c r="G450" s="101"/>
      <c r="H450" s="102"/>
      <c r="I450" s="36"/>
      <c r="J450" s="44"/>
    </row>
    <row r="451" spans="1:10" s="35" customFormat="1" x14ac:dyDescent="0.25">
      <c r="A451" s="98" t="s">
        <v>172</v>
      </c>
      <c r="B451" s="98"/>
      <c r="C451" s="54">
        <v>2</v>
      </c>
      <c r="D451" s="57">
        <f>(44.41)*10.764</f>
        <v>478.02923999999996</v>
      </c>
      <c r="E451" s="55">
        <v>0</v>
      </c>
      <c r="F451" s="55">
        <f>D451*(($F$179)+1)+(IF(E451&lt;101,E451,IF(E451&lt;201,E451/2,IF(E451&lt;=301,E451/3,E451/4))))</f>
        <v>740.94532199999992</v>
      </c>
      <c r="G451" s="101"/>
      <c r="H451" s="102"/>
      <c r="I451" s="36"/>
      <c r="J451" s="44"/>
    </row>
    <row r="452" spans="1:10" s="35" customFormat="1" x14ac:dyDescent="0.25">
      <c r="A452" s="98">
        <v>4</v>
      </c>
      <c r="B452" s="98"/>
      <c r="C452" s="172" t="s">
        <v>169</v>
      </c>
      <c r="D452" s="173"/>
      <c r="E452" s="173"/>
      <c r="F452" s="174"/>
      <c r="G452" s="101"/>
      <c r="H452" s="102"/>
      <c r="I452" s="36"/>
      <c r="J452" s="44"/>
    </row>
    <row r="453" spans="1:10" s="35" customFormat="1" x14ac:dyDescent="0.25">
      <c r="A453" s="98">
        <f>A452+1</f>
        <v>5</v>
      </c>
      <c r="B453" s="98"/>
      <c r="C453" s="54">
        <v>2</v>
      </c>
      <c r="D453" s="57">
        <f t="shared" ref="D453:D460" si="72">(49.02)*10.764</f>
        <v>527.65128000000004</v>
      </c>
      <c r="E453" s="55">
        <v>0</v>
      </c>
      <c r="F453" s="55">
        <f>D453*(($F$179)+1)+(IF(E453&lt;101,E453,IF(E453&lt;201,E453/2,IF(E453&lt;=301,E453/3,E453/4))))</f>
        <v>817.85948400000007</v>
      </c>
      <c r="G453" s="101"/>
      <c r="H453" s="102"/>
      <c r="I453" s="36"/>
      <c r="J453" s="44"/>
    </row>
    <row r="454" spans="1:10" s="35" customFormat="1" x14ac:dyDescent="0.25">
      <c r="A454" s="98">
        <f>A453+1</f>
        <v>6</v>
      </c>
      <c r="B454" s="98"/>
      <c r="C454" s="54">
        <v>2</v>
      </c>
      <c r="D454" s="57">
        <f t="shared" si="72"/>
        <v>527.65128000000004</v>
      </c>
      <c r="E454" s="55">
        <v>0</v>
      </c>
      <c r="F454" s="55">
        <f>D454*(($F$179)+1)+(IF(E454&lt;101,E454,IF(E454&lt;201,E454/2,IF(E454&lt;=301,E454/3,E454/4))))</f>
        <v>817.85948400000007</v>
      </c>
      <c r="G454" s="101"/>
      <c r="H454" s="102"/>
    </row>
    <row r="455" spans="1:10" x14ac:dyDescent="0.25">
      <c r="A455" s="98">
        <f t="shared" ref="A455:A460" si="73">A454+1</f>
        <v>7</v>
      </c>
      <c r="B455" s="98"/>
      <c r="C455" s="54">
        <v>2</v>
      </c>
      <c r="D455" s="57">
        <f t="shared" si="72"/>
        <v>527.65128000000004</v>
      </c>
      <c r="E455" s="55">
        <v>0</v>
      </c>
      <c r="F455" s="55">
        <f t="shared" ref="F455:F456" si="74">D455*(($F$179)+1)+(IF(E455&lt;101,E455,IF(E455&lt;201,E455/2,IF(E455&lt;=301,E455/3,E455/4))))</f>
        <v>817.85948400000007</v>
      </c>
      <c r="G455" s="101"/>
      <c r="H455" s="102"/>
      <c r="I455" s="59"/>
      <c r="J455" s="59"/>
    </row>
    <row r="456" spans="1:10" x14ac:dyDescent="0.25">
      <c r="A456" s="98">
        <f t="shared" si="73"/>
        <v>8</v>
      </c>
      <c r="B456" s="98"/>
      <c r="C456" s="54">
        <v>2</v>
      </c>
      <c r="D456" s="57">
        <f t="shared" si="72"/>
        <v>527.65128000000004</v>
      </c>
      <c r="E456" s="55">
        <v>0</v>
      </c>
      <c r="F456" s="55">
        <f t="shared" si="74"/>
        <v>817.85948400000007</v>
      </c>
      <c r="G456" s="101"/>
      <c r="H456" s="102"/>
      <c r="I456" s="35"/>
      <c r="J456" s="35"/>
    </row>
    <row r="457" spans="1:10" ht="15.75" customHeight="1" x14ac:dyDescent="0.25">
      <c r="A457" s="98">
        <f t="shared" si="73"/>
        <v>9</v>
      </c>
      <c r="B457" s="98"/>
      <c r="C457" s="54">
        <v>2</v>
      </c>
      <c r="D457" s="57">
        <f t="shared" si="72"/>
        <v>527.65128000000004</v>
      </c>
      <c r="E457" s="55">
        <v>0</v>
      </c>
      <c r="F457" s="55">
        <f>D457*(($F$179)+1)+(IF(E457&lt;101,E457,IF(E457&lt;201,E457/2,IF(E457&lt;=301,E457/3,E457/4))))</f>
        <v>817.85948400000007</v>
      </c>
      <c r="G457" s="101"/>
      <c r="H457" s="102"/>
      <c r="I457" s="35"/>
      <c r="J457" s="35"/>
    </row>
    <row r="458" spans="1:10" x14ac:dyDescent="0.25">
      <c r="A458" s="98">
        <f t="shared" si="73"/>
        <v>10</v>
      </c>
      <c r="B458" s="98"/>
      <c r="C458" s="54">
        <v>2</v>
      </c>
      <c r="D458" s="57">
        <f t="shared" si="72"/>
        <v>527.65128000000004</v>
      </c>
      <c r="E458" s="55">
        <v>0</v>
      </c>
      <c r="F458" s="55">
        <f>D458*(($F$179)+1)+(IF(E458&lt;101,E458,IF(E458&lt;201,E458/2,IF(E458&lt;=301,E458/3,E458/4))))</f>
        <v>817.85948400000007</v>
      </c>
      <c r="G458" s="101"/>
      <c r="H458" s="102"/>
      <c r="I458" s="35"/>
      <c r="J458" s="35"/>
    </row>
    <row r="459" spans="1:10" x14ac:dyDescent="0.25">
      <c r="A459" s="98">
        <f t="shared" si="73"/>
        <v>11</v>
      </c>
      <c r="B459" s="98"/>
      <c r="C459" s="54">
        <v>2</v>
      </c>
      <c r="D459" s="57">
        <f t="shared" si="72"/>
        <v>527.65128000000004</v>
      </c>
      <c r="E459" s="55">
        <v>0</v>
      </c>
      <c r="F459" s="55">
        <f>D459*(($F$179)+1)+(IF(E459&lt;101,E459,IF(E459&lt;201,E459/2,IF(E459&lt;=301,E459/3,E459/4))))</f>
        <v>817.85948400000007</v>
      </c>
      <c r="G459" s="101"/>
      <c r="H459" s="102"/>
      <c r="I459" s="35"/>
      <c r="J459" s="35"/>
    </row>
    <row r="460" spans="1:10" x14ac:dyDescent="0.25">
      <c r="A460" s="98">
        <f t="shared" si="73"/>
        <v>12</v>
      </c>
      <c r="B460" s="98"/>
      <c r="C460" s="54">
        <v>2</v>
      </c>
      <c r="D460" s="57">
        <f t="shared" si="72"/>
        <v>527.65128000000004</v>
      </c>
      <c r="E460" s="55">
        <v>0</v>
      </c>
      <c r="F460" s="55">
        <f>D460*(($F$179)+1)+(IF(E460&lt;101,E460,IF(E460&lt;201,E460/2,IF(E460&lt;=301,E460/3,E460/4))))</f>
        <v>817.85948400000007</v>
      </c>
      <c r="G460" s="103"/>
      <c r="H460" s="104"/>
      <c r="I460" s="35"/>
      <c r="J460" s="35"/>
    </row>
    <row r="461" spans="1:10" x14ac:dyDescent="0.25">
      <c r="A461" s="201" t="s">
        <v>64</v>
      </c>
      <c r="B461" s="201"/>
      <c r="C461" s="201"/>
      <c r="D461" s="201"/>
      <c r="E461" s="201"/>
      <c r="F461" s="201"/>
      <c r="G461" s="201"/>
      <c r="H461" s="201"/>
      <c r="I461" s="35"/>
      <c r="J461" s="35"/>
    </row>
    <row r="462" spans="1:10" ht="33.950000000000003" customHeight="1" x14ac:dyDescent="0.25">
      <c r="A462" s="58" t="s">
        <v>144</v>
      </c>
      <c r="B462" s="127" t="s">
        <v>269</v>
      </c>
      <c r="C462" s="128"/>
      <c r="D462" s="128"/>
      <c r="E462" s="128"/>
      <c r="F462" s="128"/>
      <c r="G462" s="128"/>
      <c r="H462" s="129"/>
      <c r="I462" s="35"/>
      <c r="J462" s="35"/>
    </row>
    <row r="463" spans="1:10" hidden="1" x14ac:dyDescent="0.25">
      <c r="A463" s="42" t="s">
        <v>144</v>
      </c>
      <c r="B463" s="127" t="s">
        <v>198</v>
      </c>
      <c r="C463" s="128"/>
      <c r="D463" s="128"/>
      <c r="E463" s="128"/>
      <c r="F463" s="128"/>
      <c r="G463" s="128"/>
      <c r="H463" s="129"/>
      <c r="I463" s="35"/>
      <c r="J463" s="35"/>
    </row>
    <row r="464" spans="1:10" x14ac:dyDescent="0.25">
      <c r="A464" s="42" t="s">
        <v>144</v>
      </c>
      <c r="B464" s="127" t="str">
        <f>(IF(F178="Saleable area Loading :","We have considered Saleable area of Flats as per our Calculation.","We considered Saleable area of Flat as per Builder area Sheet."))</f>
        <v>We have considered Saleable area of Flats as per our Calculation.</v>
      </c>
      <c r="C464" s="128"/>
      <c r="D464" s="128"/>
      <c r="E464" s="128"/>
      <c r="F464" s="128"/>
      <c r="G464" s="128"/>
      <c r="H464" s="129"/>
      <c r="I464" s="35"/>
      <c r="J464" s="35"/>
    </row>
    <row r="465" spans="1:20" x14ac:dyDescent="0.25">
      <c r="A465" s="42" t="s">
        <v>144</v>
      </c>
      <c r="B465" s="198" t="s">
        <v>114</v>
      </c>
      <c r="C465" s="199"/>
      <c r="D465" s="199"/>
      <c r="E465" s="199"/>
      <c r="F465" s="199"/>
      <c r="G465" s="199"/>
      <c r="H465" s="200"/>
      <c r="I465" s="35"/>
      <c r="J465" s="35"/>
    </row>
    <row r="466" spans="1:20" x14ac:dyDescent="0.25">
      <c r="A466" s="42" t="s">
        <v>144</v>
      </c>
      <c r="B466" s="198" t="s">
        <v>253</v>
      </c>
      <c r="C466" s="199"/>
      <c r="D466" s="199"/>
      <c r="E466" s="199"/>
      <c r="F466" s="199"/>
      <c r="G466" s="199"/>
      <c r="H466" s="200"/>
      <c r="I466" s="35"/>
      <c r="J466" s="35"/>
      <c r="N466" s="127" t="s">
        <v>168</v>
      </c>
      <c r="O466" s="128"/>
      <c r="P466" s="128"/>
      <c r="Q466" s="128"/>
      <c r="R466" s="128"/>
      <c r="S466" s="128"/>
      <c r="T466" s="129"/>
    </row>
    <row r="467" spans="1:20" x14ac:dyDescent="0.25">
      <c r="A467" s="42" t="s">
        <v>144</v>
      </c>
      <c r="B467" s="198" t="s">
        <v>143</v>
      </c>
      <c r="C467" s="199"/>
      <c r="D467" s="199"/>
      <c r="E467" s="199"/>
      <c r="F467" s="199"/>
      <c r="G467" s="199"/>
      <c r="H467" s="200"/>
      <c r="I467" s="35"/>
      <c r="J467" s="35"/>
    </row>
    <row r="468" spans="1:20" x14ac:dyDescent="0.25">
      <c r="A468" s="42" t="s">
        <v>144</v>
      </c>
      <c r="B468" s="198" t="s">
        <v>115</v>
      </c>
      <c r="C468" s="199"/>
      <c r="D468" s="199"/>
      <c r="E468" s="199"/>
      <c r="F468" s="199"/>
      <c r="G468" s="199"/>
      <c r="H468" s="200"/>
    </row>
    <row r="469" spans="1:20" ht="33.75" customHeight="1" x14ac:dyDescent="0.25">
      <c r="A469" s="42" t="s">
        <v>144</v>
      </c>
      <c r="B469" s="202" t="s">
        <v>145</v>
      </c>
      <c r="C469" s="202"/>
      <c r="D469" s="202"/>
      <c r="E469" s="202"/>
      <c r="F469" s="202"/>
      <c r="G469" s="202"/>
      <c r="H469" s="202"/>
    </row>
    <row r="470" spans="1:20" x14ac:dyDescent="0.25">
      <c r="A470" s="42" t="s">
        <v>144</v>
      </c>
      <c r="B470" s="202" t="s">
        <v>116</v>
      </c>
      <c r="C470" s="202"/>
      <c r="D470" s="202"/>
      <c r="E470" s="202"/>
      <c r="F470" s="202"/>
      <c r="G470" s="202"/>
      <c r="H470" s="202"/>
    </row>
    <row r="471" spans="1:20" x14ac:dyDescent="0.25">
      <c r="A471" s="42" t="s">
        <v>144</v>
      </c>
      <c r="B471" s="202" t="s">
        <v>206</v>
      </c>
      <c r="C471" s="202"/>
      <c r="D471" s="202"/>
      <c r="E471" s="202"/>
      <c r="F471" s="202"/>
      <c r="G471" s="202"/>
      <c r="H471" s="202"/>
    </row>
    <row r="472" spans="1:20" x14ac:dyDescent="0.25">
      <c r="A472" s="42" t="s">
        <v>144</v>
      </c>
      <c r="B472" s="202" t="s">
        <v>265</v>
      </c>
      <c r="C472" s="202"/>
      <c r="D472" s="202"/>
      <c r="E472" s="202"/>
      <c r="F472" s="202"/>
      <c r="G472" s="202"/>
      <c r="H472" s="202"/>
    </row>
    <row r="473" spans="1:20" x14ac:dyDescent="0.25">
      <c r="A473" s="42" t="s">
        <v>144</v>
      </c>
      <c r="B473" s="202" t="s">
        <v>217</v>
      </c>
      <c r="C473" s="202"/>
      <c r="D473" s="202"/>
      <c r="E473" s="202"/>
      <c r="F473" s="202"/>
      <c r="G473" s="202"/>
      <c r="H473" s="202"/>
    </row>
    <row r="474" spans="1:20" x14ac:dyDescent="0.25">
      <c r="A474" s="91" t="s">
        <v>144</v>
      </c>
      <c r="B474" s="97" t="s">
        <v>264</v>
      </c>
      <c r="C474" s="97"/>
      <c r="D474" s="97"/>
      <c r="E474" s="97"/>
      <c r="F474" s="97"/>
      <c r="G474" s="97"/>
      <c r="H474" s="97"/>
    </row>
    <row r="475" spans="1:20" x14ac:dyDescent="0.25">
      <c r="A475" s="96" t="s">
        <v>144</v>
      </c>
      <c r="B475" s="97" t="s">
        <v>251</v>
      </c>
      <c r="C475" s="97"/>
      <c r="D475" s="97"/>
      <c r="E475" s="97"/>
      <c r="F475" s="97"/>
      <c r="G475" s="97"/>
      <c r="H475" s="97"/>
    </row>
    <row r="476" spans="1:20" ht="33" customHeight="1" x14ac:dyDescent="0.25">
      <c r="A476" s="91" t="s">
        <v>144</v>
      </c>
      <c r="B476" s="97" t="s">
        <v>273</v>
      </c>
      <c r="C476" s="97"/>
      <c r="D476" s="97"/>
      <c r="E476" s="97"/>
      <c r="F476" s="97"/>
      <c r="G476" s="97"/>
      <c r="H476" s="97"/>
    </row>
    <row r="477" spans="1:20" x14ac:dyDescent="0.25">
      <c r="A477" s="230" t="s">
        <v>57</v>
      </c>
      <c r="B477" s="230"/>
      <c r="C477" s="230"/>
      <c r="D477" s="230"/>
      <c r="E477" s="230"/>
      <c r="F477" s="230"/>
      <c r="G477" s="230"/>
      <c r="H477" s="230"/>
    </row>
    <row r="478" spans="1:20" x14ac:dyDescent="0.25">
      <c r="A478" s="186" t="s">
        <v>58</v>
      </c>
      <c r="B478" s="186"/>
      <c r="C478" s="186"/>
      <c r="D478" s="186"/>
      <c r="E478" s="186"/>
      <c r="F478" s="186"/>
      <c r="G478" s="186"/>
      <c r="H478" s="186"/>
    </row>
    <row r="479" spans="1:20" x14ac:dyDescent="0.25">
      <c r="A479" s="270" t="s">
        <v>59</v>
      </c>
      <c r="B479" s="270"/>
      <c r="C479" s="270"/>
      <c r="D479" s="270"/>
      <c r="E479" s="270"/>
      <c r="F479" s="270"/>
      <c r="G479" s="270"/>
      <c r="H479" s="270"/>
    </row>
    <row r="480" spans="1:20" x14ac:dyDescent="0.25">
      <c r="A480" s="186" t="s">
        <v>60</v>
      </c>
      <c r="B480" s="186"/>
      <c r="C480" s="186"/>
      <c r="D480" s="186"/>
      <c r="E480" s="186"/>
      <c r="F480" s="186"/>
      <c r="G480" s="186"/>
      <c r="H480" s="186"/>
    </row>
    <row r="481" spans="1:8" x14ac:dyDescent="0.25">
      <c r="A481" s="186" t="s">
        <v>61</v>
      </c>
      <c r="B481" s="186"/>
      <c r="C481" s="186"/>
      <c r="D481" s="186"/>
      <c r="E481" s="186"/>
      <c r="F481" s="186"/>
      <c r="G481" s="186"/>
      <c r="H481" s="186"/>
    </row>
    <row r="482" spans="1:8" x14ac:dyDescent="0.25">
      <c r="A482" s="186" t="s">
        <v>117</v>
      </c>
      <c r="B482" s="186"/>
      <c r="C482" s="186"/>
      <c r="D482" s="186"/>
      <c r="E482" s="186"/>
      <c r="F482" s="186"/>
      <c r="G482" s="186"/>
      <c r="H482" s="186"/>
    </row>
    <row r="483" spans="1:8" x14ac:dyDescent="0.25">
      <c r="A483" s="219" t="s">
        <v>118</v>
      </c>
      <c r="B483" s="219"/>
      <c r="C483" s="219"/>
      <c r="D483" s="219"/>
      <c r="E483" s="219"/>
      <c r="F483" s="219"/>
      <c r="G483" s="219"/>
      <c r="H483" s="219"/>
    </row>
    <row r="484" spans="1:8" x14ac:dyDescent="0.25">
      <c r="A484" s="256" t="s">
        <v>72</v>
      </c>
      <c r="B484" s="256"/>
      <c r="C484" s="256" t="s">
        <v>200</v>
      </c>
      <c r="D484" s="256"/>
      <c r="E484" s="256" t="s">
        <v>97</v>
      </c>
      <c r="F484" s="256"/>
      <c r="G484" s="256" t="s">
        <v>271</v>
      </c>
      <c r="H484" s="256"/>
    </row>
    <row r="485" spans="1:8" x14ac:dyDescent="0.25">
      <c r="A485" s="255" t="s">
        <v>74</v>
      </c>
      <c r="B485" s="255"/>
      <c r="C485" s="255"/>
      <c r="D485" s="255"/>
      <c r="E485" s="255"/>
      <c r="F485" s="255"/>
      <c r="G485" s="255"/>
      <c r="H485" s="255"/>
    </row>
    <row r="486" spans="1:8" x14ac:dyDescent="0.25">
      <c r="A486" s="255"/>
      <c r="B486" s="255"/>
      <c r="C486" s="255"/>
      <c r="D486" s="255"/>
      <c r="E486" s="255"/>
      <c r="F486" s="255"/>
      <c r="G486" s="255"/>
      <c r="H486" s="255"/>
    </row>
    <row r="487" spans="1:8" x14ac:dyDescent="0.25">
      <c r="A487" s="255"/>
      <c r="B487" s="255"/>
      <c r="C487" s="255"/>
      <c r="D487" s="255"/>
      <c r="E487" s="255"/>
      <c r="F487" s="255"/>
      <c r="G487" s="255"/>
      <c r="H487" s="255"/>
    </row>
    <row r="488" spans="1:8" x14ac:dyDescent="0.25">
      <c r="A488" s="255"/>
      <c r="B488" s="255"/>
      <c r="C488" s="255"/>
      <c r="D488" s="255"/>
      <c r="E488" s="255"/>
      <c r="F488" s="255"/>
      <c r="G488" s="255"/>
      <c r="H488" s="255"/>
    </row>
    <row r="489" spans="1:8" x14ac:dyDescent="0.25">
      <c r="A489" s="37" t="s">
        <v>62</v>
      </c>
      <c r="B489" s="38"/>
      <c r="C489" s="38"/>
      <c r="D489" s="37" t="str">
        <f>E8</f>
        <v>Lodha Crown Kolshet - Tower 1 to 4</v>
      </c>
      <c r="F489" s="38"/>
      <c r="G489" s="38"/>
      <c r="H489" s="38"/>
    </row>
    <row r="490" spans="1:8" x14ac:dyDescent="0.25">
      <c r="A490" s="38"/>
      <c r="B490" s="38"/>
      <c r="C490" s="38"/>
      <c r="D490" s="38"/>
      <c r="E490" s="38"/>
      <c r="F490" s="38"/>
      <c r="G490" s="38"/>
      <c r="H490" s="38"/>
    </row>
    <row r="491" spans="1:8" x14ac:dyDescent="0.25">
      <c r="A491" s="38"/>
      <c r="B491" s="38"/>
      <c r="C491" s="38"/>
      <c r="D491" s="38"/>
      <c r="E491" s="38"/>
      <c r="F491" s="38"/>
      <c r="G491" s="38"/>
      <c r="H491" s="38"/>
    </row>
    <row r="510" ht="15" customHeight="1" x14ac:dyDescent="0.25"/>
    <row r="528" spans="1:8" x14ac:dyDescent="0.25">
      <c r="A528" s="37"/>
      <c r="B528" s="38"/>
      <c r="C528" s="38"/>
      <c r="D528" s="37"/>
      <c r="F528" s="38"/>
      <c r="G528" s="38"/>
      <c r="H528" s="38"/>
    </row>
    <row r="529" spans="1:8" x14ac:dyDescent="0.25">
      <c r="A529" s="38"/>
      <c r="B529" s="38"/>
      <c r="C529" s="38"/>
      <c r="D529" s="38"/>
      <c r="E529" s="38"/>
      <c r="F529" s="38"/>
      <c r="G529" s="38"/>
      <c r="H529" s="38"/>
    </row>
    <row r="530" spans="1:8" x14ac:dyDescent="0.25">
      <c r="A530" s="38"/>
      <c r="B530" s="38"/>
      <c r="C530" s="38"/>
      <c r="D530" s="38"/>
      <c r="E530" s="38"/>
      <c r="F530" s="38"/>
      <c r="G530" s="38"/>
      <c r="H530" s="38"/>
    </row>
    <row r="532" spans="1:8" x14ac:dyDescent="0.25">
      <c r="A532" s="40" t="s">
        <v>199</v>
      </c>
    </row>
    <row r="566" spans="1:1" x14ac:dyDescent="0.25">
      <c r="A566" s="40" t="s">
        <v>63</v>
      </c>
    </row>
  </sheetData>
  <mergeCells count="881">
    <mergeCell ref="A394:B394"/>
    <mergeCell ref="L394:M394"/>
    <mergeCell ref="A395:B395"/>
    <mergeCell ref="L395:M395"/>
    <mergeCell ref="A396:B396"/>
    <mergeCell ref="L396:M396"/>
    <mergeCell ref="L389:M389"/>
    <mergeCell ref="A390:B390"/>
    <mergeCell ref="L390:M390"/>
    <mergeCell ref="A391:B391"/>
    <mergeCell ref="L391:M391"/>
    <mergeCell ref="A392:B392"/>
    <mergeCell ref="C392:F392"/>
    <mergeCell ref="L392:M392"/>
    <mergeCell ref="A393:B393"/>
    <mergeCell ref="L393:M393"/>
    <mergeCell ref="A379:B379"/>
    <mergeCell ref="L379:M379"/>
    <mergeCell ref="A375:B375"/>
    <mergeCell ref="L375:M375"/>
    <mergeCell ref="C375:F375"/>
    <mergeCell ref="A380:H380"/>
    <mergeCell ref="L380:M380"/>
    <mergeCell ref="A381:B381"/>
    <mergeCell ref="G381:H396"/>
    <mergeCell ref="L381:M381"/>
    <mergeCell ref="A382:B382"/>
    <mergeCell ref="L382:M382"/>
    <mergeCell ref="A383:B383"/>
    <mergeCell ref="A384:B384"/>
    <mergeCell ref="L384:M384"/>
    <mergeCell ref="A385:B385"/>
    <mergeCell ref="L385:M385"/>
    <mergeCell ref="A386:B386"/>
    <mergeCell ref="L386:M386"/>
    <mergeCell ref="A387:B387"/>
    <mergeCell ref="L387:M387"/>
    <mergeCell ref="A388:B388"/>
    <mergeCell ref="L388:M388"/>
    <mergeCell ref="A389:B389"/>
    <mergeCell ref="A373:B373"/>
    <mergeCell ref="L373:M373"/>
    <mergeCell ref="A374:B374"/>
    <mergeCell ref="L374:M374"/>
    <mergeCell ref="A376:B376"/>
    <mergeCell ref="L376:M376"/>
    <mergeCell ref="A377:B377"/>
    <mergeCell ref="L377:M377"/>
    <mergeCell ref="A378:B378"/>
    <mergeCell ref="L378:M378"/>
    <mergeCell ref="L361:M361"/>
    <mergeCell ref="A362:B362"/>
    <mergeCell ref="L362:M362"/>
    <mergeCell ref="G348:H362"/>
    <mergeCell ref="A363:H363"/>
    <mergeCell ref="L363:M363"/>
    <mergeCell ref="A364:B364"/>
    <mergeCell ref="G364:H379"/>
    <mergeCell ref="L364:M364"/>
    <mergeCell ref="A365:B365"/>
    <mergeCell ref="L365:M365"/>
    <mergeCell ref="A366:B366"/>
    <mergeCell ref="A367:B367"/>
    <mergeCell ref="L367:M367"/>
    <mergeCell ref="A368:B368"/>
    <mergeCell ref="L368:M368"/>
    <mergeCell ref="A369:B369"/>
    <mergeCell ref="L369:M369"/>
    <mergeCell ref="A370:B370"/>
    <mergeCell ref="L370:M370"/>
    <mergeCell ref="A371:B371"/>
    <mergeCell ref="L371:M371"/>
    <mergeCell ref="A372:B372"/>
    <mergeCell ref="L372:M372"/>
    <mergeCell ref="L356:M356"/>
    <mergeCell ref="A357:B357"/>
    <mergeCell ref="L357:M357"/>
    <mergeCell ref="A358:B358"/>
    <mergeCell ref="L358:M358"/>
    <mergeCell ref="A359:B359"/>
    <mergeCell ref="L359:M359"/>
    <mergeCell ref="A360:B360"/>
    <mergeCell ref="L360:M360"/>
    <mergeCell ref="A356:B356"/>
    <mergeCell ref="L351:M351"/>
    <mergeCell ref="A352:B352"/>
    <mergeCell ref="L352:M352"/>
    <mergeCell ref="A353:B353"/>
    <mergeCell ref="L353:M353"/>
    <mergeCell ref="A354:B354"/>
    <mergeCell ref="L354:M354"/>
    <mergeCell ref="A355:B355"/>
    <mergeCell ref="L355:M355"/>
    <mergeCell ref="A351:B351"/>
    <mergeCell ref="A51:B51"/>
    <mergeCell ref="C335:F335"/>
    <mergeCell ref="C341:F341"/>
    <mergeCell ref="C345:F345"/>
    <mergeCell ref="A347:H347"/>
    <mergeCell ref="L347:M347"/>
    <mergeCell ref="A348:B348"/>
    <mergeCell ref="L348:M348"/>
    <mergeCell ref="A349:B349"/>
    <mergeCell ref="L349:M349"/>
    <mergeCell ref="A56:B57"/>
    <mergeCell ref="C56:E56"/>
    <mergeCell ref="G56:H56"/>
    <mergeCell ref="C57:H57"/>
    <mergeCell ref="L148:M148"/>
    <mergeCell ref="A167:B167"/>
    <mergeCell ref="A174:B174"/>
    <mergeCell ref="L158:M158"/>
    <mergeCell ref="A175:B175"/>
    <mergeCell ref="L159:M159"/>
    <mergeCell ref="A178:A179"/>
    <mergeCell ref="L152:M152"/>
    <mergeCell ref="A170:B170"/>
    <mergeCell ref="L153:M153"/>
    <mergeCell ref="L399:M399"/>
    <mergeCell ref="A426:B426"/>
    <mergeCell ref="A422:B422"/>
    <mergeCell ref="A423:B423"/>
    <mergeCell ref="A425:B425"/>
    <mergeCell ref="L320:M320"/>
    <mergeCell ref="L317:M317"/>
    <mergeCell ref="L180:M180"/>
    <mergeCell ref="A197:B197"/>
    <mergeCell ref="L181:M181"/>
    <mergeCell ref="A198:B198"/>
    <mergeCell ref="L182:M182"/>
    <mergeCell ref="A199:B199"/>
    <mergeCell ref="L183:M183"/>
    <mergeCell ref="A200:B200"/>
    <mergeCell ref="L184:M184"/>
    <mergeCell ref="A399:H399"/>
    <mergeCell ref="L185:M185"/>
    <mergeCell ref="L201:M201"/>
    <mergeCell ref="A218:B218"/>
    <mergeCell ref="A190:B190"/>
    <mergeCell ref="A186:H186"/>
    <mergeCell ref="A202:B202"/>
    <mergeCell ref="L192:M192"/>
    <mergeCell ref="L155:M155"/>
    <mergeCell ref="A172:B172"/>
    <mergeCell ref="L156:M156"/>
    <mergeCell ref="A173:B173"/>
    <mergeCell ref="L157:M157"/>
    <mergeCell ref="A165:B165"/>
    <mergeCell ref="L149:M149"/>
    <mergeCell ref="L151:M151"/>
    <mergeCell ref="A169:B169"/>
    <mergeCell ref="A168:B168"/>
    <mergeCell ref="L167:M167"/>
    <mergeCell ref="L172:M172"/>
    <mergeCell ref="L173:M173"/>
    <mergeCell ref="L169:M169"/>
    <mergeCell ref="L171:M171"/>
    <mergeCell ref="L168:M168"/>
    <mergeCell ref="L174:M174"/>
    <mergeCell ref="E153:F153"/>
    <mergeCell ref="G148:H148"/>
    <mergeCell ref="G151:H151"/>
    <mergeCell ref="L143:M143"/>
    <mergeCell ref="A163:B163"/>
    <mergeCell ref="L144:M144"/>
    <mergeCell ref="A164:B164"/>
    <mergeCell ref="L145:M145"/>
    <mergeCell ref="B157:B158"/>
    <mergeCell ref="C157:C158"/>
    <mergeCell ref="D157:D158"/>
    <mergeCell ref="E157:E158"/>
    <mergeCell ref="G157:H158"/>
    <mergeCell ref="A159:H159"/>
    <mergeCell ref="A160:H160"/>
    <mergeCell ref="A161:H161"/>
    <mergeCell ref="A162:B162"/>
    <mergeCell ref="A149:A152"/>
    <mergeCell ref="C152:D152"/>
    <mergeCell ref="E152:F152"/>
    <mergeCell ref="G152:H152"/>
    <mergeCell ref="A154:B154"/>
    <mergeCell ref="C154:D154"/>
    <mergeCell ref="L147:M147"/>
    <mergeCell ref="L160:M160"/>
    <mergeCell ref="C150:D150"/>
    <mergeCell ref="A146:B146"/>
    <mergeCell ref="E41:H41"/>
    <mergeCell ref="A41:D41"/>
    <mergeCell ref="A482:H482"/>
    <mergeCell ref="A479:H479"/>
    <mergeCell ref="A421:B421"/>
    <mergeCell ref="A148:B148"/>
    <mergeCell ref="D178:D179"/>
    <mergeCell ref="E178:E179"/>
    <mergeCell ref="G178:H179"/>
    <mergeCell ref="A123:B123"/>
    <mergeCell ref="A124:B124"/>
    <mergeCell ref="A125:B125"/>
    <mergeCell ref="A115:B115"/>
    <mergeCell ref="C115:H115"/>
    <mergeCell ref="A82:B82"/>
    <mergeCell ref="F130:H130"/>
    <mergeCell ref="A48:B48"/>
    <mergeCell ref="C48:E48"/>
    <mergeCell ref="A157:A158"/>
    <mergeCell ref="B473:H473"/>
    <mergeCell ref="B468:H468"/>
    <mergeCell ref="B464:H464"/>
    <mergeCell ref="D64:H64"/>
    <mergeCell ref="A166:B166"/>
    <mergeCell ref="A52:B53"/>
    <mergeCell ref="C52:E52"/>
    <mergeCell ref="G52:H52"/>
    <mergeCell ref="C53:H53"/>
    <mergeCell ref="A78:B78"/>
    <mergeCell ref="A80:B80"/>
    <mergeCell ref="E76:F76"/>
    <mergeCell ref="D70:H70"/>
    <mergeCell ref="A71:C71"/>
    <mergeCell ref="D71:H71"/>
    <mergeCell ref="A77:B77"/>
    <mergeCell ref="G76:H76"/>
    <mergeCell ref="A69:C69"/>
    <mergeCell ref="A60:C60"/>
    <mergeCell ref="D60:H60"/>
    <mergeCell ref="G54:H54"/>
    <mergeCell ref="A54:B55"/>
    <mergeCell ref="C55:H55"/>
    <mergeCell ref="D69:H69"/>
    <mergeCell ref="A72:C72"/>
    <mergeCell ref="D72:H72"/>
    <mergeCell ref="A70:C70"/>
    <mergeCell ref="A67:C67"/>
    <mergeCell ref="D66:H66"/>
    <mergeCell ref="A118:B118"/>
    <mergeCell ref="E118:F118"/>
    <mergeCell ref="G118:H118"/>
    <mergeCell ref="A119:B119"/>
    <mergeCell ref="A97:B97"/>
    <mergeCell ref="A98:B98"/>
    <mergeCell ref="A99:B99"/>
    <mergeCell ref="A117:B117"/>
    <mergeCell ref="C117:H117"/>
    <mergeCell ref="A87:B87"/>
    <mergeCell ref="C87:H87"/>
    <mergeCell ref="A89:B89"/>
    <mergeCell ref="C89:H89"/>
    <mergeCell ref="A90:B90"/>
    <mergeCell ref="E90:F90"/>
    <mergeCell ref="G90:H90"/>
    <mergeCell ref="A91:B91"/>
    <mergeCell ref="E91:F100"/>
    <mergeCell ref="G91:H100"/>
    <mergeCell ref="A92:B92"/>
    <mergeCell ref="B470:H470"/>
    <mergeCell ref="B462:H462"/>
    <mergeCell ref="A86:B86"/>
    <mergeCell ref="B472:H472"/>
    <mergeCell ref="B471:H471"/>
    <mergeCell ref="C149:D149"/>
    <mergeCell ref="E149:F149"/>
    <mergeCell ref="G149:H149"/>
    <mergeCell ref="A155:H155"/>
    <mergeCell ref="A177:H177"/>
    <mergeCell ref="E119:F128"/>
    <mergeCell ref="A126:B126"/>
    <mergeCell ref="A127:B127"/>
    <mergeCell ref="A128:B128"/>
    <mergeCell ref="F129:H129"/>
    <mergeCell ref="F134:H134"/>
    <mergeCell ref="A132:E132"/>
    <mergeCell ref="A129:E129"/>
    <mergeCell ref="A183:B183"/>
    <mergeCell ref="A188:B188"/>
    <mergeCell ref="A189:B189"/>
    <mergeCell ref="A207:B207"/>
    <mergeCell ref="A222:B222"/>
    <mergeCell ref="G183:H185"/>
    <mergeCell ref="E12:H12"/>
    <mergeCell ref="A13:D13"/>
    <mergeCell ref="A9:D9"/>
    <mergeCell ref="D63:H63"/>
    <mergeCell ref="A50:B50"/>
    <mergeCell ref="C50:E50"/>
    <mergeCell ref="G50:H50"/>
    <mergeCell ref="A485:H488"/>
    <mergeCell ref="A484:B484"/>
    <mergeCell ref="E484:F484"/>
    <mergeCell ref="C484:D484"/>
    <mergeCell ref="G484:H484"/>
    <mergeCell ref="A141:E141"/>
    <mergeCell ref="F141:H141"/>
    <mergeCell ref="A142:E142"/>
    <mergeCell ref="F142:H142"/>
    <mergeCell ref="A420:H420"/>
    <mergeCell ref="A480:H480"/>
    <mergeCell ref="A147:H147"/>
    <mergeCell ref="A483:H483"/>
    <mergeCell ref="A481:H481"/>
    <mergeCell ref="A477:H477"/>
    <mergeCell ref="A478:H478"/>
    <mergeCell ref="E148:F148"/>
    <mergeCell ref="C20:D20"/>
    <mergeCell ref="E20:F20"/>
    <mergeCell ref="G20:H2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G48:H48"/>
    <mergeCell ref="A62:C65"/>
    <mergeCell ref="A42:D42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A58:H58"/>
    <mergeCell ref="A59:C59"/>
    <mergeCell ref="D67:H67"/>
    <mergeCell ref="A36:H36"/>
    <mergeCell ref="A35:B35"/>
    <mergeCell ref="C35:E35"/>
    <mergeCell ref="A40:D40"/>
    <mergeCell ref="E40:H40"/>
    <mergeCell ref="F32:H32"/>
    <mergeCell ref="F33:H33"/>
    <mergeCell ref="A39:H39"/>
    <mergeCell ref="A66:C66"/>
    <mergeCell ref="F35:H35"/>
    <mergeCell ref="A37:B37"/>
    <mergeCell ref="A44:D44"/>
    <mergeCell ref="A45:D45"/>
    <mergeCell ref="A46:H46"/>
    <mergeCell ref="D61:H61"/>
    <mergeCell ref="A61:C61"/>
    <mergeCell ref="G49:H49"/>
    <mergeCell ref="G51:H51"/>
    <mergeCell ref="D59:H59"/>
    <mergeCell ref="C51:E51"/>
    <mergeCell ref="C37:H37"/>
    <mergeCell ref="A361:B361"/>
    <mergeCell ref="E42:H42"/>
    <mergeCell ref="E43:H43"/>
    <mergeCell ref="E44:H44"/>
    <mergeCell ref="E45:H45"/>
    <mergeCell ref="A43:D43"/>
    <mergeCell ref="A84:B84"/>
    <mergeCell ref="A83:B83"/>
    <mergeCell ref="A76:B76"/>
    <mergeCell ref="A79:B79"/>
    <mergeCell ref="A75:B75"/>
    <mergeCell ref="A73:B73"/>
    <mergeCell ref="C73:H73"/>
    <mergeCell ref="A81:B81"/>
    <mergeCell ref="A68:C68"/>
    <mergeCell ref="D68:H68"/>
    <mergeCell ref="C75:H75"/>
    <mergeCell ref="D62:H62"/>
    <mergeCell ref="D65:H65"/>
    <mergeCell ref="C49:E49"/>
    <mergeCell ref="C54:E54"/>
    <mergeCell ref="A49:B49"/>
    <mergeCell ref="A95:B95"/>
    <mergeCell ref="A96:B96"/>
    <mergeCell ref="A100:B100"/>
    <mergeCell ref="E77:F86"/>
    <mergeCell ref="G77:H86"/>
    <mergeCell ref="A85:B85"/>
    <mergeCell ref="A182:H182"/>
    <mergeCell ref="A135:E135"/>
    <mergeCell ref="F135:H135"/>
    <mergeCell ref="A136:E136"/>
    <mergeCell ref="A138:E138"/>
    <mergeCell ref="A137:E137"/>
    <mergeCell ref="F136:H136"/>
    <mergeCell ref="C146:D146"/>
    <mergeCell ref="A180:H180"/>
    <mergeCell ref="A181:H181"/>
    <mergeCell ref="A171:B171"/>
    <mergeCell ref="B469:H469"/>
    <mergeCell ref="A47:B47"/>
    <mergeCell ref="C47:H47"/>
    <mergeCell ref="B467:H467"/>
    <mergeCell ref="G119:H128"/>
    <mergeCell ref="A120:B120"/>
    <mergeCell ref="A121:B121"/>
    <mergeCell ref="A122:B122"/>
    <mergeCell ref="F131:H131"/>
    <mergeCell ref="A131:E131"/>
    <mergeCell ref="A133:E133"/>
    <mergeCell ref="F133:H133"/>
    <mergeCell ref="F139:H139"/>
    <mergeCell ref="A403:B403"/>
    <mergeCell ref="A140:E140"/>
    <mergeCell ref="G153:H153"/>
    <mergeCell ref="C151:D151"/>
    <mergeCell ref="E151:F151"/>
    <mergeCell ref="C400:F400"/>
    <mergeCell ref="A257:B257"/>
    <mergeCell ref="A263:H263"/>
    <mergeCell ref="A264:B264"/>
    <mergeCell ref="B465:H465"/>
    <mergeCell ref="A400:B400"/>
    <mergeCell ref="B466:H466"/>
    <mergeCell ref="A461:H461"/>
    <mergeCell ref="B178:B179"/>
    <mergeCell ref="L175:M175"/>
    <mergeCell ref="A192:B192"/>
    <mergeCell ref="L176:M176"/>
    <mergeCell ref="A193:B193"/>
    <mergeCell ref="L177:M177"/>
    <mergeCell ref="A194:B194"/>
    <mergeCell ref="L178:M178"/>
    <mergeCell ref="L179:M179"/>
    <mergeCell ref="L217:M217"/>
    <mergeCell ref="A213:B213"/>
    <mergeCell ref="A214:B214"/>
    <mergeCell ref="L213:M213"/>
    <mergeCell ref="A231:B231"/>
    <mergeCell ref="L215:M215"/>
    <mergeCell ref="A232:B232"/>
    <mergeCell ref="L216:M216"/>
    <mergeCell ref="A226:B226"/>
    <mergeCell ref="L233:M233"/>
    <mergeCell ref="A221:B221"/>
    <mergeCell ref="L195:M195"/>
    <mergeCell ref="A212:B212"/>
    <mergeCell ref="A16:B16"/>
    <mergeCell ref="C16:H16"/>
    <mergeCell ref="A38:B38"/>
    <mergeCell ref="C38:H38"/>
    <mergeCell ref="F137:H137"/>
    <mergeCell ref="F140:H140"/>
    <mergeCell ref="F138:H138"/>
    <mergeCell ref="A139:E139"/>
    <mergeCell ref="C178:C179"/>
    <mergeCell ref="C153:D153"/>
    <mergeCell ref="G150:H150"/>
    <mergeCell ref="A176:B176"/>
    <mergeCell ref="E154:F154"/>
    <mergeCell ref="G154:H154"/>
    <mergeCell ref="E150:F150"/>
    <mergeCell ref="E146:F146"/>
    <mergeCell ref="G146:H146"/>
    <mergeCell ref="G162:H176"/>
    <mergeCell ref="F132:H132"/>
    <mergeCell ref="A134:E134"/>
    <mergeCell ref="A130:E130"/>
    <mergeCell ref="C148:D148"/>
    <mergeCell ref="A93:B93"/>
    <mergeCell ref="A94:B94"/>
    <mergeCell ref="L204:M204"/>
    <mergeCell ref="L205:M205"/>
    <mergeCell ref="L203:M203"/>
    <mergeCell ref="A203:B203"/>
    <mergeCell ref="A204:B204"/>
    <mergeCell ref="L202:M202"/>
    <mergeCell ref="L191:M191"/>
    <mergeCell ref="A208:B208"/>
    <mergeCell ref="L200:M200"/>
    <mergeCell ref="L190:M190"/>
    <mergeCell ref="L186:M186"/>
    <mergeCell ref="L187:M187"/>
    <mergeCell ref="L188:M188"/>
    <mergeCell ref="A195:B195"/>
    <mergeCell ref="L196:M196"/>
    <mergeCell ref="L197:M197"/>
    <mergeCell ref="L198:M198"/>
    <mergeCell ref="L199:M199"/>
    <mergeCell ref="L193:M193"/>
    <mergeCell ref="L194:M194"/>
    <mergeCell ref="A191:B191"/>
    <mergeCell ref="A187:B187"/>
    <mergeCell ref="L219:M219"/>
    <mergeCell ref="L206:M206"/>
    <mergeCell ref="A223:B223"/>
    <mergeCell ref="L207:M207"/>
    <mergeCell ref="G206:H223"/>
    <mergeCell ref="A210:B210"/>
    <mergeCell ref="A215:B215"/>
    <mergeCell ref="A216:B216"/>
    <mergeCell ref="A217:B217"/>
    <mergeCell ref="A219:B219"/>
    <mergeCell ref="L220:M220"/>
    <mergeCell ref="L218:M218"/>
    <mergeCell ref="L214:M214"/>
    <mergeCell ref="L211:M211"/>
    <mergeCell ref="L221:M221"/>
    <mergeCell ref="L212:M212"/>
    <mergeCell ref="L209:M209"/>
    <mergeCell ref="L210:M210"/>
    <mergeCell ref="L222:M222"/>
    <mergeCell ref="A211:B211"/>
    <mergeCell ref="A206:B206"/>
    <mergeCell ref="A209:B209"/>
    <mergeCell ref="L223:M223"/>
    <mergeCell ref="L224:M224"/>
    <mergeCell ref="G225:H242"/>
    <mergeCell ref="L228:M228"/>
    <mergeCell ref="L225:M225"/>
    <mergeCell ref="L226:M226"/>
    <mergeCell ref="A227:B227"/>
    <mergeCell ref="A228:B228"/>
    <mergeCell ref="A235:B235"/>
    <mergeCell ref="A229:B229"/>
    <mergeCell ref="A234:B234"/>
    <mergeCell ref="A230:B230"/>
    <mergeCell ref="A241:B241"/>
    <mergeCell ref="L234:M234"/>
    <mergeCell ref="L235:M235"/>
    <mergeCell ref="L236:M236"/>
    <mergeCell ref="A236:B236"/>
    <mergeCell ref="A242:B242"/>
    <mergeCell ref="C239:F239"/>
    <mergeCell ref="A237:B237"/>
    <mergeCell ref="L241:M241"/>
    <mergeCell ref="L242:M242"/>
    <mergeCell ref="L238:M238"/>
    <mergeCell ref="L239:M239"/>
    <mergeCell ref="L240:M240"/>
    <mergeCell ref="A350:B350"/>
    <mergeCell ref="L262:M262"/>
    <mergeCell ref="A250:B250"/>
    <mergeCell ref="A251:B251"/>
    <mergeCell ref="A252:B252"/>
    <mergeCell ref="A245:B245"/>
    <mergeCell ref="A246:B246"/>
    <mergeCell ref="L250:M250"/>
    <mergeCell ref="L245:M245"/>
    <mergeCell ref="L259:M259"/>
    <mergeCell ref="L260:M260"/>
    <mergeCell ref="L261:M261"/>
    <mergeCell ref="A256:B256"/>
    <mergeCell ref="L266:M266"/>
    <mergeCell ref="L296:M296"/>
    <mergeCell ref="L297:M297"/>
    <mergeCell ref="A326:B326"/>
    <mergeCell ref="L254:M254"/>
    <mergeCell ref="L255:M255"/>
    <mergeCell ref="A314:B314"/>
    <mergeCell ref="A315:B315"/>
    <mergeCell ref="A316:B316"/>
    <mergeCell ref="A320:B320"/>
    <mergeCell ref="A321:B321"/>
    <mergeCell ref="A238:B238"/>
    <mergeCell ref="L323:M323"/>
    <mergeCell ref="L322:M322"/>
    <mergeCell ref="A239:B239"/>
    <mergeCell ref="A427:B427"/>
    <mergeCell ref="A428:B428"/>
    <mergeCell ref="A429:B429"/>
    <mergeCell ref="A430:B430"/>
    <mergeCell ref="L324:M324"/>
    <mergeCell ref="G332:H346"/>
    <mergeCell ref="A397:H397"/>
    <mergeCell ref="A398:H398"/>
    <mergeCell ref="A406:B406"/>
    <mergeCell ref="A401:B401"/>
    <mergeCell ref="A402:B402"/>
    <mergeCell ref="A327:B327"/>
    <mergeCell ref="A328:B328"/>
    <mergeCell ref="G400:H406"/>
    <mergeCell ref="A324:B324"/>
    <mergeCell ref="A325:B325"/>
    <mergeCell ref="C324:F324"/>
    <mergeCell ref="G312:H329"/>
    <mergeCell ref="A313:B313"/>
    <mergeCell ref="L251:M251"/>
    <mergeCell ref="A444:B444"/>
    <mergeCell ref="A445:B445"/>
    <mergeCell ref="A446:B446"/>
    <mergeCell ref="A432:B432"/>
    <mergeCell ref="A405:B405"/>
    <mergeCell ref="A404:B404"/>
    <mergeCell ref="A433:B433"/>
    <mergeCell ref="G421:H433"/>
    <mergeCell ref="C425:F425"/>
    <mergeCell ref="A408:B408"/>
    <mergeCell ref="G408:H419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07:H407"/>
    <mergeCell ref="A424:B424"/>
    <mergeCell ref="B463:H463"/>
    <mergeCell ref="C415:F419"/>
    <mergeCell ref="C408:F408"/>
    <mergeCell ref="A447:H447"/>
    <mergeCell ref="L426:M426"/>
    <mergeCell ref="A448:B448"/>
    <mergeCell ref="G448:H460"/>
    <mergeCell ref="A449:B449"/>
    <mergeCell ref="A450:B450"/>
    <mergeCell ref="A451:B451"/>
    <mergeCell ref="A452:B452"/>
    <mergeCell ref="C452:F452"/>
    <mergeCell ref="A453:B453"/>
    <mergeCell ref="A454:B454"/>
    <mergeCell ref="A455:B455"/>
    <mergeCell ref="A456:B456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C258:F258"/>
    <mergeCell ref="A259:B259"/>
    <mergeCell ref="L286:M286"/>
    <mergeCell ref="A290:B290"/>
    <mergeCell ref="L289:M289"/>
    <mergeCell ref="A286:B286"/>
    <mergeCell ref="A287:B287"/>
    <mergeCell ref="L287:M287"/>
    <mergeCell ref="L280:M280"/>
    <mergeCell ref="L281:M281"/>
    <mergeCell ref="L288:M288"/>
    <mergeCell ref="A271:B271"/>
    <mergeCell ref="A276:B276"/>
    <mergeCell ref="G264:H272"/>
    <mergeCell ref="A288:B288"/>
    <mergeCell ref="L282:M282"/>
    <mergeCell ref="L283:M283"/>
    <mergeCell ref="L290:M290"/>
    <mergeCell ref="L243:M243"/>
    <mergeCell ref="A260:B260"/>
    <mergeCell ref="L244:M244"/>
    <mergeCell ref="L248:M248"/>
    <mergeCell ref="L249:M249"/>
    <mergeCell ref="L267:M267"/>
    <mergeCell ref="L268:M268"/>
    <mergeCell ref="A285:B285"/>
    <mergeCell ref="L269:M269"/>
    <mergeCell ref="L284:M284"/>
    <mergeCell ref="L285:M285"/>
    <mergeCell ref="L279:M279"/>
    <mergeCell ref="A282:B282"/>
    <mergeCell ref="A279:B279"/>
    <mergeCell ref="A283:B283"/>
    <mergeCell ref="A280:B280"/>
    <mergeCell ref="A281:B281"/>
    <mergeCell ref="A266:B266"/>
    <mergeCell ref="A278:B278"/>
    <mergeCell ref="G274:H291"/>
    <mergeCell ref="L277:M277"/>
    <mergeCell ref="L278:M278"/>
    <mergeCell ref="A275:B275"/>
    <mergeCell ref="L275:M275"/>
    <mergeCell ref="L229:M229"/>
    <mergeCell ref="L230:M230"/>
    <mergeCell ref="A247:B247"/>
    <mergeCell ref="L231:M231"/>
    <mergeCell ref="A248:B248"/>
    <mergeCell ref="L232:M232"/>
    <mergeCell ref="L256:M256"/>
    <mergeCell ref="A273:H273"/>
    <mergeCell ref="A274:B274"/>
    <mergeCell ref="L258:M258"/>
    <mergeCell ref="C269:F270"/>
    <mergeCell ref="L272:M272"/>
    <mergeCell ref="A253:B253"/>
    <mergeCell ref="L237:M237"/>
    <mergeCell ref="L252:M252"/>
    <mergeCell ref="A269:B269"/>
    <mergeCell ref="L253:M253"/>
    <mergeCell ref="L273:M273"/>
    <mergeCell ref="L274:M274"/>
    <mergeCell ref="L263:M263"/>
    <mergeCell ref="L264:M264"/>
    <mergeCell ref="L265:M265"/>
    <mergeCell ref="L270:M270"/>
    <mergeCell ref="L271:M271"/>
    <mergeCell ref="L291:M291"/>
    <mergeCell ref="A284:B284"/>
    <mergeCell ref="A267:B267"/>
    <mergeCell ref="A268:B268"/>
    <mergeCell ref="L298:M298"/>
    <mergeCell ref="A291:B291"/>
    <mergeCell ref="L293:M293"/>
    <mergeCell ref="L294:M294"/>
    <mergeCell ref="G293:H310"/>
    <mergeCell ref="A292:H292"/>
    <mergeCell ref="A293:B293"/>
    <mergeCell ref="A294:B294"/>
    <mergeCell ref="L292:M292"/>
    <mergeCell ref="A304:B304"/>
    <mergeCell ref="L299:M299"/>
    <mergeCell ref="L300:M300"/>
    <mergeCell ref="A298:B298"/>
    <mergeCell ref="L301:M301"/>
    <mergeCell ref="A296:B296"/>
    <mergeCell ref="A297:B297"/>
    <mergeCell ref="L302:M302"/>
    <mergeCell ref="A319:B319"/>
    <mergeCell ref="L303:M303"/>
    <mergeCell ref="A309:B309"/>
    <mergeCell ref="A301:B301"/>
    <mergeCell ref="A302:B302"/>
    <mergeCell ref="A303:B303"/>
    <mergeCell ref="A305:B305"/>
    <mergeCell ref="L318:M318"/>
    <mergeCell ref="L319:M319"/>
    <mergeCell ref="L310:M310"/>
    <mergeCell ref="L311:M311"/>
    <mergeCell ref="L312:M312"/>
    <mergeCell ref="L304:M304"/>
    <mergeCell ref="L305:M305"/>
    <mergeCell ref="L306:M306"/>
    <mergeCell ref="A310:B310"/>
    <mergeCell ref="A308:B308"/>
    <mergeCell ref="L308:M308"/>
    <mergeCell ref="L309:M309"/>
    <mergeCell ref="A311:H311"/>
    <mergeCell ref="A312:B312"/>
    <mergeCell ref="A306:B306"/>
    <mergeCell ref="L307:M307"/>
    <mergeCell ref="A307:B307"/>
    <mergeCell ref="C144:D144"/>
    <mergeCell ref="A225:B225"/>
    <mergeCell ref="A233:B233"/>
    <mergeCell ref="A220:B220"/>
    <mergeCell ref="A156:H156"/>
    <mergeCell ref="A153:B153"/>
    <mergeCell ref="A318:B318"/>
    <mergeCell ref="A295:B295"/>
    <mergeCell ref="A277:B277"/>
    <mergeCell ref="A270:B270"/>
    <mergeCell ref="C305:F305"/>
    <mergeCell ref="A272:B272"/>
    <mergeCell ref="A196:B196"/>
    <mergeCell ref="A201:B201"/>
    <mergeCell ref="A205:H205"/>
    <mergeCell ref="G187:H204"/>
    <mergeCell ref="A185:B185"/>
    <mergeCell ref="A184:B184"/>
    <mergeCell ref="A299:B299"/>
    <mergeCell ref="A240:B240"/>
    <mergeCell ref="A254:B254"/>
    <mergeCell ref="A255:B255"/>
    <mergeCell ref="A261:B261"/>
    <mergeCell ref="A258:B258"/>
    <mergeCell ref="L413:M413"/>
    <mergeCell ref="B476:H476"/>
    <mergeCell ref="A101:B101"/>
    <mergeCell ref="C101:H101"/>
    <mergeCell ref="A103:B103"/>
    <mergeCell ref="C103:H103"/>
    <mergeCell ref="A104:B104"/>
    <mergeCell ref="E104:F104"/>
    <mergeCell ref="G104:H104"/>
    <mergeCell ref="A105:B105"/>
    <mergeCell ref="E105:F114"/>
    <mergeCell ref="G105:H114"/>
    <mergeCell ref="A106:B106"/>
    <mergeCell ref="A107:B107"/>
    <mergeCell ref="A108:B108"/>
    <mergeCell ref="A109:B109"/>
    <mergeCell ref="A110:B110"/>
    <mergeCell ref="A111:B111"/>
    <mergeCell ref="A112:B112"/>
    <mergeCell ref="A262:H262"/>
    <mergeCell ref="A265:B265"/>
    <mergeCell ref="A317:B317"/>
    <mergeCell ref="A143:H143"/>
    <mergeCell ref="A144:B144"/>
    <mergeCell ref="A224:H224"/>
    <mergeCell ref="L313:M313"/>
    <mergeCell ref="B474:H474"/>
    <mergeCell ref="N466:T466"/>
    <mergeCell ref="A330:H330"/>
    <mergeCell ref="A331:H331"/>
    <mergeCell ref="A332:B332"/>
    <mergeCell ref="A333:B333"/>
    <mergeCell ref="A334:B334"/>
    <mergeCell ref="A335:B335"/>
    <mergeCell ref="A338:B338"/>
    <mergeCell ref="A339:B339"/>
    <mergeCell ref="A340:B340"/>
    <mergeCell ref="A337:B337"/>
    <mergeCell ref="A336:B336"/>
    <mergeCell ref="A341:B341"/>
    <mergeCell ref="A342:B342"/>
    <mergeCell ref="A343:B343"/>
    <mergeCell ref="A344:B344"/>
    <mergeCell ref="L321:M321"/>
    <mergeCell ref="A323:B323"/>
    <mergeCell ref="A459:B459"/>
    <mergeCell ref="A460:B460"/>
    <mergeCell ref="A434:H434"/>
    <mergeCell ref="B475:H475"/>
    <mergeCell ref="A345:B345"/>
    <mergeCell ref="A457:B457"/>
    <mergeCell ref="A458:B458"/>
    <mergeCell ref="A431:B431"/>
    <mergeCell ref="A435:B435"/>
    <mergeCell ref="G435:H446"/>
    <mergeCell ref="A113:B113"/>
    <mergeCell ref="A114:B114"/>
    <mergeCell ref="A346:B346"/>
    <mergeCell ref="C336:F337"/>
    <mergeCell ref="A329:B329"/>
    <mergeCell ref="A322:B322"/>
    <mergeCell ref="A243:H243"/>
    <mergeCell ref="A244:B244"/>
    <mergeCell ref="G244:H261"/>
    <mergeCell ref="A249:B249"/>
    <mergeCell ref="A300:B300"/>
    <mergeCell ref="A289:B289"/>
    <mergeCell ref="E144:F144"/>
    <mergeCell ref="G144:H144"/>
    <mergeCell ref="C145:D145"/>
    <mergeCell ref="E145:F145"/>
    <mergeCell ref="G145:H145"/>
  </mergeCells>
  <hyperlinks>
    <hyperlink ref="C38" r:id="rId1" xr:uid="{00000000-0004-0000-0000-000000000000}"/>
    <hyperlink ref="I67" r:id="rId2" xr:uid="{00000000-0004-0000-0000-000001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5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6" manualBreakCount="6">
    <brk id="61" max="16383" man="1"/>
    <brk id="86" max="16383" man="1"/>
    <brk id="128" max="16383" man="1"/>
    <brk id="488" max="7" man="1"/>
    <brk id="531" max="7" man="1"/>
    <brk id="565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6" sqref="B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96" t="s">
        <v>98</v>
      </c>
      <c r="C3" s="296"/>
      <c r="D3" s="296"/>
      <c r="E3" s="296"/>
      <c r="F3" s="296"/>
      <c r="G3" s="296"/>
      <c r="H3" s="296"/>
    </row>
    <row r="4" spans="1:9" x14ac:dyDescent="0.25">
      <c r="A4" s="2"/>
      <c r="B4" s="3" t="s">
        <v>99</v>
      </c>
      <c r="C4" s="3" t="s">
        <v>100</v>
      </c>
      <c r="D4" s="3" t="s">
        <v>65</v>
      </c>
      <c r="E4" s="3" t="s">
        <v>101</v>
      </c>
      <c r="F4" s="3" t="s">
        <v>107</v>
      </c>
      <c r="G4" s="3" t="s">
        <v>108</v>
      </c>
      <c r="H4" s="3" t="s">
        <v>102</v>
      </c>
    </row>
    <row r="5" spans="1:9" ht="15" customHeight="1" x14ac:dyDescent="0.25">
      <c r="A5" s="2"/>
      <c r="B5" s="5" t="s">
        <v>103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2025-09-20T13:03:51Z</cp:lastPrinted>
  <dcterms:created xsi:type="dcterms:W3CDTF">2019-07-16T09:29:46Z</dcterms:created>
  <dcterms:modified xsi:type="dcterms:W3CDTF">2025-09-20T13:06:49Z</dcterms:modified>
</cp:coreProperties>
</file>