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Mahalaxmi Nagar Bldg No. 4\"/>
    </mc:Choice>
  </mc:AlternateContent>
  <bookViews>
    <workbookView xWindow="0" yWindow="0" windowWidth="20490" windowHeight="6825" tabRatio="725"/>
  </bookViews>
  <sheets>
    <sheet name="Report" sheetId="1" r:id="rId1"/>
    <sheet name="Sheet1" sheetId="6" r:id="rId2"/>
    <sheet name="valuation" sheetId="5" r:id="rId3"/>
    <sheet name="Note" sheetId="4" r:id="rId4"/>
  </sheets>
  <definedNames>
    <definedName name="_xlnm.Print_Area" localSheetId="0">Report!$A$1:$H$364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E115" i="1"/>
  <c r="G115" i="1"/>
  <c r="C110" i="1"/>
  <c r="E110" i="1"/>
  <c r="G110" i="1"/>
  <c r="G109" i="1"/>
  <c r="E109" i="1"/>
  <c r="C109" i="1"/>
  <c r="G108" i="1"/>
  <c r="E108" i="1"/>
  <c r="C108" i="1"/>
  <c r="L93" i="1"/>
  <c r="J99" i="1" l="1"/>
  <c r="F143" i="1"/>
  <c r="C114" i="1"/>
  <c r="E199" i="1"/>
  <c r="E200" i="1"/>
  <c r="E197" i="1"/>
  <c r="E114" i="1" l="1"/>
  <c r="I202" i="1"/>
  <c r="D215" i="1"/>
  <c r="D213" i="1"/>
  <c r="D212" i="1"/>
  <c r="F212" i="1" s="1"/>
  <c r="D211" i="1"/>
  <c r="D210" i="1"/>
  <c r="I208" i="1"/>
  <c r="D207" i="1"/>
  <c r="D204" i="1"/>
  <c r="I204" i="1"/>
  <c r="D208" i="1"/>
  <c r="D206" i="1"/>
  <c r="D205" i="1"/>
  <c r="D203" i="1"/>
  <c r="F203" i="1" s="1"/>
  <c r="F208" i="1"/>
  <c r="F207" i="1"/>
  <c r="F206" i="1"/>
  <c r="F205" i="1"/>
  <c r="F204" i="1"/>
  <c r="A204" i="1"/>
  <c r="A205" i="1" s="1"/>
  <c r="A206" i="1" s="1"/>
  <c r="A207" i="1" s="1"/>
  <c r="A208" i="1" s="1"/>
  <c r="G203" i="1"/>
  <c r="E198" i="1"/>
  <c r="D201" i="1"/>
  <c r="D200" i="1"/>
  <c r="D199" i="1"/>
  <c r="D198" i="1"/>
  <c r="D197" i="1"/>
  <c r="D196" i="1"/>
  <c r="F210" i="1"/>
  <c r="G210" i="1"/>
  <c r="A211" i="1"/>
  <c r="F211" i="1"/>
  <c r="A212" i="1"/>
  <c r="A213" i="1" s="1"/>
  <c r="A214" i="1" s="1"/>
  <c r="A215" i="1" s="1"/>
  <c r="F213" i="1"/>
  <c r="F215" i="1"/>
  <c r="I152" i="1"/>
  <c r="D154" i="1"/>
  <c r="F154" i="1" s="1"/>
  <c r="D153" i="1"/>
  <c r="F153" i="1" s="1"/>
  <c r="D152" i="1"/>
  <c r="A153" i="1"/>
  <c r="A154" i="1" s="1"/>
  <c r="G152" i="1"/>
  <c r="F152" i="1"/>
  <c r="I148" i="1"/>
  <c r="I146" i="1"/>
  <c r="I150" i="1"/>
  <c r="D150" i="1"/>
  <c r="D149" i="1"/>
  <c r="D148" i="1"/>
  <c r="D147" i="1"/>
  <c r="D146" i="1"/>
  <c r="G47" i="1"/>
  <c r="C47" i="1"/>
  <c r="C49" i="1"/>
  <c r="G49" i="1"/>
  <c r="J96" i="1" l="1"/>
  <c r="J100" i="1" s="1"/>
  <c r="D193" i="1"/>
  <c r="D192" i="1"/>
  <c r="D191" i="1"/>
  <c r="D190" i="1"/>
  <c r="D188" i="1"/>
  <c r="D189" i="1"/>
  <c r="D186" i="1"/>
  <c r="D185" i="1"/>
  <c r="D184" i="1"/>
  <c r="D183" i="1"/>
  <c r="D182" i="1"/>
  <c r="D181" i="1"/>
  <c r="D180" i="1"/>
  <c r="D179" i="1"/>
  <c r="D177" i="1"/>
  <c r="D176" i="1"/>
  <c r="D175" i="1"/>
  <c r="D174" i="1"/>
  <c r="D173" i="1"/>
  <c r="D172" i="1"/>
  <c r="D171" i="1"/>
  <c r="D170" i="1"/>
  <c r="D168" i="1"/>
  <c r="D167" i="1"/>
  <c r="D166" i="1"/>
  <c r="D165" i="1"/>
  <c r="D164" i="1"/>
  <c r="D163" i="1"/>
  <c r="D162" i="1"/>
  <c r="D161" i="1"/>
  <c r="E113" i="1" l="1"/>
  <c r="C113" i="1"/>
  <c r="E7" i="1"/>
  <c r="J97" i="1"/>
  <c r="F171" i="1" l="1"/>
  <c r="F174" i="1"/>
  <c r="F176" i="1"/>
  <c r="F173" i="1"/>
  <c r="F170" i="1"/>
  <c r="F167" i="1"/>
  <c r="F168" i="1"/>
  <c r="F162" i="1"/>
  <c r="F161" i="1"/>
  <c r="F193" i="1"/>
  <c r="F192" i="1"/>
  <c r="F191" i="1"/>
  <c r="F190" i="1"/>
  <c r="F189" i="1"/>
  <c r="F188" i="1"/>
  <c r="F186" i="1"/>
  <c r="F183" i="1"/>
  <c r="F182" i="1"/>
  <c r="F185" i="1"/>
  <c r="F181" i="1"/>
  <c r="F180" i="1"/>
  <c r="F177" i="1"/>
  <c r="F175" i="1"/>
  <c r="F172" i="1"/>
  <c r="E163" i="1"/>
  <c r="E166" i="1"/>
  <c r="F166" i="1" s="1"/>
  <c r="E165" i="1"/>
  <c r="E164" i="1"/>
  <c r="F163" i="1"/>
  <c r="A189" i="1"/>
  <c r="A190" i="1" s="1"/>
  <c r="A191" i="1" s="1"/>
  <c r="A192" i="1" s="1"/>
  <c r="A193" i="1" s="1"/>
  <c r="G188" i="1"/>
  <c r="F184" i="1"/>
  <c r="A180" i="1"/>
  <c r="A181" i="1" s="1"/>
  <c r="A182" i="1" s="1"/>
  <c r="A183" i="1" s="1"/>
  <c r="A184" i="1" s="1"/>
  <c r="A185" i="1" s="1"/>
  <c r="A186" i="1" s="1"/>
  <c r="G179" i="1"/>
  <c r="F179" i="1"/>
  <c r="F5" i="6"/>
  <c r="F6" i="6" s="1"/>
  <c r="E5" i="6"/>
  <c r="E6" i="6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F125" i="1" s="1"/>
  <c r="D124" i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G124" i="1"/>
  <c r="A171" i="1"/>
  <c r="A172" i="1" s="1"/>
  <c r="A173" i="1" s="1"/>
  <c r="A174" i="1" s="1"/>
  <c r="A175" i="1" s="1"/>
  <c r="A176" i="1" s="1"/>
  <c r="A177" i="1" s="1"/>
  <c r="G170" i="1"/>
  <c r="A162" i="1"/>
  <c r="A163" i="1" s="1"/>
  <c r="A164" i="1" s="1"/>
  <c r="A165" i="1" s="1"/>
  <c r="A166" i="1" s="1"/>
  <c r="A167" i="1" s="1"/>
  <c r="A168" i="1" s="1"/>
  <c r="G161" i="1"/>
  <c r="F201" i="1"/>
  <c r="C5" i="6"/>
  <c r="C6" i="6" s="1"/>
  <c r="B5" i="6"/>
  <c r="B6" i="6" s="1"/>
  <c r="I179" i="1" l="1"/>
  <c r="J179" i="1"/>
  <c r="J181" i="1"/>
  <c r="I181" i="1"/>
  <c r="J186" i="1"/>
  <c r="I186" i="1"/>
  <c r="J185" i="1"/>
  <c r="I185" i="1"/>
  <c r="J182" i="1"/>
  <c r="I182" i="1"/>
  <c r="F124" i="1"/>
  <c r="G107" i="1" s="1"/>
  <c r="C107" i="1"/>
  <c r="E107" i="1"/>
  <c r="J184" i="1"/>
  <c r="I184" i="1"/>
  <c r="J180" i="1"/>
  <c r="I180" i="1"/>
  <c r="J183" i="1"/>
  <c r="I183" i="1"/>
  <c r="F165" i="1"/>
  <c r="F164" i="1"/>
  <c r="F150" i="1"/>
  <c r="F149" i="1"/>
  <c r="F148" i="1"/>
  <c r="F147" i="1"/>
  <c r="F146" i="1"/>
  <c r="D145" i="1"/>
  <c r="F145" i="1" s="1"/>
  <c r="D144" i="1"/>
  <c r="F144" i="1" s="1"/>
  <c r="D143" i="1"/>
  <c r="D142" i="1"/>
  <c r="F142" i="1" s="1"/>
  <c r="D141" i="1"/>
  <c r="D140" i="1"/>
  <c r="D139" i="1"/>
  <c r="D138" i="1"/>
  <c r="D54" i="1"/>
  <c r="G113" i="1" l="1"/>
  <c r="C116" i="1"/>
  <c r="E27" i="1"/>
  <c r="K108" i="1" l="1"/>
  <c r="E116" i="1"/>
  <c r="K109" i="1" s="1"/>
  <c r="F104" i="1" l="1"/>
  <c r="F139" i="1" l="1"/>
  <c r="F140" i="1"/>
  <c r="F141" i="1"/>
  <c r="F138" i="1"/>
  <c r="B218" i="1" l="1"/>
  <c r="C13" i="1" l="1"/>
  <c r="F200" i="1" l="1"/>
  <c r="F199" i="1"/>
  <c r="F197" i="1"/>
  <c r="F196" i="1"/>
  <c r="F198" i="1"/>
  <c r="G114" i="1" l="1"/>
  <c r="B219" i="1"/>
  <c r="K107" i="1" l="1"/>
  <c r="G116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3" i="1"/>
  <c r="G196" i="1"/>
  <c r="A197" i="1"/>
  <c r="A198" i="1" s="1"/>
  <c r="A199" i="1" s="1"/>
  <c r="A200" i="1" s="1"/>
  <c r="A201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G138" i="1"/>
  <c r="J91" i="1"/>
  <c r="J90" i="1"/>
  <c r="J89" i="1"/>
  <c r="J88" i="1"/>
  <c r="C80" i="1"/>
  <c r="J77" i="1"/>
  <c r="J76" i="1"/>
  <c r="J75" i="1"/>
  <c r="J74" i="1"/>
  <c r="C66" i="1"/>
  <c r="E40" i="1"/>
  <c r="E41" i="1" s="1"/>
  <c r="E24" i="1"/>
  <c r="E22" i="1"/>
  <c r="E3" i="1"/>
  <c r="D60" i="1" s="1"/>
  <c r="H81" i="1"/>
  <c r="H67" i="1"/>
  <c r="D91" i="1" l="1"/>
  <c r="D92" i="1"/>
  <c r="D93" i="1"/>
  <c r="D87" i="1"/>
  <c r="D88" i="1"/>
  <c r="D89" i="1"/>
  <c r="D90" i="1"/>
  <c r="D86" i="1"/>
  <c r="D79" i="1"/>
  <c r="D77" i="1"/>
  <c r="D76" i="1"/>
  <c r="D75" i="1"/>
  <c r="D73" i="1"/>
  <c r="D72" i="1"/>
  <c r="D78" i="1"/>
  <c r="D74" i="1"/>
  <c r="J70" i="1"/>
  <c r="J71" i="1"/>
  <c r="C70" i="1" s="1"/>
  <c r="J69" i="1"/>
  <c r="J72" i="1"/>
  <c r="J86" i="1"/>
  <c r="J84" i="1"/>
  <c r="J85" i="1"/>
  <c r="J83" i="1"/>
  <c r="J87" i="1" l="1"/>
  <c r="J92" i="1" s="1"/>
  <c r="J93" i="1" s="1"/>
  <c r="D85" i="1"/>
  <c r="J73" i="1"/>
  <c r="J78" i="1" s="1"/>
  <c r="J79" i="1" s="1"/>
  <c r="E70" i="1"/>
  <c r="D70" i="1"/>
  <c r="D84" i="1"/>
  <c r="E84" i="1" l="1"/>
  <c r="I80" i="1" s="1"/>
  <c r="C82" i="1" s="1"/>
  <c r="G84" i="1"/>
  <c r="G70" i="1"/>
  <c r="D64" i="1" s="1"/>
  <c r="D65" i="1" s="1"/>
  <c r="D71" i="1"/>
  <c r="I66" i="1"/>
  <c r="C68" i="1" s="1"/>
  <c r="F65" i="1" l="1"/>
</calcChain>
</file>

<file path=xl/sharedStrings.xml><?xml version="1.0" encoding="utf-8"?>
<sst xmlns="http://schemas.openxmlformats.org/spreadsheetml/2006/main" count="419" uniqueCount="248">
  <si>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</si>
  <si>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</si>
  <si>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</si>
  <si>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</si>
  <si>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</si>
  <si>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</si>
  <si>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</si>
  <si>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</si>
  <si>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</si>
  <si>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</si>
  <si>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</si>
  <si>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</si>
  <si>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</si>
  <si>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</si>
  <si>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</si>
  <si>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</si>
  <si>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</si>
  <si>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</si>
  <si>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</si>
  <si>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</si>
  <si>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</si>
  <si>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</si>
  <si>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</si>
  <si>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</si>
  <si>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</si>
  <si>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</si>
  <si>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</si>
  <si>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</si>
  <si>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</si>
  <si>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</si>
  <si>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</si>
  <si>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</si>
  <si>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</si>
  <si>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</si>
  <si>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</si>
  <si>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</si>
  <si>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</si>
  <si>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</si>
  <si>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</si>
  <si>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</si>
  <si>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</si>
  <si>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</si>
  <si>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</si>
  <si>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</si>
  <si>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</si>
  <si>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</si>
  <si>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</si>
  <si>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</si>
  <si>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</si>
  <si>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</si>
  <si>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</si>
  <si>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</si>
  <si>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</si>
  <si>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</si>
  <si>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</si>
  <si>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</si>
  <si>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</si>
  <si>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</si>
  <si>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</si>
  <si>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</si>
  <si>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</si>
  <si>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</si>
  <si>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</si>
  <si>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</si>
  <si>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</si>
  <si>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</si>
  <si>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</si>
  <si>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</si>
  <si>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</si>
  <si>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</si>
  <si>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</si>
  <si>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</si>
  <si>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</si>
  <si>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</si>
  <si>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</si>
  <si>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</si>
  <si>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</si>
  <si>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</si>
  <si>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</si>
  <si>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</si>
  <si>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</si>
  <si>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</si>
  <si>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</si>
  <si>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</si>
  <si>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</si>
  <si>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</si>
  <si>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</si>
  <si>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</si>
  <si>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</si>
  <si>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</si>
  <si>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</si>
  <si>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</si>
  <si>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</si>
  <si>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</si>
  <si>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</si>
  <si>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</si>
  <si>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</si>
  <si>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</si>
  <si>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</si>
  <si>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</si>
  <si>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</si>
  <si>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</si>
  <si>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</si>
  <si>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</si>
  <si>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</si>
  <si>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</si>
  <si>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</si>
  <si>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</si>
  <si>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</si>
  <si>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</si>
  <si>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</si>
  <si>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</si>
  <si>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</si>
  <si>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</si>
  <si>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</si>
  <si>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</si>
  <si>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</si>
  <si>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</si>
  <si>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</si>
  <si>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</si>
  <si>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</si>
  <si>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</si>
  <si>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</si>
  <si>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</si>
  <si>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</si>
  <si>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</si>
  <si>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</si>
  <si>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</si>
  <si>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</si>
  <si>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</si>
  <si>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</si>
  <si>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</si>
  <si>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</si>
  <si>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</si>
  <si>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</si>
  <si>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</si>
  <si>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</si>
  <si>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</si>
  <si>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</si>
  <si>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</si>
  <si>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</si>
  <si>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</si>
  <si>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</si>
  <si>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</si>
  <si>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</si>
  <si>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</si>
  <si>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</si>
  <si>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</si>
  <si>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</si>
  <si>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</si>
  <si>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</si>
  <si>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</si>
  <si>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</si>
  <si>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</si>
  <si>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</si>
  <si>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</si>
  <si>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</si>
  <si>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</si>
  <si>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</si>
  <si>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</si>
  <si>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Axis Sanpada</t>
  </si>
  <si>
    <t>M/s. Mahalaxmi Homemakers Private Limited</t>
  </si>
  <si>
    <t>P99000030502</t>
  </si>
  <si>
    <t>Survey No</t>
  </si>
  <si>
    <t>Chandarpada</t>
  </si>
  <si>
    <t>Palghar</t>
  </si>
  <si>
    <t>Vasai</t>
  </si>
  <si>
    <t>Internal Road</t>
  </si>
  <si>
    <t>Mahalaxmi Building No. 1</t>
  </si>
  <si>
    <t>Open Plot</t>
  </si>
  <si>
    <t>Naigaon (East)</t>
  </si>
  <si>
    <t>VVCMC/TP/CC/SPA-VP-0043/014/2021-22</t>
  </si>
  <si>
    <t>Vasai-Virar City Municipal Corporation</t>
  </si>
  <si>
    <t>Building No.4 = (Wing A &amp; B) = Gr/St + 1st to 22nd Floor</t>
  </si>
  <si>
    <t>As per RERA - 31/08/2031</t>
  </si>
  <si>
    <t>2 Wings</t>
  </si>
  <si>
    <t>Shop</t>
  </si>
  <si>
    <t>Wing B</t>
  </si>
  <si>
    <t>Flat No.2</t>
  </si>
  <si>
    <t>VVCMC/TP/AMEND/SPA/VP/043/013/2021-22</t>
  </si>
  <si>
    <t>Flat No.1</t>
  </si>
  <si>
    <t>With Bal</t>
  </si>
  <si>
    <t>Without Bal</t>
  </si>
  <si>
    <t>1st Floor for Residential</t>
  </si>
  <si>
    <t>2BHK</t>
  </si>
  <si>
    <t>Wing A</t>
  </si>
  <si>
    <t>Ground Floor for Commercial &amp; Parking</t>
  </si>
  <si>
    <t>1BHK</t>
  </si>
  <si>
    <t>Flat No.3</t>
  </si>
  <si>
    <t>7th, 9th to 12th, 14th to 17th &amp; 19th to 22nd Floor</t>
  </si>
  <si>
    <t>8th, 13th &amp; 18th Floor (Part Refuge Area)</t>
  </si>
  <si>
    <t>2nd to 6th Floor</t>
  </si>
  <si>
    <t>Navnath Bhatkar</t>
  </si>
  <si>
    <t>Approved Plans, CC, Sale Plans,Cost Sheet</t>
  </si>
  <si>
    <t>Cost Sheet</t>
  </si>
  <si>
    <t>MIS</t>
  </si>
  <si>
    <t>5000-9000</t>
  </si>
  <si>
    <t>on saleable area</t>
  </si>
  <si>
    <t>We considered Gross carpet area = Net carpet + Enclose balcony + C.B Area</t>
  </si>
  <si>
    <t>Mahalaxmi Nagar Building No.4</t>
  </si>
  <si>
    <t>Name / No.of the Building</t>
  </si>
  <si>
    <t>Building No.4 (Wing A &amp; B)</t>
  </si>
  <si>
    <t>Approved No.of units</t>
  </si>
  <si>
    <t>Approved No.of Floors</t>
  </si>
  <si>
    <t>Proposed No.of Floors</t>
  </si>
  <si>
    <t>Building No.4 = Wing A = Gr/St + 1st to 22nd Floor</t>
  </si>
  <si>
    <t>Building No.4 = Wing B = Gr/St + 1st to 22nd Floor</t>
  </si>
  <si>
    <t>Building No.4</t>
  </si>
  <si>
    <t>2) I/We have No.direct or Indirect Interest in the property being valued</t>
  </si>
  <si>
    <t>97, Hissa No.1 &amp; 3B, Survey No.98, Hissa No.1A &amp; 3</t>
  </si>
  <si>
    <t>Costsheet</t>
  </si>
  <si>
    <t>Inspt. Sheet</t>
  </si>
  <si>
    <t xml:space="preserve">1. Vitrified tiles flooring 2. Granite Kitchen Platform 3. Decorative
Enternace etc.
</t>
  </si>
  <si>
    <t>Other Charges</t>
  </si>
  <si>
    <t>Rushikesh Nigam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</si>
  <si>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</si>
  <si>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Laocation Link</t>
  </si>
  <si>
    <t>19.359426, 72.866906</t>
  </si>
  <si>
    <t>Latitude &amp; Longitude</t>
  </si>
  <si>
    <t>https://goo.gl/maps/P3NgHwrRtuTPupqu7?coh=178572&amp;entry=tt</t>
  </si>
  <si>
    <t>Grand Total</t>
  </si>
  <si>
    <t>On Site, we meet Mr. Sanjay : 9769267199.</t>
  </si>
  <si>
    <t>Gaurav Panchal</t>
  </si>
  <si>
    <t>A &amp; B Wing = Construction work is in process at the time of Visit (Labour Found).</t>
  </si>
  <si>
    <t>VVCMC/TP/AMEND/SPA/VP/0043/24/2023-24</t>
  </si>
  <si>
    <t>As per Layout</t>
  </si>
  <si>
    <t xml:space="preserve">Layout Approval No.   
(Building No. 4 Wing A) </t>
  </si>
  <si>
    <t xml:space="preserve">Approved Floor plan No.
(Building No. 4 Wing A)  </t>
  </si>
  <si>
    <t xml:space="preserve">Layout Approval No. 
(Building No. 4 Wing B)   </t>
  </si>
  <si>
    <t xml:space="preserve">Approved Floor plan No.
(Building No. 4 Wing B)   </t>
  </si>
  <si>
    <t>Building No.4 = Wing A = Gr/St + 1st to 22nd Floor
Building No.4 = Wing B = Gr/St + 1st to 22nd Floor</t>
  </si>
  <si>
    <t>1st Floor for Commercial</t>
  </si>
  <si>
    <t>1.5BHK</t>
  </si>
  <si>
    <t>3rd to 7th, 9th to 12th, 14th to 17th &amp; 19th to 22nd Floor</t>
  </si>
  <si>
    <t>Refuge Area</t>
  </si>
  <si>
    <t>We have referred approved layout &amp; floor plans for Wing B from RERA site (On 29/08/2025).</t>
  </si>
  <si>
    <t>Please provide revised approved CC &amp; Fire Noc.</t>
  </si>
  <si>
    <t>Layout :</t>
  </si>
  <si>
    <t>Other Plot</t>
  </si>
  <si>
    <t>9.00M Wide Internal Road</t>
  </si>
  <si>
    <t>20MT Wide DP Road</t>
  </si>
  <si>
    <t>3.8 KM from Naigaon Railway Station</t>
  </si>
  <si>
    <t>12000 to 17000 on 29/08/2025 by shailesh</t>
  </si>
  <si>
    <t>Commercial</t>
  </si>
  <si>
    <t>Recommended rate of the Commercial Units Per Sq. Ft. @1st Floor</t>
  </si>
  <si>
    <t>Recommended Rates/Other Charges of the Property have been revised on 30/08/2025.</t>
  </si>
  <si>
    <t>We have Updated Approved floor plans for Wing B (On 29/08/2025).</t>
  </si>
  <si>
    <t>Flats - 293, Shops - 25, Commercial Units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</si>
</sst>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3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2" fontId="0" fillId="0" borderId="0" xfId="0" applyNumberFormat="1"/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7" fillId="2" borderId="0" xfId="1" applyFont="1" applyFill="1"/>
    <xf numFmtId="0" fontId="7" fillId="2" borderId="0" xfId="1" applyFont="1" applyFill="1" applyAlignment="1">
      <alignment horizontal="right"/>
    </xf>
    <xf numFmtId="167" fontId="7" fillId="2" borderId="0" xfId="9" applyNumberFormat="1" applyFont="1" applyFill="1"/>
    <xf numFmtId="0" fontId="10" fillId="2" borderId="0" xfId="1" applyFont="1" applyFill="1"/>
    <xf numFmtId="167" fontId="10" fillId="2" borderId="0" xfId="1" applyNumberFormat="1" applyFont="1" applyFill="1"/>
    <xf numFmtId="0" fontId="16" fillId="2" borderId="0" xfId="1" applyFont="1" applyFill="1"/>
    <xf numFmtId="167" fontId="24" fillId="2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14" fontId="16" fillId="2" borderId="0" xfId="1" applyNumberFormat="1" applyFont="1" applyFill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0" fontId="6" fillId="3" borderId="9" xfId="1" applyFont="1" applyFill="1" applyBorder="1" applyAlignment="1" applyProtection="1">
      <alignment horizontal="left" vertical="top" wrapText="1"/>
      <protection locked="0"/>
    </xf>
    <xf numFmtId="0" fontId="12" fillId="3" borderId="8" xfId="1" applyFont="1" applyFill="1" applyBorder="1" applyAlignment="1" applyProtection="1">
      <alignment horizontal="left" vertical="top" wrapText="1"/>
      <protection locked="0"/>
    </xf>
    <xf numFmtId="0" fontId="12" fillId="3" borderId="23" xfId="1" applyFont="1" applyFill="1" applyBorder="1" applyAlignment="1" applyProtection="1">
      <alignment horizontal="left" vertical="top" wrapText="1"/>
      <protection locked="0"/>
    </xf>
    <xf numFmtId="0" fontId="12" fillId="3" borderId="9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4" borderId="8" xfId="1" applyFont="1" applyFill="1" applyBorder="1" applyAlignment="1" applyProtection="1">
      <alignment horizontal="left" vertical="top" wrapText="1"/>
      <protection locked="0"/>
    </xf>
    <xf numFmtId="0" fontId="12" fillId="4" borderId="23" xfId="1" applyFont="1" applyFill="1" applyBorder="1" applyAlignment="1" applyProtection="1">
      <alignment horizontal="left" vertical="top" wrapText="1"/>
      <protection locked="0"/>
    </xf>
    <xf numFmtId="0" fontId="12" fillId="4" borderId="9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6" fillId="4" borderId="8" xfId="1" applyFont="1" applyFill="1" applyBorder="1" applyAlignment="1" applyProtection="1">
      <alignment horizontal="left" vertical="top" wrapText="1"/>
      <protection locked="0"/>
    </xf>
    <xf numFmtId="0" fontId="6" fillId="4" borderId="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0" fontId="8" fillId="5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4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14" fontId="12" fillId="3" borderId="8" xfId="1" applyNumberFormat="1" applyFont="1" applyFill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5" fillId="0" borderId="8" xfId="10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center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9" fillId="0" borderId="1" xfId="5" applyFont="1" applyBorder="1" applyAlignment="1">
      <alignment horizontal="left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342</xdr:row>
      <xdr:rowOff>165949</xdr:rowOff>
    </xdr:from>
    <xdr:to>
      <xdr:col>17</xdr:col>
      <xdr:colOff>14062</xdr:colOff>
      <xdr:row>358</xdr:row>
      <xdr:rowOff>13550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1975" y="72346399"/>
          <a:ext cx="5367112" cy="3048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485775</xdr:colOff>
      <xdr:row>326</xdr:row>
      <xdr:rowOff>19050</xdr:rowOff>
    </xdr:from>
    <xdr:to>
      <xdr:col>17</xdr:col>
      <xdr:colOff>14062</xdr:colOff>
      <xdr:row>341</xdr:row>
      <xdr:rowOff>81190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1975" y="68999100"/>
          <a:ext cx="5367112" cy="30625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332961</xdr:colOff>
      <xdr:row>243</xdr:row>
      <xdr:rowOff>64604</xdr:rowOff>
    </xdr:from>
    <xdr:to>
      <xdr:col>9</xdr:col>
      <xdr:colOff>313084</xdr:colOff>
      <xdr:row>245</xdr:row>
      <xdr:rowOff>11595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859657" y="49197039"/>
          <a:ext cx="1139688" cy="34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A</a:t>
          </a:r>
          <a:endParaRPr lang="en-IN" sz="18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704022</xdr:colOff>
      <xdr:row>267</xdr:row>
      <xdr:rowOff>144117</xdr:rowOff>
    </xdr:from>
    <xdr:to>
      <xdr:col>15</xdr:col>
      <xdr:colOff>321367</xdr:colOff>
      <xdr:row>269</xdr:row>
      <xdr:rowOff>91109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338892" y="54039052"/>
          <a:ext cx="1099932" cy="344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  <a:endParaRPr lang="en-IN" sz="18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345140</xdr:colOff>
      <xdr:row>243</xdr:row>
      <xdr:rowOff>42678</xdr:rowOff>
    </xdr:from>
    <xdr:to>
      <xdr:col>16</xdr:col>
      <xdr:colOff>465673</xdr:colOff>
      <xdr:row>286</xdr:row>
      <xdr:rowOff>0</xdr:rowOff>
    </xdr:to>
    <xdr:grpSp>
      <xdr:nvGrpSpPr>
        <xdr:cNvPr id="16" name="Group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6879290" y="52106328"/>
          <a:ext cx="6502283" cy="8548872"/>
          <a:chOff x="6889375" y="49808002"/>
          <a:chExt cx="6519092" cy="8011916"/>
        </a:xfrm>
      </xdr:grpSpPr>
      <xdr:pic>
        <xdr:nvPicPr>
          <xdr:cNvPr id="20" name="Picture 19" descr="https://vsjcllp.vsjadon.com/upload/insp-217023-1525.jpg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273846" y="55609431"/>
            <a:ext cx="1643737" cy="22104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17023-861.jpg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191942" y="52732543"/>
            <a:ext cx="2072889" cy="27907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17023-860.jpg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336552" y="52735855"/>
            <a:ext cx="2071915" cy="27907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17023-871.jpg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52525" y="55609433"/>
            <a:ext cx="1638866" cy="22104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17023-880.jpg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072763" y="52734198"/>
            <a:ext cx="2052427" cy="27907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5" name="Group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6889375" y="49808002"/>
            <a:ext cx="6453907" cy="2833959"/>
            <a:chOff x="31375" y="49796796"/>
            <a:chExt cx="6453907" cy="2833959"/>
          </a:xfrm>
        </xdr:grpSpPr>
        <xdr:grpSp>
          <xdr:nvGrpSpPr>
            <xdr:cNvPr id="36" name="Group 35">
              <a:extLst>
                <a:ext uri="{FF2B5EF4-FFF2-40B4-BE49-F238E27FC236}">
                  <a16:creationId xmlns=""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2218568" y="49796796"/>
              <a:ext cx="4266714" cy="2832694"/>
              <a:chOff x="2226363" y="49163907"/>
              <a:chExt cx="4242354" cy="2794692"/>
            </a:xfrm>
          </xdr:grpSpPr>
          <xdr:pic>
            <xdr:nvPicPr>
              <xdr:cNvPr id="21" name="Picture 20" descr="https://vsjcllp.vsjadon.com/upload/insp-217023-843.jpg">
                <a:extLst>
                  <a:ext uri="{FF2B5EF4-FFF2-40B4-BE49-F238E27FC236}">
                    <a16:creationId xmlns="" xmlns:a16="http://schemas.microsoft.com/office/drawing/2014/main" id="{00000000-0008-0000-0000-000015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384811" y="49177161"/>
                <a:ext cx="2083906" cy="278143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31" name="TextBox 30">
                <a:extLst>
                  <a:ext uri="{FF2B5EF4-FFF2-40B4-BE49-F238E27FC236}">
                    <a16:creationId xmlns="" xmlns:a16="http://schemas.microsoft.com/office/drawing/2014/main" id="{00000000-0008-0000-0000-00001F000000}"/>
                  </a:ext>
                </a:extLst>
              </xdr:cNvPr>
              <xdr:cNvSpPr txBox="1"/>
            </xdr:nvSpPr>
            <xdr:spPr>
              <a:xfrm>
                <a:off x="5357190" y="49263300"/>
                <a:ext cx="887897" cy="34455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IN" sz="14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A</a:t>
                </a:r>
                <a:endParaRPr lang="en-IN" sz="1400" b="1" kern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32" name="TextBox 31">
                <a:extLst>
                  <a:ext uri="{FF2B5EF4-FFF2-40B4-BE49-F238E27FC236}">
                    <a16:creationId xmlns="" xmlns:a16="http://schemas.microsoft.com/office/drawing/2014/main" id="{00000000-0008-0000-0000-000020000000}"/>
                  </a:ext>
                </a:extLst>
              </xdr:cNvPr>
              <xdr:cNvSpPr txBox="1"/>
            </xdr:nvSpPr>
            <xdr:spPr>
              <a:xfrm>
                <a:off x="4484202" y="49417357"/>
                <a:ext cx="887897" cy="34455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IN" sz="14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B</a:t>
                </a:r>
                <a:endParaRPr lang="en-IN" sz="1400" b="1" kern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grpSp>
            <xdr:nvGrpSpPr>
              <xdr:cNvPr id="35" name="Group 34">
                <a:extLst>
                  <a:ext uri="{FF2B5EF4-FFF2-40B4-BE49-F238E27FC236}">
                    <a16:creationId xmlns=""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2226363" y="49163907"/>
                <a:ext cx="2083906" cy="2781438"/>
                <a:chOff x="2226363" y="49163907"/>
                <a:chExt cx="2083906" cy="2781438"/>
              </a:xfrm>
            </xdr:grpSpPr>
            <xdr:pic>
              <xdr:nvPicPr>
                <xdr:cNvPr id="28" name="Picture 27" descr="https://vsjcllp.vsjadon.com/upload/insp-217023-931.jpg">
                  <a:extLst>
                    <a:ext uri="{FF2B5EF4-FFF2-40B4-BE49-F238E27FC236}">
                      <a16:creationId xmlns="" xmlns:a16="http://schemas.microsoft.com/office/drawing/2014/main" id="{00000000-0008-0000-0000-00001C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9" cstate="screen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226363" y="49163907"/>
                  <a:ext cx="2083906" cy="2781438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33" name="TextBox 32">
                  <a:extLst>
                    <a:ext uri="{FF2B5EF4-FFF2-40B4-BE49-F238E27FC236}">
                      <a16:creationId xmlns="" xmlns:a16="http://schemas.microsoft.com/office/drawing/2014/main" id="{00000000-0008-0000-0000-000021000000}"/>
                    </a:ext>
                  </a:extLst>
                </xdr:cNvPr>
                <xdr:cNvSpPr txBox="1"/>
              </xdr:nvSpPr>
              <xdr:spPr>
                <a:xfrm>
                  <a:off x="3419059" y="49486929"/>
                  <a:ext cx="887897" cy="34455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n-IN" sz="1400" b="1">
                      <a:solidFill>
                        <a:schemeClr val="tx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Wing B</a:t>
                  </a:r>
                  <a:endParaRPr lang="en-IN" sz="1400" b="1" kern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grpSp>
          <xdr:nvGrpSpPr>
            <xdr:cNvPr id="5" name="Group 4">
              <a:extLst>
                <a:ext uri="{FF2B5EF4-FFF2-40B4-BE49-F238E27FC236}">
                  <a16:creationId xmlns=""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1375" y="49811315"/>
              <a:ext cx="2076111" cy="2819440"/>
              <a:chOff x="76199" y="49167221"/>
              <a:chExt cx="2083906" cy="2781438"/>
            </a:xfrm>
          </xdr:grpSpPr>
          <xdr:pic>
            <xdr:nvPicPr>
              <xdr:cNvPr id="29" name="Picture 28" descr="https://vsjcllp.vsjadon.com/upload/insp-217023-847.jpg">
                <a:extLst>
                  <a:ext uri="{FF2B5EF4-FFF2-40B4-BE49-F238E27FC236}">
                    <a16:creationId xmlns="" xmlns:a16="http://schemas.microsoft.com/office/drawing/2014/main" id="{00000000-0008-0000-0000-00001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6199" y="49167221"/>
                <a:ext cx="2083906" cy="278143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34" name="TextBox 33">
                <a:extLst>
                  <a:ext uri="{FF2B5EF4-FFF2-40B4-BE49-F238E27FC236}">
                    <a16:creationId xmlns="" xmlns:a16="http://schemas.microsoft.com/office/drawing/2014/main" id="{00000000-0008-0000-0000-000022000000}"/>
                  </a:ext>
                </a:extLst>
              </xdr:cNvPr>
              <xdr:cNvSpPr txBox="1"/>
            </xdr:nvSpPr>
            <xdr:spPr>
              <a:xfrm>
                <a:off x="76199" y="49167221"/>
                <a:ext cx="887897" cy="34455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n-IN" sz="14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Wing A</a:t>
                </a:r>
                <a:endParaRPr lang="en-IN" sz="1400" b="1" kern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</xdr:grpSp>
    </xdr:grpSp>
    <xdr:clientData/>
  </xdr:twoCellAnchor>
  <xdr:twoCellAnchor>
    <xdr:from>
      <xdr:col>0</xdr:col>
      <xdr:colOff>523875</xdr:colOff>
      <xdr:row>243</xdr:row>
      <xdr:rowOff>104775</xdr:rowOff>
    </xdr:from>
    <xdr:to>
      <xdr:col>7</xdr:col>
      <xdr:colOff>431574</xdr:colOff>
      <xdr:row>282</xdr:row>
      <xdr:rowOff>26499</xdr:rowOff>
    </xdr:to>
    <xdr:grpSp>
      <xdr:nvGrpSpPr>
        <xdr:cNvPr id="37" name="Group 36">
          <a:extLst>
            <a:ext uri="{FF2B5EF4-FFF2-40B4-BE49-F238E27FC236}">
              <a16:creationId xmlns="" xmlns:a16="http://schemas.microsoft.com/office/drawing/2014/main" id="{D1DF8103-3636-41A0-B59E-B359FEEAF85B}"/>
            </a:ext>
          </a:extLst>
        </xdr:cNvPr>
        <xdr:cNvGrpSpPr/>
      </xdr:nvGrpSpPr>
      <xdr:grpSpPr>
        <a:xfrm>
          <a:off x="523875" y="52168425"/>
          <a:ext cx="5613174" cy="7713174"/>
          <a:chOff x="712058" y="286871"/>
          <a:chExt cx="5613174" cy="7713174"/>
        </a:xfrm>
      </xdr:grpSpPr>
      <xdr:grpSp>
        <xdr:nvGrpSpPr>
          <xdr:cNvPr id="38" name="Group 37">
            <a:extLst>
              <a:ext uri="{FF2B5EF4-FFF2-40B4-BE49-F238E27FC236}">
                <a16:creationId xmlns="" xmlns:a16="http://schemas.microsoft.com/office/drawing/2014/main" id="{061FF520-C05F-4B75-AC63-CA5507F2197E}"/>
              </a:ext>
            </a:extLst>
          </xdr:cNvPr>
          <xdr:cNvGrpSpPr/>
        </xdr:nvGrpSpPr>
        <xdr:grpSpPr>
          <a:xfrm>
            <a:off x="712058" y="286871"/>
            <a:ext cx="5613174" cy="7713174"/>
            <a:chOff x="712058" y="286871"/>
            <a:chExt cx="5613174" cy="7713174"/>
          </a:xfrm>
        </xdr:grpSpPr>
        <xdr:pic>
          <xdr:nvPicPr>
            <xdr:cNvPr id="53" name="Picture 52">
              <a:extLst>
                <a:ext uri="{FF2B5EF4-FFF2-40B4-BE49-F238E27FC236}">
                  <a16:creationId xmlns="" xmlns:a16="http://schemas.microsoft.com/office/drawing/2014/main" id="{F7482E46-3199-4995-ACF1-1239CF4C37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01531" y="286871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="" xmlns:a16="http://schemas.microsoft.com/office/drawing/2014/main" id="{D4FF16C1-1904-40F9-B77F-29184537D7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3243" y="286871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="" xmlns:a16="http://schemas.microsoft.com/office/drawing/2014/main" id="{E5BEE6C7-F456-4C2D-841B-B7526AF01E4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2058" y="3693458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="" xmlns:a16="http://schemas.microsoft.com/office/drawing/2014/main" id="{CB2FAEC6-454D-4AF0-8D6E-7406B7C178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2060" y="3693458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="" xmlns:a16="http://schemas.microsoft.com/office/drawing/2014/main" id="{6017CFC6-90BD-49C2-A0C6-A9C8E8354B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42059" y="3693458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="" xmlns:a16="http://schemas.microsoft.com/office/drawing/2014/main" id="{75BE77B8-0454-452A-86D0-484CB34671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53190" y="6200045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="" xmlns:a16="http://schemas.microsoft.com/office/drawing/2014/main" id="{486C83E1-224B-46D8-9622-CBF00E09E6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75213" y="620004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="" xmlns:a16="http://schemas.microsoft.com/office/drawing/2014/main" id="{7261858C-AFD9-4210-83D4-1F66F317AE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58666" y="620004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9" name="TextBox 19">
            <a:extLst>
              <a:ext uri="{FF2B5EF4-FFF2-40B4-BE49-F238E27FC236}">
                <a16:creationId xmlns="" xmlns:a16="http://schemas.microsoft.com/office/drawing/2014/main" id="{9B38EDF5-AE3A-497E-B0F0-50E19F6302B2}"/>
              </a:ext>
            </a:extLst>
          </xdr:cNvPr>
          <xdr:cNvSpPr txBox="1"/>
        </xdr:nvSpPr>
        <xdr:spPr>
          <a:xfrm>
            <a:off x="1168504" y="286871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0" name="TextBox 20">
            <a:extLst>
              <a:ext uri="{FF2B5EF4-FFF2-40B4-BE49-F238E27FC236}">
                <a16:creationId xmlns="" xmlns:a16="http://schemas.microsoft.com/office/drawing/2014/main" id="{A63B9A85-66CB-4B36-9F20-98F280AE4D34}"/>
              </a:ext>
            </a:extLst>
          </xdr:cNvPr>
          <xdr:cNvSpPr txBox="1"/>
        </xdr:nvSpPr>
        <xdr:spPr>
          <a:xfrm>
            <a:off x="859118" y="120311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21">
            <a:extLst>
              <a:ext uri="{FF2B5EF4-FFF2-40B4-BE49-F238E27FC236}">
                <a16:creationId xmlns="" xmlns:a16="http://schemas.microsoft.com/office/drawing/2014/main" id="{8B8C2E73-6530-417F-A289-45029C19E72D}"/>
              </a:ext>
            </a:extLst>
          </xdr:cNvPr>
          <xdr:cNvSpPr txBox="1"/>
        </xdr:nvSpPr>
        <xdr:spPr>
          <a:xfrm>
            <a:off x="3698754" y="286871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22">
            <a:extLst>
              <a:ext uri="{FF2B5EF4-FFF2-40B4-BE49-F238E27FC236}">
                <a16:creationId xmlns="" xmlns:a16="http://schemas.microsoft.com/office/drawing/2014/main" id="{4884D485-90A6-4E1A-AAC5-50772C07FBC6}"/>
              </a:ext>
            </a:extLst>
          </xdr:cNvPr>
          <xdr:cNvSpPr txBox="1"/>
        </xdr:nvSpPr>
        <xdr:spPr>
          <a:xfrm>
            <a:off x="3468696" y="3700675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23">
            <a:extLst>
              <a:ext uri="{FF2B5EF4-FFF2-40B4-BE49-F238E27FC236}">
                <a16:creationId xmlns="" xmlns:a16="http://schemas.microsoft.com/office/drawing/2014/main" id="{A7E26460-DE98-4456-A7CC-8952801E6E24}"/>
              </a:ext>
            </a:extLst>
          </xdr:cNvPr>
          <xdr:cNvSpPr txBox="1"/>
        </xdr:nvSpPr>
        <xdr:spPr>
          <a:xfrm>
            <a:off x="5099991" y="471537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24">
            <a:extLst>
              <a:ext uri="{FF2B5EF4-FFF2-40B4-BE49-F238E27FC236}">
                <a16:creationId xmlns="" xmlns:a16="http://schemas.microsoft.com/office/drawing/2014/main" id="{A161E9BA-712F-4E86-8A5D-8B2E8CD3A9E3}"/>
              </a:ext>
            </a:extLst>
          </xdr:cNvPr>
          <xdr:cNvSpPr txBox="1"/>
        </xdr:nvSpPr>
        <xdr:spPr>
          <a:xfrm>
            <a:off x="1173312" y="530369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904875</xdr:colOff>
      <xdr:row>32</xdr:row>
      <xdr:rowOff>38100</xdr:rowOff>
    </xdr:from>
    <xdr:to>
      <xdr:col>15</xdr:col>
      <xdr:colOff>324551</xdr:colOff>
      <xdr:row>44</xdr:row>
      <xdr:rowOff>171804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9E2DBDE-3CE2-4C04-A557-83F310407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39025" y="7458075"/>
          <a:ext cx="5020376" cy="253400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103</xdr:row>
      <xdr:rowOff>95250</xdr:rowOff>
    </xdr:from>
    <xdr:to>
      <xdr:col>13</xdr:col>
      <xdr:colOff>495777</xdr:colOff>
      <xdr:row>114</xdr:row>
      <xdr:rowOff>143189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549DA6FA-A073-4ABB-9C3D-264BB436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24775" y="23050500"/>
          <a:ext cx="3419952" cy="2248214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287</xdr:row>
      <xdr:rowOff>123825</xdr:rowOff>
    </xdr:from>
    <xdr:to>
      <xdr:col>6</xdr:col>
      <xdr:colOff>724602</xdr:colOff>
      <xdr:row>324</xdr:row>
      <xdr:rowOff>61356</xdr:rowOff>
    </xdr:to>
    <xdr:grpSp>
      <xdr:nvGrpSpPr>
        <xdr:cNvPr id="63" name="Group 62">
          <a:extLst>
            <a:ext uri="{FF2B5EF4-FFF2-40B4-BE49-F238E27FC236}">
              <a16:creationId xmlns="" xmlns:a16="http://schemas.microsoft.com/office/drawing/2014/main" id="{B6938D1B-75B7-4A3E-966E-39161B53C0F0}"/>
            </a:ext>
          </a:extLst>
        </xdr:cNvPr>
        <xdr:cNvGrpSpPr/>
      </xdr:nvGrpSpPr>
      <xdr:grpSpPr>
        <a:xfrm>
          <a:off x="619125" y="60979050"/>
          <a:ext cx="5029902" cy="7338456"/>
          <a:chOff x="914049" y="317085"/>
          <a:chExt cx="5029902" cy="7338456"/>
        </a:xfrm>
      </xdr:grpSpPr>
      <xdr:pic>
        <xdr:nvPicPr>
          <xdr:cNvPr id="64" name="Picture 63">
            <a:extLst>
              <a:ext uri="{FF2B5EF4-FFF2-40B4-BE49-F238E27FC236}">
                <a16:creationId xmlns="" xmlns:a16="http://schemas.microsoft.com/office/drawing/2014/main" id="{388DF3B9-5C47-4416-B7F1-B61F92E3CC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914049" y="317085"/>
            <a:ext cx="5029902" cy="460121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5" name="Rectangle 64">
            <a:extLst>
              <a:ext uri="{FF2B5EF4-FFF2-40B4-BE49-F238E27FC236}">
                <a16:creationId xmlns="" xmlns:a16="http://schemas.microsoft.com/office/drawing/2014/main" id="{1B76A8D4-C9B3-4276-9DA4-5F14773F8D90}"/>
              </a:ext>
            </a:extLst>
          </xdr:cNvPr>
          <xdr:cNvSpPr/>
        </xdr:nvSpPr>
        <xdr:spPr>
          <a:xfrm>
            <a:off x="3365500" y="1860550"/>
            <a:ext cx="374650" cy="138430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6" name="TextBox 3">
            <a:extLst>
              <a:ext uri="{FF2B5EF4-FFF2-40B4-BE49-F238E27FC236}">
                <a16:creationId xmlns="" xmlns:a16="http://schemas.microsoft.com/office/drawing/2014/main" id="{036B3208-0CD4-486F-8957-65E9F55B3DA2}"/>
              </a:ext>
            </a:extLst>
          </xdr:cNvPr>
          <xdr:cNvSpPr txBox="1"/>
        </xdr:nvSpPr>
        <xdr:spPr>
          <a:xfrm>
            <a:off x="3734078" y="269240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A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67" name="TextBox 4">
            <a:extLst>
              <a:ext uri="{FF2B5EF4-FFF2-40B4-BE49-F238E27FC236}">
                <a16:creationId xmlns="" xmlns:a16="http://schemas.microsoft.com/office/drawing/2014/main" id="{81990E4E-266B-4BD6-9EC9-0439C803BBCA}"/>
              </a:ext>
            </a:extLst>
          </xdr:cNvPr>
          <xdr:cNvSpPr txBox="1"/>
        </xdr:nvSpPr>
        <xdr:spPr>
          <a:xfrm>
            <a:off x="3715306" y="202565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68" name="TextBox 5">
            <a:extLst>
              <a:ext uri="{FF2B5EF4-FFF2-40B4-BE49-F238E27FC236}">
                <a16:creationId xmlns="" xmlns:a16="http://schemas.microsoft.com/office/drawing/2014/main" id="{F8845564-AC5A-4E54-84C8-8F8DCE305A3F}"/>
              </a:ext>
            </a:extLst>
          </xdr:cNvPr>
          <xdr:cNvSpPr txBox="1"/>
        </xdr:nvSpPr>
        <xdr:spPr>
          <a:xfrm>
            <a:off x="3667820" y="1647597"/>
            <a:ext cx="1539268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Mahalaxmi Nagar </a:t>
            </a:r>
          </a:p>
          <a:p>
            <a:r>
              <a:rPr lang="en-US" sz="1400" b="1">
                <a:solidFill>
                  <a:srgbClr val="FFFF00"/>
                </a:solidFill>
              </a:rPr>
              <a:t>Building No.4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69" name="Arrow: Right 68">
            <a:extLst>
              <a:ext uri="{FF2B5EF4-FFF2-40B4-BE49-F238E27FC236}">
                <a16:creationId xmlns="" xmlns:a16="http://schemas.microsoft.com/office/drawing/2014/main" id="{EFEF590D-88A7-46BB-8721-FD8282DA3E98}"/>
              </a:ext>
            </a:extLst>
          </xdr:cNvPr>
          <xdr:cNvSpPr/>
        </xdr:nvSpPr>
        <xdr:spPr>
          <a:xfrm rot="15857643">
            <a:off x="2970329" y="4427704"/>
            <a:ext cx="304800" cy="152400"/>
          </a:xfrm>
          <a:prstGeom prst="right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0" name="TextBox 7">
            <a:extLst>
              <a:ext uri="{FF2B5EF4-FFF2-40B4-BE49-F238E27FC236}">
                <a16:creationId xmlns="" xmlns:a16="http://schemas.microsoft.com/office/drawing/2014/main" id="{E28CB892-D7D6-4E7D-8214-1E70430DBE20}"/>
              </a:ext>
            </a:extLst>
          </xdr:cNvPr>
          <xdr:cNvSpPr txBox="1"/>
        </xdr:nvSpPr>
        <xdr:spPr>
          <a:xfrm>
            <a:off x="3031754" y="4640096"/>
            <a:ext cx="3337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N</a:t>
            </a:r>
            <a:endParaRPr lang="en-IN" b="1"/>
          </a:p>
        </xdr:txBody>
      </xdr:sp>
      <xdr:pic>
        <xdr:nvPicPr>
          <xdr:cNvPr id="71" name="Picture 70">
            <a:extLst>
              <a:ext uri="{FF2B5EF4-FFF2-40B4-BE49-F238E27FC236}">
                <a16:creationId xmlns="" xmlns:a16="http://schemas.microsoft.com/office/drawing/2014/main" id="{95C7C3C7-C16D-4325-B042-E646EFDF53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1989000" y="5189619"/>
            <a:ext cx="2880000" cy="246592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</xdr:col>
      <xdr:colOff>535085</xdr:colOff>
      <xdr:row>344</xdr:row>
      <xdr:rowOff>14800</xdr:rowOff>
    </xdr:from>
    <xdr:to>
      <xdr:col>6</xdr:col>
      <xdr:colOff>200590</xdr:colOff>
      <xdr:row>356</xdr:row>
      <xdr:rowOff>106688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DFB53BFA-61EF-4864-A396-7C3C877B4F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7085" y="72595300"/>
          <a:ext cx="3827930" cy="24921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6</xdr:col>
      <xdr:colOff>716625</xdr:colOff>
      <xdr:row>342</xdr:row>
      <xdr:rowOff>171692</xdr:rowOff>
    </xdr:to>
    <xdr:grpSp>
      <xdr:nvGrpSpPr>
        <xdr:cNvPr id="73" name="Group 72">
          <a:extLst>
            <a:ext uri="{FF2B5EF4-FFF2-40B4-BE49-F238E27FC236}">
              <a16:creationId xmlns="" xmlns:a16="http://schemas.microsoft.com/office/drawing/2014/main" id="{EC7A0E25-5D82-465E-ABBA-9F35C709E76B}"/>
            </a:ext>
          </a:extLst>
        </xdr:cNvPr>
        <xdr:cNvGrpSpPr/>
      </xdr:nvGrpSpPr>
      <xdr:grpSpPr>
        <a:xfrm>
          <a:off x="781050" y="68856225"/>
          <a:ext cx="4860000" cy="3172067"/>
          <a:chOff x="999000" y="780258"/>
          <a:chExt cx="4860000" cy="3172067"/>
        </a:xfrm>
      </xdr:grpSpPr>
      <xdr:pic>
        <xdr:nvPicPr>
          <xdr:cNvPr id="74" name="Picture 73">
            <a:extLst>
              <a:ext uri="{FF2B5EF4-FFF2-40B4-BE49-F238E27FC236}">
                <a16:creationId xmlns="" xmlns:a16="http://schemas.microsoft.com/office/drawing/2014/main" id="{528B9CF6-B9E0-49C0-80E6-3ED7FA3087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99000" y="780258"/>
            <a:ext cx="4860000" cy="31720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5" name="Rectangle 74">
            <a:extLst>
              <a:ext uri="{FF2B5EF4-FFF2-40B4-BE49-F238E27FC236}">
                <a16:creationId xmlns="" xmlns:a16="http://schemas.microsoft.com/office/drawing/2014/main" id="{B1F77606-6BEC-48B7-AFE7-DB31BA33D97B}"/>
              </a:ext>
            </a:extLst>
          </xdr:cNvPr>
          <xdr:cNvSpPr/>
        </xdr:nvSpPr>
        <xdr:spPr>
          <a:xfrm rot="1844159">
            <a:off x="3664979" y="2091316"/>
            <a:ext cx="352311" cy="1020275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6" name="TextBox 15">
            <a:extLst>
              <a:ext uri="{FF2B5EF4-FFF2-40B4-BE49-F238E27FC236}">
                <a16:creationId xmlns="" xmlns:a16="http://schemas.microsoft.com/office/drawing/2014/main" id="{AC1E7121-05F2-4E1B-9978-C80362492133}"/>
              </a:ext>
            </a:extLst>
          </xdr:cNvPr>
          <xdr:cNvSpPr txBox="1"/>
        </xdr:nvSpPr>
        <xdr:spPr>
          <a:xfrm>
            <a:off x="3984448" y="2340116"/>
            <a:ext cx="1874552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Mahalaxmi Nagar</a:t>
            </a:r>
          </a:p>
          <a:p>
            <a:r>
              <a:rPr lang="en-US" b="1">
                <a:solidFill>
                  <a:srgbClr val="FFFF00"/>
                </a:solidFill>
              </a:rPr>
              <a:t>Building No. 4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="" xmlns:a16="http://schemas.microsoft.com/office/drawing/2014/main" id="{736A1088-4A89-4FB9-B349-C6314FEDED94}"/>
              </a:ext>
            </a:extLst>
          </xdr:cNvPr>
          <xdr:cNvSpPr/>
        </xdr:nvSpPr>
        <xdr:spPr>
          <a:xfrm rot="1844159">
            <a:off x="3125414" y="1770077"/>
            <a:ext cx="506545" cy="952311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8" name="TextBox 19">
            <a:extLst>
              <a:ext uri="{FF2B5EF4-FFF2-40B4-BE49-F238E27FC236}">
                <a16:creationId xmlns="" xmlns:a16="http://schemas.microsoft.com/office/drawing/2014/main" id="{19EDE3E3-C223-4412-8875-222B26BED251}"/>
              </a:ext>
            </a:extLst>
          </xdr:cNvPr>
          <xdr:cNvSpPr txBox="1"/>
        </xdr:nvSpPr>
        <xdr:spPr>
          <a:xfrm>
            <a:off x="2271713" y="2524781"/>
            <a:ext cx="84189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Bldg No. 3</a:t>
            </a:r>
            <a:endParaRPr lang="en-IN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="" xmlns:a16="http://schemas.microsoft.com/office/drawing/2014/main" id="{B0A43E34-129C-4394-83ED-BE34B2B515B3}"/>
              </a:ext>
            </a:extLst>
          </xdr:cNvPr>
          <xdr:cNvSpPr/>
        </xdr:nvSpPr>
        <xdr:spPr>
          <a:xfrm rot="1844159">
            <a:off x="3227346" y="975739"/>
            <a:ext cx="651319" cy="519876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0" name="TextBox 21">
            <a:extLst>
              <a:ext uri="{FF2B5EF4-FFF2-40B4-BE49-F238E27FC236}">
                <a16:creationId xmlns="" xmlns:a16="http://schemas.microsoft.com/office/drawing/2014/main" id="{336C2919-C0AA-407E-A47C-83A00D1814A5}"/>
              </a:ext>
            </a:extLst>
          </xdr:cNvPr>
          <xdr:cNvSpPr txBox="1"/>
        </xdr:nvSpPr>
        <xdr:spPr>
          <a:xfrm>
            <a:off x="3743326" y="1345317"/>
            <a:ext cx="84189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Bldg No. 1</a:t>
            </a:r>
            <a:endParaRPr lang="en-IN" sz="1200" b="1">
              <a:solidFill>
                <a:srgbClr val="FFFF00"/>
              </a:solidFill>
            </a:endParaRPr>
          </a:p>
        </xdr:txBody>
      </xdr:sp>
    </xdr:grpSp>
    <xdr:clientData/>
  </xdr:twoCellAnchor>
  <xdr:twoCellAnchor editAs="oneCell">
    <xdr:from>
      <xdr:col>12</xdr:col>
      <xdr:colOff>704850</xdr:colOff>
      <xdr:row>74</xdr:row>
      <xdr:rowOff>152400</xdr:rowOff>
    </xdr:from>
    <xdr:to>
      <xdr:col>24</xdr:col>
      <xdr:colOff>467808</xdr:colOff>
      <xdr:row>99</xdr:row>
      <xdr:rowOff>67334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FCC5AA4C-C1E2-426C-A636-2F111937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572750" y="17697450"/>
          <a:ext cx="7763958" cy="4725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3NgHwrRtuTPupqu7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6"/>
  <sheetViews>
    <sheetView tabSelected="1" view="pageBreakPreview" topLeftCell="A219" zoomScaleNormal="100" zoomScaleSheetLayoutView="100" workbookViewId="0">
      <selection activeCell="M224" sqref="M224"/>
    </sheetView>
  </sheetViews>
  <sheetFormatPr defaultColWidth="9.28515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28515625" style="41" customWidth="1"/>
    <col min="5" max="7" width="11.7109375" style="41" customWidth="1"/>
    <col min="8" max="8" width="12.42578125" style="41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7109375" style="21" customWidth="1"/>
    <col min="17" max="247" width="9.28515625" style="21"/>
    <col min="248" max="248" width="8.7109375" style="21" customWidth="1"/>
    <col min="249" max="249" width="9.71093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7109375" style="21" customWidth="1"/>
    <col min="505" max="505" width="9.71093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7109375" style="21" customWidth="1"/>
    <col min="761" max="761" width="9.71093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7109375" style="21" customWidth="1"/>
    <col min="1017" max="1017" width="9.71093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7109375" style="21" customWidth="1"/>
    <col min="1273" max="1273" width="9.71093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7109375" style="21" customWidth="1"/>
    <col min="1529" max="1529" width="9.71093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7109375" style="21" customWidth="1"/>
    <col min="1785" max="1785" width="9.71093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7109375" style="21" customWidth="1"/>
    <col min="2041" max="2041" width="9.71093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7109375" style="21" customWidth="1"/>
    <col min="2297" max="2297" width="9.71093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7109375" style="21" customWidth="1"/>
    <col min="2553" max="2553" width="9.71093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7109375" style="21" customWidth="1"/>
    <col min="2809" max="2809" width="9.71093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7109375" style="21" customWidth="1"/>
    <col min="3065" max="3065" width="9.71093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7109375" style="21" customWidth="1"/>
    <col min="3321" max="3321" width="9.71093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7109375" style="21" customWidth="1"/>
    <col min="3577" max="3577" width="9.71093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7109375" style="21" customWidth="1"/>
    <col min="3833" max="3833" width="9.71093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7109375" style="21" customWidth="1"/>
    <col min="4089" max="4089" width="9.71093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7109375" style="21" customWidth="1"/>
    <col min="4345" max="4345" width="9.71093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7109375" style="21" customWidth="1"/>
    <col min="4601" max="4601" width="9.71093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7109375" style="21" customWidth="1"/>
    <col min="4857" max="4857" width="9.71093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7109375" style="21" customWidth="1"/>
    <col min="5113" max="5113" width="9.71093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7109375" style="21" customWidth="1"/>
    <col min="5369" max="5369" width="9.71093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7109375" style="21" customWidth="1"/>
    <col min="5625" max="5625" width="9.71093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7109375" style="21" customWidth="1"/>
    <col min="5881" max="5881" width="9.71093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7109375" style="21" customWidth="1"/>
    <col min="6137" max="6137" width="9.71093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7109375" style="21" customWidth="1"/>
    <col min="6393" max="6393" width="9.71093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7109375" style="21" customWidth="1"/>
    <col min="6649" max="6649" width="9.71093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7109375" style="21" customWidth="1"/>
    <col min="6905" max="6905" width="9.71093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7109375" style="21" customWidth="1"/>
    <col min="7161" max="7161" width="9.71093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7109375" style="21" customWidth="1"/>
    <col min="7417" max="7417" width="9.71093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7109375" style="21" customWidth="1"/>
    <col min="7673" max="7673" width="9.71093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7109375" style="21" customWidth="1"/>
    <col min="7929" max="7929" width="9.71093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7109375" style="21" customWidth="1"/>
    <col min="8185" max="8185" width="9.71093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7109375" style="21" customWidth="1"/>
    <col min="8441" max="8441" width="9.71093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7109375" style="21" customWidth="1"/>
    <col min="8697" max="8697" width="9.71093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7109375" style="21" customWidth="1"/>
    <col min="8953" max="8953" width="9.71093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7109375" style="21" customWidth="1"/>
    <col min="9209" max="9209" width="9.71093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7109375" style="21" customWidth="1"/>
    <col min="9465" max="9465" width="9.71093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7109375" style="21" customWidth="1"/>
    <col min="9721" max="9721" width="9.71093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7109375" style="21" customWidth="1"/>
    <col min="9977" max="9977" width="9.71093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7109375" style="21" customWidth="1"/>
    <col min="10233" max="10233" width="9.71093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7109375" style="21" customWidth="1"/>
    <col min="10489" max="10489" width="9.71093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7109375" style="21" customWidth="1"/>
    <col min="10745" max="10745" width="9.71093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7109375" style="21" customWidth="1"/>
    <col min="11001" max="11001" width="9.71093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7109375" style="21" customWidth="1"/>
    <col min="11257" max="11257" width="9.71093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7109375" style="21" customWidth="1"/>
    <col min="11513" max="11513" width="9.71093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7109375" style="21" customWidth="1"/>
    <col min="11769" max="11769" width="9.71093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7109375" style="21" customWidth="1"/>
    <col min="12025" max="12025" width="9.71093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7109375" style="21" customWidth="1"/>
    <col min="12281" max="12281" width="9.71093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7109375" style="21" customWidth="1"/>
    <col min="12537" max="12537" width="9.71093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7109375" style="21" customWidth="1"/>
    <col min="12793" max="12793" width="9.71093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7109375" style="21" customWidth="1"/>
    <col min="13049" max="13049" width="9.71093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7109375" style="21" customWidth="1"/>
    <col min="13305" max="13305" width="9.71093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7109375" style="21" customWidth="1"/>
    <col min="13561" max="13561" width="9.71093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7109375" style="21" customWidth="1"/>
    <col min="13817" max="13817" width="9.71093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7109375" style="21" customWidth="1"/>
    <col min="14073" max="14073" width="9.71093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7109375" style="21" customWidth="1"/>
    <col min="14329" max="14329" width="9.71093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7109375" style="21" customWidth="1"/>
    <col min="14585" max="14585" width="9.71093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7109375" style="21" customWidth="1"/>
    <col min="14841" max="14841" width="9.71093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7109375" style="21" customWidth="1"/>
    <col min="15097" max="15097" width="9.71093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7109375" style="21" customWidth="1"/>
    <col min="15353" max="15353" width="9.71093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7109375" style="21" customWidth="1"/>
    <col min="15609" max="15609" width="9.71093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7109375" style="21" customWidth="1"/>
    <col min="15865" max="15865" width="9.71093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7109375" style="21" customWidth="1"/>
    <col min="16121" max="16121" width="9.71093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8" ht="46.5" customHeight="1" x14ac:dyDescent="0.25">
      <c r="A1" s="180" t="s">
        <v>215</v>
      </c>
      <c r="B1" s="180"/>
      <c r="C1" s="180"/>
      <c r="D1" s="180"/>
      <c r="E1" s="180"/>
      <c r="F1" s="180"/>
      <c r="G1" s="180"/>
      <c r="H1" s="180"/>
    </row>
    <row r="2" spans="1:8" ht="16.5" customHeight="1" x14ac:dyDescent="0.25">
      <c r="A2" s="149" t="s">
        <v>0</v>
      </c>
      <c r="B2" s="149"/>
      <c r="C2" s="149"/>
      <c r="D2" s="149"/>
      <c r="E2" s="149"/>
      <c r="F2" s="149"/>
      <c r="G2" s="149"/>
      <c r="H2" s="149"/>
    </row>
    <row r="3" spans="1:8" x14ac:dyDescent="0.25">
      <c r="A3" s="72" t="s">
        <v>1</v>
      </c>
      <c r="B3" s="72"/>
      <c r="C3" s="72"/>
      <c r="D3" s="72"/>
      <c r="E3" s="72" t="str">
        <f ca="1">TEXT(TODAY(),"DD/MM/YYYY")</f>
        <v>30/08/2025</v>
      </c>
      <c r="F3" s="72"/>
      <c r="G3" s="72"/>
      <c r="H3" s="72"/>
    </row>
    <row r="4" spans="1:8" ht="15" customHeight="1" x14ac:dyDescent="0.25">
      <c r="A4" s="72" t="s">
        <v>2</v>
      </c>
      <c r="B4" s="72"/>
      <c r="C4" s="72"/>
      <c r="D4" s="72"/>
      <c r="E4" s="72" t="s">
        <v>160</v>
      </c>
      <c r="F4" s="72"/>
      <c r="G4" s="72"/>
      <c r="H4" s="72"/>
    </row>
    <row r="5" spans="1:8" x14ac:dyDescent="0.25">
      <c r="A5" s="72" t="s">
        <v>3</v>
      </c>
      <c r="B5" s="72"/>
      <c r="C5" s="72"/>
      <c r="D5" s="72"/>
      <c r="E5" s="181">
        <v>45880</v>
      </c>
      <c r="F5" s="72"/>
      <c r="G5" s="72"/>
      <c r="H5" s="72"/>
    </row>
    <row r="6" spans="1:8" ht="16.5" customHeight="1" x14ac:dyDescent="0.25">
      <c r="A6" s="72" t="s">
        <v>4</v>
      </c>
      <c r="B6" s="72"/>
      <c r="C6" s="72"/>
      <c r="D6" s="72"/>
      <c r="E6" s="72" t="s">
        <v>161</v>
      </c>
      <c r="F6" s="72"/>
      <c r="G6" s="72"/>
      <c r="H6" s="72"/>
    </row>
    <row r="7" spans="1:8" ht="15" customHeight="1" x14ac:dyDescent="0.25">
      <c r="A7" s="72" t="s">
        <v>5</v>
      </c>
      <c r="B7" s="72"/>
      <c r="C7" s="72"/>
      <c r="D7" s="72"/>
      <c r="E7" s="72" t="str">
        <f>E6</f>
        <v>M/s. Mahalaxmi Homemakers Private Limited</v>
      </c>
      <c r="F7" s="72"/>
      <c r="G7" s="72"/>
      <c r="H7" s="72"/>
    </row>
    <row r="8" spans="1:8" x14ac:dyDescent="0.25">
      <c r="A8" s="72" t="s">
        <v>6</v>
      </c>
      <c r="B8" s="72"/>
      <c r="C8" s="72"/>
      <c r="D8" s="72"/>
      <c r="E8" s="115" t="s">
        <v>199</v>
      </c>
      <c r="F8" s="115"/>
      <c r="G8" s="115"/>
      <c r="H8" s="115"/>
    </row>
    <row r="9" spans="1:8" x14ac:dyDescent="0.25">
      <c r="A9" s="72" t="s">
        <v>118</v>
      </c>
      <c r="B9" s="72"/>
      <c r="C9" s="72"/>
      <c r="D9" s="72"/>
      <c r="E9" s="72">
        <v>9769267199</v>
      </c>
      <c r="F9" s="72"/>
      <c r="G9" s="72"/>
      <c r="H9" s="72"/>
    </row>
    <row r="10" spans="1:8" x14ac:dyDescent="0.25">
      <c r="A10" s="72" t="s">
        <v>200</v>
      </c>
      <c r="B10" s="72"/>
      <c r="C10" s="72"/>
      <c r="D10" s="72"/>
      <c r="E10" s="72" t="s">
        <v>201</v>
      </c>
      <c r="F10" s="72"/>
      <c r="G10" s="72"/>
      <c r="H10" s="72"/>
    </row>
    <row r="11" spans="1:8" ht="15.75" customHeight="1" x14ac:dyDescent="0.25">
      <c r="A11" s="127" t="s">
        <v>7</v>
      </c>
      <c r="B11" s="127"/>
      <c r="C11" s="127"/>
      <c r="D11" s="127"/>
      <c r="E11" s="108" t="s">
        <v>193</v>
      </c>
      <c r="F11" s="108"/>
      <c r="G11" s="108"/>
      <c r="H11" s="108"/>
    </row>
    <row r="12" spans="1:8" x14ac:dyDescent="0.25">
      <c r="A12" s="127" t="s">
        <v>8</v>
      </c>
      <c r="B12" s="127"/>
      <c r="C12" s="127"/>
      <c r="D12" s="127"/>
      <c r="E12" s="108" t="s">
        <v>162</v>
      </c>
      <c r="F12" s="72"/>
      <c r="G12" s="72"/>
      <c r="H12" s="72"/>
    </row>
    <row r="13" spans="1:8" ht="48.75" customHeight="1" x14ac:dyDescent="0.25">
      <c r="A13" s="108" t="s">
        <v>9</v>
      </c>
      <c r="B13" s="108"/>
      <c r="C13" s="10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Mahalaxmi Nagar Building No.4, Survey No.97, Hissa No.1 &amp; 3B, Survey No.98, Hissa No.1A &amp; 3, near Mahalaxmi Building No. 1, Internal Road, Chandarpada, Naigaon (East), Vasai, Palghar - 400001.</v>
      </c>
      <c r="D13" s="108"/>
      <c r="E13" s="108"/>
      <c r="F13" s="108"/>
      <c r="G13" s="108"/>
      <c r="H13" s="108"/>
    </row>
    <row r="14" spans="1:8" x14ac:dyDescent="0.25">
      <c r="A14" s="108" t="s">
        <v>163</v>
      </c>
      <c r="B14" s="108"/>
      <c r="C14" s="108" t="s">
        <v>209</v>
      </c>
      <c r="D14" s="108"/>
      <c r="E14" s="108"/>
      <c r="F14" s="108"/>
      <c r="G14" s="108"/>
      <c r="H14" s="108"/>
    </row>
    <row r="15" spans="1:8" ht="15.75" customHeight="1" x14ac:dyDescent="0.25">
      <c r="A15" s="108" t="s">
        <v>10</v>
      </c>
      <c r="B15" s="108"/>
      <c r="C15" s="72" t="s">
        <v>167</v>
      </c>
      <c r="D15" s="72"/>
      <c r="E15" s="108" t="s">
        <v>68</v>
      </c>
      <c r="F15" s="108"/>
      <c r="G15" s="108" t="s">
        <v>164</v>
      </c>
      <c r="H15" s="108"/>
    </row>
    <row r="16" spans="1:8" x14ac:dyDescent="0.25">
      <c r="A16" s="72" t="s">
        <v>12</v>
      </c>
      <c r="B16" s="72"/>
      <c r="C16" s="108" t="s">
        <v>170</v>
      </c>
      <c r="D16" s="108"/>
      <c r="E16" s="108" t="s">
        <v>11</v>
      </c>
      <c r="F16" s="108"/>
      <c r="G16" s="183" t="s">
        <v>165</v>
      </c>
      <c r="H16" s="183"/>
    </row>
    <row r="17" spans="1:8" x14ac:dyDescent="0.25">
      <c r="A17" s="72" t="s">
        <v>69</v>
      </c>
      <c r="B17" s="72"/>
      <c r="C17" s="108" t="s">
        <v>166</v>
      </c>
      <c r="D17" s="108"/>
      <c r="E17" s="108" t="s">
        <v>13</v>
      </c>
      <c r="F17" s="108"/>
      <c r="G17" s="108">
        <v>400001</v>
      </c>
      <c r="H17" s="108"/>
    </row>
    <row r="18" spans="1:8" ht="32.25" customHeight="1" x14ac:dyDescent="0.25">
      <c r="A18" s="72" t="s">
        <v>119</v>
      </c>
      <c r="B18" s="72"/>
      <c r="C18" s="108" t="s">
        <v>168</v>
      </c>
      <c r="D18" s="108"/>
      <c r="E18" s="108" t="s">
        <v>14</v>
      </c>
      <c r="F18" s="108"/>
      <c r="G18" s="108" t="s">
        <v>241</v>
      </c>
      <c r="H18" s="108"/>
    </row>
    <row r="19" spans="1:8" ht="15" customHeight="1" x14ac:dyDescent="0.25">
      <c r="A19" s="107" t="s">
        <v>72</v>
      </c>
      <c r="B19" s="107"/>
      <c r="C19" s="107"/>
      <c r="D19" s="107"/>
      <c r="E19" s="72" t="s">
        <v>15</v>
      </c>
      <c r="F19" s="72"/>
      <c r="G19" s="72"/>
      <c r="H19" s="72"/>
    </row>
    <row r="20" spans="1:8" ht="18.75" customHeight="1" x14ac:dyDescent="0.25">
      <c r="A20" s="107"/>
      <c r="B20" s="107"/>
      <c r="C20" s="107"/>
      <c r="D20" s="107"/>
      <c r="E20" s="72"/>
      <c r="F20" s="72"/>
      <c r="G20" s="72"/>
      <c r="H20" s="72"/>
    </row>
    <row r="21" spans="1:8" ht="15" customHeight="1" x14ac:dyDescent="0.25">
      <c r="A21" s="107" t="s">
        <v>16</v>
      </c>
      <c r="B21" s="107"/>
      <c r="C21" s="107"/>
      <c r="D21" s="107"/>
      <c r="E21" s="108" t="s">
        <v>17</v>
      </c>
      <c r="F21" s="108"/>
      <c r="G21" s="108"/>
      <c r="H21" s="108"/>
    </row>
    <row r="22" spans="1:8" ht="15" customHeight="1" x14ac:dyDescent="0.25">
      <c r="A22" s="127" t="s">
        <v>18</v>
      </c>
      <c r="B22" s="127"/>
      <c r="C22" s="127"/>
      <c r="D22" s="127"/>
      <c r="E22" s="108" t="str">
        <f>IF(AND(G16="Mumbai"),"Upper Class","Middle Class")</f>
        <v>Middle Class</v>
      </c>
      <c r="F22" s="108"/>
      <c r="G22" s="108"/>
      <c r="H22" s="108"/>
    </row>
    <row r="23" spans="1:8" x14ac:dyDescent="0.25">
      <c r="A23" s="127" t="s">
        <v>19</v>
      </c>
      <c r="B23" s="127"/>
      <c r="C23" s="127"/>
      <c r="D23" s="127"/>
      <c r="E23" s="108" t="s">
        <v>20</v>
      </c>
      <c r="F23" s="108"/>
      <c r="G23" s="108"/>
      <c r="H23" s="108"/>
    </row>
    <row r="24" spans="1:8" ht="15.75" customHeight="1" x14ac:dyDescent="0.25">
      <c r="A24" s="127" t="s">
        <v>21</v>
      </c>
      <c r="B24" s="127"/>
      <c r="C24" s="127"/>
      <c r="D24" s="127"/>
      <c r="E24" s="108" t="str">
        <f>IF(AND(G16="Mumbai"),"Developed","Developing")</f>
        <v>Developing</v>
      </c>
      <c r="F24" s="108"/>
      <c r="G24" s="108"/>
      <c r="H24" s="108"/>
    </row>
    <row r="25" spans="1:8" x14ac:dyDescent="0.25">
      <c r="A25" s="127" t="s">
        <v>22</v>
      </c>
      <c r="B25" s="127"/>
      <c r="C25" s="127"/>
      <c r="D25" s="127"/>
      <c r="E25" s="108" t="s">
        <v>23</v>
      </c>
      <c r="F25" s="108"/>
      <c r="G25" s="108"/>
      <c r="H25" s="108"/>
    </row>
    <row r="26" spans="1:8" ht="15.75" customHeight="1" x14ac:dyDescent="0.25">
      <c r="A26" s="127" t="s">
        <v>77</v>
      </c>
      <c r="B26" s="127"/>
      <c r="C26" s="127"/>
      <c r="D26" s="127"/>
      <c r="E26" s="108" t="s">
        <v>78</v>
      </c>
      <c r="F26" s="108"/>
      <c r="G26" s="108"/>
      <c r="H26" s="108"/>
    </row>
    <row r="27" spans="1:8" ht="15" customHeight="1" x14ac:dyDescent="0.25">
      <c r="A27" s="127" t="s">
        <v>31</v>
      </c>
      <c r="B27" s="127"/>
      <c r="C27" s="127"/>
      <c r="D27" s="127"/>
      <c r="E27" s="10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Commercial",IF(AND(ISNUMBER(SEARCH("Shop",D55)),ISNUMBER(SEARCH("Office",D55))),"Commercial",IF(ISNUMBER(SEARCH("Shop",D55)),"Commercial",IF(ISNUMBER(SEARCH("Office",D55)),"Commercial",IF(ISNUMBER(SEARCH("Flat",D55)),"Residentail")))))))</f>
        <v>Residential + Commercial</v>
      </c>
      <c r="F27" s="108"/>
      <c r="G27" s="108"/>
      <c r="H27" s="108"/>
    </row>
    <row r="28" spans="1:8" ht="15.75" customHeight="1" x14ac:dyDescent="0.25">
      <c r="A28" s="127" t="s">
        <v>88</v>
      </c>
      <c r="B28" s="127"/>
      <c r="C28" s="127"/>
      <c r="D28" s="127"/>
      <c r="E28" s="108" t="s">
        <v>32</v>
      </c>
      <c r="F28" s="108"/>
      <c r="G28" s="108"/>
      <c r="H28" s="108"/>
    </row>
    <row r="29" spans="1:8" s="22" customFormat="1" x14ac:dyDescent="0.25">
      <c r="A29" s="188" t="s">
        <v>89</v>
      </c>
      <c r="B29" s="188"/>
      <c r="C29" s="187" t="s">
        <v>225</v>
      </c>
      <c r="D29" s="187"/>
      <c r="E29" s="187"/>
      <c r="F29" s="187" t="s">
        <v>29</v>
      </c>
      <c r="G29" s="187"/>
      <c r="H29" s="187"/>
    </row>
    <row r="30" spans="1:8" s="22" customFormat="1" x14ac:dyDescent="0.25">
      <c r="A30" s="184" t="s">
        <v>24</v>
      </c>
      <c r="B30" s="184" t="s">
        <v>28</v>
      </c>
      <c r="C30" s="185" t="s">
        <v>238</v>
      </c>
      <c r="D30" s="185"/>
      <c r="E30" s="185"/>
      <c r="F30" s="185" t="s">
        <v>169</v>
      </c>
      <c r="G30" s="185"/>
      <c r="H30" s="185"/>
    </row>
    <row r="31" spans="1:8" x14ac:dyDescent="0.25">
      <c r="A31" s="184" t="s">
        <v>25</v>
      </c>
      <c r="B31" s="184" t="s">
        <v>28</v>
      </c>
      <c r="C31" s="185" t="s">
        <v>239</v>
      </c>
      <c r="D31" s="185"/>
      <c r="E31" s="185"/>
      <c r="F31" s="185" t="s">
        <v>10</v>
      </c>
      <c r="G31" s="185"/>
      <c r="H31" s="185"/>
    </row>
    <row r="32" spans="1:8" s="22" customFormat="1" x14ac:dyDescent="0.25">
      <c r="A32" s="184" t="s">
        <v>27</v>
      </c>
      <c r="B32" s="184" t="s">
        <v>28</v>
      </c>
      <c r="C32" s="185" t="s">
        <v>240</v>
      </c>
      <c r="D32" s="185"/>
      <c r="E32" s="185"/>
      <c r="F32" s="185" t="s">
        <v>10</v>
      </c>
      <c r="G32" s="185"/>
      <c r="H32" s="185"/>
    </row>
    <row r="33" spans="1:13" x14ac:dyDescent="0.25">
      <c r="A33" s="184" t="s">
        <v>26</v>
      </c>
      <c r="B33" s="184" t="s">
        <v>28</v>
      </c>
      <c r="C33" s="185" t="s">
        <v>169</v>
      </c>
      <c r="D33" s="185"/>
      <c r="E33" s="185"/>
      <c r="F33" s="185" t="s">
        <v>169</v>
      </c>
      <c r="G33" s="185"/>
      <c r="H33" s="185"/>
    </row>
    <row r="34" spans="1:13" x14ac:dyDescent="0.25">
      <c r="A34" s="127" t="s">
        <v>30</v>
      </c>
      <c r="B34" s="127"/>
      <c r="C34" s="127"/>
      <c r="D34" s="127"/>
      <c r="E34" s="127"/>
      <c r="F34" s="127"/>
      <c r="G34" s="127"/>
      <c r="H34" s="127"/>
    </row>
    <row r="35" spans="1:13" ht="15.75" customHeight="1" x14ac:dyDescent="0.25">
      <c r="A35" s="149" t="s">
        <v>218</v>
      </c>
      <c r="B35" s="149"/>
      <c r="C35" s="192" t="s">
        <v>217</v>
      </c>
      <c r="D35" s="190"/>
      <c r="E35" s="190"/>
      <c r="F35" s="190"/>
      <c r="G35" s="190"/>
      <c r="H35" s="191"/>
    </row>
    <row r="36" spans="1:13" ht="15.75" customHeight="1" x14ac:dyDescent="0.25">
      <c r="A36" s="149" t="s">
        <v>216</v>
      </c>
      <c r="B36" s="149"/>
      <c r="C36" s="189" t="s">
        <v>219</v>
      </c>
      <c r="D36" s="190"/>
      <c r="E36" s="190"/>
      <c r="F36" s="190"/>
      <c r="G36" s="190"/>
      <c r="H36" s="191"/>
    </row>
    <row r="37" spans="1:13" x14ac:dyDescent="0.25">
      <c r="A37" s="170" t="s">
        <v>33</v>
      </c>
      <c r="B37" s="170"/>
      <c r="C37" s="170"/>
      <c r="D37" s="170"/>
      <c r="E37" s="170"/>
      <c r="F37" s="170"/>
      <c r="G37" s="170"/>
      <c r="H37" s="170"/>
    </row>
    <row r="38" spans="1:13" x14ac:dyDescent="0.25">
      <c r="A38" s="72" t="s">
        <v>34</v>
      </c>
      <c r="B38" s="72"/>
      <c r="C38" s="72"/>
      <c r="D38" s="72"/>
      <c r="E38" s="186">
        <v>11849</v>
      </c>
      <c r="F38" s="186"/>
      <c r="G38" s="186"/>
      <c r="H38" s="186"/>
    </row>
    <row r="39" spans="1:13" x14ac:dyDescent="0.25">
      <c r="A39" s="72" t="s">
        <v>35</v>
      </c>
      <c r="B39" s="72"/>
      <c r="C39" s="72"/>
      <c r="D39" s="72"/>
      <c r="E39" s="73">
        <v>1</v>
      </c>
      <c r="F39" s="73"/>
      <c r="G39" s="73"/>
      <c r="H39" s="73"/>
    </row>
    <row r="40" spans="1:13" x14ac:dyDescent="0.25">
      <c r="A40" s="72" t="s">
        <v>36</v>
      </c>
      <c r="B40" s="72"/>
      <c r="C40" s="72"/>
      <c r="D40" s="72"/>
      <c r="E40" s="73">
        <f>E42/E38-E39</f>
        <v>9.9999999999999867E-2</v>
      </c>
      <c r="F40" s="73"/>
      <c r="G40" s="73"/>
      <c r="H40" s="73"/>
    </row>
    <row r="41" spans="1:13" x14ac:dyDescent="0.25">
      <c r="A41" s="72" t="s">
        <v>37</v>
      </c>
      <c r="B41" s="72"/>
      <c r="C41" s="72"/>
      <c r="D41" s="72"/>
      <c r="E41" s="73">
        <f>E39+E40</f>
        <v>1.0999999999999999</v>
      </c>
      <c r="F41" s="73"/>
      <c r="G41" s="73"/>
      <c r="H41" s="73"/>
    </row>
    <row r="42" spans="1:13" x14ac:dyDescent="0.25">
      <c r="A42" s="72" t="s">
        <v>87</v>
      </c>
      <c r="B42" s="72"/>
      <c r="C42" s="72"/>
      <c r="D42" s="72"/>
      <c r="E42" s="182">
        <v>13033.9</v>
      </c>
      <c r="F42" s="182"/>
      <c r="G42" s="182"/>
      <c r="H42" s="182"/>
      <c r="I42" s="182">
        <v>13033.9</v>
      </c>
      <c r="J42" s="182"/>
      <c r="K42" s="182"/>
      <c r="L42" s="182"/>
    </row>
    <row r="43" spans="1:13" x14ac:dyDescent="0.25">
      <c r="A43" s="72" t="s">
        <v>38</v>
      </c>
      <c r="B43" s="72"/>
      <c r="C43" s="72"/>
      <c r="D43" s="72"/>
      <c r="E43" s="72" t="s">
        <v>175</v>
      </c>
      <c r="F43" s="72"/>
      <c r="G43" s="72"/>
      <c r="H43" s="72"/>
    </row>
    <row r="44" spans="1:13" x14ac:dyDescent="0.25">
      <c r="A44" s="170" t="s">
        <v>39</v>
      </c>
      <c r="B44" s="170"/>
      <c r="C44" s="170"/>
      <c r="D44" s="170"/>
      <c r="E44" s="170"/>
      <c r="F44" s="170"/>
      <c r="G44" s="170"/>
      <c r="H44" s="170"/>
    </row>
    <row r="45" spans="1:13" ht="33.75" customHeight="1" x14ac:dyDescent="0.25">
      <c r="A45" s="222" t="s">
        <v>148</v>
      </c>
      <c r="B45" s="223"/>
      <c r="C45" s="109" t="s">
        <v>172</v>
      </c>
      <c r="D45" s="224"/>
      <c r="E45" s="224"/>
      <c r="F45" s="224"/>
      <c r="G45" s="224"/>
      <c r="H45" s="110"/>
    </row>
    <row r="46" spans="1:13" ht="31.5" customHeight="1" x14ac:dyDescent="0.25">
      <c r="A46" s="222" t="s">
        <v>226</v>
      </c>
      <c r="B46" s="223"/>
      <c r="C46" s="111" t="s">
        <v>179</v>
      </c>
      <c r="D46" s="112"/>
      <c r="E46" s="113"/>
      <c r="F46" s="53" t="s">
        <v>40</v>
      </c>
      <c r="G46" s="179">
        <v>44347</v>
      </c>
      <c r="H46" s="113"/>
      <c r="I46" s="111" t="s">
        <v>179</v>
      </c>
      <c r="J46" s="112"/>
      <c r="K46" s="113"/>
      <c r="L46" s="179">
        <v>44347</v>
      </c>
      <c r="M46" s="113"/>
    </row>
    <row r="47" spans="1:13" ht="35.25" customHeight="1" x14ac:dyDescent="0.25">
      <c r="A47" s="222" t="s">
        <v>227</v>
      </c>
      <c r="B47" s="223"/>
      <c r="C47" s="111" t="str">
        <f>C46</f>
        <v>VVCMC/TP/AMEND/SPA/VP/043/013/2021-22</v>
      </c>
      <c r="D47" s="112"/>
      <c r="E47" s="113"/>
      <c r="F47" s="53" t="s">
        <v>40</v>
      </c>
      <c r="G47" s="179">
        <f>G46</f>
        <v>44347</v>
      </c>
      <c r="H47" s="113"/>
    </row>
    <row r="48" spans="1:13" ht="31.5" hidden="1" customHeight="1" x14ac:dyDescent="0.25">
      <c r="A48" s="81" t="s">
        <v>228</v>
      </c>
      <c r="B48" s="82"/>
      <c r="C48" s="83" t="s">
        <v>224</v>
      </c>
      <c r="D48" s="84"/>
      <c r="E48" s="85"/>
      <c r="F48" s="67" t="s">
        <v>40</v>
      </c>
      <c r="G48" s="178">
        <v>45338</v>
      </c>
      <c r="H48" s="85"/>
      <c r="I48" s="111" t="s">
        <v>179</v>
      </c>
      <c r="J48" s="112"/>
      <c r="K48" s="113"/>
      <c r="L48" s="179">
        <v>44347</v>
      </c>
      <c r="M48" s="113"/>
    </row>
    <row r="49" spans="1:14" ht="31.5" customHeight="1" x14ac:dyDescent="0.25">
      <c r="A49" s="104" t="s">
        <v>229</v>
      </c>
      <c r="B49" s="105"/>
      <c r="C49" s="96" t="str">
        <f>C48</f>
        <v>VVCMC/TP/AMEND/SPA/VP/0043/24/2023-24</v>
      </c>
      <c r="D49" s="97"/>
      <c r="E49" s="98"/>
      <c r="F49" s="71" t="s">
        <v>40</v>
      </c>
      <c r="G49" s="173">
        <f>G48</f>
        <v>45338</v>
      </c>
      <c r="H49" s="98"/>
    </row>
    <row r="50" spans="1:14" s="23" customFormat="1" ht="15.75" customHeight="1" x14ac:dyDescent="0.25">
      <c r="A50" s="174" t="s">
        <v>152</v>
      </c>
      <c r="B50" s="175"/>
      <c r="C50" s="111" t="s">
        <v>171</v>
      </c>
      <c r="D50" s="112"/>
      <c r="E50" s="113"/>
      <c r="F50" s="53" t="s">
        <v>40</v>
      </c>
      <c r="G50" s="179">
        <v>44347</v>
      </c>
      <c r="H50" s="113"/>
    </row>
    <row r="51" spans="1:14" s="23" customFormat="1" x14ac:dyDescent="0.25">
      <c r="A51" s="176"/>
      <c r="B51" s="177"/>
      <c r="C51" s="111" t="s">
        <v>173</v>
      </c>
      <c r="D51" s="112"/>
      <c r="E51" s="112"/>
      <c r="F51" s="112"/>
      <c r="G51" s="112"/>
      <c r="H51" s="113"/>
    </row>
    <row r="52" spans="1:14" x14ac:dyDescent="0.25">
      <c r="A52" s="99" t="s">
        <v>41</v>
      </c>
      <c r="B52" s="100"/>
      <c r="C52" s="101" t="s">
        <v>99</v>
      </c>
      <c r="D52" s="102"/>
      <c r="E52" s="103"/>
      <c r="F52" s="54" t="s">
        <v>40</v>
      </c>
      <c r="G52" s="109" t="s">
        <v>28</v>
      </c>
      <c r="H52" s="110"/>
    </row>
    <row r="53" spans="1:14" x14ac:dyDescent="0.25">
      <c r="A53" s="106" t="s">
        <v>43</v>
      </c>
      <c r="B53" s="106"/>
      <c r="C53" s="106"/>
      <c r="D53" s="106"/>
      <c r="E53" s="106"/>
      <c r="F53" s="106"/>
      <c r="G53" s="106"/>
      <c r="H53" s="106"/>
    </row>
    <row r="54" spans="1:14" x14ac:dyDescent="0.25">
      <c r="A54" s="107" t="s">
        <v>86</v>
      </c>
      <c r="B54" s="107"/>
      <c r="C54" s="107"/>
      <c r="D54" s="72">
        <f>3499.91+464.33</f>
        <v>3964.24</v>
      </c>
      <c r="E54" s="72"/>
      <c r="F54" s="72"/>
      <c r="G54" s="72"/>
      <c r="H54" s="72"/>
    </row>
    <row r="55" spans="1:14" x14ac:dyDescent="0.25">
      <c r="A55" s="108" t="s">
        <v>202</v>
      </c>
      <c r="B55" s="72"/>
      <c r="C55" s="72"/>
      <c r="D55" s="72" t="s">
        <v>247</v>
      </c>
      <c r="E55" s="72"/>
      <c r="F55" s="72"/>
      <c r="G55" s="72"/>
      <c r="H55" s="72"/>
      <c r="I55" s="24"/>
    </row>
    <row r="56" spans="1:14" ht="33.75" customHeight="1" x14ac:dyDescent="0.25">
      <c r="A56" s="86" t="s">
        <v>203</v>
      </c>
      <c r="B56" s="87"/>
      <c r="C56" s="172"/>
      <c r="D56" s="167" t="s">
        <v>230</v>
      </c>
      <c r="E56" s="171"/>
      <c r="F56" s="171"/>
      <c r="G56" s="171"/>
      <c r="H56" s="171"/>
    </row>
    <row r="57" spans="1:14" ht="15.75" customHeight="1" x14ac:dyDescent="0.25">
      <c r="A57" s="86" t="s">
        <v>204</v>
      </c>
      <c r="B57" s="87"/>
      <c r="C57" s="87"/>
      <c r="D57" s="90" t="s">
        <v>205</v>
      </c>
      <c r="E57" s="91"/>
      <c r="F57" s="91"/>
      <c r="G57" s="91"/>
      <c r="H57" s="92"/>
    </row>
    <row r="58" spans="1:14" ht="15.75" customHeight="1" x14ac:dyDescent="0.25">
      <c r="A58" s="88"/>
      <c r="B58" s="89"/>
      <c r="C58" s="89"/>
      <c r="D58" s="93" t="s">
        <v>206</v>
      </c>
      <c r="E58" s="94"/>
      <c r="F58" s="94"/>
      <c r="G58" s="94"/>
      <c r="H58" s="95"/>
    </row>
    <row r="59" spans="1:14" ht="15.75" customHeight="1" x14ac:dyDescent="0.25">
      <c r="A59" s="127" t="s">
        <v>42</v>
      </c>
      <c r="B59" s="127"/>
      <c r="C59" s="127"/>
      <c r="D59" s="193" t="s">
        <v>174</v>
      </c>
      <c r="E59" s="193"/>
      <c r="F59" s="193"/>
      <c r="G59" s="193"/>
      <c r="H59" s="193"/>
      <c r="J59" s="25"/>
      <c r="K59" s="24"/>
      <c r="N59" s="24"/>
    </row>
    <row r="60" spans="1:14" ht="15.75" customHeight="1" x14ac:dyDescent="0.25">
      <c r="A60" s="127" t="s">
        <v>83</v>
      </c>
      <c r="B60" s="127"/>
      <c r="C60" s="127"/>
      <c r="D60" s="194" t="str">
        <f>(IF(G52="NA","60 Years After Completion",IF(G52&lt;&gt;"NA",""&amp;60-ROUNDDOWN((E3-G52)/360,0)&amp;" Years"," ")))</f>
        <v>60 Years After Completion</v>
      </c>
      <c r="E60" s="194"/>
      <c r="F60" s="194"/>
      <c r="G60" s="194"/>
      <c r="H60" s="194"/>
      <c r="N60" s="24"/>
    </row>
    <row r="61" spans="1:14" ht="15.75" customHeight="1" x14ac:dyDescent="0.25">
      <c r="A61" s="127" t="s">
        <v>84</v>
      </c>
      <c r="B61" s="127"/>
      <c r="C61" s="127"/>
      <c r="D61" s="107" t="s">
        <v>23</v>
      </c>
      <c r="E61" s="107"/>
      <c r="F61" s="107"/>
      <c r="G61" s="107"/>
      <c r="H61" s="107"/>
      <c r="J61" s="16"/>
      <c r="K61" s="16"/>
    </row>
    <row r="62" spans="1:14" ht="30" customHeight="1" x14ac:dyDescent="0.25">
      <c r="A62" s="127" t="s">
        <v>70</v>
      </c>
      <c r="B62" s="127"/>
      <c r="C62" s="127"/>
      <c r="D62" s="108" t="s">
        <v>212</v>
      </c>
      <c r="E62" s="107"/>
      <c r="F62" s="107"/>
      <c r="G62" s="107"/>
      <c r="H62" s="107"/>
    </row>
    <row r="63" spans="1:14" x14ac:dyDescent="0.25">
      <c r="A63" s="107" t="s">
        <v>145</v>
      </c>
      <c r="B63" s="107"/>
      <c r="C63" s="107"/>
      <c r="D63" s="107" t="s">
        <v>28</v>
      </c>
      <c r="E63" s="107"/>
      <c r="F63" s="107"/>
      <c r="G63" s="107"/>
      <c r="H63" s="107"/>
      <c r="I63" s="26"/>
      <c r="J63" s="26"/>
      <c r="K63" s="26"/>
      <c r="L63" s="26"/>
      <c r="M63" s="26"/>
      <c r="N63" s="26"/>
    </row>
    <row r="64" spans="1:14" ht="15.75" customHeight="1" x14ac:dyDescent="0.25">
      <c r="A64" s="168" t="s">
        <v>82</v>
      </c>
      <c r="B64" s="168"/>
      <c r="C64" s="168"/>
      <c r="D64" s="167" t="str">
        <f ca="1">(IF(G70&gt;95%,"Nothing",IF(G70&gt;0%,"Cement, Aggregate, Steel, etc",IF(G70=0%,"Work not yet Started"))))</f>
        <v>Cement, Aggregate, Steel, etc</v>
      </c>
      <c r="E64" s="167"/>
      <c r="F64" s="167"/>
      <c r="G64" s="167"/>
      <c r="H64" s="167"/>
      <c r="J64" s="16"/>
    </row>
    <row r="65" spans="1:10" ht="33.75" customHeight="1" thickBot="1" x14ac:dyDescent="0.3">
      <c r="A65" s="166" t="s">
        <v>112</v>
      </c>
      <c r="B65" s="166"/>
      <c r="C65" s="166"/>
      <c r="D65" s="167" t="str">
        <f ca="1">(IF(D64="Nothing","Yes",IF(D64="Cement, Aggregate, Steel, etc","Under Construction",IF(D64="Work not yet Started","Work not yet Started"))))</f>
        <v>Under Construction</v>
      </c>
      <c r="E65" s="167"/>
      <c r="F65" s="167" t="str">
        <f ca="1">(IF(D64="Nothing","Yes",IF(D64="Cement, Aggregate, Steel, etc","Under Construction",IF(D64="Work not yet Started","Work not yet Started"))))</f>
        <v>Under Construction</v>
      </c>
      <c r="G65" s="167"/>
      <c r="H65" s="167"/>
    </row>
    <row r="66" spans="1:10" ht="15.75" customHeight="1" x14ac:dyDescent="0.25">
      <c r="A66" s="74" t="s">
        <v>137</v>
      </c>
      <c r="B66" s="75"/>
      <c r="C66" s="76" t="str">
        <f>D57</f>
        <v>Building No.4 = Wing A = Gr/St + 1st to 22nd Floor</v>
      </c>
      <c r="D66" s="77"/>
      <c r="E66" s="77"/>
      <c r="F66" s="77"/>
      <c r="G66" s="77"/>
      <c r="H66" s="78"/>
      <c r="I66" s="15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Slab Completed, Brickwork Completed, Internal Plaster upto 21 Floor Completed, External Plaster upto 18 Floor Completed, Flooring upto 8 Floor Completed.</v>
      </c>
      <c r="J66" s="27"/>
    </row>
    <row r="67" spans="1:10" x14ac:dyDescent="0.25">
      <c r="A67" s="18" t="s">
        <v>139</v>
      </c>
      <c r="B67" s="43">
        <v>0</v>
      </c>
      <c r="C67" s="43" t="s">
        <v>67</v>
      </c>
      <c r="D67" s="43">
        <v>1</v>
      </c>
      <c r="E67" s="43" t="s">
        <v>66</v>
      </c>
      <c r="F67" s="43">
        <v>0</v>
      </c>
      <c r="G67" s="43" t="s">
        <v>76</v>
      </c>
      <c r="H67" s="19">
        <f ca="1">--TRIM(RIGHT(SUBSTITUTE(LEFT(C66,_xlfn.AGGREGATE(16,6,FIND({0,1,2,3,4,5,6,7,8,9},C66,ROW(INDIRECT("1:"&amp;LEN(C66)))),1))," ",REPT(" ",LEN(C66))),LEN(C66)))</f>
        <v>22</v>
      </c>
      <c r="I67" s="16"/>
      <c r="J67" s="28"/>
    </row>
    <row r="68" spans="1:10" ht="48.4" customHeight="1" x14ac:dyDescent="0.25">
      <c r="A68" s="114" t="s">
        <v>85</v>
      </c>
      <c r="B68" s="115"/>
      <c r="C68" s="164" t="str">
        <f ca="1">(IF($G$52="NA",I66,"All work Completed. OC Received."))</f>
        <v>Excavation work Completed. Plinth work completed, RCC Slab Completed, Brickwork Completed, Internal Plaster upto 21 Floor Completed, External Plaster upto 18 Floor Completed, Flooring upto 8 Floor Completed.</v>
      </c>
      <c r="D68" s="164"/>
      <c r="E68" s="164"/>
      <c r="F68" s="164"/>
      <c r="G68" s="164"/>
      <c r="H68" s="165"/>
      <c r="I68" s="16" t="s">
        <v>98</v>
      </c>
      <c r="J68" s="28"/>
    </row>
    <row r="69" spans="1:10" x14ac:dyDescent="0.25">
      <c r="A69" s="79" t="s">
        <v>44</v>
      </c>
      <c r="B69" s="80"/>
      <c r="C69" s="45" t="s">
        <v>136</v>
      </c>
      <c r="D69" s="45" t="s">
        <v>79</v>
      </c>
      <c r="E69" s="80" t="s">
        <v>81</v>
      </c>
      <c r="F69" s="80"/>
      <c r="G69" s="80" t="s">
        <v>80</v>
      </c>
      <c r="H69" s="169"/>
      <c r="I69" s="14" t="s">
        <v>138</v>
      </c>
      <c r="J69" s="29">
        <f ca="1">H67*25%</f>
        <v>5.5</v>
      </c>
    </row>
    <row r="70" spans="1:10" x14ac:dyDescent="0.25">
      <c r="A70" s="79" t="s">
        <v>125</v>
      </c>
      <c r="B70" s="80"/>
      <c r="C70" s="45">
        <f ca="1">J71</f>
        <v>22</v>
      </c>
      <c r="D70" s="46">
        <f ca="1">((100/H67)*C70)/100</f>
        <v>1.0000000000000002</v>
      </c>
      <c r="E70" s="196">
        <f ca="1">(((C71/H67*10)+(40/(D67+F67+H67)*C72)+(7.5/(H67)*C73)+(7.5/(H67)*C74)+(10/H67*C75)+(10/H67*C76)+(5/H67*C77)+(5/H67*C78)+(5/H67*C79))/100)</f>
        <v>0.76477272727272738</v>
      </c>
      <c r="F70" s="197"/>
      <c r="G70" s="196">
        <f ca="1">((((C70/H67)*20)+((C71/H67)*25)+(30/(H67+F67+D67)*C72)+(5/H67*C73)+(5/H67*C74)+(5/H67*C75)+(5/H67*C76)+(0/H67*C77)+(0/H67*C78)+(5/H67*C79))/100)</f>
        <v>0.90681818181818175</v>
      </c>
      <c r="H70" s="204"/>
      <c r="I70" s="14" t="s">
        <v>93</v>
      </c>
      <c r="J70" s="30">
        <f ca="1">H67*50%</f>
        <v>11</v>
      </c>
    </row>
    <row r="71" spans="1:10" x14ac:dyDescent="0.25">
      <c r="A71" s="79" t="s">
        <v>45</v>
      </c>
      <c r="B71" s="80"/>
      <c r="C71" s="47">
        <v>22</v>
      </c>
      <c r="D71" s="46">
        <f ca="1">((100/H67)*C71)/100</f>
        <v>1.0000000000000002</v>
      </c>
      <c r="E71" s="198"/>
      <c r="F71" s="199"/>
      <c r="G71" s="198"/>
      <c r="H71" s="205"/>
      <c r="I71" s="14" t="s">
        <v>94</v>
      </c>
      <c r="J71" s="30">
        <f ca="1">H67</f>
        <v>22</v>
      </c>
    </row>
    <row r="72" spans="1:10" ht="15.75" customHeight="1" x14ac:dyDescent="0.25">
      <c r="A72" s="79" t="s">
        <v>126</v>
      </c>
      <c r="B72" s="80"/>
      <c r="C72" s="45">
        <v>23</v>
      </c>
      <c r="D72" s="46">
        <f ca="1">((100/(D67+F67+H67))*C72)/100</f>
        <v>1</v>
      </c>
      <c r="E72" s="198"/>
      <c r="F72" s="199"/>
      <c r="G72" s="198"/>
      <c r="H72" s="205"/>
      <c r="I72" s="14" t="s">
        <v>95</v>
      </c>
      <c r="J72" s="31">
        <f ca="1">(IF(B67&gt;1,(H67/(B67+2)),H67/4))</f>
        <v>5.5</v>
      </c>
    </row>
    <row r="73" spans="1:10" ht="15.75" customHeight="1" x14ac:dyDescent="0.25">
      <c r="A73" s="79" t="s">
        <v>133</v>
      </c>
      <c r="B73" s="80" t="s">
        <v>127</v>
      </c>
      <c r="C73" s="45">
        <v>22</v>
      </c>
      <c r="D73" s="46">
        <f ca="1">((100/H67)*C73)/100</f>
        <v>1.0000000000000002</v>
      </c>
      <c r="E73" s="198"/>
      <c r="F73" s="199"/>
      <c r="G73" s="198"/>
      <c r="H73" s="205"/>
      <c r="I73" s="14" t="s">
        <v>96</v>
      </c>
      <c r="J73" s="31">
        <f ca="1">(IF(B67&gt;1,(H67/(B67+2)+J72),H67/4+J72))</f>
        <v>11</v>
      </c>
    </row>
    <row r="74" spans="1:10" ht="15.75" customHeight="1" x14ac:dyDescent="0.25">
      <c r="A74" s="79" t="s">
        <v>134</v>
      </c>
      <c r="B74" s="80" t="s">
        <v>127</v>
      </c>
      <c r="C74" s="45">
        <v>21</v>
      </c>
      <c r="D74" s="46">
        <f ca="1">((100/H67)*C74)/100</f>
        <v>0.9545454545454547</v>
      </c>
      <c r="E74" s="198"/>
      <c r="F74" s="199"/>
      <c r="G74" s="198"/>
      <c r="H74" s="205"/>
      <c r="I74" s="14" t="s">
        <v>143</v>
      </c>
      <c r="J74" s="31">
        <f>(IF(B67&gt;1,(H67/(B67+2)+J73),0))</f>
        <v>0</v>
      </c>
    </row>
    <row r="75" spans="1:10" ht="15" customHeight="1" x14ac:dyDescent="0.25">
      <c r="A75" s="79" t="s">
        <v>132</v>
      </c>
      <c r="B75" s="80" t="s">
        <v>129</v>
      </c>
      <c r="C75" s="45">
        <v>18</v>
      </c>
      <c r="D75" s="46">
        <f ca="1">((100/(H67))*C75)/100</f>
        <v>0.81818181818181823</v>
      </c>
      <c r="E75" s="198"/>
      <c r="F75" s="199"/>
      <c r="G75" s="198"/>
      <c r="H75" s="205"/>
      <c r="I75" s="14" t="s">
        <v>140</v>
      </c>
      <c r="J75" s="31">
        <f>(IF(B67&gt;2,(H67/(B67+2)+J74),0))</f>
        <v>0</v>
      </c>
    </row>
    <row r="76" spans="1:10" ht="15.75" customHeight="1" x14ac:dyDescent="0.25">
      <c r="A76" s="79" t="s">
        <v>128</v>
      </c>
      <c r="B76" s="80" t="s">
        <v>128</v>
      </c>
      <c r="C76" s="45">
        <v>8</v>
      </c>
      <c r="D76" s="46">
        <f ca="1">((100/H67)*C76)/100</f>
        <v>0.36363636363636365</v>
      </c>
      <c r="E76" s="198"/>
      <c r="F76" s="199"/>
      <c r="G76" s="198"/>
      <c r="H76" s="205"/>
      <c r="I76" s="14" t="s">
        <v>141</v>
      </c>
      <c r="J76" s="32">
        <f>(IF(B67&gt;3,(H67/(B67+2)+J75),0))</f>
        <v>0</v>
      </c>
    </row>
    <row r="77" spans="1:10" ht="15.75" customHeight="1" x14ac:dyDescent="0.25">
      <c r="A77" s="79" t="s">
        <v>135</v>
      </c>
      <c r="B77" s="80"/>
      <c r="C77" s="45">
        <v>0</v>
      </c>
      <c r="D77" s="46">
        <f ca="1">((100/H67)*C77)/100</f>
        <v>0</v>
      </c>
      <c r="E77" s="198"/>
      <c r="F77" s="199"/>
      <c r="G77" s="198"/>
      <c r="H77" s="205"/>
      <c r="I77" s="14" t="s">
        <v>142</v>
      </c>
      <c r="J77" s="31">
        <f>(IF(B67&gt;4,(H67/(B67+2)+J76),0))</f>
        <v>0</v>
      </c>
    </row>
    <row r="78" spans="1:10" ht="15.75" customHeight="1" x14ac:dyDescent="0.25">
      <c r="A78" s="79" t="s">
        <v>130</v>
      </c>
      <c r="B78" s="80" t="s">
        <v>130</v>
      </c>
      <c r="C78" s="45">
        <v>0</v>
      </c>
      <c r="D78" s="46">
        <f ca="1">((100/(H67))*C78)/100</f>
        <v>0</v>
      </c>
      <c r="E78" s="198"/>
      <c r="F78" s="199"/>
      <c r="G78" s="198"/>
      <c r="H78" s="205"/>
      <c r="I78" s="14" t="s">
        <v>144</v>
      </c>
      <c r="J78" s="31">
        <f ca="1">(IF(B67=1,(H67/(B67+3)+J73),IF(B67=0,(H67/4+J73),IF(B67&gt;1,0))))</f>
        <v>16.5</v>
      </c>
    </row>
    <row r="79" spans="1:10" ht="16.5" thickBot="1" x14ac:dyDescent="0.3">
      <c r="A79" s="202" t="s">
        <v>131</v>
      </c>
      <c r="B79" s="203"/>
      <c r="C79" s="48">
        <v>0</v>
      </c>
      <c r="D79" s="49">
        <f ca="1">((100/(H67))*C79)/100</f>
        <v>0</v>
      </c>
      <c r="E79" s="200"/>
      <c r="F79" s="201"/>
      <c r="G79" s="200"/>
      <c r="H79" s="206"/>
      <c r="I79" s="17" t="s">
        <v>97</v>
      </c>
      <c r="J79" s="33">
        <f ca="1">(IF(B67&gt;1.5,(H67/(B67+2)+J73+MAX(0,J74-J73)+MAX(0,J75-J74)+MAX(0,J76-J75)+MAX(0,J77-J76)+MAX(0,J78-J77)),IF(B67=1,(H67/(B67+3)+J78),IF(B67=0,H67/4+J78))))</f>
        <v>22</v>
      </c>
    </row>
    <row r="80" spans="1:10" ht="15.75" customHeight="1" x14ac:dyDescent="0.25">
      <c r="A80" s="74" t="s">
        <v>137</v>
      </c>
      <c r="B80" s="75"/>
      <c r="C80" s="76" t="str">
        <f>D58</f>
        <v>Building No.4 = Wing B = Gr/St + 1st to 22nd Floor</v>
      </c>
      <c r="D80" s="77"/>
      <c r="E80" s="77"/>
      <c r="F80" s="77"/>
      <c r="G80" s="77"/>
      <c r="H80" s="78"/>
      <c r="I80" s="15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upto 13 Slab Completed, Brickwork upto 7 Floor Completed.</v>
      </c>
      <c r="J80" s="27"/>
    </row>
    <row r="81" spans="1:12" x14ac:dyDescent="0.25">
      <c r="A81" s="18" t="s">
        <v>139</v>
      </c>
      <c r="B81" s="43">
        <v>0</v>
      </c>
      <c r="C81" s="43" t="s">
        <v>67</v>
      </c>
      <c r="D81" s="43">
        <v>1</v>
      </c>
      <c r="E81" s="43" t="s">
        <v>66</v>
      </c>
      <c r="F81" s="43">
        <v>0</v>
      </c>
      <c r="G81" s="43" t="s">
        <v>76</v>
      </c>
      <c r="H81" s="19">
        <f ca="1">--TRIM(RIGHT(SUBSTITUTE(LEFT(C80,_xlfn.AGGREGATE(16,6,FIND({0,1,2,3,4,5,6,7,8,9},C80,ROW(INDIRECT("1:"&amp;LEN(C80)))),1))," ",REPT(" ",LEN(C80))),LEN(C80)))</f>
        <v>22</v>
      </c>
      <c r="I81" s="16"/>
      <c r="J81" s="28"/>
    </row>
    <row r="82" spans="1:12" ht="32.25" customHeight="1" x14ac:dyDescent="0.25">
      <c r="A82" s="114" t="s">
        <v>85</v>
      </c>
      <c r="B82" s="115"/>
      <c r="C82" s="164" t="str">
        <f ca="1">(IF($G$52="NA",I80,"All work Completed. OC Received."))</f>
        <v>Excavation work Completed. Plinth work completed, RCC upto 13 Slab Completed, Brickwork upto 7 Floor Completed.</v>
      </c>
      <c r="D82" s="164"/>
      <c r="E82" s="164"/>
      <c r="F82" s="164"/>
      <c r="G82" s="164"/>
      <c r="H82" s="165"/>
      <c r="I82" s="16" t="s">
        <v>98</v>
      </c>
      <c r="J82" s="28"/>
    </row>
    <row r="83" spans="1:12" ht="15.75" customHeight="1" x14ac:dyDescent="0.25">
      <c r="A83" s="79" t="s">
        <v>44</v>
      </c>
      <c r="B83" s="80"/>
      <c r="C83" s="45" t="s">
        <v>136</v>
      </c>
      <c r="D83" s="45" t="s">
        <v>79</v>
      </c>
      <c r="E83" s="80" t="s">
        <v>81</v>
      </c>
      <c r="F83" s="80"/>
      <c r="G83" s="80" t="s">
        <v>80</v>
      </c>
      <c r="H83" s="169"/>
      <c r="I83" s="14" t="s">
        <v>138</v>
      </c>
      <c r="J83" s="29">
        <f ca="1">H81*25%</f>
        <v>5.5</v>
      </c>
    </row>
    <row r="84" spans="1:12" x14ac:dyDescent="0.25">
      <c r="A84" s="79" t="s">
        <v>125</v>
      </c>
      <c r="B84" s="80"/>
      <c r="C84" s="45">
        <v>22</v>
      </c>
      <c r="D84" s="46">
        <f ca="1">((100/H81)*C84)/100</f>
        <v>1.0000000000000002</v>
      </c>
      <c r="E84" s="196">
        <f ca="1">(((C85/H81*10)+(40/(D81+F81+H81)*C86)+(7.5/(H81)*C87)+(7.5/(H81)*C88)+(10/H81*C89)+(10/H81*C90)+(5/H81*C91)+(5/H81*C92)+(5/H81*C93))/100)</f>
        <v>0.34995059288537544</v>
      </c>
      <c r="F84" s="197"/>
      <c r="G84" s="196">
        <f ca="1">((((C84/H81)*20)+((C85/H81)*25)+(30/(H81+F81+D81)*C86)+(5/H81*C87)+(5/H81*C88)+(5/H81*C89)+(5/H81*C90)+(0/H81*C91)+(0/H81*C92)+(5/H81*C93))/100)</f>
        <v>0.63547430830039531</v>
      </c>
      <c r="H84" s="204"/>
      <c r="I84" s="14" t="s">
        <v>93</v>
      </c>
      <c r="J84" s="30">
        <f ca="1">H81*50%</f>
        <v>11</v>
      </c>
    </row>
    <row r="85" spans="1:12" x14ac:dyDescent="0.25">
      <c r="A85" s="79" t="s">
        <v>45</v>
      </c>
      <c r="B85" s="80"/>
      <c r="C85" s="47">
        <v>22</v>
      </c>
      <c r="D85" s="46">
        <f ca="1">((100/H81)*C85)/100</f>
        <v>1.0000000000000002</v>
      </c>
      <c r="E85" s="198"/>
      <c r="F85" s="199"/>
      <c r="G85" s="198"/>
      <c r="H85" s="205"/>
      <c r="I85" s="14" t="s">
        <v>94</v>
      </c>
      <c r="J85" s="30">
        <f ca="1">H81</f>
        <v>22</v>
      </c>
    </row>
    <row r="86" spans="1:12" ht="15.75" customHeight="1" x14ac:dyDescent="0.25">
      <c r="A86" s="79" t="s">
        <v>126</v>
      </c>
      <c r="B86" s="80"/>
      <c r="C86" s="45">
        <v>13</v>
      </c>
      <c r="D86" s="46">
        <f ca="1">((100/(D81+F81+H81))*C86)/100</f>
        <v>0.56521739130434778</v>
      </c>
      <c r="E86" s="198"/>
      <c r="F86" s="199"/>
      <c r="G86" s="198"/>
      <c r="H86" s="205"/>
      <c r="I86" s="14" t="s">
        <v>95</v>
      </c>
      <c r="J86" s="31">
        <f ca="1">(IF(B81&gt;1,(H81/(B81+2)),H81/4))</f>
        <v>5.5</v>
      </c>
    </row>
    <row r="87" spans="1:12" ht="15.75" customHeight="1" x14ac:dyDescent="0.25">
      <c r="A87" s="79" t="s">
        <v>133</v>
      </c>
      <c r="B87" s="80" t="s">
        <v>127</v>
      </c>
      <c r="C87" s="45">
        <v>7</v>
      </c>
      <c r="D87" s="46">
        <f ca="1">((100/H81)*C87)/100</f>
        <v>0.31818181818181818</v>
      </c>
      <c r="E87" s="198"/>
      <c r="F87" s="199"/>
      <c r="G87" s="198"/>
      <c r="H87" s="205"/>
      <c r="I87" s="14" t="s">
        <v>96</v>
      </c>
      <c r="J87" s="31">
        <f ca="1">(IF(B81&gt;1,(H81/(B81+2)+J86),H81/4+J86))</f>
        <v>11</v>
      </c>
    </row>
    <row r="88" spans="1:12" ht="15.75" customHeight="1" x14ac:dyDescent="0.25">
      <c r="A88" s="79" t="s">
        <v>134</v>
      </c>
      <c r="B88" s="80" t="s">
        <v>127</v>
      </c>
      <c r="C88" s="45">
        <v>0</v>
      </c>
      <c r="D88" s="46">
        <f ca="1">((100/H81)*C88)/100</f>
        <v>0</v>
      </c>
      <c r="E88" s="198"/>
      <c r="F88" s="199"/>
      <c r="G88" s="198"/>
      <c r="H88" s="205"/>
      <c r="I88" s="14" t="s">
        <v>143</v>
      </c>
      <c r="J88" s="31">
        <f>(IF(B81&gt;1,(H81/(B81+2)+J87),0))</f>
        <v>0</v>
      </c>
    </row>
    <row r="89" spans="1:12" ht="15" customHeight="1" x14ac:dyDescent="0.25">
      <c r="A89" s="79" t="s">
        <v>132</v>
      </c>
      <c r="B89" s="80" t="s">
        <v>129</v>
      </c>
      <c r="C89" s="45">
        <v>0</v>
      </c>
      <c r="D89" s="46">
        <f ca="1">((100/(H81))*C89)/100</f>
        <v>0</v>
      </c>
      <c r="E89" s="198"/>
      <c r="F89" s="199"/>
      <c r="G89" s="198"/>
      <c r="H89" s="205"/>
      <c r="I89" s="14" t="s">
        <v>140</v>
      </c>
      <c r="J89" s="31">
        <f>(IF(B81&gt;2,(H81/(B81+2)+J88),0))</f>
        <v>0</v>
      </c>
    </row>
    <row r="90" spans="1:12" ht="15.75" customHeight="1" x14ac:dyDescent="0.25">
      <c r="A90" s="79" t="s">
        <v>128</v>
      </c>
      <c r="B90" s="80" t="s">
        <v>128</v>
      </c>
      <c r="C90" s="45">
        <v>0</v>
      </c>
      <c r="D90" s="46">
        <f ca="1">((100/H81)*C90)/100</f>
        <v>0</v>
      </c>
      <c r="E90" s="198"/>
      <c r="F90" s="199"/>
      <c r="G90" s="198"/>
      <c r="H90" s="205"/>
      <c r="I90" s="14" t="s">
        <v>141</v>
      </c>
      <c r="J90" s="32">
        <f>(IF(B81&gt;3,(H81/(B81+2)+J89),0))</f>
        <v>0</v>
      </c>
    </row>
    <row r="91" spans="1:12" ht="15.75" customHeight="1" x14ac:dyDescent="0.25">
      <c r="A91" s="79" t="s">
        <v>135</v>
      </c>
      <c r="B91" s="80"/>
      <c r="C91" s="45">
        <v>0</v>
      </c>
      <c r="D91" s="46">
        <f ca="1">((100/H81)*C91)/100</f>
        <v>0</v>
      </c>
      <c r="E91" s="198"/>
      <c r="F91" s="199"/>
      <c r="G91" s="198"/>
      <c r="H91" s="205"/>
      <c r="I91" s="14" t="s">
        <v>142</v>
      </c>
      <c r="J91" s="31">
        <f>(IF(B81&gt;4,(H81/(B81+2)+J90),0))</f>
        <v>0</v>
      </c>
    </row>
    <row r="92" spans="1:12" ht="15.75" customHeight="1" x14ac:dyDescent="0.25">
      <c r="A92" s="79" t="s">
        <v>130</v>
      </c>
      <c r="B92" s="80" t="s">
        <v>130</v>
      </c>
      <c r="C92" s="45">
        <v>0</v>
      </c>
      <c r="D92" s="46">
        <f ca="1">((100/(H81))*C92)/100</f>
        <v>0</v>
      </c>
      <c r="E92" s="198"/>
      <c r="F92" s="199"/>
      <c r="G92" s="198"/>
      <c r="H92" s="205"/>
      <c r="I92" s="14" t="s">
        <v>144</v>
      </c>
      <c r="J92" s="31">
        <f ca="1">(IF(B81=1,(H81/(B81+3)+J87),IF(B81=0,(H81/4+J87),IF(B81&gt;1,0))))</f>
        <v>16.5</v>
      </c>
    </row>
    <row r="93" spans="1:12" ht="16.5" thickBot="1" x14ac:dyDescent="0.3">
      <c r="A93" s="202" t="s">
        <v>131</v>
      </c>
      <c r="B93" s="203"/>
      <c r="C93" s="48">
        <v>0</v>
      </c>
      <c r="D93" s="49">
        <f ca="1">((100/(H81))*C93)/100</f>
        <v>0</v>
      </c>
      <c r="E93" s="200"/>
      <c r="F93" s="201"/>
      <c r="G93" s="200"/>
      <c r="H93" s="206"/>
      <c r="I93" s="17" t="s">
        <v>97</v>
      </c>
      <c r="J93" s="33">
        <f ca="1">(IF(B81&gt;1.5,(H81/(B81+2)+J87+MAX(0,J88-J87)+MAX(0,J89-J88)+MAX(0,J90-J89)+MAX(0,J91-J90)+MAX(0,J92-J91)),IF(B81=1,(H81/(B81+3)+J92),IF(B81=0,H81/4+J92))))</f>
        <v>22</v>
      </c>
      <c r="L93" s="21">
        <f>17000/0.15</f>
        <v>113333.33333333334</v>
      </c>
    </row>
    <row r="94" spans="1:12" x14ac:dyDescent="0.25">
      <c r="A94" s="211" t="s">
        <v>154</v>
      </c>
      <c r="B94" s="211"/>
      <c r="C94" s="211"/>
      <c r="D94" s="211"/>
      <c r="E94" s="211"/>
      <c r="F94" s="212" t="s">
        <v>159</v>
      </c>
      <c r="G94" s="212"/>
      <c r="H94" s="212"/>
    </row>
    <row r="95" spans="1:12" x14ac:dyDescent="0.25">
      <c r="A95" s="72" t="s">
        <v>157</v>
      </c>
      <c r="B95" s="72"/>
      <c r="C95" s="72"/>
      <c r="D95" s="72"/>
      <c r="E95" s="72"/>
      <c r="F95" s="138">
        <v>6300</v>
      </c>
      <c r="G95" s="138"/>
      <c r="H95" s="138"/>
      <c r="I95" s="55"/>
      <c r="J95" s="56" t="s">
        <v>194</v>
      </c>
      <c r="K95" s="55" t="s">
        <v>195</v>
      </c>
    </row>
    <row r="96" spans="1:12" x14ac:dyDescent="0.25">
      <c r="A96" s="72" t="s">
        <v>156</v>
      </c>
      <c r="B96" s="72"/>
      <c r="C96" s="72"/>
      <c r="D96" s="72"/>
      <c r="E96" s="72"/>
      <c r="F96" s="138">
        <v>17000</v>
      </c>
      <c r="G96" s="138"/>
      <c r="H96" s="138"/>
      <c r="I96" s="55" t="s">
        <v>242</v>
      </c>
      <c r="J96" s="57">
        <f>3232640/D213</f>
        <v>6368.0997412604893</v>
      </c>
      <c r="K96" s="58" t="s">
        <v>196</v>
      </c>
    </row>
    <row r="97" spans="1:12" hidden="1" x14ac:dyDescent="0.25">
      <c r="A97" s="72" t="s">
        <v>158</v>
      </c>
      <c r="B97" s="72"/>
      <c r="C97" s="72"/>
      <c r="D97" s="72"/>
      <c r="E97" s="72"/>
      <c r="F97" s="138"/>
      <c r="G97" s="138"/>
      <c r="H97" s="138"/>
      <c r="I97" s="55"/>
      <c r="J97" s="59">
        <f>J96/1.55</f>
        <v>4108.4514459745087</v>
      </c>
      <c r="K97" s="55"/>
    </row>
    <row r="98" spans="1:12" s="34" customFormat="1" hidden="1" x14ac:dyDescent="0.25">
      <c r="A98" s="72" t="s">
        <v>155</v>
      </c>
      <c r="B98" s="72"/>
      <c r="C98" s="72"/>
      <c r="D98" s="72"/>
      <c r="E98" s="72"/>
      <c r="F98" s="138"/>
      <c r="G98" s="138"/>
      <c r="H98" s="138"/>
      <c r="I98" s="60"/>
      <c r="J98" s="60"/>
      <c r="K98" s="60"/>
    </row>
    <row r="99" spans="1:12" x14ac:dyDescent="0.25">
      <c r="A99" s="72" t="s">
        <v>244</v>
      </c>
      <c r="B99" s="72"/>
      <c r="C99" s="72"/>
      <c r="D99" s="72"/>
      <c r="E99" s="72"/>
      <c r="F99" s="138">
        <v>12000</v>
      </c>
      <c r="G99" s="138"/>
      <c r="H99" s="138"/>
      <c r="I99" s="55" t="s">
        <v>242</v>
      </c>
      <c r="J99" s="57" t="e">
        <f>3232640/D216</f>
        <v>#DIV/0!</v>
      </c>
      <c r="K99" s="58" t="s">
        <v>196</v>
      </c>
    </row>
    <row r="100" spans="1:12" s="34" customFormat="1" x14ac:dyDescent="0.25">
      <c r="A100" s="72" t="s">
        <v>90</v>
      </c>
      <c r="B100" s="72"/>
      <c r="C100" s="72"/>
      <c r="D100" s="72"/>
      <c r="E100" s="72"/>
      <c r="F100" s="138">
        <v>150000</v>
      </c>
      <c r="G100" s="138"/>
      <c r="H100" s="138"/>
      <c r="I100" s="60" t="s">
        <v>197</v>
      </c>
      <c r="J100" s="61">
        <f>J96/1.5</f>
        <v>4245.3998275069926</v>
      </c>
      <c r="K100" s="60"/>
    </row>
    <row r="101" spans="1:12" s="34" customFormat="1" x14ac:dyDescent="0.25">
      <c r="A101" s="72" t="s">
        <v>91</v>
      </c>
      <c r="B101" s="72"/>
      <c r="C101" s="72"/>
      <c r="D101" s="72"/>
      <c r="E101" s="72"/>
      <c r="F101" s="138">
        <v>150000</v>
      </c>
      <c r="G101" s="138"/>
      <c r="H101" s="138"/>
    </row>
    <row r="102" spans="1:12" s="34" customFormat="1" x14ac:dyDescent="0.25">
      <c r="A102" s="72" t="s">
        <v>92</v>
      </c>
      <c r="B102" s="72"/>
      <c r="C102" s="72"/>
      <c r="D102" s="72"/>
      <c r="E102" s="72"/>
      <c r="F102" s="138">
        <v>50000</v>
      </c>
      <c r="G102" s="138"/>
      <c r="H102" s="138"/>
      <c r="I102" s="60" t="s">
        <v>213</v>
      </c>
      <c r="J102" s="63">
        <v>45001</v>
      </c>
      <c r="K102" s="60" t="s">
        <v>214</v>
      </c>
      <c r="L102" s="60"/>
    </row>
    <row r="103" spans="1:12" x14ac:dyDescent="0.25">
      <c r="A103" s="72" t="s">
        <v>46</v>
      </c>
      <c r="B103" s="72"/>
      <c r="C103" s="72"/>
      <c r="D103" s="72"/>
      <c r="E103" s="72"/>
      <c r="F103" s="138">
        <v>200000</v>
      </c>
      <c r="G103" s="138"/>
      <c r="H103" s="138"/>
    </row>
    <row r="104" spans="1:12" s="35" customFormat="1" x14ac:dyDescent="0.25">
      <c r="A104" s="115" t="s">
        <v>47</v>
      </c>
      <c r="B104" s="115"/>
      <c r="C104" s="115"/>
      <c r="D104" s="115"/>
      <c r="E104" s="115"/>
      <c r="F104" s="138">
        <f>F95*0.8</f>
        <v>5040</v>
      </c>
      <c r="G104" s="138"/>
      <c r="H104" s="138"/>
    </row>
    <row r="105" spans="1:12" s="36" customFormat="1" ht="15.75" customHeight="1" x14ac:dyDescent="0.25">
      <c r="A105" s="160" t="s">
        <v>71</v>
      </c>
      <c r="B105" s="160"/>
      <c r="C105" s="160"/>
      <c r="D105" s="160"/>
      <c r="E105" s="160"/>
      <c r="F105" s="160"/>
      <c r="G105" s="160"/>
      <c r="H105" s="160"/>
    </row>
    <row r="106" spans="1:12" s="36" customFormat="1" ht="15.75" customHeight="1" x14ac:dyDescent="0.25">
      <c r="A106" s="129" t="s">
        <v>48</v>
      </c>
      <c r="B106" s="129"/>
      <c r="C106" s="207" t="s">
        <v>74</v>
      </c>
      <c r="D106" s="207"/>
      <c r="E106" s="163" t="s">
        <v>49</v>
      </c>
      <c r="F106" s="163"/>
      <c r="G106" s="129" t="s">
        <v>50</v>
      </c>
      <c r="H106" s="129"/>
    </row>
    <row r="107" spans="1:12" s="36" customFormat="1" x14ac:dyDescent="0.25">
      <c r="A107" s="161" t="s">
        <v>185</v>
      </c>
      <c r="B107" s="161"/>
      <c r="C107" s="214">
        <f>COUNT(D124:D135)</f>
        <v>12</v>
      </c>
      <c r="D107" s="195"/>
      <c r="E107" s="139">
        <f>SUM(D124:D135)</f>
        <v>1593.39492</v>
      </c>
      <c r="F107" s="140"/>
      <c r="G107" s="139">
        <f>SUM(F124:F135)</f>
        <v>2469.7621260000001</v>
      </c>
      <c r="H107" s="140"/>
      <c r="K107" s="62">
        <f>G110+G115</f>
        <v>204639.40576169995</v>
      </c>
      <c r="L107" s="62">
        <v>111669.573366</v>
      </c>
    </row>
    <row r="108" spans="1:12" s="36" customFormat="1" x14ac:dyDescent="0.25">
      <c r="A108" s="227" t="s">
        <v>177</v>
      </c>
      <c r="B108" s="229" t="s">
        <v>176</v>
      </c>
      <c r="C108" s="214">
        <f>COUNT(D138:D150)</f>
        <v>13</v>
      </c>
      <c r="D108" s="195"/>
      <c r="E108" s="139">
        <f>SUM(D138:D150)</f>
        <v>2061.6289199999997</v>
      </c>
      <c r="F108" s="140"/>
      <c r="G108" s="139">
        <f>SUM(F138:F150)</f>
        <v>3195.5248259999998</v>
      </c>
      <c r="H108" s="140"/>
      <c r="K108" s="62">
        <f>E110+E115</f>
        <v>135704.96858879999</v>
      </c>
      <c r="L108" s="62">
        <v>73842.078726000007</v>
      </c>
    </row>
    <row r="109" spans="1:12" s="36" customFormat="1" x14ac:dyDescent="0.25">
      <c r="A109" s="228"/>
      <c r="B109" s="229" t="s">
        <v>243</v>
      </c>
      <c r="C109" s="214">
        <f>COUNT(D152:D154)</f>
        <v>3</v>
      </c>
      <c r="D109" s="195"/>
      <c r="E109" s="139">
        <f>SUM(D152:D154)</f>
        <v>4048.2327599999999</v>
      </c>
      <c r="F109" s="140"/>
      <c r="G109" s="139">
        <f>SUM(F152:F154)</f>
        <v>6274.7607779999998</v>
      </c>
      <c r="H109" s="140"/>
      <c r="K109" s="62">
        <f>E111+E116</f>
        <v>135704.96858879999</v>
      </c>
      <c r="L109" s="62">
        <v>73842.078726000007</v>
      </c>
    </row>
    <row r="110" spans="1:12" s="36" customFormat="1" x14ac:dyDescent="0.25">
      <c r="A110" s="160" t="s">
        <v>147</v>
      </c>
      <c r="B110" s="160"/>
      <c r="C110" s="219">
        <f>SUM(C107:C109)</f>
        <v>28</v>
      </c>
      <c r="D110" s="207"/>
      <c r="E110" s="220">
        <f>SUM(E107:E109)</f>
        <v>7703.2565999999997</v>
      </c>
      <c r="F110" s="163"/>
      <c r="G110" s="129">
        <f>SUM(G107:G109)</f>
        <v>11940.04773</v>
      </c>
      <c r="H110" s="129"/>
    </row>
    <row r="111" spans="1:12" s="36" customFormat="1" x14ac:dyDescent="0.25">
      <c r="A111" s="160" t="s">
        <v>65</v>
      </c>
      <c r="B111" s="160"/>
      <c r="C111" s="160"/>
      <c r="D111" s="160"/>
      <c r="E111" s="160"/>
      <c r="F111" s="160"/>
      <c r="G111" s="160"/>
      <c r="H111" s="160"/>
    </row>
    <row r="112" spans="1:12" s="36" customFormat="1" ht="15.75" customHeight="1" x14ac:dyDescent="0.25">
      <c r="A112" s="129" t="s">
        <v>48</v>
      </c>
      <c r="B112" s="129"/>
      <c r="C112" s="207" t="s">
        <v>74</v>
      </c>
      <c r="D112" s="207"/>
      <c r="E112" s="163" t="s">
        <v>49</v>
      </c>
      <c r="F112" s="163"/>
      <c r="G112" s="129" t="s">
        <v>50</v>
      </c>
      <c r="H112" s="129"/>
    </row>
    <row r="113" spans="1:14" s="36" customFormat="1" x14ac:dyDescent="0.25">
      <c r="A113" s="161" t="s">
        <v>185</v>
      </c>
      <c r="B113" s="161"/>
      <c r="C113" s="195">
        <f>COUNT(D161:D168)+COUNT(D170:D177)*5+COUNT(D179:D186)*13+COUNT(D188:D193)*3</f>
        <v>170</v>
      </c>
      <c r="D113" s="195"/>
      <c r="E113" s="139">
        <f>SUM(D161:D168)+SUM(D170:D177)*5+SUM(D179:D186)*13+SUM(D188:D193)*3</f>
        <v>64289.057788799997</v>
      </c>
      <c r="F113" s="139"/>
      <c r="G113" s="139">
        <f>SUM(F161:F168)+SUM(F170:F177)*5+SUM(F179:F186)*13+SUM(F188:F193)*3</f>
        <v>96717.863923199984</v>
      </c>
      <c r="H113" s="139"/>
    </row>
    <row r="114" spans="1:14" s="36" customFormat="1" x14ac:dyDescent="0.25">
      <c r="A114" s="161" t="s">
        <v>177</v>
      </c>
      <c r="B114" s="161"/>
      <c r="C114" s="214">
        <f>COUNT(D196:D201)+COUNT(D203:D208)*17+COUNT(D210:D213,D215)*3</f>
        <v>123</v>
      </c>
      <c r="D114" s="195"/>
      <c r="E114" s="214">
        <f>SUM(D196:D201)+SUM(D203:D208)*17+SUM(D210:D213,D215)*3</f>
        <v>63712.65419999999</v>
      </c>
      <c r="F114" s="195"/>
      <c r="G114" s="214">
        <f>SUM(F196:F201)+SUM(F203:F208)*17+SUM(F210:F213,F215)*3</f>
        <v>95981.494108499959</v>
      </c>
      <c r="H114" s="195"/>
    </row>
    <row r="115" spans="1:14" s="36" customFormat="1" ht="16.5" thickBot="1" x14ac:dyDescent="0.3">
      <c r="A115" s="215" t="s">
        <v>147</v>
      </c>
      <c r="B115" s="215"/>
      <c r="C115" s="218">
        <f>SUM(C113:C114)</f>
        <v>293</v>
      </c>
      <c r="D115" s="218"/>
      <c r="E115" s="216">
        <f>SUM(E113:E114)</f>
        <v>128001.71198879999</v>
      </c>
      <c r="F115" s="217"/>
      <c r="G115" s="213">
        <f>SUM(G113:G114)</f>
        <v>192699.35803169996</v>
      </c>
      <c r="H115" s="213"/>
    </row>
    <row r="116" spans="1:14" s="36" customFormat="1" ht="16.5" thickBot="1" x14ac:dyDescent="0.3">
      <c r="A116" s="150" t="s">
        <v>220</v>
      </c>
      <c r="B116" s="151"/>
      <c r="C116" s="152">
        <f>C115+C110</f>
        <v>321</v>
      </c>
      <c r="D116" s="153"/>
      <c r="E116" s="154">
        <f>E115+E110</f>
        <v>135704.96858879999</v>
      </c>
      <c r="F116" s="155"/>
      <c r="G116" s="156">
        <f>G115+G110</f>
        <v>204639.40576169995</v>
      </c>
      <c r="H116" s="157"/>
    </row>
    <row r="117" spans="1:14" s="35" customFormat="1" x14ac:dyDescent="0.25">
      <c r="A117" s="212" t="s">
        <v>51</v>
      </c>
      <c r="B117" s="212"/>
      <c r="C117" s="212"/>
      <c r="D117" s="212"/>
      <c r="E117" s="212"/>
      <c r="F117" s="212"/>
      <c r="G117" s="212"/>
      <c r="H117" s="212"/>
    </row>
    <row r="118" spans="1:14" x14ac:dyDescent="0.25">
      <c r="A118" s="149" t="s">
        <v>52</v>
      </c>
      <c r="B118" s="149"/>
      <c r="C118" s="149"/>
      <c r="D118" s="149"/>
      <c r="E118" s="149"/>
      <c r="F118" s="149"/>
      <c r="G118" s="149"/>
      <c r="H118" s="149"/>
    </row>
    <row r="119" spans="1:14" ht="47.25" customHeight="1" x14ac:dyDescent="0.25">
      <c r="A119" s="130" t="s">
        <v>115</v>
      </c>
      <c r="B119" s="130" t="s">
        <v>114</v>
      </c>
      <c r="C119" s="130" t="s">
        <v>53</v>
      </c>
      <c r="D119" s="130" t="s">
        <v>54</v>
      </c>
      <c r="E119" s="132" t="s">
        <v>153</v>
      </c>
      <c r="F119" s="20" t="s">
        <v>146</v>
      </c>
      <c r="G119" s="134" t="s">
        <v>56</v>
      </c>
      <c r="H119" s="135"/>
      <c r="I119" s="65">
        <v>10.763999999999999</v>
      </c>
    </row>
    <row r="120" spans="1:14" s="37" customFormat="1" x14ac:dyDescent="0.25">
      <c r="A120" s="131"/>
      <c r="B120" s="131"/>
      <c r="C120" s="131"/>
      <c r="D120" s="131"/>
      <c r="E120" s="133"/>
      <c r="F120" s="13">
        <v>0.55000000000000004</v>
      </c>
      <c r="G120" s="136"/>
      <c r="H120" s="137"/>
    </row>
    <row r="121" spans="1:14" s="35" customFormat="1" x14ac:dyDescent="0.25">
      <c r="A121" s="148" t="s">
        <v>207</v>
      </c>
      <c r="B121" s="148"/>
      <c r="C121" s="148"/>
      <c r="D121" s="148"/>
      <c r="E121" s="148"/>
      <c r="F121" s="148"/>
      <c r="G121" s="148"/>
      <c r="H121" s="148"/>
    </row>
    <row r="122" spans="1:14" s="35" customFormat="1" x14ac:dyDescent="0.25">
      <c r="A122" s="147" t="s">
        <v>185</v>
      </c>
      <c r="B122" s="147"/>
      <c r="C122" s="147"/>
      <c r="D122" s="147"/>
      <c r="E122" s="147"/>
      <c r="F122" s="147"/>
      <c r="G122" s="147"/>
      <c r="H122" s="147"/>
    </row>
    <row r="123" spans="1:14" s="37" customFormat="1" x14ac:dyDescent="0.25">
      <c r="A123" s="208" t="s">
        <v>186</v>
      </c>
      <c r="B123" s="209"/>
      <c r="C123" s="209"/>
      <c r="D123" s="209"/>
      <c r="E123" s="209"/>
      <c r="F123" s="209"/>
      <c r="G123" s="209"/>
      <c r="H123" s="210"/>
      <c r="J123" s="38"/>
    </row>
    <row r="124" spans="1:14" s="37" customFormat="1" ht="15.75" customHeight="1" x14ac:dyDescent="0.25">
      <c r="A124" s="125">
        <v>1</v>
      </c>
      <c r="B124" s="126"/>
      <c r="C124" s="44" t="s">
        <v>176</v>
      </c>
      <c r="D124" s="44">
        <f>10.81*10.764</f>
        <v>116.35884</v>
      </c>
      <c r="E124" s="44">
        <v>0</v>
      </c>
      <c r="F124" s="44">
        <f>(D124+E124)*(($F$120)+1)</f>
        <v>180.356202</v>
      </c>
      <c r="G124" s="119" t="str">
        <f>A123</f>
        <v>Ground Floor for Commercial &amp; Parking</v>
      </c>
      <c r="H124" s="120"/>
      <c r="I124" s="38"/>
      <c r="L124" s="116"/>
      <c r="M124" s="116"/>
      <c r="N124" s="38"/>
    </row>
    <row r="125" spans="1:14" s="37" customFormat="1" ht="15.75" customHeight="1" x14ac:dyDescent="0.25">
      <c r="A125" s="125">
        <f t="shared" ref="A125:A135" si="0">A124+1</f>
        <v>2</v>
      </c>
      <c r="B125" s="126"/>
      <c r="C125" s="44" t="s">
        <v>176</v>
      </c>
      <c r="D125" s="44">
        <f>10.89*10.764</f>
        <v>117.21996</v>
      </c>
      <c r="E125" s="44">
        <v>0</v>
      </c>
      <c r="F125" s="44">
        <f t="shared" ref="F125:F135" si="1">(D125+E125)*(($F$120)+1)</f>
        <v>181.69093800000002</v>
      </c>
      <c r="G125" s="121"/>
      <c r="H125" s="122"/>
      <c r="I125" s="38"/>
      <c r="L125" s="116"/>
      <c r="M125" s="116"/>
      <c r="N125" s="38"/>
    </row>
    <row r="126" spans="1:14" s="37" customFormat="1" ht="15.75" customHeight="1" x14ac:dyDescent="0.25">
      <c r="A126" s="125">
        <f t="shared" si="0"/>
        <v>3</v>
      </c>
      <c r="B126" s="126"/>
      <c r="C126" s="44" t="s">
        <v>176</v>
      </c>
      <c r="D126" s="44">
        <f>15.08*10.764</f>
        <v>162.32111999999998</v>
      </c>
      <c r="E126" s="44">
        <v>0</v>
      </c>
      <c r="F126" s="44">
        <f t="shared" si="1"/>
        <v>251.59773599999997</v>
      </c>
      <c r="G126" s="121"/>
      <c r="H126" s="122"/>
      <c r="I126" s="38"/>
      <c r="L126" s="116"/>
      <c r="M126" s="116"/>
      <c r="N126" s="38"/>
    </row>
    <row r="127" spans="1:14" s="37" customFormat="1" ht="15.75" customHeight="1" x14ac:dyDescent="0.25">
      <c r="A127" s="125">
        <f t="shared" si="0"/>
        <v>4</v>
      </c>
      <c r="B127" s="126"/>
      <c r="C127" s="44" t="s">
        <v>176</v>
      </c>
      <c r="D127" s="44">
        <f>15.08*10.764</f>
        <v>162.32111999999998</v>
      </c>
      <c r="E127" s="44">
        <v>0</v>
      </c>
      <c r="F127" s="44">
        <f t="shared" si="1"/>
        <v>251.59773599999997</v>
      </c>
      <c r="G127" s="121"/>
      <c r="H127" s="122"/>
      <c r="I127" s="38"/>
      <c r="L127" s="116"/>
      <c r="M127" s="116"/>
      <c r="N127" s="38"/>
    </row>
    <row r="128" spans="1:14" s="37" customFormat="1" ht="15.75" customHeight="1" x14ac:dyDescent="0.25">
      <c r="A128" s="125">
        <f t="shared" si="0"/>
        <v>5</v>
      </c>
      <c r="B128" s="126"/>
      <c r="C128" s="44" t="s">
        <v>176</v>
      </c>
      <c r="D128" s="44">
        <f>10.89*10.764</f>
        <v>117.21996</v>
      </c>
      <c r="E128" s="44">
        <v>0</v>
      </c>
      <c r="F128" s="44">
        <f t="shared" si="1"/>
        <v>181.69093800000002</v>
      </c>
      <c r="G128" s="121"/>
      <c r="H128" s="122"/>
      <c r="I128" s="38"/>
      <c r="L128" s="116"/>
      <c r="M128" s="116"/>
      <c r="N128" s="38"/>
    </row>
    <row r="129" spans="1:14" s="37" customFormat="1" ht="15.75" customHeight="1" x14ac:dyDescent="0.25">
      <c r="A129" s="125">
        <f t="shared" si="0"/>
        <v>6</v>
      </c>
      <c r="B129" s="126"/>
      <c r="C129" s="44" t="s">
        <v>176</v>
      </c>
      <c r="D129" s="44">
        <f>11.2*10.764</f>
        <v>120.55679999999998</v>
      </c>
      <c r="E129" s="44">
        <v>0</v>
      </c>
      <c r="F129" s="44">
        <f t="shared" si="1"/>
        <v>186.86303999999998</v>
      </c>
      <c r="G129" s="121"/>
      <c r="H129" s="122"/>
      <c r="I129" s="38"/>
      <c r="L129" s="116"/>
      <c r="M129" s="116"/>
      <c r="N129" s="38"/>
    </row>
    <row r="130" spans="1:14" s="37" customFormat="1" ht="15.75" customHeight="1" x14ac:dyDescent="0.25">
      <c r="A130" s="125">
        <f t="shared" si="0"/>
        <v>7</v>
      </c>
      <c r="B130" s="126"/>
      <c r="C130" s="44" t="s">
        <v>176</v>
      </c>
      <c r="D130" s="44">
        <f>11.2*10.764</f>
        <v>120.55679999999998</v>
      </c>
      <c r="E130" s="44">
        <v>0</v>
      </c>
      <c r="F130" s="44">
        <f t="shared" si="1"/>
        <v>186.86303999999998</v>
      </c>
      <c r="G130" s="121"/>
      <c r="H130" s="122"/>
      <c r="I130" s="38"/>
      <c r="L130" s="116"/>
      <c r="M130" s="116"/>
      <c r="N130" s="38"/>
    </row>
    <row r="131" spans="1:14" s="37" customFormat="1" ht="15.75" customHeight="1" x14ac:dyDescent="0.25">
      <c r="A131" s="125">
        <f t="shared" si="0"/>
        <v>8</v>
      </c>
      <c r="B131" s="126"/>
      <c r="C131" s="44" t="s">
        <v>176</v>
      </c>
      <c r="D131" s="44">
        <f>10.89*10.764</f>
        <v>117.21996</v>
      </c>
      <c r="E131" s="44">
        <v>0</v>
      </c>
      <c r="F131" s="44">
        <f t="shared" si="1"/>
        <v>181.69093800000002</v>
      </c>
      <c r="G131" s="121"/>
      <c r="H131" s="122"/>
      <c r="I131" s="38"/>
      <c r="L131" s="116"/>
      <c r="M131" s="116"/>
      <c r="N131" s="38"/>
    </row>
    <row r="132" spans="1:14" s="37" customFormat="1" ht="15.75" customHeight="1" x14ac:dyDescent="0.25">
      <c r="A132" s="125">
        <f t="shared" si="0"/>
        <v>9</v>
      </c>
      <c r="B132" s="126"/>
      <c r="C132" s="44" t="s">
        <v>176</v>
      </c>
      <c r="D132" s="44">
        <f>15.08*10.764</f>
        <v>162.32111999999998</v>
      </c>
      <c r="E132" s="44">
        <v>0</v>
      </c>
      <c r="F132" s="44">
        <f t="shared" si="1"/>
        <v>251.59773599999997</v>
      </c>
      <c r="G132" s="121"/>
      <c r="H132" s="122"/>
      <c r="I132" s="38"/>
      <c r="L132" s="116"/>
      <c r="M132" s="116"/>
      <c r="N132" s="38"/>
    </row>
    <row r="133" spans="1:14" s="37" customFormat="1" ht="15.75" customHeight="1" x14ac:dyDescent="0.25">
      <c r="A133" s="125">
        <f t="shared" si="0"/>
        <v>10</v>
      </c>
      <c r="B133" s="126"/>
      <c r="C133" s="44" t="s">
        <v>176</v>
      </c>
      <c r="D133" s="44">
        <f>15.08*10.764</f>
        <v>162.32111999999998</v>
      </c>
      <c r="E133" s="44">
        <v>0</v>
      </c>
      <c r="F133" s="44">
        <f t="shared" si="1"/>
        <v>251.59773599999997</v>
      </c>
      <c r="G133" s="121"/>
      <c r="H133" s="122"/>
      <c r="I133" s="38"/>
      <c r="L133" s="116"/>
      <c r="M133" s="116"/>
      <c r="N133" s="38"/>
    </row>
    <row r="134" spans="1:14" s="37" customFormat="1" ht="15.75" customHeight="1" x14ac:dyDescent="0.25">
      <c r="A134" s="125">
        <f t="shared" si="0"/>
        <v>11</v>
      </c>
      <c r="B134" s="126"/>
      <c r="C134" s="44" t="s">
        <v>176</v>
      </c>
      <c r="D134" s="44">
        <f>10.89*10.764</f>
        <v>117.21996</v>
      </c>
      <c r="E134" s="44">
        <v>0</v>
      </c>
      <c r="F134" s="44">
        <f t="shared" si="1"/>
        <v>181.69093800000002</v>
      </c>
      <c r="G134" s="121"/>
      <c r="H134" s="122"/>
      <c r="I134" s="38"/>
      <c r="L134" s="116"/>
      <c r="M134" s="116"/>
      <c r="N134" s="38"/>
    </row>
    <row r="135" spans="1:14" s="37" customFormat="1" ht="15.75" customHeight="1" x14ac:dyDescent="0.25">
      <c r="A135" s="125">
        <f t="shared" si="0"/>
        <v>12</v>
      </c>
      <c r="B135" s="126"/>
      <c r="C135" s="44" t="s">
        <v>176</v>
      </c>
      <c r="D135" s="44">
        <f>10.94*10.764</f>
        <v>117.75815999999999</v>
      </c>
      <c r="E135" s="44">
        <v>0</v>
      </c>
      <c r="F135" s="44">
        <f t="shared" si="1"/>
        <v>182.525148</v>
      </c>
      <c r="G135" s="123"/>
      <c r="H135" s="124"/>
      <c r="I135" s="38"/>
      <c r="L135" s="116"/>
      <c r="M135" s="116"/>
      <c r="N135" s="38"/>
    </row>
    <row r="136" spans="1:14" s="35" customFormat="1" x14ac:dyDescent="0.25">
      <c r="A136" s="147" t="s">
        <v>177</v>
      </c>
      <c r="B136" s="147"/>
      <c r="C136" s="147"/>
      <c r="D136" s="147"/>
      <c r="E136" s="147"/>
      <c r="F136" s="147"/>
      <c r="G136" s="147"/>
      <c r="H136" s="147"/>
    </row>
    <row r="137" spans="1:14" s="37" customFormat="1" x14ac:dyDescent="0.25">
      <c r="A137" s="208" t="s">
        <v>186</v>
      </c>
      <c r="B137" s="209"/>
      <c r="C137" s="209"/>
      <c r="D137" s="209"/>
      <c r="E137" s="209"/>
      <c r="F137" s="209"/>
      <c r="G137" s="209"/>
      <c r="H137" s="210"/>
      <c r="J137" s="38"/>
    </row>
    <row r="138" spans="1:14" s="37" customFormat="1" ht="15.75" customHeight="1" x14ac:dyDescent="0.25">
      <c r="A138" s="125">
        <v>13</v>
      </c>
      <c r="B138" s="126"/>
      <c r="C138" s="44" t="s">
        <v>176</v>
      </c>
      <c r="D138" s="44">
        <f>17.91*10.764</f>
        <v>192.78323999999998</v>
      </c>
      <c r="E138" s="44">
        <v>0</v>
      </c>
      <c r="F138" s="44">
        <f>(D138+E138)*(($F$120)+1)</f>
        <v>298.81402199999997</v>
      </c>
      <c r="G138" s="119" t="str">
        <f>A137</f>
        <v>Ground Floor for Commercial &amp; Parking</v>
      </c>
      <c r="H138" s="120"/>
      <c r="I138" s="38"/>
      <c r="L138" s="116"/>
      <c r="M138" s="116"/>
      <c r="N138" s="38"/>
    </row>
    <row r="139" spans="1:14" s="37" customFormat="1" ht="15.75" customHeight="1" x14ac:dyDescent="0.25">
      <c r="A139" s="125">
        <f t="shared" ref="A139:A150" si="2">A138+1</f>
        <v>14</v>
      </c>
      <c r="B139" s="126"/>
      <c r="C139" s="44" t="s">
        <v>176</v>
      </c>
      <c r="D139" s="44">
        <f>13.57*10.764</f>
        <v>146.06747999999999</v>
      </c>
      <c r="E139" s="44">
        <v>0</v>
      </c>
      <c r="F139" s="44">
        <f t="shared" ref="F139:F141" si="3">(D139+E139)*(($F$120)+1)</f>
        <v>226.404594</v>
      </c>
      <c r="G139" s="121"/>
      <c r="H139" s="122"/>
      <c r="I139" s="38"/>
      <c r="L139" s="116"/>
      <c r="M139" s="116"/>
      <c r="N139" s="38"/>
    </row>
    <row r="140" spans="1:14" s="37" customFormat="1" ht="15.75" customHeight="1" x14ac:dyDescent="0.25">
      <c r="A140" s="125">
        <f t="shared" si="2"/>
        <v>15</v>
      </c>
      <c r="B140" s="126"/>
      <c r="C140" s="44" t="s">
        <v>176</v>
      </c>
      <c r="D140" s="44">
        <f>15.5*10.764</f>
        <v>166.84199999999998</v>
      </c>
      <c r="E140" s="44">
        <v>0</v>
      </c>
      <c r="F140" s="44">
        <f t="shared" si="3"/>
        <v>258.60509999999999</v>
      </c>
      <c r="G140" s="121"/>
      <c r="H140" s="122"/>
      <c r="I140" s="38"/>
      <c r="L140" s="116"/>
      <c r="M140" s="116"/>
      <c r="N140" s="38"/>
    </row>
    <row r="141" spans="1:14" s="37" customFormat="1" ht="15.75" customHeight="1" x14ac:dyDescent="0.25">
      <c r="A141" s="125">
        <f t="shared" si="2"/>
        <v>16</v>
      </c>
      <c r="B141" s="126"/>
      <c r="C141" s="44" t="s">
        <v>176</v>
      </c>
      <c r="D141" s="44">
        <f>15.68*10.764</f>
        <v>168.77951999999999</v>
      </c>
      <c r="E141" s="44">
        <v>0</v>
      </c>
      <c r="F141" s="44">
        <f t="shared" si="3"/>
        <v>261.60825599999998</v>
      </c>
      <c r="G141" s="121"/>
      <c r="H141" s="122"/>
      <c r="I141" s="38"/>
      <c r="L141" s="116"/>
      <c r="M141" s="116"/>
      <c r="N141" s="38"/>
    </row>
    <row r="142" spans="1:14" s="37" customFormat="1" ht="15.75" customHeight="1" x14ac:dyDescent="0.25">
      <c r="A142" s="125">
        <f t="shared" si="2"/>
        <v>17</v>
      </c>
      <c r="B142" s="126"/>
      <c r="C142" s="44" t="s">
        <v>176</v>
      </c>
      <c r="D142" s="44">
        <f>9.87*10.764</f>
        <v>106.24067999999998</v>
      </c>
      <c r="E142" s="44">
        <v>0</v>
      </c>
      <c r="F142" s="44">
        <f>(D142+E142)*(($F$120)+1)</f>
        <v>164.67305399999998</v>
      </c>
      <c r="G142" s="121"/>
      <c r="H142" s="122"/>
      <c r="I142" s="38"/>
      <c r="L142" s="116"/>
      <c r="M142" s="116"/>
      <c r="N142" s="38"/>
    </row>
    <row r="143" spans="1:14" s="37" customFormat="1" ht="15.75" customHeight="1" x14ac:dyDescent="0.25">
      <c r="A143" s="125">
        <f t="shared" si="2"/>
        <v>18</v>
      </c>
      <c r="B143" s="126"/>
      <c r="C143" s="44" t="s">
        <v>176</v>
      </c>
      <c r="D143" s="44">
        <f>8.47*10.764</f>
        <v>91.171080000000003</v>
      </c>
      <c r="E143" s="44">
        <v>0</v>
      </c>
      <c r="F143" s="44">
        <f>(D143+E143)*(($F$120)+1)</f>
        <v>141.31517400000001</v>
      </c>
      <c r="G143" s="121"/>
      <c r="H143" s="122"/>
      <c r="I143" s="38"/>
      <c r="L143" s="116"/>
      <c r="M143" s="116"/>
      <c r="N143" s="38"/>
    </row>
    <row r="144" spans="1:14" s="37" customFormat="1" ht="15.75" customHeight="1" x14ac:dyDescent="0.25">
      <c r="A144" s="125">
        <f t="shared" si="2"/>
        <v>19</v>
      </c>
      <c r="B144" s="126"/>
      <c r="C144" s="44" t="s">
        <v>176</v>
      </c>
      <c r="D144" s="44">
        <f>12.3*10.764</f>
        <v>132.3972</v>
      </c>
      <c r="E144" s="44">
        <v>0</v>
      </c>
      <c r="F144" s="44">
        <f>(D144+E144)*(($F$120)+1)</f>
        <v>205.21566000000001</v>
      </c>
      <c r="G144" s="121"/>
      <c r="H144" s="122"/>
      <c r="I144" s="38"/>
      <c r="L144" s="116"/>
      <c r="M144" s="116"/>
      <c r="N144" s="38"/>
    </row>
    <row r="145" spans="1:14" s="37" customFormat="1" ht="15.75" customHeight="1" x14ac:dyDescent="0.25">
      <c r="A145" s="125">
        <f t="shared" si="2"/>
        <v>20</v>
      </c>
      <c r="B145" s="126"/>
      <c r="C145" s="44" t="s">
        <v>176</v>
      </c>
      <c r="D145" s="44">
        <f>12.3*10.764</f>
        <v>132.3972</v>
      </c>
      <c r="E145" s="44">
        <v>0</v>
      </c>
      <c r="F145" s="44">
        <f t="shared" ref="F145:F148" si="4">(D145+E145)*(($F$120)+1)</f>
        <v>205.21566000000001</v>
      </c>
      <c r="G145" s="121"/>
      <c r="H145" s="122"/>
      <c r="I145" s="38"/>
      <c r="L145" s="116"/>
      <c r="M145" s="116"/>
      <c r="N145" s="38"/>
    </row>
    <row r="146" spans="1:14" s="37" customFormat="1" ht="15.75" customHeight="1" x14ac:dyDescent="0.25">
      <c r="A146" s="125">
        <f t="shared" si="2"/>
        <v>21</v>
      </c>
      <c r="B146" s="126"/>
      <c r="C146" s="44" t="s">
        <v>176</v>
      </c>
      <c r="D146" s="44">
        <f>18.24*10.764</f>
        <v>196.33535999999998</v>
      </c>
      <c r="E146" s="44">
        <v>0</v>
      </c>
      <c r="F146" s="44">
        <f t="shared" si="4"/>
        <v>304.31980799999997</v>
      </c>
      <c r="G146" s="121"/>
      <c r="H146" s="122"/>
      <c r="I146" s="38">
        <f>2.75*5.73+1.18*1.93</f>
        <v>18.0349</v>
      </c>
      <c r="L146" s="116"/>
      <c r="M146" s="116"/>
      <c r="N146" s="38"/>
    </row>
    <row r="147" spans="1:14" s="37" customFormat="1" ht="15.75" customHeight="1" x14ac:dyDescent="0.25">
      <c r="A147" s="125">
        <f t="shared" si="2"/>
        <v>22</v>
      </c>
      <c r="B147" s="126"/>
      <c r="C147" s="44" t="s">
        <v>176</v>
      </c>
      <c r="D147" s="44">
        <f>15.5*10.764</f>
        <v>166.84199999999998</v>
      </c>
      <c r="E147" s="44">
        <v>0</v>
      </c>
      <c r="F147" s="44">
        <f t="shared" si="4"/>
        <v>258.60509999999999</v>
      </c>
      <c r="G147" s="121"/>
      <c r="H147" s="122"/>
      <c r="I147" s="38"/>
      <c r="L147" s="116"/>
      <c r="M147" s="116"/>
      <c r="N147" s="38"/>
    </row>
    <row r="148" spans="1:14" s="37" customFormat="1" ht="15.75" customHeight="1" x14ac:dyDescent="0.25">
      <c r="A148" s="125">
        <f t="shared" si="2"/>
        <v>23</v>
      </c>
      <c r="B148" s="126"/>
      <c r="C148" s="44" t="s">
        <v>176</v>
      </c>
      <c r="D148" s="44">
        <f>13.34*10.764</f>
        <v>143.59175999999999</v>
      </c>
      <c r="E148" s="44">
        <v>0</v>
      </c>
      <c r="F148" s="44">
        <f t="shared" si="4"/>
        <v>222.567228</v>
      </c>
      <c r="G148" s="121"/>
      <c r="H148" s="122"/>
      <c r="I148" s="38">
        <f>2.4*5.73</f>
        <v>13.752000000000001</v>
      </c>
      <c r="L148" s="116"/>
      <c r="M148" s="116"/>
      <c r="N148" s="38"/>
    </row>
    <row r="149" spans="1:14" s="37" customFormat="1" ht="15.75" customHeight="1" x14ac:dyDescent="0.25">
      <c r="A149" s="125">
        <f t="shared" si="2"/>
        <v>24</v>
      </c>
      <c r="B149" s="126"/>
      <c r="C149" s="44" t="s">
        <v>176</v>
      </c>
      <c r="D149" s="44">
        <f>20.83*10.764</f>
        <v>224.21411999999998</v>
      </c>
      <c r="E149" s="44">
        <v>0</v>
      </c>
      <c r="F149" s="44">
        <f t="shared" ref="F149:F150" si="5">(D149+E149)*(($F$120)+1)</f>
        <v>347.53188599999999</v>
      </c>
      <c r="G149" s="121"/>
      <c r="H149" s="122"/>
      <c r="I149" s="38"/>
      <c r="L149" s="116"/>
      <c r="M149" s="116"/>
      <c r="N149" s="38"/>
    </row>
    <row r="150" spans="1:14" s="37" customFormat="1" ht="15.75" customHeight="1" x14ac:dyDescent="0.25">
      <c r="A150" s="125">
        <f t="shared" si="2"/>
        <v>25</v>
      </c>
      <c r="B150" s="126"/>
      <c r="C150" s="44" t="s">
        <v>176</v>
      </c>
      <c r="D150" s="44">
        <f>18.02*10.764</f>
        <v>193.96727999999999</v>
      </c>
      <c r="E150" s="44">
        <v>0</v>
      </c>
      <c r="F150" s="44">
        <f t="shared" si="5"/>
        <v>300.64928399999997</v>
      </c>
      <c r="G150" s="123"/>
      <c r="H150" s="124"/>
      <c r="I150" s="38">
        <f>3.36*4.63+1.35*1.83</f>
        <v>18.0273</v>
      </c>
      <c r="L150" s="116"/>
      <c r="M150" s="116"/>
      <c r="N150" s="38"/>
    </row>
    <row r="151" spans="1:14" s="64" customFormat="1" x14ac:dyDescent="0.25">
      <c r="A151" s="208" t="s">
        <v>231</v>
      </c>
      <c r="B151" s="209"/>
      <c r="C151" s="209"/>
      <c r="D151" s="209"/>
      <c r="E151" s="209"/>
      <c r="F151" s="209"/>
      <c r="G151" s="209"/>
      <c r="H151" s="210"/>
      <c r="J151" s="38"/>
    </row>
    <row r="152" spans="1:14" s="64" customFormat="1" ht="15.75" customHeight="1" x14ac:dyDescent="0.25">
      <c r="A152" s="125">
        <v>1</v>
      </c>
      <c r="B152" s="126"/>
      <c r="C152" s="65" t="s">
        <v>243</v>
      </c>
      <c r="D152" s="65">
        <f>(112.52)*10.764</f>
        <v>1211.1652799999999</v>
      </c>
      <c r="E152" s="65">
        <v>0</v>
      </c>
      <c r="F152" s="65">
        <f>(D152+E152)*(($F$120)+1)</f>
        <v>1877.306184</v>
      </c>
      <c r="G152" s="119" t="str">
        <f>A151</f>
        <v>1st Floor for Commercial</v>
      </c>
      <c r="H152" s="120"/>
      <c r="I152" s="38">
        <f>11.41*4.85+5.45*2.23+4.71*4.28+4.71*4.78+1.05*1.9</f>
        <v>112.1596</v>
      </c>
      <c r="L152" s="116"/>
      <c r="M152" s="116"/>
      <c r="N152" s="38"/>
    </row>
    <row r="153" spans="1:14" s="64" customFormat="1" ht="15.75" customHeight="1" x14ac:dyDescent="0.25">
      <c r="A153" s="125">
        <f t="shared" ref="A153:A154" si="6">A152+1</f>
        <v>2</v>
      </c>
      <c r="B153" s="126"/>
      <c r="C153" s="68" t="s">
        <v>243</v>
      </c>
      <c r="D153" s="65">
        <f>(116.06)*10.764</f>
        <v>1249.2698399999999</v>
      </c>
      <c r="E153" s="65">
        <v>0</v>
      </c>
      <c r="F153" s="65">
        <f t="shared" ref="F153:F154" si="7">(D153+E153)*(($F$120)+1)</f>
        <v>1936.368252</v>
      </c>
      <c r="G153" s="121"/>
      <c r="H153" s="122"/>
      <c r="I153" s="38"/>
      <c r="L153" s="116"/>
      <c r="M153" s="116"/>
      <c r="N153" s="38"/>
    </row>
    <row r="154" spans="1:14" s="64" customFormat="1" ht="15.75" customHeight="1" x14ac:dyDescent="0.25">
      <c r="A154" s="125">
        <f t="shared" si="6"/>
        <v>3</v>
      </c>
      <c r="B154" s="126"/>
      <c r="C154" s="68" t="s">
        <v>243</v>
      </c>
      <c r="D154" s="65">
        <f>(147.51)*10.764</f>
        <v>1587.7976399999998</v>
      </c>
      <c r="E154" s="65">
        <v>0</v>
      </c>
      <c r="F154" s="65">
        <f t="shared" si="7"/>
        <v>2461.0863419999996</v>
      </c>
      <c r="G154" s="123"/>
      <c r="H154" s="124"/>
      <c r="I154" s="38"/>
      <c r="L154" s="116"/>
      <c r="M154" s="116"/>
      <c r="N154" s="38"/>
    </row>
    <row r="155" spans="1:14" s="37" customFormat="1" x14ac:dyDescent="0.25">
      <c r="A155" s="125"/>
      <c r="B155" s="221"/>
      <c r="C155" s="221"/>
      <c r="D155" s="221"/>
      <c r="E155" s="221"/>
      <c r="F155" s="221"/>
      <c r="G155" s="221"/>
      <c r="H155" s="126"/>
      <c r="I155" s="38"/>
      <c r="N155" s="38"/>
    </row>
    <row r="156" spans="1:14" ht="47.25" customHeight="1" x14ac:dyDescent="0.25">
      <c r="A156" s="134" t="s">
        <v>116</v>
      </c>
      <c r="B156" s="134" t="s">
        <v>117</v>
      </c>
      <c r="C156" s="130" t="s">
        <v>53</v>
      </c>
      <c r="D156" s="130" t="s">
        <v>54</v>
      </c>
      <c r="E156" s="132" t="s">
        <v>55</v>
      </c>
      <c r="F156" s="20" t="s">
        <v>146</v>
      </c>
      <c r="G156" s="134" t="s">
        <v>56</v>
      </c>
      <c r="H156" s="135"/>
      <c r="I156" s="38"/>
    </row>
    <row r="157" spans="1:14" s="37" customFormat="1" x14ac:dyDescent="0.25">
      <c r="A157" s="136"/>
      <c r="B157" s="136"/>
      <c r="C157" s="131"/>
      <c r="D157" s="131"/>
      <c r="E157" s="133"/>
      <c r="F157" s="13">
        <v>0.5</v>
      </c>
      <c r="G157" s="136"/>
      <c r="H157" s="137"/>
      <c r="I157" s="38"/>
    </row>
    <row r="158" spans="1:14" s="35" customFormat="1" x14ac:dyDescent="0.25">
      <c r="A158" s="148" t="s">
        <v>207</v>
      </c>
      <c r="B158" s="148"/>
      <c r="C158" s="148"/>
      <c r="D158" s="148"/>
      <c r="E158" s="148"/>
      <c r="F158" s="148"/>
      <c r="G158" s="148"/>
      <c r="H158" s="148"/>
    </row>
    <row r="159" spans="1:14" s="35" customFormat="1" x14ac:dyDescent="0.25">
      <c r="A159" s="147" t="s">
        <v>185</v>
      </c>
      <c r="B159" s="147"/>
      <c r="C159" s="147"/>
      <c r="D159" s="147"/>
      <c r="E159" s="147"/>
      <c r="F159" s="147"/>
      <c r="G159" s="147"/>
      <c r="H159" s="147"/>
    </row>
    <row r="160" spans="1:14" s="37" customFormat="1" x14ac:dyDescent="0.25">
      <c r="A160" s="208" t="s">
        <v>183</v>
      </c>
      <c r="B160" s="209"/>
      <c r="C160" s="209"/>
      <c r="D160" s="209"/>
      <c r="E160" s="209"/>
      <c r="F160" s="209"/>
      <c r="G160" s="209"/>
      <c r="H160" s="210"/>
      <c r="J160" s="38"/>
    </row>
    <row r="161" spans="1:14" s="37" customFormat="1" ht="15.75" customHeight="1" x14ac:dyDescent="0.25">
      <c r="A161" s="125">
        <v>1</v>
      </c>
      <c r="B161" s="126"/>
      <c r="C161" s="44" t="s">
        <v>187</v>
      </c>
      <c r="D161" s="44">
        <f>(2.75*3+2.08*3.2+2.68*2.15+1.9*1.1+1.18*1.95+1.5*2.75+1*2.08+1.05*2.68+1.7*0.6)*10.764</f>
        <v>377.79487199999994</v>
      </c>
      <c r="E161" s="44">
        <v>0</v>
      </c>
      <c r="F161" s="44">
        <f t="shared" ref="F161:F168" si="8">D161*(($F$157)+1)+(IF(E161&lt;101,E161,IF(E161&lt;201,E161/2,IF(E161&lt;=301,E161/3,E161/4))))</f>
        <v>566.69230799999991</v>
      </c>
      <c r="G161" s="119" t="str">
        <f>A160</f>
        <v>1st Floor for Residential</v>
      </c>
      <c r="H161" s="120"/>
      <c r="I161" s="38"/>
      <c r="J161" s="38"/>
      <c r="K161" s="38"/>
      <c r="L161" s="116"/>
      <c r="M161" s="116"/>
      <c r="N161" s="38"/>
    </row>
    <row r="162" spans="1:14" s="37" customFormat="1" ht="15.75" customHeight="1" x14ac:dyDescent="0.25">
      <c r="A162" s="125">
        <f t="shared" ref="A162:A168" si="9">A161+1</f>
        <v>2</v>
      </c>
      <c r="B162" s="126"/>
      <c r="C162" s="44" t="s">
        <v>187</v>
      </c>
      <c r="D162" s="44">
        <f>(2.75*3+2.08*3.2+2.68*2.15+1.18*1.95+1.9*1.1+1.5*2.75+1*2.08+1.05*2.68+1.55*0.43)*10.764</f>
        <v>373.98979799999995</v>
      </c>
      <c r="E162" s="44">
        <v>0</v>
      </c>
      <c r="F162" s="44">
        <f t="shared" si="8"/>
        <v>560.98469699999987</v>
      </c>
      <c r="G162" s="121"/>
      <c r="H162" s="122"/>
      <c r="I162" s="38"/>
      <c r="J162" s="38"/>
      <c r="K162" s="38"/>
      <c r="L162" s="116"/>
      <c r="M162" s="116"/>
      <c r="N162" s="38"/>
    </row>
    <row r="163" spans="1:14" s="37" customFormat="1" ht="15.75" customHeight="1" x14ac:dyDescent="0.25">
      <c r="A163" s="125">
        <f t="shared" si="9"/>
        <v>3</v>
      </c>
      <c r="B163" s="126"/>
      <c r="C163" s="44" t="s">
        <v>187</v>
      </c>
      <c r="D163" s="44">
        <f>(2.75*3+2.08*3.2+2.68*2.15+1.18*1.95+1.9*1.1+1.5*2.75+1.05*2.68+1.55*0.43)*10.764</f>
        <v>351.60067799999996</v>
      </c>
      <c r="E163" s="44">
        <f>(2.75*2.2+1.5*(2.08+2.68))*10.764</f>
        <v>141.97716</v>
      </c>
      <c r="F163" s="44">
        <f t="shared" si="8"/>
        <v>598.38959699999987</v>
      </c>
      <c r="G163" s="121"/>
      <c r="H163" s="122"/>
      <c r="I163" s="38"/>
      <c r="K163" s="38"/>
      <c r="L163" s="116"/>
      <c r="M163" s="116"/>
      <c r="N163" s="38"/>
    </row>
    <row r="164" spans="1:14" s="37" customFormat="1" ht="15.75" customHeight="1" x14ac:dyDescent="0.25">
      <c r="A164" s="125">
        <f t="shared" si="9"/>
        <v>4</v>
      </c>
      <c r="B164" s="126"/>
      <c r="C164" s="44" t="s">
        <v>187</v>
      </c>
      <c r="D164" s="44">
        <f>(2.75*3+2.08*3.2+2.68*2.15+1.9*1.1+1.18*1.95+1.5*2.75+1.05*2.68+1.7*0.5)*10.764</f>
        <v>353.57587199999995</v>
      </c>
      <c r="E164" s="44">
        <f>(2.75*2.2+1.5*(2.08+2.68))*10.764</f>
        <v>141.97716</v>
      </c>
      <c r="F164" s="44">
        <f t="shared" si="8"/>
        <v>601.35238799999991</v>
      </c>
      <c r="G164" s="121"/>
      <c r="H164" s="122"/>
      <c r="I164" s="38"/>
      <c r="L164" s="116"/>
      <c r="M164" s="116"/>
      <c r="N164" s="38"/>
    </row>
    <row r="165" spans="1:14" s="37" customFormat="1" ht="15.75" customHeight="1" x14ac:dyDescent="0.25">
      <c r="A165" s="125">
        <f t="shared" si="9"/>
        <v>5</v>
      </c>
      <c r="B165" s="126"/>
      <c r="C165" s="44" t="s">
        <v>187</v>
      </c>
      <c r="D165" s="44">
        <f>(2.75*3+2.08*3.2+2.68*2.15+1.18*1.95+1.9*1.1+1.5*2.75+1.05*2.68+1.7*0.5)*10.764</f>
        <v>353.57587199999995</v>
      </c>
      <c r="E165" s="44">
        <f>(2.75*2.2+1.5*(2.08+2.68))*10.764</f>
        <v>141.97716</v>
      </c>
      <c r="F165" s="44">
        <f t="shared" si="8"/>
        <v>601.35238799999991</v>
      </c>
      <c r="G165" s="121"/>
      <c r="H165" s="122"/>
      <c r="I165" s="38"/>
      <c r="L165" s="116"/>
      <c r="M165" s="116"/>
      <c r="N165" s="38"/>
    </row>
    <row r="166" spans="1:14" s="37" customFormat="1" ht="15.75" customHeight="1" x14ac:dyDescent="0.25">
      <c r="A166" s="125">
        <f t="shared" si="9"/>
        <v>6</v>
      </c>
      <c r="B166" s="126"/>
      <c r="C166" s="44" t="s">
        <v>187</v>
      </c>
      <c r="D166" s="44">
        <f>(2.75*3+2.08*3.2+2.72*2.15+1.9*1.1+1.18*1.95+1.5*2.75+1.05*2.72+1.5*0.43)*10.764</f>
        <v>352.74704399999996</v>
      </c>
      <c r="E166" s="44">
        <f>(2.75*2.2+1.5*(2.08+2.72))*10.764</f>
        <v>142.62300000000002</v>
      </c>
      <c r="F166" s="44">
        <f t="shared" si="8"/>
        <v>600.43206599999996</v>
      </c>
      <c r="G166" s="121"/>
      <c r="H166" s="122"/>
      <c r="I166" s="38"/>
      <c r="L166" s="116"/>
      <c r="M166" s="116"/>
      <c r="N166" s="38"/>
    </row>
    <row r="167" spans="1:14" s="37" customFormat="1" ht="15.75" customHeight="1" x14ac:dyDescent="0.25">
      <c r="A167" s="125">
        <f t="shared" si="9"/>
        <v>7</v>
      </c>
      <c r="B167" s="126"/>
      <c r="C167" s="44" t="s">
        <v>187</v>
      </c>
      <c r="D167" s="44">
        <f>(2.75*3+2.08*3.2+2.72*2.15+1.18*1.95+1.9*1.1+1.05*2.72+1*2.08+1.5*2.75+1.59*0.43)*10.764</f>
        <v>375.55273080000001</v>
      </c>
      <c r="E167" s="44">
        <v>0</v>
      </c>
      <c r="F167" s="44">
        <f t="shared" si="8"/>
        <v>563.32909619999998</v>
      </c>
      <c r="G167" s="121"/>
      <c r="H167" s="122"/>
      <c r="I167" s="38"/>
      <c r="L167" s="116"/>
      <c r="M167" s="116"/>
      <c r="N167" s="38"/>
    </row>
    <row r="168" spans="1:14" s="37" customFormat="1" ht="15.75" customHeight="1" x14ac:dyDescent="0.25">
      <c r="A168" s="125">
        <f t="shared" si="9"/>
        <v>8</v>
      </c>
      <c r="B168" s="126"/>
      <c r="C168" s="44" t="s">
        <v>187</v>
      </c>
      <c r="D168" s="44">
        <f>(2.75*3+2.08*3.2+2.68*2.15+1.18*1.95+1.9*1.1+1.5*2.75+1*2.08+1.05*2.66+1.7*0.6)*10.764</f>
        <v>377.56882799999994</v>
      </c>
      <c r="E168" s="44">
        <v>0</v>
      </c>
      <c r="F168" s="44">
        <f t="shared" si="8"/>
        <v>566.35324199999991</v>
      </c>
      <c r="G168" s="123"/>
      <c r="H168" s="124"/>
      <c r="I168" s="38"/>
      <c r="L168" s="116"/>
      <c r="M168" s="116"/>
      <c r="N168" s="38"/>
    </row>
    <row r="169" spans="1:14" s="37" customFormat="1" x14ac:dyDescent="0.25">
      <c r="A169" s="118" t="s">
        <v>191</v>
      </c>
      <c r="B169" s="118"/>
      <c r="C169" s="118"/>
      <c r="D169" s="118"/>
      <c r="E169" s="118"/>
      <c r="F169" s="118"/>
      <c r="G169" s="118"/>
      <c r="H169" s="118"/>
      <c r="I169" s="38"/>
      <c r="L169" s="116"/>
      <c r="M169" s="116"/>
    </row>
    <row r="170" spans="1:14" s="37" customFormat="1" ht="15.75" customHeight="1" x14ac:dyDescent="0.25">
      <c r="A170" s="117">
        <v>1</v>
      </c>
      <c r="B170" s="117"/>
      <c r="C170" s="44" t="s">
        <v>187</v>
      </c>
      <c r="D170" s="44">
        <f>(2.75*3+2.08*3.2+2.68*2.15+1.9*1.1+1.18*1.1+1.5*2.75+1.05*2.68+1*2.08+1.7*0.5)*10.764</f>
        <v>365.16869999999994</v>
      </c>
      <c r="E170" s="44">
        <v>0</v>
      </c>
      <c r="F170" s="44">
        <f t="shared" ref="F170:F177" si="10">D170*(($F$157)+1)+(IF(E170&lt;101,E170,IF(E170&lt;201,E170/2,IF(E170&lt;=301,E170/3,E170/4))))</f>
        <v>547.75304999999992</v>
      </c>
      <c r="G170" s="119" t="str">
        <f>A169</f>
        <v>2nd to 6th Floor</v>
      </c>
      <c r="H170" s="120"/>
      <c r="I170" s="38"/>
      <c r="N170" s="38"/>
    </row>
    <row r="171" spans="1:14" s="37" customFormat="1" ht="15.75" customHeight="1" x14ac:dyDescent="0.25">
      <c r="A171" s="117">
        <f t="shared" ref="A171:A177" si="11">A170+1</f>
        <v>2</v>
      </c>
      <c r="B171" s="117"/>
      <c r="C171" s="44" t="s">
        <v>187</v>
      </c>
      <c r="D171" s="44">
        <f>(2.75*3+2.08*3.2+2.68*2.15+1.18*1.95+1.9*1.1+1.5*2.75+1*2.08+1.05*2.68+1.55*0.43)*10.764</f>
        <v>373.98979799999995</v>
      </c>
      <c r="E171" s="44">
        <v>0</v>
      </c>
      <c r="F171" s="44">
        <f t="shared" si="10"/>
        <v>560.98469699999987</v>
      </c>
      <c r="G171" s="121"/>
      <c r="H171" s="122"/>
      <c r="I171" s="38"/>
      <c r="N171" s="38"/>
    </row>
    <row r="172" spans="1:14" s="37" customFormat="1" ht="15.75" customHeight="1" x14ac:dyDescent="0.25">
      <c r="A172" s="117">
        <f t="shared" si="11"/>
        <v>3</v>
      </c>
      <c r="B172" s="117"/>
      <c r="C172" s="44" t="s">
        <v>187</v>
      </c>
      <c r="D172" s="44">
        <f>(2.75*3+2.08*3.2+2.68*2.15+1.18*1.95+1.9*1.1+1.5*2.75+1*2.08+1.05*2.68+1.55*0.43)*10.764</f>
        <v>373.98979799999995</v>
      </c>
      <c r="E172" s="44">
        <v>0</v>
      </c>
      <c r="F172" s="44">
        <f t="shared" si="10"/>
        <v>560.98469699999987</v>
      </c>
      <c r="G172" s="121"/>
      <c r="H172" s="122"/>
      <c r="I172" s="38"/>
      <c r="N172" s="38"/>
    </row>
    <row r="173" spans="1:14" s="37" customFormat="1" ht="15.75" customHeight="1" x14ac:dyDescent="0.25">
      <c r="A173" s="117">
        <f t="shared" si="11"/>
        <v>4</v>
      </c>
      <c r="B173" s="117"/>
      <c r="C173" s="44" t="s">
        <v>187</v>
      </c>
      <c r="D173" s="44">
        <f>(2.75*3+2.08*3.2+2.68*2.15+1.9*1.1+1.18*1.95+1.5*2.75+1*2.08+1.05*2.68+1.7*0.6)*10.764</f>
        <v>377.79487199999994</v>
      </c>
      <c r="E173" s="44">
        <v>0</v>
      </c>
      <c r="F173" s="44">
        <f t="shared" si="10"/>
        <v>566.69230799999991</v>
      </c>
      <c r="G173" s="121"/>
      <c r="H173" s="122"/>
      <c r="I173" s="38"/>
      <c r="N173" s="38"/>
    </row>
    <row r="174" spans="1:14" s="37" customFormat="1" ht="15.75" customHeight="1" x14ac:dyDescent="0.25">
      <c r="A174" s="117">
        <f t="shared" si="11"/>
        <v>5</v>
      </c>
      <c r="B174" s="117"/>
      <c r="C174" s="44" t="s">
        <v>187</v>
      </c>
      <c r="D174" s="44">
        <f>(2.75*3+2.08*3.2+2.68*2.15+1.18*1.95+1.9*1.1+1.5*2.75+1*2.08+1.05*2.68+1.7*0.5)*10.764</f>
        <v>375.96499199999994</v>
      </c>
      <c r="E174" s="44">
        <v>0</v>
      </c>
      <c r="F174" s="44">
        <f t="shared" si="10"/>
        <v>563.94748799999991</v>
      </c>
      <c r="G174" s="121"/>
      <c r="H174" s="122"/>
      <c r="I174" s="38"/>
      <c r="N174" s="38"/>
    </row>
    <row r="175" spans="1:14" s="37" customFormat="1" ht="15.75" customHeight="1" x14ac:dyDescent="0.25">
      <c r="A175" s="117">
        <f t="shared" si="11"/>
        <v>6</v>
      </c>
      <c r="B175" s="117"/>
      <c r="C175" s="44" t="s">
        <v>187</v>
      </c>
      <c r="D175" s="44">
        <f>(2.75*3+2.08*3.2+2.72*2.15+1.9*1.1+1.18*1.95+1.5*2.75+1*2.08+1.05*2.72+1.5*0.43)*10.764</f>
        <v>375.13616400000006</v>
      </c>
      <c r="E175" s="44">
        <v>0</v>
      </c>
      <c r="F175" s="44">
        <f t="shared" si="10"/>
        <v>562.70424600000013</v>
      </c>
      <c r="G175" s="121"/>
      <c r="H175" s="122"/>
      <c r="I175" s="38"/>
      <c r="N175" s="38"/>
    </row>
    <row r="176" spans="1:14" s="37" customFormat="1" ht="15.75" customHeight="1" x14ac:dyDescent="0.25">
      <c r="A176" s="117">
        <f t="shared" si="11"/>
        <v>7</v>
      </c>
      <c r="B176" s="117"/>
      <c r="C176" s="44" t="s">
        <v>187</v>
      </c>
      <c r="D176" s="44">
        <f>(2.75*3+2.08*3.2+2.72*2.15+1.18*1.9+1.9*1.1+1.5*2.75+1*2.08+1.05*2.72+1.59*0.43)*10.764</f>
        <v>374.91765480000004</v>
      </c>
      <c r="E176" s="44">
        <v>0</v>
      </c>
      <c r="F176" s="44">
        <f t="shared" si="10"/>
        <v>562.37648220000005</v>
      </c>
      <c r="G176" s="121"/>
      <c r="H176" s="122"/>
      <c r="I176" s="38"/>
      <c r="N176" s="38"/>
    </row>
    <row r="177" spans="1:14" s="37" customFormat="1" ht="15.75" customHeight="1" x14ac:dyDescent="0.25">
      <c r="A177" s="117">
        <f t="shared" si="11"/>
        <v>8</v>
      </c>
      <c r="B177" s="117"/>
      <c r="C177" s="44" t="s">
        <v>187</v>
      </c>
      <c r="D177" s="44">
        <f>(2.75*3+2.08*3.2+2.68*2.15+1.18*1.95+1.9*1.1+1.5*2.75+1*2.08+1.05*2.68+1.7*0.5)*10.764</f>
        <v>375.96499199999994</v>
      </c>
      <c r="E177" s="44">
        <v>0</v>
      </c>
      <c r="F177" s="44">
        <f t="shared" si="10"/>
        <v>563.94748799999991</v>
      </c>
      <c r="G177" s="123"/>
      <c r="H177" s="124"/>
      <c r="I177" s="38"/>
      <c r="N177" s="38"/>
    </row>
    <row r="178" spans="1:14" s="37" customFormat="1" x14ac:dyDescent="0.25">
      <c r="A178" s="118" t="s">
        <v>189</v>
      </c>
      <c r="B178" s="118"/>
      <c r="C178" s="118"/>
      <c r="D178" s="118"/>
      <c r="E178" s="118"/>
      <c r="F178" s="118"/>
      <c r="G178" s="118"/>
      <c r="H178" s="118"/>
      <c r="I178" s="38" t="s">
        <v>210</v>
      </c>
      <c r="J178" s="37" t="s">
        <v>211</v>
      </c>
      <c r="L178" s="116"/>
      <c r="M178" s="116"/>
    </row>
    <row r="179" spans="1:14" s="37" customFormat="1" ht="15.75" customHeight="1" x14ac:dyDescent="0.25">
      <c r="A179" s="117">
        <v>1</v>
      </c>
      <c r="B179" s="117"/>
      <c r="C179" s="44" t="s">
        <v>187</v>
      </c>
      <c r="D179" s="44">
        <f>(2.75*3+2.15*3.2+2.75*2.15+1.9*1.1+1.18*1.95+1.5*2.75+1*2.15+1.05*2.75+1.7*0.6)*10.764</f>
        <v>383.37062399999996</v>
      </c>
      <c r="E179" s="44">
        <v>0</v>
      </c>
      <c r="F179" s="44">
        <f t="shared" ref="F179:F180" si="12">D179*(($F$157)+1)+(IF(E179&lt;101,E179,IF(E179&lt;201,E179/2,IF(E179&lt;=301,E179/3,E179/4))))</f>
        <v>575.05593599999997</v>
      </c>
      <c r="G179" s="119" t="str">
        <f>A178</f>
        <v>7th, 9th to 12th, 14th to 17th &amp; 19th to 22nd Floor</v>
      </c>
      <c r="H179" s="120"/>
      <c r="I179" s="38">
        <f>3232640/F179</f>
        <v>5621.4357554253647</v>
      </c>
      <c r="J179" s="38">
        <f>3658000/F179</f>
        <v>6361.1203206499904</v>
      </c>
      <c r="N179" s="38"/>
    </row>
    <row r="180" spans="1:14" s="37" customFormat="1" ht="15.75" customHeight="1" x14ac:dyDescent="0.25">
      <c r="A180" s="117">
        <f t="shared" ref="A180:A186" si="13">A179+1</f>
        <v>2</v>
      </c>
      <c r="B180" s="117"/>
      <c r="C180" s="44" t="s">
        <v>187</v>
      </c>
      <c r="D180" s="44">
        <f>(2.75*3+2.15*3.2+2.75*2.15+1.18*1.95+1.9*1.1+1.5*2.75+1*2.15+1.05*2.75+1.62*0.5)*10.764</f>
        <v>381.11018399999995</v>
      </c>
      <c r="E180" s="44">
        <v>0</v>
      </c>
      <c r="F180" s="44">
        <f t="shared" si="12"/>
        <v>571.66527599999995</v>
      </c>
      <c r="G180" s="121"/>
      <c r="H180" s="122"/>
      <c r="I180" s="38">
        <f t="shared" ref="I180:I186" si="14">3232640/F180</f>
        <v>5654.777604508552</v>
      </c>
      <c r="J180" s="38">
        <f t="shared" ref="J180:J186" si="15">3658000/F180</f>
        <v>6398.8493854225289</v>
      </c>
      <c r="N180" s="38"/>
    </row>
    <row r="181" spans="1:14" s="37" customFormat="1" ht="15.75" customHeight="1" x14ac:dyDescent="0.25">
      <c r="A181" s="117">
        <f t="shared" si="13"/>
        <v>3</v>
      </c>
      <c r="B181" s="117"/>
      <c r="C181" s="44" t="s">
        <v>187</v>
      </c>
      <c r="D181" s="44">
        <f>(2.75*3+2.15*3.2+2.75*2.15+1.18*1.95+1.9*1.1+1.5*2.75+1*2.15+1.05*2.75+1.62*0.5)*10.764</f>
        <v>381.11018399999995</v>
      </c>
      <c r="E181" s="44">
        <v>0</v>
      </c>
      <c r="F181" s="44">
        <f t="shared" ref="F181:F186" si="16">D181*(($F$157)+1)+(IF(E181&lt;101,E181,IF(E181&lt;201,E181/2,IF(E181&lt;=301,E181/3,E181/4))))</f>
        <v>571.66527599999995</v>
      </c>
      <c r="G181" s="121"/>
      <c r="H181" s="122"/>
      <c r="I181" s="38">
        <f t="shared" si="14"/>
        <v>5654.777604508552</v>
      </c>
      <c r="J181" s="38">
        <f t="shared" si="15"/>
        <v>6398.8493854225289</v>
      </c>
      <c r="N181" s="38"/>
    </row>
    <row r="182" spans="1:14" s="37" customFormat="1" ht="15.75" customHeight="1" x14ac:dyDescent="0.25">
      <c r="A182" s="117">
        <f t="shared" si="13"/>
        <v>4</v>
      </c>
      <c r="B182" s="117"/>
      <c r="C182" s="44" t="s">
        <v>187</v>
      </c>
      <c r="D182" s="44">
        <f>(2.75*3+2.15*3.2+2.75*2.15+1.9*1.1+1.18*1.95+1.5*2.75+1*2.15+1.05*2.75+1.7*0.5)*10.764</f>
        <v>381.54074399999996</v>
      </c>
      <c r="E182" s="44">
        <v>0</v>
      </c>
      <c r="F182" s="44">
        <f t="shared" si="16"/>
        <v>572.31111599999997</v>
      </c>
      <c r="G182" s="121"/>
      <c r="H182" s="122"/>
      <c r="I182" s="38">
        <f t="shared" si="14"/>
        <v>5648.3963173624606</v>
      </c>
      <c r="J182" s="38">
        <f t="shared" si="15"/>
        <v>6391.6284302959448</v>
      </c>
      <c r="N182" s="38"/>
    </row>
    <row r="183" spans="1:14" s="37" customFormat="1" ht="15.75" customHeight="1" x14ac:dyDescent="0.25">
      <c r="A183" s="117">
        <f t="shared" si="13"/>
        <v>5</v>
      </c>
      <c r="B183" s="117"/>
      <c r="C183" s="44" t="s">
        <v>187</v>
      </c>
      <c r="D183" s="44">
        <f>(2.75*3+2.15*3.2+2.75*2.15+1.18*1.95+1.9*1.1+1.5*2.75+1*2.15+1.05*2.75+1.7*0.5)*10.764</f>
        <v>381.54074399999996</v>
      </c>
      <c r="E183" s="44">
        <v>0</v>
      </c>
      <c r="F183" s="44">
        <f t="shared" si="16"/>
        <v>572.31111599999997</v>
      </c>
      <c r="G183" s="121"/>
      <c r="H183" s="122"/>
      <c r="I183" s="38">
        <f t="shared" si="14"/>
        <v>5648.3963173624606</v>
      </c>
      <c r="J183" s="38">
        <f t="shared" si="15"/>
        <v>6391.6284302959448</v>
      </c>
      <c r="N183" s="38"/>
    </row>
    <row r="184" spans="1:14" s="37" customFormat="1" ht="15.75" customHeight="1" x14ac:dyDescent="0.25">
      <c r="A184" s="117">
        <f t="shared" si="13"/>
        <v>6</v>
      </c>
      <c r="B184" s="117"/>
      <c r="C184" s="44" t="s">
        <v>187</v>
      </c>
      <c r="D184" s="44">
        <f>(2.75*3+2.15*3.2+2.75*2.15+1.9*1.1+1.18*1.1+1.5*2.75+1*2.15+1.05*2.75+1.62*0.5)*10.764</f>
        <v>370.31389199999995</v>
      </c>
      <c r="E184" s="44">
        <v>0</v>
      </c>
      <c r="F184" s="44">
        <f t="shared" si="16"/>
        <v>555.47083799999996</v>
      </c>
      <c r="G184" s="121"/>
      <c r="H184" s="122"/>
      <c r="I184" s="38">
        <f t="shared" si="14"/>
        <v>5819.6394461305636</v>
      </c>
      <c r="J184" s="38">
        <f t="shared" si="15"/>
        <v>6585.4042188259764</v>
      </c>
      <c r="N184" s="38"/>
    </row>
    <row r="185" spans="1:14" s="37" customFormat="1" ht="15.75" customHeight="1" x14ac:dyDescent="0.25">
      <c r="A185" s="117">
        <f t="shared" si="13"/>
        <v>7</v>
      </c>
      <c r="B185" s="117"/>
      <c r="C185" s="44" t="s">
        <v>187</v>
      </c>
      <c r="D185" s="44">
        <f>(2.75*3+2.15*3.2+2.75*2.15+1.9*1.1+1.18*1.95+1.5*2.75+1*2.15+1.05*2.75+1.62*0.5)*10.764</f>
        <v>381.11018399999995</v>
      </c>
      <c r="E185" s="44">
        <v>0</v>
      </c>
      <c r="F185" s="44">
        <f t="shared" si="16"/>
        <v>571.66527599999995</v>
      </c>
      <c r="G185" s="121"/>
      <c r="H185" s="122"/>
      <c r="I185" s="38">
        <f t="shared" si="14"/>
        <v>5654.777604508552</v>
      </c>
      <c r="J185" s="38">
        <f t="shared" si="15"/>
        <v>6398.8493854225289</v>
      </c>
      <c r="N185" s="38"/>
    </row>
    <row r="186" spans="1:14" s="37" customFormat="1" ht="15.75" customHeight="1" x14ac:dyDescent="0.25">
      <c r="A186" s="117">
        <f t="shared" si="13"/>
        <v>8</v>
      </c>
      <c r="B186" s="117"/>
      <c r="C186" s="44" t="s">
        <v>187</v>
      </c>
      <c r="D186" s="44">
        <f>(2.75*3+2.15*3.2+2.75*2.15+1.18*1.95+1.9*1.1+1.5*2.75+1*2.15+1.05*2.75+1.7*0.5)*10.764</f>
        <v>381.54074399999996</v>
      </c>
      <c r="E186" s="44">
        <v>0</v>
      </c>
      <c r="F186" s="44">
        <f t="shared" si="16"/>
        <v>572.31111599999997</v>
      </c>
      <c r="G186" s="123"/>
      <c r="H186" s="124"/>
      <c r="I186" s="38">
        <f t="shared" si="14"/>
        <v>5648.3963173624606</v>
      </c>
      <c r="J186" s="38">
        <f t="shared" si="15"/>
        <v>6391.6284302959448</v>
      </c>
      <c r="N186" s="38"/>
    </row>
    <row r="187" spans="1:14" s="37" customFormat="1" x14ac:dyDescent="0.25">
      <c r="A187" s="118" t="s">
        <v>190</v>
      </c>
      <c r="B187" s="118"/>
      <c r="C187" s="118"/>
      <c r="D187" s="118"/>
      <c r="E187" s="118"/>
      <c r="F187" s="118"/>
      <c r="G187" s="118"/>
      <c r="H187" s="118"/>
      <c r="I187" s="38"/>
      <c r="L187" s="116"/>
      <c r="M187" s="116"/>
    </row>
    <row r="188" spans="1:14" s="37" customFormat="1" ht="15.75" customHeight="1" x14ac:dyDescent="0.25">
      <c r="A188" s="117">
        <v>1</v>
      </c>
      <c r="B188" s="117"/>
      <c r="C188" s="44" t="s">
        <v>187</v>
      </c>
      <c r="D188" s="44">
        <f>(2.75*3+2.15*3.2+2.75*2.15+1.9*1.1+1.18*1.95+1.05*2.75+1*2.15+1.5*2.75+1.7*0.58)*10.764</f>
        <v>383.0046479999998</v>
      </c>
      <c r="E188" s="44">
        <v>0</v>
      </c>
      <c r="F188" s="44">
        <f t="shared" ref="F188:F189" si="17">D188*(($F$157)+1)+(IF(E188&lt;101,E188,IF(E188&lt;201,E188/2,IF(E188&lt;=301,E188/3,E188/4))))</f>
        <v>574.50697199999968</v>
      </c>
      <c r="G188" s="119" t="str">
        <f>A187</f>
        <v>8th, 13th &amp; 18th Floor (Part Refuge Area)</v>
      </c>
      <c r="H188" s="120"/>
      <c r="I188" s="38"/>
      <c r="N188" s="38"/>
    </row>
    <row r="189" spans="1:14" s="37" customFormat="1" ht="15.75" customHeight="1" x14ac:dyDescent="0.25">
      <c r="A189" s="117">
        <f>A188+1</f>
        <v>2</v>
      </c>
      <c r="B189" s="117"/>
      <c r="C189" s="44" t="s">
        <v>187</v>
      </c>
      <c r="D189" s="44">
        <f>(2.75*3+2.15*3.2+2.75*2.15+1.18*1.95+1.9*1.1+1.5*2.75+1*2.15+1.05*2.75+1.62*0.5)*10.764</f>
        <v>381.11018399999995</v>
      </c>
      <c r="E189" s="44">
        <v>0</v>
      </c>
      <c r="F189" s="44">
        <f t="shared" si="17"/>
        <v>571.66527599999995</v>
      </c>
      <c r="G189" s="121"/>
      <c r="H189" s="122"/>
      <c r="I189" s="38"/>
      <c r="N189" s="38"/>
    </row>
    <row r="190" spans="1:14" s="37" customFormat="1" ht="15.75" customHeight="1" x14ac:dyDescent="0.25">
      <c r="A190" s="117">
        <f>A189+1</f>
        <v>3</v>
      </c>
      <c r="B190" s="117"/>
      <c r="C190" s="44" t="s">
        <v>187</v>
      </c>
      <c r="D190" s="44">
        <f>(2.75*3+2.15*3.2+2.75*2.15+1.18*1.9+1.9*1.1+1.5*2.75+1*2.15+1.05*2.75+1.5*0.5)*10.764</f>
        <v>379.82926799999996</v>
      </c>
      <c r="E190" s="44">
        <v>0</v>
      </c>
      <c r="F190" s="44">
        <f>D190*(($F$157)+1)+(IF(E190&lt;101,E190,IF(E190&lt;201,E190/2,IF(E190&lt;=301,E190/3,E190/4))))</f>
        <v>569.74390199999993</v>
      </c>
      <c r="G190" s="121"/>
      <c r="H190" s="122"/>
      <c r="I190" s="38"/>
      <c r="N190" s="38"/>
    </row>
    <row r="191" spans="1:14" s="37" customFormat="1" ht="15.75" customHeight="1" x14ac:dyDescent="0.25">
      <c r="A191" s="117">
        <f>A190+1</f>
        <v>4</v>
      </c>
      <c r="B191" s="117"/>
      <c r="C191" s="44" t="s">
        <v>187</v>
      </c>
      <c r="D191" s="44">
        <f>(2.75*3+2.15*3.2+2.75*2.15+1.95*1.1+1.18*1.9+1.5*2.75+1*2.15+1.05*2.75+1.52*0.5)*10.764</f>
        <v>380.52892799999995</v>
      </c>
      <c r="E191" s="44">
        <v>0</v>
      </c>
      <c r="F191" s="44">
        <f>D191*(($F$157)+1)+(IF(E191&lt;101,E191,IF(E191&lt;201,E191/2,IF(E191&lt;=301,E191/3,E191/4))))</f>
        <v>570.79339199999993</v>
      </c>
      <c r="G191" s="121"/>
      <c r="H191" s="122"/>
      <c r="I191" s="38"/>
      <c r="N191" s="38"/>
    </row>
    <row r="192" spans="1:14" s="37" customFormat="1" ht="15.75" customHeight="1" x14ac:dyDescent="0.25">
      <c r="A192" s="117">
        <f>A191+1</f>
        <v>5</v>
      </c>
      <c r="B192" s="117"/>
      <c r="C192" s="44" t="s">
        <v>187</v>
      </c>
      <c r="D192" s="44">
        <f>(2.75*3+2.15*3.2+2.75*2.15+1.9*1.1+1.18*1.9+1.5*2.75+1*2.15+1.05*2.75+1.62*0.6)*10.764</f>
        <v>382.21887599999997</v>
      </c>
      <c r="E192" s="44">
        <v>0</v>
      </c>
      <c r="F192" s="44">
        <f>D192*(($F$157)+1)+(IF(E192&lt;101,E192,IF(E192&lt;201,E192/2,IF(E192&lt;=301,E192/3,E192/4))))</f>
        <v>573.32831399999998</v>
      </c>
      <c r="G192" s="121"/>
      <c r="H192" s="122"/>
      <c r="I192" s="38"/>
      <c r="N192" s="38"/>
    </row>
    <row r="193" spans="1:14" s="37" customFormat="1" ht="15.75" customHeight="1" x14ac:dyDescent="0.25">
      <c r="A193" s="117">
        <f>A192+1</f>
        <v>6</v>
      </c>
      <c r="B193" s="117"/>
      <c r="C193" s="44" t="s">
        <v>187</v>
      </c>
      <c r="D193" s="44">
        <f>(2.75*3+2.15*3.2+2.75*2.15+1.9*1.1+1.18*1.9+1.5*2.75+1*2.15+1.05*2.75+1.62*0.6)*10.764</f>
        <v>382.21887599999997</v>
      </c>
      <c r="E193" s="44">
        <v>0</v>
      </c>
      <c r="F193" s="44">
        <f>D193*(($F$157)+1)+(IF(E193&lt;101,E193,IF(E193&lt;201,E193/2,IF(E193&lt;=301,E193/3,E193/4))))</f>
        <v>573.32831399999998</v>
      </c>
      <c r="G193" s="123"/>
      <c r="H193" s="124"/>
      <c r="I193" s="38"/>
      <c r="N193" s="38"/>
    </row>
    <row r="194" spans="1:14" s="35" customFormat="1" x14ac:dyDescent="0.25">
      <c r="A194" s="147" t="s">
        <v>177</v>
      </c>
      <c r="B194" s="147"/>
      <c r="C194" s="147"/>
      <c r="D194" s="147"/>
      <c r="E194" s="147"/>
      <c r="F194" s="147"/>
      <c r="G194" s="147"/>
      <c r="H194" s="147"/>
      <c r="I194" s="65">
        <v>10.763999999999999</v>
      </c>
    </row>
    <row r="195" spans="1:14" s="37" customFormat="1" x14ac:dyDescent="0.25">
      <c r="A195" s="118" t="s">
        <v>113</v>
      </c>
      <c r="B195" s="118"/>
      <c r="C195" s="118"/>
      <c r="D195" s="118"/>
      <c r="E195" s="118"/>
      <c r="F195" s="118"/>
      <c r="G195" s="118"/>
      <c r="H195" s="118"/>
      <c r="I195" s="38">
        <v>1</v>
      </c>
      <c r="L195" s="116"/>
      <c r="M195" s="116"/>
    </row>
    <row r="196" spans="1:14" s="37" customFormat="1" x14ac:dyDescent="0.25">
      <c r="A196" s="117">
        <v>1</v>
      </c>
      <c r="B196" s="117"/>
      <c r="C196" s="44" t="s">
        <v>232</v>
      </c>
      <c r="D196" s="65">
        <f>(44.95+2.08)*10.764</f>
        <v>506.23091999999997</v>
      </c>
      <c r="E196" s="70">
        <v>0</v>
      </c>
      <c r="F196" s="44">
        <f t="shared" ref="F196:F197" si="18">D196*(($F$157)+1)+(IF(E196&lt;101,E196,IF(E196&lt;201,E196/2,IF(E196&lt;=301,E196/3,E196/4))))</f>
        <v>759.34637999999995</v>
      </c>
      <c r="G196" s="119" t="str">
        <f>A195</f>
        <v>2nd Floor</v>
      </c>
      <c r="H196" s="120"/>
      <c r="I196" s="38"/>
      <c r="N196" s="38"/>
    </row>
    <row r="197" spans="1:14" s="37" customFormat="1" x14ac:dyDescent="0.25">
      <c r="A197" s="117">
        <f>A196+1</f>
        <v>2</v>
      </c>
      <c r="B197" s="117"/>
      <c r="C197" s="44" t="s">
        <v>184</v>
      </c>
      <c r="D197" s="65">
        <f>(47.45)*10.764</f>
        <v>510.7518</v>
      </c>
      <c r="E197" s="65">
        <f>(2.75*2.3+5.9*1.5)*10.764</f>
        <v>163.34369999999998</v>
      </c>
      <c r="F197" s="44">
        <f t="shared" si="18"/>
        <v>847.79954999999995</v>
      </c>
      <c r="G197" s="121"/>
      <c r="H197" s="122"/>
      <c r="I197" s="38"/>
      <c r="N197" s="38"/>
    </row>
    <row r="198" spans="1:14" s="37" customFormat="1" x14ac:dyDescent="0.25">
      <c r="A198" s="117">
        <f>A197+1</f>
        <v>3</v>
      </c>
      <c r="B198" s="117"/>
      <c r="C198" s="44" t="s">
        <v>184</v>
      </c>
      <c r="D198" s="65">
        <f>(44.64)*10.764</f>
        <v>480.50495999999998</v>
      </c>
      <c r="E198" s="65">
        <f>(2.75*2.3+8.05*1.4)*10.764</f>
        <v>189.39257999999998</v>
      </c>
      <c r="F198" s="44">
        <f>D198*(($F$157)+1)+(IF(E198&lt;101,E198,IF(E198&lt;201,E198/2,IF(E198&lt;=301,E198/3,E198/4))))</f>
        <v>815.45372999999995</v>
      </c>
      <c r="G198" s="121"/>
      <c r="H198" s="122"/>
      <c r="I198" s="38"/>
      <c r="N198" s="38"/>
    </row>
    <row r="199" spans="1:14" s="37" customFormat="1" x14ac:dyDescent="0.25">
      <c r="A199" s="117">
        <f>A198+1</f>
        <v>4</v>
      </c>
      <c r="B199" s="117"/>
      <c r="C199" s="44" t="s">
        <v>184</v>
      </c>
      <c r="D199" s="65">
        <f>(44.84)*10.764</f>
        <v>482.65776</v>
      </c>
      <c r="E199" s="68">
        <f>(2.75*2.3+8.05*1.4)*10.764</f>
        <v>189.39257999999998</v>
      </c>
      <c r="F199" s="44">
        <f>D199*(($F$157)+1)+(IF(E199&lt;101,E199,IF(E199&lt;201,E199/2,IF(E199&lt;=301,E199/3,E199/4))))</f>
        <v>818.68292999999994</v>
      </c>
      <c r="G199" s="121"/>
      <c r="H199" s="122"/>
      <c r="I199" s="38"/>
      <c r="N199" s="38"/>
    </row>
    <row r="200" spans="1:14" s="37" customFormat="1" x14ac:dyDescent="0.25">
      <c r="A200" s="117">
        <f>A199+1</f>
        <v>5</v>
      </c>
      <c r="B200" s="117"/>
      <c r="C200" s="44" t="s">
        <v>184</v>
      </c>
      <c r="D200" s="65">
        <f>(47.8)*10.764</f>
        <v>514.51919999999996</v>
      </c>
      <c r="E200" s="68">
        <f>(2.75*2.3+7.5*1.4+1.35*6.1+2.7*1.83+4.75*4.75)*10.764</f>
        <v>565.79351399999996</v>
      </c>
      <c r="F200" s="44">
        <f>D200*(($F$157)+1)+(IF(E200&lt;101,E200,IF(E200&lt;201,E200/2,IF(E200&lt;=301,E200/3,E200/4))))</f>
        <v>913.22717849999992</v>
      </c>
      <c r="G200" s="121"/>
      <c r="H200" s="122"/>
      <c r="I200" s="38"/>
      <c r="N200" s="38"/>
    </row>
    <row r="201" spans="1:14" s="37" customFormat="1" x14ac:dyDescent="0.25">
      <c r="A201" s="117">
        <f>A200+1</f>
        <v>6</v>
      </c>
      <c r="B201" s="117"/>
      <c r="C201" s="65" t="s">
        <v>232</v>
      </c>
      <c r="D201" s="65">
        <f>(44.95+2.08)*10.764</f>
        <v>506.23091999999997</v>
      </c>
      <c r="E201" s="44">
        <v>0</v>
      </c>
      <c r="F201" s="44">
        <f>D201*(($F$157)+1)+(IF(E201&lt;101,E201,IF(E201&lt;201,E201/2,IF(E201&lt;=301,E201/3,E201/4))))</f>
        <v>759.34637999999995</v>
      </c>
      <c r="G201" s="123"/>
      <c r="H201" s="124"/>
      <c r="I201" s="38"/>
      <c r="N201" s="38"/>
    </row>
    <row r="202" spans="1:14" s="64" customFormat="1" x14ac:dyDescent="0.25">
      <c r="A202" s="208" t="s">
        <v>233</v>
      </c>
      <c r="B202" s="209"/>
      <c r="C202" s="209"/>
      <c r="D202" s="209"/>
      <c r="E202" s="209"/>
      <c r="F202" s="209"/>
      <c r="G202" s="209"/>
      <c r="H202" s="210"/>
      <c r="I202" s="64">
        <f>5+4+4+4</f>
        <v>17</v>
      </c>
      <c r="J202" s="38"/>
    </row>
    <row r="203" spans="1:14" s="64" customFormat="1" ht="15.75" customHeight="1" x14ac:dyDescent="0.25">
      <c r="A203" s="125">
        <v>1</v>
      </c>
      <c r="B203" s="126"/>
      <c r="C203" s="65" t="s">
        <v>232</v>
      </c>
      <c r="D203" s="65">
        <f>(45.08+2.08)*10.764</f>
        <v>507.63023999999996</v>
      </c>
      <c r="E203" s="65">
        <v>0</v>
      </c>
      <c r="F203" s="65">
        <f t="shared" ref="F203:F208" si="19">D203*(($F$157)+1)+(IF(E203&lt;101,E203,IF(E203&lt;201,E203/2,IF(E203&lt;=301,E203/3,E203/4))))</f>
        <v>761.44535999999994</v>
      </c>
      <c r="G203" s="119" t="str">
        <f>A202</f>
        <v>3rd to 7th, 9th to 12th, 14th to 17th &amp; 19th to 22nd Floor</v>
      </c>
      <c r="H203" s="120"/>
      <c r="I203" s="38"/>
      <c r="L203" s="116"/>
      <c r="M203" s="116"/>
      <c r="N203" s="38"/>
    </row>
    <row r="204" spans="1:14" s="64" customFormat="1" ht="15.75" customHeight="1" x14ac:dyDescent="0.25">
      <c r="A204" s="125">
        <f t="shared" ref="A204:A208" si="20">A203+1</f>
        <v>2</v>
      </c>
      <c r="B204" s="126"/>
      <c r="C204" s="65" t="s">
        <v>184</v>
      </c>
      <c r="D204" s="65">
        <f>(48.13+2.25)*10.764</f>
        <v>542.29031999999995</v>
      </c>
      <c r="E204" s="65">
        <v>0</v>
      </c>
      <c r="F204" s="65">
        <f t="shared" si="19"/>
        <v>813.43547999999987</v>
      </c>
      <c r="G204" s="121"/>
      <c r="H204" s="122"/>
      <c r="I204" s="38">
        <f>2.75*4.55+2.25*3.35+3.05*3.35+2.83*3.13+1.2*(2.08+2.3)+2.83</f>
        <v>47.211399999999998</v>
      </c>
      <c r="L204" s="116"/>
      <c r="M204" s="116"/>
      <c r="N204" s="38"/>
    </row>
    <row r="205" spans="1:14" s="64" customFormat="1" ht="15.75" customHeight="1" x14ac:dyDescent="0.25">
      <c r="A205" s="125">
        <f t="shared" si="20"/>
        <v>3</v>
      </c>
      <c r="B205" s="126"/>
      <c r="C205" s="65" t="s">
        <v>184</v>
      </c>
      <c r="D205" s="65">
        <f>(45.08+2.08)*10.764</f>
        <v>507.63023999999996</v>
      </c>
      <c r="E205" s="65">
        <v>0</v>
      </c>
      <c r="F205" s="65">
        <f t="shared" si="19"/>
        <v>761.44535999999994</v>
      </c>
      <c r="G205" s="121"/>
      <c r="H205" s="122"/>
      <c r="I205" s="38"/>
      <c r="L205" s="116"/>
      <c r="M205" s="116"/>
      <c r="N205" s="38"/>
    </row>
    <row r="206" spans="1:14" s="64" customFormat="1" ht="15.75" customHeight="1" x14ac:dyDescent="0.25">
      <c r="A206" s="125">
        <f t="shared" si="20"/>
        <v>4</v>
      </c>
      <c r="B206" s="126"/>
      <c r="C206" s="65" t="s">
        <v>184</v>
      </c>
      <c r="D206" s="65">
        <f>(45.08+2.08)*10.764</f>
        <v>507.63023999999996</v>
      </c>
      <c r="E206" s="65">
        <v>0</v>
      </c>
      <c r="F206" s="65">
        <f t="shared" si="19"/>
        <v>761.44535999999994</v>
      </c>
      <c r="G206" s="121"/>
      <c r="H206" s="122"/>
      <c r="I206" s="38"/>
      <c r="L206" s="116"/>
      <c r="M206" s="116"/>
      <c r="N206" s="38"/>
    </row>
    <row r="207" spans="1:14" s="64" customFormat="1" ht="15.75" customHeight="1" x14ac:dyDescent="0.25">
      <c r="A207" s="125">
        <f t="shared" si="20"/>
        <v>5</v>
      </c>
      <c r="B207" s="126"/>
      <c r="C207" s="65" t="s">
        <v>184</v>
      </c>
      <c r="D207" s="65">
        <f>(48.33+2.25)*10.764</f>
        <v>544.44311999999991</v>
      </c>
      <c r="E207" s="65">
        <v>0</v>
      </c>
      <c r="F207" s="65">
        <f t="shared" si="19"/>
        <v>816.66467999999986</v>
      </c>
      <c r="G207" s="121"/>
      <c r="H207" s="122"/>
      <c r="I207" s="38"/>
      <c r="L207" s="116"/>
      <c r="M207" s="116"/>
      <c r="N207" s="38"/>
    </row>
    <row r="208" spans="1:14" s="64" customFormat="1" ht="15.75" customHeight="1" x14ac:dyDescent="0.25">
      <c r="A208" s="125">
        <f t="shared" si="20"/>
        <v>6</v>
      </c>
      <c r="B208" s="126"/>
      <c r="C208" s="65" t="s">
        <v>232</v>
      </c>
      <c r="D208" s="65">
        <f>(45.08+2.08)*10.764</f>
        <v>507.63023999999996</v>
      </c>
      <c r="E208" s="65">
        <v>0</v>
      </c>
      <c r="F208" s="65">
        <f t="shared" si="19"/>
        <v>761.44535999999994</v>
      </c>
      <c r="G208" s="123"/>
      <c r="H208" s="124"/>
      <c r="I208" s="38">
        <f>2.75*4.55+2.08*3.35+2.38*2.3+2.75*3.35+1.18*2+1.2*2.05+(2.53+2.38+0.3)*0.9</f>
        <v>43.676000000000002</v>
      </c>
      <c r="L208" s="116"/>
      <c r="M208" s="116"/>
      <c r="N208" s="38"/>
    </row>
    <row r="209" spans="1:14" s="37" customFormat="1" x14ac:dyDescent="0.25">
      <c r="A209" s="208" t="s">
        <v>190</v>
      </c>
      <c r="B209" s="209"/>
      <c r="C209" s="209"/>
      <c r="D209" s="209"/>
      <c r="E209" s="209"/>
      <c r="F209" s="209"/>
      <c r="G209" s="209"/>
      <c r="H209" s="210"/>
      <c r="I209" s="37">
        <v>3</v>
      </c>
      <c r="J209" s="38"/>
    </row>
    <row r="210" spans="1:14" s="37" customFormat="1" ht="15.75" customHeight="1" x14ac:dyDescent="0.25">
      <c r="A210" s="125">
        <v>1</v>
      </c>
      <c r="B210" s="126"/>
      <c r="C210" s="44" t="s">
        <v>232</v>
      </c>
      <c r="D210" s="44">
        <f>(45.08+2.08)*10.764</f>
        <v>507.63023999999996</v>
      </c>
      <c r="E210" s="44">
        <v>0</v>
      </c>
      <c r="F210" s="44">
        <f t="shared" ref="F210:F215" si="21">D210*(($F$157)+1)+(IF(E210&lt;101,E210,IF(E210&lt;201,E210/2,IF(E210&lt;=301,E210/3,E210/4))))</f>
        <v>761.44535999999994</v>
      </c>
      <c r="G210" s="119" t="str">
        <f>A209</f>
        <v>8th, 13th &amp; 18th Floor (Part Refuge Area)</v>
      </c>
      <c r="H210" s="120"/>
      <c r="I210" s="38"/>
      <c r="L210" s="116"/>
      <c r="M210" s="116"/>
      <c r="N210" s="38"/>
    </row>
    <row r="211" spans="1:14" s="37" customFormat="1" ht="15.75" customHeight="1" x14ac:dyDescent="0.25">
      <c r="A211" s="125">
        <f t="shared" ref="A211:A215" si="22">A210+1</f>
        <v>2</v>
      </c>
      <c r="B211" s="126"/>
      <c r="C211" s="44" t="s">
        <v>184</v>
      </c>
      <c r="D211" s="44">
        <f>(48.13+2.25)*10.764</f>
        <v>542.29031999999995</v>
      </c>
      <c r="E211" s="44">
        <v>0</v>
      </c>
      <c r="F211" s="44">
        <f t="shared" si="21"/>
        <v>813.43547999999987</v>
      </c>
      <c r="G211" s="121"/>
      <c r="H211" s="122"/>
      <c r="I211" s="38"/>
      <c r="L211" s="116"/>
      <c r="M211" s="116"/>
      <c r="N211" s="38"/>
    </row>
    <row r="212" spans="1:14" s="37" customFormat="1" ht="15.75" customHeight="1" x14ac:dyDescent="0.25">
      <c r="A212" s="125">
        <f t="shared" si="22"/>
        <v>3</v>
      </c>
      <c r="B212" s="126"/>
      <c r="C212" s="44" t="s">
        <v>184</v>
      </c>
      <c r="D212" s="44">
        <f>(45.08+2.08)*10.764</f>
        <v>507.63023999999996</v>
      </c>
      <c r="E212" s="44">
        <v>0</v>
      </c>
      <c r="F212" s="44">
        <f t="shared" si="21"/>
        <v>761.44535999999994</v>
      </c>
      <c r="G212" s="121"/>
      <c r="H212" s="122"/>
      <c r="I212" s="38"/>
      <c r="L212" s="116"/>
      <c r="M212" s="116"/>
      <c r="N212" s="38"/>
    </row>
    <row r="213" spans="1:14" s="37" customFormat="1" ht="15.75" customHeight="1" x14ac:dyDescent="0.25">
      <c r="A213" s="125">
        <f t="shared" si="22"/>
        <v>4</v>
      </c>
      <c r="B213" s="126"/>
      <c r="C213" s="44" t="s">
        <v>184</v>
      </c>
      <c r="D213" s="44">
        <f>(45.08+2.08)*10.764</f>
        <v>507.63023999999996</v>
      </c>
      <c r="E213" s="44">
        <v>0</v>
      </c>
      <c r="F213" s="44">
        <f t="shared" si="21"/>
        <v>761.44535999999994</v>
      </c>
      <c r="G213" s="121"/>
      <c r="H213" s="122"/>
      <c r="I213" s="38"/>
      <c r="L213" s="116"/>
      <c r="M213" s="116"/>
      <c r="N213" s="38"/>
    </row>
    <row r="214" spans="1:14" s="37" customFormat="1" ht="15.75" customHeight="1" x14ac:dyDescent="0.25">
      <c r="A214" s="125">
        <f t="shared" si="22"/>
        <v>5</v>
      </c>
      <c r="B214" s="126"/>
      <c r="C214" s="125" t="s">
        <v>234</v>
      </c>
      <c r="D214" s="221"/>
      <c r="E214" s="221"/>
      <c r="F214" s="126"/>
      <c r="G214" s="121"/>
      <c r="H214" s="122"/>
      <c r="I214" s="38"/>
      <c r="L214" s="116"/>
      <c r="M214" s="116"/>
      <c r="N214" s="38"/>
    </row>
    <row r="215" spans="1:14" s="37" customFormat="1" ht="15.75" customHeight="1" x14ac:dyDescent="0.25">
      <c r="A215" s="125">
        <f t="shared" si="22"/>
        <v>6</v>
      </c>
      <c r="B215" s="126"/>
      <c r="C215" s="44" t="s">
        <v>232</v>
      </c>
      <c r="D215" s="44">
        <f>(45.08+2.08)*10.764</f>
        <v>507.63023999999996</v>
      </c>
      <c r="E215" s="44">
        <v>0</v>
      </c>
      <c r="F215" s="44">
        <f t="shared" si="21"/>
        <v>761.44535999999994</v>
      </c>
      <c r="G215" s="123"/>
      <c r="H215" s="124"/>
      <c r="I215" s="38"/>
      <c r="L215" s="116"/>
      <c r="M215" s="116"/>
      <c r="N215" s="38"/>
    </row>
    <row r="216" spans="1:14" s="36" customFormat="1" x14ac:dyDescent="0.25">
      <c r="A216" s="162" t="s">
        <v>63</v>
      </c>
      <c r="B216" s="162"/>
      <c r="C216" s="162"/>
      <c r="D216" s="162"/>
      <c r="E216" s="162"/>
      <c r="F216" s="162"/>
      <c r="G216" s="162"/>
      <c r="H216" s="162"/>
    </row>
    <row r="217" spans="1:14" s="36" customFormat="1" x14ac:dyDescent="0.25">
      <c r="A217" s="50" t="s">
        <v>150</v>
      </c>
      <c r="B217" s="144" t="s">
        <v>223</v>
      </c>
      <c r="C217" s="145"/>
      <c r="D217" s="145"/>
      <c r="E217" s="145"/>
      <c r="F217" s="145"/>
      <c r="G217" s="145"/>
      <c r="H217" s="146"/>
    </row>
    <row r="218" spans="1:14" s="36" customFormat="1" x14ac:dyDescent="0.25">
      <c r="A218" s="50" t="s">
        <v>150</v>
      </c>
      <c r="B218" s="144" t="str">
        <f>(IF(F156="Saleable area Loading :","We have considered Saleable area of Flats as per our Calculation.","We considered Saleable area of Flat as per Builder area Sheet."))</f>
        <v>We have considered Saleable area of Flats as per our Calculation.</v>
      </c>
      <c r="C218" s="145"/>
      <c r="D218" s="145"/>
      <c r="E218" s="145"/>
      <c r="F218" s="145"/>
      <c r="G218" s="145"/>
      <c r="H218" s="146"/>
    </row>
    <row r="219" spans="1:14" s="36" customFormat="1" x14ac:dyDescent="0.25">
      <c r="A219" s="50" t="s">
        <v>150</v>
      </c>
      <c r="B219" s="144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9" s="145"/>
      <c r="D219" s="145"/>
      <c r="E219" s="145"/>
      <c r="F219" s="145"/>
      <c r="G219" s="145"/>
      <c r="H219" s="146"/>
    </row>
    <row r="220" spans="1:14" s="36" customFormat="1" x14ac:dyDescent="0.25">
      <c r="A220" s="50" t="s">
        <v>150</v>
      </c>
      <c r="B220" s="144" t="s">
        <v>120</v>
      </c>
      <c r="C220" s="145"/>
      <c r="D220" s="145"/>
      <c r="E220" s="145"/>
      <c r="F220" s="145"/>
      <c r="G220" s="145"/>
      <c r="H220" s="146"/>
    </row>
    <row r="221" spans="1:14" s="36" customFormat="1" x14ac:dyDescent="0.25">
      <c r="A221" s="50" t="s">
        <v>150</v>
      </c>
      <c r="B221" s="144" t="s">
        <v>198</v>
      </c>
      <c r="C221" s="145"/>
      <c r="D221" s="145"/>
      <c r="E221" s="145"/>
      <c r="F221" s="145"/>
      <c r="G221" s="145"/>
      <c r="H221" s="146"/>
    </row>
    <row r="222" spans="1:14" s="36" customFormat="1" x14ac:dyDescent="0.25">
      <c r="A222" s="50" t="s">
        <v>150</v>
      </c>
      <c r="B222" s="144" t="s">
        <v>149</v>
      </c>
      <c r="C222" s="145"/>
      <c r="D222" s="145"/>
      <c r="E222" s="145"/>
      <c r="F222" s="145"/>
      <c r="G222" s="145"/>
      <c r="H222" s="146"/>
    </row>
    <row r="223" spans="1:14" s="36" customFormat="1" x14ac:dyDescent="0.25">
      <c r="A223" s="50" t="s">
        <v>150</v>
      </c>
      <c r="B223" s="144" t="s">
        <v>121</v>
      </c>
      <c r="C223" s="145"/>
      <c r="D223" s="145"/>
      <c r="E223" s="145"/>
      <c r="F223" s="145"/>
      <c r="G223" s="145"/>
      <c r="H223" s="146"/>
    </row>
    <row r="224" spans="1:14" s="36" customFormat="1" ht="34.5" customHeight="1" x14ac:dyDescent="0.25">
      <c r="A224" s="50" t="s">
        <v>150</v>
      </c>
      <c r="B224" s="144" t="s">
        <v>151</v>
      </c>
      <c r="C224" s="145"/>
      <c r="D224" s="145"/>
      <c r="E224" s="145"/>
      <c r="F224" s="145"/>
      <c r="G224" s="145"/>
      <c r="H224" s="146"/>
    </row>
    <row r="225" spans="1:8" s="36" customFormat="1" x14ac:dyDescent="0.25">
      <c r="A225" s="66" t="s">
        <v>150</v>
      </c>
      <c r="B225" s="141" t="s">
        <v>122</v>
      </c>
      <c r="C225" s="142"/>
      <c r="D225" s="142"/>
      <c r="E225" s="142"/>
      <c r="F225" s="142"/>
      <c r="G225" s="142"/>
      <c r="H225" s="143"/>
    </row>
    <row r="226" spans="1:8" s="36" customFormat="1" ht="30" hidden="1" customHeight="1" x14ac:dyDescent="0.25">
      <c r="A226" s="66" t="s">
        <v>150</v>
      </c>
      <c r="B226" s="141" t="s">
        <v>235</v>
      </c>
      <c r="C226" s="142"/>
      <c r="D226" s="142"/>
      <c r="E226" s="142"/>
      <c r="F226" s="142"/>
      <c r="G226" s="142"/>
      <c r="H226" s="143"/>
    </row>
    <row r="227" spans="1:8" s="36" customFormat="1" x14ac:dyDescent="0.25">
      <c r="A227" s="66" t="s">
        <v>150</v>
      </c>
      <c r="B227" s="141" t="s">
        <v>246</v>
      </c>
      <c r="C227" s="142"/>
      <c r="D227" s="142"/>
      <c r="E227" s="142"/>
      <c r="F227" s="142"/>
      <c r="G227" s="142"/>
      <c r="H227" s="143"/>
    </row>
    <row r="228" spans="1:8" s="36" customFormat="1" x14ac:dyDescent="0.25">
      <c r="A228" s="69" t="s">
        <v>150</v>
      </c>
      <c r="B228" s="141" t="s">
        <v>236</v>
      </c>
      <c r="C228" s="142"/>
      <c r="D228" s="142"/>
      <c r="E228" s="142"/>
      <c r="F228" s="142"/>
      <c r="G228" s="142"/>
      <c r="H228" s="143"/>
    </row>
    <row r="229" spans="1:8" s="36" customFormat="1" x14ac:dyDescent="0.25">
      <c r="A229" s="50" t="s">
        <v>150</v>
      </c>
      <c r="B229" s="141" t="s">
        <v>245</v>
      </c>
      <c r="C229" s="142"/>
      <c r="D229" s="142"/>
      <c r="E229" s="142"/>
      <c r="F229" s="142"/>
      <c r="G229" s="142"/>
      <c r="H229" s="143"/>
    </row>
    <row r="230" spans="1:8" s="36" customFormat="1" hidden="1" x14ac:dyDescent="0.25">
      <c r="A230" s="50" t="s">
        <v>150</v>
      </c>
      <c r="B230" s="144" t="s">
        <v>221</v>
      </c>
      <c r="C230" s="145"/>
      <c r="D230" s="145"/>
      <c r="E230" s="145"/>
      <c r="F230" s="145"/>
      <c r="G230" s="145"/>
      <c r="H230" s="146"/>
    </row>
    <row r="231" spans="1:8" x14ac:dyDescent="0.25">
      <c r="A231" s="106" t="s">
        <v>57</v>
      </c>
      <c r="B231" s="106"/>
      <c r="C231" s="106"/>
      <c r="D231" s="106"/>
      <c r="E231" s="106"/>
      <c r="F231" s="106"/>
      <c r="G231" s="106"/>
      <c r="H231" s="106"/>
    </row>
    <row r="232" spans="1:8" x14ac:dyDescent="0.25">
      <c r="A232" s="127" t="s">
        <v>58</v>
      </c>
      <c r="B232" s="127"/>
      <c r="C232" s="127"/>
      <c r="D232" s="127"/>
      <c r="E232" s="127"/>
      <c r="F232" s="127"/>
      <c r="G232" s="127"/>
      <c r="H232" s="127"/>
    </row>
    <row r="233" spans="1:8" ht="15.75" customHeight="1" x14ac:dyDescent="0.25">
      <c r="A233" s="128" t="s">
        <v>208</v>
      </c>
      <c r="B233" s="128"/>
      <c r="C233" s="128"/>
      <c r="D233" s="128"/>
      <c r="E233" s="128"/>
      <c r="F233" s="128"/>
      <c r="G233" s="128"/>
      <c r="H233" s="128"/>
    </row>
    <row r="234" spans="1:8" x14ac:dyDescent="0.25">
      <c r="A234" s="127" t="s">
        <v>59</v>
      </c>
      <c r="B234" s="127"/>
      <c r="C234" s="127"/>
      <c r="D234" s="127"/>
      <c r="E234" s="127"/>
      <c r="F234" s="127"/>
      <c r="G234" s="127"/>
      <c r="H234" s="127"/>
    </row>
    <row r="235" spans="1:8" x14ac:dyDescent="0.25">
      <c r="A235" s="127" t="s">
        <v>60</v>
      </c>
      <c r="B235" s="127"/>
      <c r="C235" s="127"/>
      <c r="D235" s="127"/>
      <c r="E235" s="127"/>
      <c r="F235" s="127"/>
      <c r="G235" s="127"/>
      <c r="H235" s="127"/>
    </row>
    <row r="236" spans="1:8" x14ac:dyDescent="0.25">
      <c r="A236" s="127" t="s">
        <v>123</v>
      </c>
      <c r="B236" s="127"/>
      <c r="C236" s="127"/>
      <c r="D236" s="127"/>
      <c r="E236" s="127"/>
      <c r="F236" s="127"/>
      <c r="G236" s="127"/>
      <c r="H236" s="127"/>
    </row>
    <row r="237" spans="1:8" ht="35.25" customHeight="1" x14ac:dyDescent="0.25">
      <c r="A237" s="107" t="s">
        <v>124</v>
      </c>
      <c r="B237" s="107"/>
      <c r="C237" s="107"/>
      <c r="D237" s="107"/>
      <c r="E237" s="107"/>
      <c r="F237" s="107"/>
      <c r="G237" s="107"/>
      <c r="H237" s="107"/>
    </row>
    <row r="238" spans="1:8" x14ac:dyDescent="0.25">
      <c r="A238" s="159" t="s">
        <v>73</v>
      </c>
      <c r="B238" s="159"/>
      <c r="C238" s="159" t="s">
        <v>192</v>
      </c>
      <c r="D238" s="159"/>
      <c r="E238" s="159" t="s">
        <v>100</v>
      </c>
      <c r="F238" s="159"/>
      <c r="G238" s="159" t="s">
        <v>222</v>
      </c>
      <c r="H238" s="159"/>
    </row>
    <row r="239" spans="1:8" x14ac:dyDescent="0.25">
      <c r="A239" s="158" t="s">
        <v>75</v>
      </c>
      <c r="B239" s="158"/>
      <c r="C239" s="158"/>
      <c r="D239" s="158"/>
      <c r="E239" s="158"/>
      <c r="F239" s="158"/>
      <c r="G239" s="158"/>
      <c r="H239" s="158"/>
    </row>
    <row r="240" spans="1:8" x14ac:dyDescent="0.25">
      <c r="A240" s="158"/>
      <c r="B240" s="158"/>
      <c r="C240" s="158"/>
      <c r="D240" s="158"/>
      <c r="E240" s="158"/>
      <c r="F240" s="158"/>
      <c r="G240" s="158"/>
      <c r="H240" s="158"/>
    </row>
    <row r="241" spans="1:8" x14ac:dyDescent="0.25">
      <c r="A241" s="158"/>
      <c r="B241" s="158"/>
      <c r="C241" s="158"/>
      <c r="D241" s="158"/>
      <c r="E241" s="158"/>
      <c r="F241" s="158"/>
      <c r="G241" s="158"/>
      <c r="H241" s="158"/>
    </row>
    <row r="242" spans="1:8" x14ac:dyDescent="0.25">
      <c r="A242" s="158"/>
      <c r="B242" s="158"/>
      <c r="C242" s="158"/>
      <c r="D242" s="158"/>
      <c r="E242" s="158"/>
      <c r="F242" s="158"/>
      <c r="G242" s="158"/>
      <c r="H242" s="158"/>
    </row>
    <row r="243" spans="1:8" x14ac:dyDescent="0.25">
      <c r="A243" s="39" t="s">
        <v>61</v>
      </c>
      <c r="B243" s="40"/>
      <c r="C243" s="40"/>
      <c r="D243" s="39" t="str">
        <f>E8</f>
        <v>Mahalaxmi Nagar Building No.4</v>
      </c>
      <c r="F243" s="40"/>
      <c r="G243" s="40"/>
      <c r="H243" s="40"/>
    </row>
    <row r="244" spans="1:8" x14ac:dyDescent="0.25">
      <c r="A244" s="40"/>
      <c r="B244" s="40"/>
      <c r="C244" s="40"/>
      <c r="D244" s="40"/>
      <c r="E244" s="40"/>
      <c r="F244" s="40"/>
      <c r="G244" s="40"/>
      <c r="H244" s="40"/>
    </row>
    <row r="245" spans="1:8" x14ac:dyDescent="0.25">
      <c r="A245" s="40"/>
      <c r="B245" s="40"/>
      <c r="C245" s="40"/>
      <c r="D245" s="40"/>
      <c r="E245" s="40"/>
      <c r="F245" s="40"/>
      <c r="G245" s="40"/>
      <c r="H245" s="40"/>
    </row>
    <row r="246" spans="1:8" ht="15" customHeight="1" x14ac:dyDescent="0.25"/>
    <row r="287" spans="1:1" x14ac:dyDescent="0.25">
      <c r="A287" s="42" t="s">
        <v>237</v>
      </c>
    </row>
    <row r="326" spans="1:1" x14ac:dyDescent="0.25">
      <c r="A326" s="42" t="s">
        <v>62</v>
      </c>
    </row>
  </sheetData>
  <mergeCells count="442">
    <mergeCell ref="B228:H228"/>
    <mergeCell ref="C109:D109"/>
    <mergeCell ref="E109:F109"/>
    <mergeCell ref="G109:H109"/>
    <mergeCell ref="A108:A109"/>
    <mergeCell ref="B225:H225"/>
    <mergeCell ref="B226:H226"/>
    <mergeCell ref="B227:H227"/>
    <mergeCell ref="A210:B210"/>
    <mergeCell ref="G210:H215"/>
    <mergeCell ref="G196:H201"/>
    <mergeCell ref="A202:H202"/>
    <mergeCell ref="A203:B203"/>
    <mergeCell ref="G203:H208"/>
    <mergeCell ref="A208:B208"/>
    <mergeCell ref="A211:B211"/>
    <mergeCell ref="B224:H224"/>
    <mergeCell ref="B223:H223"/>
    <mergeCell ref="B219:H219"/>
    <mergeCell ref="B217:H217"/>
    <mergeCell ref="B218:H218"/>
    <mergeCell ref="B220:H220"/>
    <mergeCell ref="B221:H221"/>
    <mergeCell ref="L144:M144"/>
    <mergeCell ref="A145:B145"/>
    <mergeCell ref="L203:M203"/>
    <mergeCell ref="A204:B204"/>
    <mergeCell ref="L204:M204"/>
    <mergeCell ref="A205:B205"/>
    <mergeCell ref="L205:M205"/>
    <mergeCell ref="A206:B206"/>
    <mergeCell ref="L206:M206"/>
    <mergeCell ref="L195:M195"/>
    <mergeCell ref="A155:H155"/>
    <mergeCell ref="A156:A157"/>
    <mergeCell ref="A200:B200"/>
    <mergeCell ref="A197:B197"/>
    <mergeCell ref="A198:B198"/>
    <mergeCell ref="A199:B199"/>
    <mergeCell ref="G152:H154"/>
    <mergeCell ref="C156:C157"/>
    <mergeCell ref="A163:B163"/>
    <mergeCell ref="A164:B164"/>
    <mergeCell ref="A166:B166"/>
    <mergeCell ref="A162:B162"/>
    <mergeCell ref="I48:K48"/>
    <mergeCell ref="L48:M48"/>
    <mergeCell ref="I42:L42"/>
    <mergeCell ref="A46:B46"/>
    <mergeCell ref="C46:E46"/>
    <mergeCell ref="G46:H46"/>
    <mergeCell ref="I46:K46"/>
    <mergeCell ref="L46:M46"/>
    <mergeCell ref="A47:B47"/>
    <mergeCell ref="C47:E47"/>
    <mergeCell ref="G47:H47"/>
    <mergeCell ref="A45:B45"/>
    <mergeCell ref="C45:H45"/>
    <mergeCell ref="E43:H43"/>
    <mergeCell ref="L213:M213"/>
    <mergeCell ref="B222:H222"/>
    <mergeCell ref="G170:H177"/>
    <mergeCell ref="L211:M211"/>
    <mergeCell ref="A212:B212"/>
    <mergeCell ref="L212:M212"/>
    <mergeCell ref="L214:M214"/>
    <mergeCell ref="L208:M208"/>
    <mergeCell ref="C214:F214"/>
    <mergeCell ref="A207:B207"/>
    <mergeCell ref="L215:M215"/>
    <mergeCell ref="A172:B172"/>
    <mergeCell ref="A173:B173"/>
    <mergeCell ref="A190:B190"/>
    <mergeCell ref="A191:B191"/>
    <mergeCell ref="A192:B192"/>
    <mergeCell ref="G188:H193"/>
    <mergeCell ref="A185:B185"/>
    <mergeCell ref="A186:B186"/>
    <mergeCell ref="A183:B183"/>
    <mergeCell ref="A184:B184"/>
    <mergeCell ref="A98:E98"/>
    <mergeCell ref="A138:B138"/>
    <mergeCell ref="F98:H98"/>
    <mergeCell ref="C110:D110"/>
    <mergeCell ref="E110:F110"/>
    <mergeCell ref="A122:H122"/>
    <mergeCell ref="A123:H123"/>
    <mergeCell ref="A124:B124"/>
    <mergeCell ref="A117:H117"/>
    <mergeCell ref="A101:E101"/>
    <mergeCell ref="C107:D107"/>
    <mergeCell ref="E107:F107"/>
    <mergeCell ref="B119:B120"/>
    <mergeCell ref="A119:A120"/>
    <mergeCell ref="A129:B129"/>
    <mergeCell ref="A137:H137"/>
    <mergeCell ref="E119:E120"/>
    <mergeCell ref="A100:E100"/>
    <mergeCell ref="F101:H101"/>
    <mergeCell ref="A213:B213"/>
    <mergeCell ref="A102:E102"/>
    <mergeCell ref="G115:H115"/>
    <mergeCell ref="C108:D108"/>
    <mergeCell ref="A147:B147"/>
    <mergeCell ref="G161:H168"/>
    <mergeCell ref="A114:B114"/>
    <mergeCell ref="C114:D114"/>
    <mergeCell ref="E114:F114"/>
    <mergeCell ref="G114:H114"/>
    <mergeCell ref="C112:D112"/>
    <mergeCell ref="G112:H112"/>
    <mergeCell ref="A115:B115"/>
    <mergeCell ref="E115:F115"/>
    <mergeCell ref="C115:D115"/>
    <mergeCell ref="F100:H100"/>
    <mergeCell ref="G108:H108"/>
    <mergeCell ref="A110:B110"/>
    <mergeCell ref="D119:D120"/>
    <mergeCell ref="A82:B82"/>
    <mergeCell ref="C82:H82"/>
    <mergeCell ref="A83:B83"/>
    <mergeCell ref="E83:F83"/>
    <mergeCell ref="G83:H83"/>
    <mergeCell ref="F97:H97"/>
    <mergeCell ref="A97:E97"/>
    <mergeCell ref="A94:E94"/>
    <mergeCell ref="F94:H94"/>
    <mergeCell ref="G84:H93"/>
    <mergeCell ref="A85:B85"/>
    <mergeCell ref="A86:B86"/>
    <mergeCell ref="A87:B87"/>
    <mergeCell ref="F96:H96"/>
    <mergeCell ref="A96:E96"/>
    <mergeCell ref="A193:B193"/>
    <mergeCell ref="G110:H110"/>
    <mergeCell ref="A160:H160"/>
    <mergeCell ref="A161:B161"/>
    <mergeCell ref="A209:H209"/>
    <mergeCell ref="A148:B148"/>
    <mergeCell ref="L169:M169"/>
    <mergeCell ref="A170:B170"/>
    <mergeCell ref="A171:B171"/>
    <mergeCell ref="A153:B153"/>
    <mergeCell ref="L153:M153"/>
    <mergeCell ref="A150:B150"/>
    <mergeCell ref="A165:B165"/>
    <mergeCell ref="A151:H151"/>
    <mergeCell ref="A152:B152"/>
    <mergeCell ref="A169:H169"/>
    <mergeCell ref="A187:H187"/>
    <mergeCell ref="L129:M129"/>
    <mergeCell ref="L130:M130"/>
    <mergeCell ref="L131:M131"/>
    <mergeCell ref="L128:M128"/>
    <mergeCell ref="L124:M124"/>
    <mergeCell ref="A139:B139"/>
    <mergeCell ref="A140:B140"/>
    <mergeCell ref="L125:M125"/>
    <mergeCell ref="L126:M126"/>
    <mergeCell ref="L210:M210"/>
    <mergeCell ref="L167:M167"/>
    <mergeCell ref="L168:M168"/>
    <mergeCell ref="L165:M165"/>
    <mergeCell ref="L161:M161"/>
    <mergeCell ref="L162:M162"/>
    <mergeCell ref="L163:M163"/>
    <mergeCell ref="L164:M164"/>
    <mergeCell ref="L166:M166"/>
    <mergeCell ref="L207:M207"/>
    <mergeCell ref="L127:M127"/>
    <mergeCell ref="L135:M135"/>
    <mergeCell ref="L132:M132"/>
    <mergeCell ref="L133:M133"/>
    <mergeCell ref="L134:M134"/>
    <mergeCell ref="L146:M146"/>
    <mergeCell ref="L145:M145"/>
    <mergeCell ref="L147:M147"/>
    <mergeCell ref="L148:M148"/>
    <mergeCell ref="L141:M141"/>
    <mergeCell ref="L140:M140"/>
    <mergeCell ref="L139:M139"/>
    <mergeCell ref="A59:C59"/>
    <mergeCell ref="A60:C60"/>
    <mergeCell ref="D59:H59"/>
    <mergeCell ref="D60:H60"/>
    <mergeCell ref="A77:B77"/>
    <mergeCell ref="C113:D113"/>
    <mergeCell ref="E113:F113"/>
    <mergeCell ref="G113:H113"/>
    <mergeCell ref="A95:E95"/>
    <mergeCell ref="A84:B84"/>
    <mergeCell ref="E84:F93"/>
    <mergeCell ref="A91:B91"/>
    <mergeCell ref="A92:B92"/>
    <mergeCell ref="A93:B93"/>
    <mergeCell ref="E70:F79"/>
    <mergeCell ref="G70:H79"/>
    <mergeCell ref="A78:B78"/>
    <mergeCell ref="A79:B79"/>
    <mergeCell ref="A76:B76"/>
    <mergeCell ref="A106:B106"/>
    <mergeCell ref="C106:D106"/>
    <mergeCell ref="F102:H102"/>
    <mergeCell ref="G106:H106"/>
    <mergeCell ref="E108:F108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40:D40"/>
    <mergeCell ref="E40:H40"/>
    <mergeCell ref="E41:H41"/>
    <mergeCell ref="E42:H4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1:D41"/>
    <mergeCell ref="A42:D42"/>
    <mergeCell ref="A43:D43"/>
    <mergeCell ref="A44:H44"/>
    <mergeCell ref="D56:H56"/>
    <mergeCell ref="A56:C56"/>
    <mergeCell ref="G49:H49"/>
    <mergeCell ref="A50:B51"/>
    <mergeCell ref="G48:H48"/>
    <mergeCell ref="G50:H50"/>
    <mergeCell ref="D54:H54"/>
    <mergeCell ref="C50:E50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239:H242"/>
    <mergeCell ref="A238:B238"/>
    <mergeCell ref="E238:F238"/>
    <mergeCell ref="C238:D238"/>
    <mergeCell ref="G238:H238"/>
    <mergeCell ref="A105:H105"/>
    <mergeCell ref="A103:E103"/>
    <mergeCell ref="F103:H103"/>
    <mergeCell ref="A104:E104"/>
    <mergeCell ref="F104:H104"/>
    <mergeCell ref="A195:H195"/>
    <mergeCell ref="A113:B113"/>
    <mergeCell ref="A107:B107"/>
    <mergeCell ref="A234:H234"/>
    <mergeCell ref="A111:H111"/>
    <mergeCell ref="A237:H237"/>
    <mergeCell ref="A235:H235"/>
    <mergeCell ref="A216:H216"/>
    <mergeCell ref="C119:C120"/>
    <mergeCell ref="B156:B157"/>
    <mergeCell ref="A231:H231"/>
    <mergeCell ref="A232:H232"/>
    <mergeCell ref="E112:F112"/>
    <mergeCell ref="E106:F106"/>
    <mergeCell ref="G116:H116"/>
    <mergeCell ref="A132:B132"/>
    <mergeCell ref="A133:B133"/>
    <mergeCell ref="A134:B134"/>
    <mergeCell ref="A146:B146"/>
    <mergeCell ref="A136:H136"/>
    <mergeCell ref="A135:B135"/>
    <mergeCell ref="A142:B142"/>
    <mergeCell ref="G138:H150"/>
    <mergeCell ref="A143:B143"/>
    <mergeCell ref="A144:B144"/>
    <mergeCell ref="A141:B141"/>
    <mergeCell ref="A236:H236"/>
    <mergeCell ref="A233:H233"/>
    <mergeCell ref="A196:B196"/>
    <mergeCell ref="A112:B112"/>
    <mergeCell ref="D156:D157"/>
    <mergeCell ref="E156:E157"/>
    <mergeCell ref="G156:H157"/>
    <mergeCell ref="A88:B88"/>
    <mergeCell ref="A89:B89"/>
    <mergeCell ref="A90:B90"/>
    <mergeCell ref="F95:H95"/>
    <mergeCell ref="G107:H107"/>
    <mergeCell ref="A214:B214"/>
    <mergeCell ref="A215:B215"/>
    <mergeCell ref="A201:B201"/>
    <mergeCell ref="B229:H229"/>
    <mergeCell ref="B230:H230"/>
    <mergeCell ref="A194:H194"/>
    <mergeCell ref="A158:H158"/>
    <mergeCell ref="A159:H159"/>
    <mergeCell ref="A130:B130"/>
    <mergeCell ref="A131:B131"/>
    <mergeCell ref="A128:B128"/>
    <mergeCell ref="G124:H135"/>
    <mergeCell ref="A189:B189"/>
    <mergeCell ref="A178:H178"/>
    <mergeCell ref="L178:M178"/>
    <mergeCell ref="A179:B179"/>
    <mergeCell ref="A180:B180"/>
    <mergeCell ref="A181:B181"/>
    <mergeCell ref="A182:B182"/>
    <mergeCell ref="G179:H186"/>
    <mergeCell ref="A174:B174"/>
    <mergeCell ref="A175:B175"/>
    <mergeCell ref="A176:B176"/>
    <mergeCell ref="A177:B177"/>
    <mergeCell ref="A68:B68"/>
    <mergeCell ref="A66:B66"/>
    <mergeCell ref="L138:M138"/>
    <mergeCell ref="L150:M150"/>
    <mergeCell ref="L142:M142"/>
    <mergeCell ref="L143:M143"/>
    <mergeCell ref="L149:M149"/>
    <mergeCell ref="L187:M187"/>
    <mergeCell ref="A188:B188"/>
    <mergeCell ref="L152:M152"/>
    <mergeCell ref="A154:B154"/>
    <mergeCell ref="L154:M154"/>
    <mergeCell ref="A167:B167"/>
    <mergeCell ref="A168:B168"/>
    <mergeCell ref="G119:H120"/>
    <mergeCell ref="A121:H121"/>
    <mergeCell ref="A118:H118"/>
    <mergeCell ref="A116:B116"/>
    <mergeCell ref="C116:D116"/>
    <mergeCell ref="A125:B125"/>
    <mergeCell ref="A126:B126"/>
    <mergeCell ref="A127:B127"/>
    <mergeCell ref="A149:B149"/>
    <mergeCell ref="E116:F116"/>
    <mergeCell ref="A99:E99"/>
    <mergeCell ref="F99:H99"/>
    <mergeCell ref="E39:H39"/>
    <mergeCell ref="A39:D39"/>
    <mergeCell ref="A80:B80"/>
    <mergeCell ref="C80:H80"/>
    <mergeCell ref="A75:B75"/>
    <mergeCell ref="A48:B48"/>
    <mergeCell ref="C48:E48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69:B69"/>
    <mergeCell ref="A72:B72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04" max="7" man="1"/>
    <brk id="242" max="16383" man="1"/>
    <brk id="286" max="16383" man="1"/>
    <brk id="32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E6" sqref="E6"/>
    </sheetView>
  </sheetViews>
  <sheetFormatPr defaultRowHeight="15" x14ac:dyDescent="0.25"/>
  <cols>
    <col min="1" max="1" width="11.42578125" customWidth="1"/>
  </cols>
  <sheetData>
    <row r="3" spans="1:6" x14ac:dyDescent="0.25">
      <c r="B3" s="225" t="s">
        <v>177</v>
      </c>
      <c r="C3" s="225"/>
      <c r="E3" s="225" t="s">
        <v>185</v>
      </c>
      <c r="F3" s="225"/>
    </row>
    <row r="4" spans="1:6" x14ac:dyDescent="0.25">
      <c r="B4" s="51" t="s">
        <v>180</v>
      </c>
      <c r="C4" s="51" t="s">
        <v>178</v>
      </c>
      <c r="E4" s="51" t="s">
        <v>180</v>
      </c>
      <c r="F4" s="51" t="s">
        <v>188</v>
      </c>
    </row>
    <row r="5" spans="1:6" x14ac:dyDescent="0.25">
      <c r="A5" t="s">
        <v>182</v>
      </c>
      <c r="B5" s="52">
        <f>(2.75*4.48+2.06*3.35+2.38*2.3+2.75*3.35+1.2*2+1.18*1.93+0.9*2.8)</f>
        <v>41.104900000000001</v>
      </c>
      <c r="C5" s="52">
        <f>(2.75*4.48+2.25*3.35+2.83*3.13+3.02*3.35+1.2*2.03+1.17*2.3)</f>
        <v>43.959400000000009</v>
      </c>
      <c r="E5" s="52">
        <f>(2.75*3+2.08*3.2+2.68*2.15+1.95*1.1+1.18*1.95)</f>
        <v>25.113999999999997</v>
      </c>
      <c r="F5">
        <f>(2.75*3+2.08*3.2+2.68*2.15+1.18*1.95+1.85*1.1)</f>
        <v>25.003999999999998</v>
      </c>
    </row>
    <row r="6" spans="1:6" x14ac:dyDescent="0.25">
      <c r="A6" t="s">
        <v>181</v>
      </c>
      <c r="B6" s="52">
        <f>B5+1*2.06</f>
        <v>43.164900000000003</v>
      </c>
      <c r="C6" s="52">
        <f>C5+1*2.83</f>
        <v>46.789400000000008</v>
      </c>
      <c r="E6" s="52">
        <f>E5+1.05*2.68+1*2.08+1.5*2.75</f>
        <v>34.132999999999996</v>
      </c>
      <c r="F6">
        <f>F5+(1.5*2.75+1.05*2.68+0.43)</f>
        <v>32.372999999999998</v>
      </c>
    </row>
    <row r="7" spans="1:6" x14ac:dyDescent="0.25">
      <c r="B7" s="52"/>
    </row>
  </sheetData>
  <mergeCells count="2">
    <mergeCell ref="B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6" t="s">
        <v>101</v>
      </c>
      <c r="C3" s="226"/>
      <c r="D3" s="226"/>
      <c r="E3" s="226"/>
      <c r="F3" s="226"/>
      <c r="G3" s="226"/>
      <c r="H3" s="226"/>
    </row>
    <row r="4" spans="1:9" x14ac:dyDescent="0.25">
      <c r="A4" s="2"/>
      <c r="B4" s="3" t="s">
        <v>102</v>
      </c>
      <c r="C4" s="3" t="s">
        <v>103</v>
      </c>
      <c r="D4" s="3" t="s">
        <v>64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2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2025-08-30T05:55:25Z</cp:lastPrinted>
  <dcterms:created xsi:type="dcterms:W3CDTF">2019-07-16T09:29:46Z</dcterms:created>
  <dcterms:modified xsi:type="dcterms:W3CDTF">2025-08-30T05:56:02Z</dcterms:modified>
</cp:coreProperties>
</file>