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Aug 25\AXIS\DUMP\"/>
    </mc:Choice>
  </mc:AlternateContent>
  <xr:revisionPtr revIDLastSave="0" documentId="13_ncr:1_{5B79E89F-E31A-45E4-BCBD-BE2CC8FA3647}" xr6:coauthVersionLast="36" xr6:coauthVersionMax="36" xr10:uidLastSave="{00000000-0000-0000-0000-000000000000}"/>
  <bookViews>
    <workbookView xWindow="0" yWindow="0" windowWidth="20490" windowHeight="6825"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C75" i="1"/>
  <c r="I162" i="1"/>
  <c r="J162" i="1" s="1"/>
  <c r="K162" i="1" s="1"/>
  <c r="L162" i="1" s="1"/>
  <c r="N148" i="1" l="1"/>
  <c r="K184" i="1"/>
  <c r="J184" i="1"/>
  <c r="J121" i="1"/>
  <c r="D157" i="1"/>
  <c r="E187" i="1"/>
  <c r="E186" i="1"/>
  <c r="E180" i="1"/>
  <c r="E179" i="1"/>
  <c r="E173" i="1"/>
  <c r="E172" i="1"/>
  <c r="E166" i="1"/>
  <c r="E165" i="1"/>
  <c r="E159" i="1"/>
  <c r="E158" i="1"/>
  <c r="E152" i="1"/>
  <c r="E151" i="1"/>
  <c r="E145" i="1"/>
  <c r="E144" i="1"/>
  <c r="E138" i="1"/>
  <c r="E137" i="1"/>
  <c r="O148" i="1" l="1"/>
  <c r="E184" i="1"/>
  <c r="E183" i="1"/>
  <c r="E177" i="1"/>
  <c r="E176" i="1"/>
  <c r="E170" i="1"/>
  <c r="E169" i="1"/>
  <c r="E163" i="1"/>
  <c r="E162" i="1"/>
  <c r="E156" i="1"/>
  <c r="E155" i="1"/>
  <c r="E149" i="1"/>
  <c r="E148" i="1"/>
  <c r="E142" i="1"/>
  <c r="E141" i="1"/>
  <c r="E135" i="1"/>
  <c r="E134" i="1"/>
  <c r="D187" i="1"/>
  <c r="F187" i="1" s="1"/>
  <c r="H187" i="1" s="1"/>
  <c r="D186" i="1"/>
  <c r="F186" i="1" s="1"/>
  <c r="H186" i="1" s="1"/>
  <c r="D184" i="1"/>
  <c r="F184" i="1" s="1"/>
  <c r="H184" i="1" s="1"/>
  <c r="D183" i="1"/>
  <c r="D177" i="1"/>
  <c r="D176" i="1"/>
  <c r="D180" i="1"/>
  <c r="F180" i="1" s="1"/>
  <c r="H180" i="1" s="1"/>
  <c r="D179" i="1"/>
  <c r="F179" i="1" s="1"/>
  <c r="H179" i="1" s="1"/>
  <c r="D173" i="1"/>
  <c r="F173" i="1" s="1"/>
  <c r="H173" i="1" s="1"/>
  <c r="D172" i="1"/>
  <c r="F172" i="1" s="1"/>
  <c r="H172" i="1" s="1"/>
  <c r="D166" i="1"/>
  <c r="F166" i="1" s="1"/>
  <c r="H166" i="1" s="1"/>
  <c r="D167" i="1"/>
  <c r="F167" i="1" s="1"/>
  <c r="H167" i="1" s="1"/>
  <c r="D170" i="1"/>
  <c r="D169" i="1"/>
  <c r="D160" i="1"/>
  <c r="F160" i="1" s="1"/>
  <c r="H160" i="1" s="1"/>
  <c r="J160" i="1" s="1"/>
  <c r="D159" i="1"/>
  <c r="F159" i="1" s="1"/>
  <c r="H159" i="1" s="1"/>
  <c r="J159" i="1" s="1"/>
  <c r="D158" i="1"/>
  <c r="F158" i="1" s="1"/>
  <c r="H158" i="1" s="1"/>
  <c r="J158" i="1" s="1"/>
  <c r="F157" i="1"/>
  <c r="H157" i="1" s="1"/>
  <c r="J157" i="1" s="1"/>
  <c r="D156" i="1"/>
  <c r="D155" i="1"/>
  <c r="D153" i="1"/>
  <c r="F153" i="1" s="1"/>
  <c r="H153" i="1" s="1"/>
  <c r="D152" i="1"/>
  <c r="F152" i="1" s="1"/>
  <c r="H152" i="1" s="1"/>
  <c r="D151" i="1"/>
  <c r="F151" i="1" s="1"/>
  <c r="H151" i="1" s="1"/>
  <c r="J151" i="1" s="1"/>
  <c r="D150" i="1"/>
  <c r="F150" i="1" s="1"/>
  <c r="H150" i="1" s="1"/>
  <c r="D149" i="1"/>
  <c r="D148" i="1"/>
  <c r="F148" i="1" s="1"/>
  <c r="H148" i="1" s="1"/>
  <c r="J148" i="1" s="1"/>
  <c r="I136" i="1"/>
  <c r="I134" i="1"/>
  <c r="A184" i="1"/>
  <c r="A185" i="1" s="1"/>
  <c r="A186" i="1" s="1"/>
  <c r="A187" i="1" s="1"/>
  <c r="A188" i="1" s="1"/>
  <c r="A177" i="1"/>
  <c r="A178" i="1" s="1"/>
  <c r="A179" i="1" s="1"/>
  <c r="A180" i="1" s="1"/>
  <c r="A181" i="1" s="1"/>
  <c r="A170" i="1"/>
  <c r="A171" i="1" s="1"/>
  <c r="A172" i="1" s="1"/>
  <c r="A173" i="1" s="1"/>
  <c r="A174" i="1" s="1"/>
  <c r="D164" i="1"/>
  <c r="F164" i="1" s="1"/>
  <c r="H164" i="1" s="1"/>
  <c r="D165" i="1"/>
  <c r="F165" i="1" s="1"/>
  <c r="H165" i="1" s="1"/>
  <c r="D163" i="1"/>
  <c r="A163" i="1"/>
  <c r="A164" i="1" s="1"/>
  <c r="A165" i="1" s="1"/>
  <c r="A166" i="1" s="1"/>
  <c r="A167" i="1" s="1"/>
  <c r="D162" i="1"/>
  <c r="A149" i="1"/>
  <c r="A150" i="1" s="1"/>
  <c r="A151" i="1" s="1"/>
  <c r="A152" i="1" s="1"/>
  <c r="A153" i="1" s="1"/>
  <c r="A156" i="1"/>
  <c r="A157" i="1" s="1"/>
  <c r="A158" i="1" s="1"/>
  <c r="A159" i="1" s="1"/>
  <c r="A160" i="1" s="1"/>
  <c r="D146" i="1"/>
  <c r="F146" i="1" s="1"/>
  <c r="D145" i="1"/>
  <c r="F145" i="1" s="1"/>
  <c r="D144" i="1"/>
  <c r="D143" i="1"/>
  <c r="F143" i="1" s="1"/>
  <c r="D142" i="1"/>
  <c r="A142" i="1"/>
  <c r="A143" i="1" s="1"/>
  <c r="A144" i="1" s="1"/>
  <c r="A145" i="1" s="1"/>
  <c r="A146" i="1" s="1"/>
  <c r="D141" i="1"/>
  <c r="D139" i="1"/>
  <c r="F139" i="1" s="1"/>
  <c r="D138" i="1"/>
  <c r="D137" i="1"/>
  <c r="D136" i="1"/>
  <c r="D135" i="1"/>
  <c r="D134" i="1"/>
  <c r="D126" i="1"/>
  <c r="D125" i="1"/>
  <c r="D124" i="1"/>
  <c r="D123" i="1"/>
  <c r="F123" i="1" s="1"/>
  <c r="D122" i="1"/>
  <c r="A123" i="1"/>
  <c r="A124" i="1" s="1"/>
  <c r="A125" i="1" s="1"/>
  <c r="A126" i="1" s="1"/>
  <c r="D120" i="1"/>
  <c r="D119" i="1"/>
  <c r="D118" i="1"/>
  <c r="D117" i="1"/>
  <c r="D116" i="1"/>
  <c r="I118" i="1"/>
  <c r="I116" i="1"/>
  <c r="E43" i="1"/>
  <c r="J150" i="1" l="1"/>
  <c r="I150" i="1"/>
  <c r="N150" i="1"/>
  <c r="K150" i="1"/>
  <c r="O150" i="1"/>
  <c r="F169" i="1"/>
  <c r="H169" i="1" s="1"/>
  <c r="N123" i="1"/>
  <c r="J123" i="1"/>
  <c r="F170" i="1"/>
  <c r="H170" i="1" s="1"/>
  <c r="H139" i="1"/>
  <c r="K139" i="1"/>
  <c r="F177" i="1"/>
  <c r="H177" i="1" s="1"/>
  <c r="F176" i="1"/>
  <c r="H176" i="1" s="1"/>
  <c r="H146" i="1"/>
  <c r="K146" i="1"/>
  <c r="H143" i="1"/>
  <c r="K143" i="1"/>
  <c r="H145" i="1"/>
  <c r="K145" i="1"/>
  <c r="F162" i="1"/>
  <c r="H162" i="1" s="1"/>
  <c r="F155" i="1"/>
  <c r="H155" i="1" s="1"/>
  <c r="J155" i="1" s="1"/>
  <c r="F163" i="1"/>
  <c r="H163" i="1" s="1"/>
  <c r="F142" i="1"/>
  <c r="F138" i="1"/>
  <c r="F183" i="1"/>
  <c r="H183" i="1" s="1"/>
  <c r="F149" i="1"/>
  <c r="H149" i="1" s="1"/>
  <c r="F141" i="1"/>
  <c r="F156" i="1"/>
  <c r="H156" i="1" s="1"/>
  <c r="J156" i="1" s="1"/>
  <c r="F144" i="1"/>
  <c r="F120" i="1"/>
  <c r="F126" i="1"/>
  <c r="G105" i="1"/>
  <c r="F122" i="1"/>
  <c r="F125" i="1"/>
  <c r="F124" i="1"/>
  <c r="B191" i="1"/>
  <c r="N122" i="1" l="1"/>
  <c r="J122" i="1"/>
  <c r="N126" i="1"/>
  <c r="J126" i="1"/>
  <c r="N120" i="1"/>
  <c r="J120" i="1"/>
  <c r="N124" i="1"/>
  <c r="J124" i="1"/>
  <c r="N125" i="1"/>
  <c r="J125" i="1"/>
  <c r="H138" i="1"/>
  <c r="K138" i="1"/>
  <c r="H142" i="1"/>
  <c r="K142" i="1"/>
  <c r="H144" i="1"/>
  <c r="K144" i="1"/>
  <c r="H141" i="1"/>
  <c r="K141" i="1"/>
  <c r="C105" i="1"/>
  <c r="E105" i="1"/>
  <c r="G58" i="1"/>
  <c r="C58" i="1"/>
  <c r="G56" i="1"/>
  <c r="C56" i="1"/>
  <c r="C54" i="1"/>
  <c r="S33" i="1" l="1"/>
  <c r="F11" i="5" l="1"/>
  <c r="G11" i="5" s="1"/>
  <c r="F10" i="5"/>
  <c r="G10" i="5" s="1"/>
  <c r="F9" i="5"/>
  <c r="G9" i="5" s="1"/>
  <c r="F8" i="5"/>
  <c r="G8" i="5" s="1"/>
  <c r="F7" i="5"/>
  <c r="G7" i="5" s="1"/>
  <c r="F6" i="5"/>
  <c r="G6" i="5" s="1"/>
  <c r="F5" i="5"/>
  <c r="G5" i="5" s="1"/>
  <c r="G12" i="5" s="1"/>
  <c r="D213" i="1"/>
  <c r="B192" i="1"/>
  <c r="F137" i="1"/>
  <c r="F136" i="1"/>
  <c r="F135" i="1"/>
  <c r="A135" i="1"/>
  <c r="A136" i="1" s="1"/>
  <c r="A137" i="1" s="1"/>
  <c r="A138" i="1" s="1"/>
  <c r="A139" i="1" s="1"/>
  <c r="F134" i="1"/>
  <c r="F119" i="1"/>
  <c r="F118" i="1"/>
  <c r="F117" i="1"/>
  <c r="A117" i="1"/>
  <c r="A118" i="1" s="1"/>
  <c r="A119" i="1" s="1"/>
  <c r="A120" i="1" s="1"/>
  <c r="F116" i="1"/>
  <c r="F101" i="1"/>
  <c r="D69" i="1"/>
  <c r="D64" i="1"/>
  <c r="G51" i="1"/>
  <c r="G52" i="1" s="1"/>
  <c r="C51" i="1"/>
  <c r="C52" i="1" s="1"/>
  <c r="E44" i="1"/>
  <c r="E45" i="1" s="1"/>
  <c r="E31" i="1"/>
  <c r="E28" i="1"/>
  <c r="E26" i="1"/>
  <c r="C16" i="1"/>
  <c r="I15" i="1"/>
  <c r="Z13" i="1"/>
  <c r="E8" i="1"/>
  <c r="E3" i="1"/>
  <c r="H76" i="1"/>
  <c r="K134" i="1" l="1"/>
  <c r="E109" i="1"/>
  <c r="C109" i="1"/>
  <c r="N116" i="1"/>
  <c r="J116" i="1"/>
  <c r="N117" i="1"/>
  <c r="J117" i="1"/>
  <c r="N118" i="1"/>
  <c r="J118" i="1"/>
  <c r="N119" i="1"/>
  <c r="J119" i="1"/>
  <c r="H135" i="1"/>
  <c r="K135" i="1"/>
  <c r="H137" i="1"/>
  <c r="K137" i="1"/>
  <c r="H136" i="1"/>
  <c r="K136" i="1"/>
  <c r="C104" i="1"/>
  <c r="C106" i="1" s="1"/>
  <c r="E104" i="1"/>
  <c r="E106" i="1" s="1"/>
  <c r="G104" i="1"/>
  <c r="G106" i="1" s="1"/>
  <c r="H134" i="1"/>
  <c r="J75" i="1"/>
  <c r="J77" i="1" s="1"/>
  <c r="J78" i="1"/>
  <c r="J79" i="1"/>
  <c r="J80" i="1"/>
  <c r="C79" i="1" s="1"/>
  <c r="D83" i="1"/>
  <c r="D85" i="1"/>
  <c r="D84" i="1"/>
  <c r="D88" i="1"/>
  <c r="D82" i="1"/>
  <c r="D87" i="1"/>
  <c r="D81" i="1"/>
  <c r="D86" i="1"/>
  <c r="B76" i="1"/>
  <c r="J81" i="1" s="1"/>
  <c r="G109" i="1" l="1"/>
  <c r="G110" i="1" s="1"/>
  <c r="E110" i="1"/>
  <c r="C110" i="1"/>
  <c r="D79" i="1"/>
  <c r="J85" i="1"/>
  <c r="J83" i="1"/>
  <c r="J84" i="1"/>
  <c r="J82" i="1"/>
  <c r="J87" i="1" s="1"/>
  <c r="J86" i="1"/>
  <c r="J88" i="1" l="1"/>
  <c r="C80" i="1" s="1"/>
  <c r="E79" i="1" s="1"/>
  <c r="D80" i="1" l="1"/>
  <c r="I76" i="1" s="1"/>
  <c r="I77" i="1" s="1"/>
  <c r="G79" i="1"/>
  <c r="D73" i="1" s="1"/>
  <c r="F74" i="1" s="1"/>
  <c r="J76" i="1"/>
  <c r="I75" i="1" l="1"/>
  <c r="C77" i="1" s="1"/>
  <c r="D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4"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9"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<sst xmlns="http://schemas.openxmlformats.org/spreadsheetml/2006/main" count="597" uniqueCount="362">
  <si>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</si>
  <si>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</si>
  <si>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</si>
  <si>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</si>
  <si>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</si>
  <si>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</si>
  <si>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</si>
  <si>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</si>
  <si>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</si>
  <si>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</si>
  <si>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</si>
  <si>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</si>
  <si>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</si>
  <si>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</si>
  <si>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</si>
  <si>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</si>
  <si>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</si>
  <si>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</si>
  <si>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</si>
  <si>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</si>
  <si>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</si>
  <si>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</si>
  <si>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</si>
  <si>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</si>
  <si>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</si>
  <si>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</si>
  <si>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</si>
  <si>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</si>
  <si>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</si>
  <si>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</si>
  <si>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</si>
  <si>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</si>
  <si>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</si>
  <si>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</si>
  <si>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</si>
  <si>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</si>
  <si>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</si>
  <si>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</si>
  <si>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</si>
  <si>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</si>
  <si>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</si>
  <si>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</si>
  <si>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</si>
  <si>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</si>
  <si>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</si>
  <si>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</si>
  <si>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</si>
  <si>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</si>
  <si>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</si>
  <si>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</si>
  <si>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</si>
  <si>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</si>
  <si>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</si>
  <si>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</si>
  <si>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</si>
  <si>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</si>
  <si>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</si>
  <si>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</si>
  <si>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</si>
  <si>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</si>
  <si>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</si>
  <si>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</si>
  <si>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</si>
  <si>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</si>
  <si>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</si>
  <si>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</si>
  <si>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</si>
  <si>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</si>
  <si>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</si>
  <si>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</si>
  <si>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</si>
  <si>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</si>
  <si>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</si>
  <si>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</si>
  <si>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</si>
  <si>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</si>
  <si>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</si>
  <si>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</si>
  <si>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</si>
  <si>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</si>
  <si>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</si>
  <si>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</si>
  <si>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</si>
  <si>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</si>
  <si>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</si>
  <si>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</si>
  <si>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</si>
  <si>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</si>
  <si>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</si>
  <si>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</si>
  <si>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</si>
  <si>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</si>
  <si>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</si>
  <si>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</si>
  <si>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</si>
  <si>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</si>
  <si>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</si>
  <si>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</si>
  <si>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</si>
  <si>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</si>
  <si>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</si>
  <si>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</si>
  <si>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</si>
  <si>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</si>
  <si>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</si>
  <si>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</si>
  <si>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</si>
  <si>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</si>
  <si>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</si>
  <si>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</si>
  <si>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</si>
  <si>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</si>
  <si>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</si>
  <si>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</si>
  <si>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</si>
  <si>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</si>
  <si>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</si>
  <si>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</si>
  <si>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</si>
  <si>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</si>
  <si>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</si>
  <si>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</si>
  <si>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</si>
  <si>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</si>
  <si>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</si>
  <si>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</si>
  <si>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</si>
  <si>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</si>
  <si>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</si>
  <si>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</si>
  <si>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</si>
  <si>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</si>
  <si>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</si>
  <si>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</si>
  <si>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</si>
  <si>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</si>
  <si>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</si>
  <si>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</si>
  <si>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</si>
  <si>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</si>
  <si>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</si>
  <si>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</si>
  <si>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</si>
  <si>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</si>
  <si>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</si>
  <si>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</si>
  <si>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</si>
  <si>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</si>
  <si>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</si>
  <si>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</si>
  <si>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</si>
  <si>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</si>
  <si>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</si>
  <si>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</si>
  <si>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</si>
  <si>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</si>
  <si>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</si>
  <si>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</si>
  <si>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</si>
  <si>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</si>
  <si>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</si>
  <si>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</si>
  <si>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</si>
  <si>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</si>
  <si>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</si>
  <si>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</si>
  <si>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</si>
  <si>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</si>
  <si>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</si>
  <si>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</si>
  <si>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</si>
  <si>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</si>
  <si>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</si>
  <si>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</si>
  <si>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</si>
  <si>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</si>
  <si>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</si>
  <si>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</si>
  <si>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</si>
  <si>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</si>
  <si>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</si>
  <si>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</si>
  <si>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</si>
  <si>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</si>
  <si>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</si>
  <si>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</si>
  <si>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</si>
  <si>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</si>
  <si>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</si>
  <si>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</si>
  <si>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</si>
  <si>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</si>
  <si>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</si>
  <si>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</si>
  <si>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</si>
  <si>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</si>
  <si>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</si>
  <si>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</si>
  <si>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</si>
  <si>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</si>
  <si>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</si>
  <si>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</si>
  <si>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</si>
  <si>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</si>
  <si>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</si>
  <si>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</si>
  <si>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</si>
  <si>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</si>
  <si>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</si>
  <si>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</si>
  <si>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</si>
  <si>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</si>
  <si>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</si>
  <si>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</si>
  <si>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</si>
  <si>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</si>
  <si>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</si>
  <si>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</si>
  <si>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</si>
  <si>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</si>
  <si>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</si>
  <si>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</si>
  <si>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</si>
  <si>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</si>
  <si>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</si>
  <si>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</si>
  <si>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</si>
  <si>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</si>
  <si>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</si>
  <si>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</si>
  <si>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</si>
  <si>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</si>
  <si>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</si>
  <si>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</si>
  <si>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</si>
  <si>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</si>
  <si>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</si>
  <si>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</si>
  <si>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</si>
  <si>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</si>
  <si>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</si>
  <si>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</si>
  <si>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</si>
  <si>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</si>
  <si>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</si>
  <si>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</si>
  <si>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</si>
  <si>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</si>
  <si>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</si>
  <si>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</si>
  <si>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</si>
  <si>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</si>
  <si>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</si>
  <si>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</si>
  <si>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</si>
  <si>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</si>
  <si>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</si>
  <si>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</si>
  <si>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</si>
  <si>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</si>
  <si>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</si>
  <si>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</si>
  <si>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</si>
  <si>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</si>
  <si>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</si>
  <si>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</si>
  <si>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</si>
  <si>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</si>
  <si>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</si>
  <si>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</si>
  <si>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</si>
  <si>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</si>
  <si>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</si>
  <si>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</si>
  <si>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</si>
  <si>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</si>
  <si>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</si>
  <si>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</si>
  <si>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</si>
  <si>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</si>
  <si>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</si>
  <si>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</si>
  <si>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</si>
  <si>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</si>
  <si>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</si>
  <si>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</si>
  <si>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</si>
  <si>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</si>
  <si>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</si>
  <si>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</si>
  <si>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</si>
  <si>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</si>
  <si>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</si>
  <si>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</si>
  <si>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</si>
  <si>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</si>
  <si>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</si>
  <si>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Mass Realty</t>
  </si>
  <si>
    <t>Mass Insignia</t>
  </si>
  <si>
    <t>Mr. Amit Singh 8850981857</t>
  </si>
  <si>
    <t>P52000053186</t>
  </si>
  <si>
    <t>Plot No</t>
  </si>
  <si>
    <t>59, Sector 34A</t>
  </si>
  <si>
    <t>19.069588,73.083604</t>
  </si>
  <si>
    <t>https://maps.app.goo.gl/fU9wTQZx7PbNQDr17</t>
  </si>
  <si>
    <t>Pushp Pinnacle</t>
  </si>
  <si>
    <t>Sai Mannat Road</t>
  </si>
  <si>
    <t>1.70KM from Taloja Panchnand Metro Station</t>
  </si>
  <si>
    <t>Kharghar</t>
  </si>
  <si>
    <t>Navi Mumbai</t>
  </si>
  <si>
    <t>Taloja</t>
  </si>
  <si>
    <t>Plot No. 60</t>
  </si>
  <si>
    <t>Plot No. 55, 56</t>
  </si>
  <si>
    <t>15.00 M. Wide Road</t>
  </si>
  <si>
    <t>Plot No. 58</t>
  </si>
  <si>
    <t>Open Plot</t>
  </si>
  <si>
    <t>CIDCO/BP-18496/TPO(NM &amp; K)/
2023/11057</t>
  </si>
  <si>
    <t>Ground Floor + 4 Parking + 16 Floor</t>
  </si>
  <si>
    <t>Gr + 1st to 4th Podium + 5th to 19th Floor</t>
  </si>
  <si>
    <r>
      <t xml:space="preserve">Proposed Amenities :                                                                                                                                                                                                                         </t>
    </r>
    <r>
      <rPr>
        <b/>
        <sz val="12"/>
        <rFont val="Times New Roman"/>
        <family val="1"/>
      </rPr>
      <t xml:space="preserve">                                               </t>
    </r>
  </si>
  <si>
    <t>As per RERA - 31/12/2027</t>
  </si>
  <si>
    <t>Ground Floor For Commercial, Meter Room, Entrance lobby &amp; Parking</t>
  </si>
  <si>
    <t>Shop</t>
  </si>
  <si>
    <t>Office</t>
  </si>
  <si>
    <t>1st Floor For Commercial &amp; Parking</t>
  </si>
  <si>
    <t>2nd &amp; 3rd Podium Floor For Parking</t>
  </si>
  <si>
    <t>4th Podium Floor For Garden, Society office, Drivers Room &amp; Void</t>
  </si>
  <si>
    <t>5th Floor For Residential Area</t>
  </si>
  <si>
    <t>3BHK</t>
  </si>
  <si>
    <t>2BHK</t>
  </si>
  <si>
    <t>Balcony Area</t>
  </si>
  <si>
    <t>13th Floor (Refuge Balcony At Staircase Midlanding)</t>
  </si>
  <si>
    <t>7th, 10th Floor (Refuge Balcony At Staircase Midlanding)</t>
  </si>
  <si>
    <t>6th, 8th, 9th, 11th &amp; 12th Floor</t>
  </si>
  <si>
    <t>14th Floor</t>
  </si>
  <si>
    <t>Terrace Area</t>
  </si>
  <si>
    <t>15th Floor (Part Terrace Area)</t>
  </si>
  <si>
    <t>17th to 19th Floor</t>
  </si>
  <si>
    <t>Terrace Area @ 15th Floor</t>
  </si>
  <si>
    <t>Shops</t>
  </si>
  <si>
    <t>Offices</t>
  </si>
  <si>
    <t>Flats</t>
  </si>
  <si>
    <t>We considered Gross carpet area = Net carpet + Balcony.</t>
  </si>
  <si>
    <t>Sunil Peravi</t>
  </si>
  <si>
    <t>ONLINE Reference 2 BHK 575 Sqft, 3 BHK 808.50 Sqft</t>
  </si>
  <si>
    <t>Attached Loft area</t>
  </si>
  <si>
    <t>Approved Plans, CC, Builder Saleable Area &amp; Cost Sheet.</t>
  </si>
  <si>
    <t>Vitrified tiles flooring, Granite Kitchen Platform, Decorative Entrance, etc.</t>
  </si>
  <si>
    <t>Mezzanine/Podium Floor For Parking</t>
  </si>
  <si>
    <t>16th Floor (Refuge Balcony At Staircase Midlanding)</t>
  </si>
  <si>
    <t xml:space="preserve">Builder Saleable area </t>
  </si>
  <si>
    <t>Flats - 80, Shops - 05, Offices - 05</t>
  </si>
  <si>
    <t>Other  Charges</t>
  </si>
  <si>
    <t>Gr + 1st to 4th Podium + 5th to 22nd Floor</t>
  </si>
  <si>
    <t>Recommended Rates/Other Charges of the Property have been revised on 04/01/2025.</t>
  </si>
  <si>
    <t>100000 to 10600 by bhargav on 04/01/2025.</t>
  </si>
  <si>
    <t>Mr. Aniket Singh 9820281575</t>
  </si>
  <si>
    <t>CIDCO/BP-18496/TPO(NM &amp; K)/2023/13036</t>
  </si>
  <si>
    <t>Ground Floor + 4 Parking + 19 Floor</t>
  </si>
  <si>
    <t>We have updated revised approved CC from CIDCO site on 12/05/2025. Please provide revised approved plans.</t>
  </si>
  <si>
    <t>Construction work is in process at the time of Visit (Internal visit not allowed).</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</si>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</sst>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2" fillId="0" borderId="1" xfId="1" applyFont="1" applyBorder="1" applyAlignment="1" applyProtection="1">
      <alignment vertical="top" wrapText="1"/>
      <protection locked="0"/>
    </xf>
    <xf numFmtId="1" fontId="12" fillId="0" borderId="1" xfId="1" applyNumberFormat="1" applyFont="1" applyBorder="1" applyAlignment="1" applyProtection="1">
      <alignment horizontal="center" vertical="center" wrapText="1"/>
      <protection locked="0"/>
    </xf>
    <xf numFmtId="168" fontId="7" fillId="0" borderId="0" xfId="1" applyNumberFormat="1" applyFont="1" applyAlignment="1">
      <alignment horizontal="center" vertical="center"/>
    </xf>
    <xf numFmtId="9" fontId="13" fillId="0" borderId="15" xfId="8" applyFont="1" applyFill="1" applyBorder="1" applyAlignment="1" applyProtection="1">
      <alignment horizontal="center" vertical="top" wrapText="1"/>
      <protection locked="0"/>
    </xf>
    <xf numFmtId="0" fontId="17" fillId="0" borderId="0" xfId="1" applyFont="1" applyAlignment="1">
      <alignment horizontal="center" vertical="center"/>
    </xf>
    <xf numFmtId="0" fontId="10" fillId="2" borderId="0" xfId="1" applyFont="1" applyFill="1" applyProtection="1">
      <protection locked="0"/>
    </xf>
    <xf numFmtId="164" fontId="7" fillId="0" borderId="0" xfId="1" applyNumberFormat="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10" fillId="0" borderId="2" xfId="1" applyNumberFormat="1" applyFont="1" applyBorder="1" applyAlignment="1" applyProtection="1">
      <alignment horizontal="center" vertical="top" wrapText="1"/>
      <protection locked="0"/>
    </xf>
    <xf numFmtId="9" fontId="10" fillId="0" borderId="15" xfId="8" applyFont="1" applyFill="1" applyBorder="1" applyAlignment="1" applyProtection="1">
      <alignment horizontal="center" vertical="top" wrapText="1"/>
      <protection locked="0"/>
    </xf>
    <xf numFmtId="0" fontId="7" fillId="0" borderId="1" xfId="1" applyFont="1"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1" fontId="10" fillId="0" borderId="1" xfId="0" applyNumberFormat="1" applyFont="1" applyBorder="1" applyAlignment="1" applyProtection="1">
      <alignment horizontal="center" vertical="center"/>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10" fillId="0" borderId="32" xfId="0" applyNumberFormat="1" applyFont="1" applyBorder="1" applyAlignment="1" applyProtection="1">
      <alignment horizontal="center" vertical="center"/>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8" fillId="0" borderId="15" xfId="1" applyFont="1" applyBorder="1" applyAlignment="1" applyProtection="1">
      <alignment horizontal="center"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20"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14" fontId="12" fillId="0" borderId="7"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7" fillId="0" borderId="0" xfId="1" applyFont="1" applyAlignment="1">
      <alignment horizontal="center" vertical="center"/>
    </xf>
    <xf numFmtId="1" fontId="6" fillId="0" borderId="20"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7" fillId="0" borderId="0" xfId="1" applyNumberFormat="1" applyFont="1" applyAlignment="1">
      <alignment horizontal="center" vertical="center"/>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2</xdr:col>
      <xdr:colOff>191641</xdr:colOff>
      <xdr:row>280</xdr:row>
      <xdr:rowOff>65963</xdr:rowOff>
    </xdr:from>
    <xdr:to>
      <xdr:col>5</xdr:col>
      <xdr:colOff>459204</xdr:colOff>
      <xdr:row>298</xdr:row>
      <xdr:rowOff>65513</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1753741" y="57796988"/>
          <a:ext cx="2810738" cy="3600000"/>
        </a:xfrm>
        <a:prstGeom prst="rect">
          <a:avLst/>
        </a:prstGeom>
        <a:ln>
          <a:solidFill>
            <a:schemeClr val="tx1"/>
          </a:solidFill>
        </a:ln>
      </xdr:spPr>
    </xdr:pic>
    <xdr:clientData/>
  </xdr:twoCellAnchor>
  <xdr:twoCellAnchor editAs="oneCell">
    <xdr:from>
      <xdr:col>1</xdr:col>
      <xdr:colOff>400050</xdr:colOff>
      <xdr:row>258</xdr:row>
      <xdr:rowOff>9525</xdr:rowOff>
    </xdr:from>
    <xdr:to>
      <xdr:col>6</xdr:col>
      <xdr:colOff>307945</xdr:colOff>
      <xdr:row>279</xdr:row>
      <xdr:rowOff>129000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stretch>
          <a:fillRect/>
        </a:stretch>
      </xdr:blipFill>
      <xdr:spPr>
        <a:xfrm>
          <a:off x="1162050" y="53340000"/>
          <a:ext cx="3994120" cy="4320000"/>
        </a:xfrm>
        <a:prstGeom prst="rect">
          <a:avLst/>
        </a:prstGeom>
        <a:ln>
          <a:solidFill>
            <a:schemeClr val="tx1"/>
          </a:solidFill>
        </a:ln>
      </xdr:spPr>
    </xdr:pic>
    <xdr:clientData/>
  </xdr:twoCellAnchor>
  <xdr:twoCellAnchor editAs="oneCell">
    <xdr:from>
      <xdr:col>0</xdr:col>
      <xdr:colOff>276225</xdr:colOff>
      <xdr:row>302</xdr:row>
      <xdr:rowOff>19050</xdr:rowOff>
    </xdr:from>
    <xdr:to>
      <xdr:col>7</xdr:col>
      <xdr:colOff>454575</xdr:colOff>
      <xdr:row>321</xdr:row>
      <xdr:rowOff>147999</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276225" y="62150625"/>
          <a:ext cx="5760000" cy="3929424"/>
        </a:xfrm>
        <a:prstGeom prst="rect">
          <a:avLst/>
        </a:prstGeom>
        <a:ln>
          <a:solidFill>
            <a:schemeClr val="tx1"/>
          </a:solidFill>
        </a:ln>
      </xdr:spPr>
    </xdr:pic>
    <xdr:clientData/>
  </xdr:twoCellAnchor>
  <xdr:twoCellAnchor>
    <xdr:from>
      <xdr:col>1</xdr:col>
      <xdr:colOff>234225</xdr:colOff>
      <xdr:row>322</xdr:row>
      <xdr:rowOff>116097</xdr:rowOff>
    </xdr:from>
    <xdr:to>
      <xdr:col>6</xdr:col>
      <xdr:colOff>468000</xdr:colOff>
      <xdr:row>340</xdr:row>
      <xdr:rowOff>89466</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996225" y="66229122"/>
          <a:ext cx="4320000" cy="3573819"/>
          <a:chOff x="1349727" y="4278702"/>
          <a:chExt cx="4320000" cy="3573819"/>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349727" y="4278702"/>
            <a:ext cx="4320000" cy="3573819"/>
          </a:xfrm>
          <a:prstGeom prst="rect">
            <a:avLst/>
          </a:prstGeom>
          <a:ln>
            <a:solidFill>
              <a:schemeClr val="tx1"/>
            </a:solidFill>
          </a:ln>
        </xdr:spPr>
      </xdr:pic>
      <xdr:sp macro="" textlink="">
        <xdr:nvSpPr>
          <xdr:cNvPr id="16" name="Rectangle 15">
            <a:extLst>
              <a:ext uri="{FF2B5EF4-FFF2-40B4-BE49-F238E27FC236}">
                <a16:creationId xmlns:a16="http://schemas.microsoft.com/office/drawing/2014/main" id="{00000000-0008-0000-0000-000010000000}"/>
              </a:ext>
            </a:extLst>
          </xdr:cNvPr>
          <xdr:cNvSpPr/>
        </xdr:nvSpPr>
        <xdr:spPr>
          <a:xfrm rot="18773158">
            <a:off x="3111720" y="5699648"/>
            <a:ext cx="796012" cy="845556"/>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11</xdr:col>
      <xdr:colOff>66675</xdr:colOff>
      <xdr:row>94</xdr:row>
      <xdr:rowOff>142875</xdr:rowOff>
    </xdr:from>
    <xdr:to>
      <xdr:col>14</xdr:col>
      <xdr:colOff>211163</xdr:colOff>
      <xdr:row>115</xdr:row>
      <xdr:rowOff>123375</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467850" y="20164425"/>
          <a:ext cx="2697188" cy="3600000"/>
        </a:xfrm>
        <a:prstGeom prst="rect">
          <a:avLst/>
        </a:prstGeom>
        <a:ln>
          <a:solidFill>
            <a:schemeClr val="tx1"/>
          </a:solidFill>
        </a:ln>
      </xdr:spPr>
    </xdr:pic>
    <xdr:clientData/>
  </xdr:twoCellAnchor>
  <xdr:twoCellAnchor>
    <xdr:from>
      <xdr:col>8</xdr:col>
      <xdr:colOff>19050</xdr:colOff>
      <xdr:row>213</xdr:row>
      <xdr:rowOff>142875</xdr:rowOff>
    </xdr:from>
    <xdr:to>
      <xdr:col>15</xdr:col>
      <xdr:colOff>146269</xdr:colOff>
      <xdr:row>256</xdr:row>
      <xdr:rowOff>20333</xdr:rowOff>
    </xdr:to>
    <xdr:grpSp>
      <xdr:nvGrpSpPr>
        <xdr:cNvPr id="33" name="Group 32">
          <a:extLst>
            <a:ext uri="{FF2B5EF4-FFF2-40B4-BE49-F238E27FC236}">
              <a16:creationId xmlns:a16="http://schemas.microsoft.com/office/drawing/2014/main" id="{00000000-0008-0000-0000-000021000000}"/>
            </a:ext>
          </a:extLst>
        </xdr:cNvPr>
        <xdr:cNvGrpSpPr/>
      </xdr:nvGrpSpPr>
      <xdr:grpSpPr>
        <a:xfrm>
          <a:off x="6581775" y="44462700"/>
          <a:ext cx="6327994" cy="8469008"/>
          <a:chOff x="123825" y="43100625"/>
          <a:chExt cx="6327994" cy="8469008"/>
        </a:xfrm>
      </xdr:grpSpPr>
      <xdr:pic>
        <xdr:nvPicPr>
          <xdr:cNvPr id="25" name="Pictur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4833319" y="49404235"/>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528249" y="43100625"/>
            <a:ext cx="2697500"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2339487" y="46792430"/>
            <a:ext cx="1888250"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3348377" y="43100625"/>
            <a:ext cx="2697500"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23825" y="49404235"/>
            <a:ext cx="287733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365003" y="46792430"/>
            <a:ext cx="1888250"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4307122" y="46792430"/>
            <a:ext cx="1888250"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3104001" y="49409633"/>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523875</xdr:colOff>
      <xdr:row>214</xdr:row>
      <xdr:rowOff>133350</xdr:rowOff>
    </xdr:from>
    <xdr:to>
      <xdr:col>15</xdr:col>
      <xdr:colOff>179881</xdr:colOff>
      <xdr:row>256</xdr:row>
      <xdr:rowOff>182425</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7086600" y="44653200"/>
          <a:ext cx="5856781" cy="8440600"/>
          <a:chOff x="323850" y="43348275"/>
          <a:chExt cx="5856781" cy="8440600"/>
        </a:xfrm>
      </xdr:grpSpPr>
      <xdr:pic>
        <xdr:nvPicPr>
          <xdr:cNvPr id="34" name="Picture 33" descr="insp-233822-1525.jpg (959×1280)">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328441" y="49628875"/>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insp-233822-843.jpg (959×1280)">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529392" y="4334827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insp-233822-845.jpg (959×1280)">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323850" y="4702857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insp-233822-844.jpg (959×1280)">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4292600" y="4702857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insp-233822-847.jpg (959×1280)">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3328441" y="4334827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insp-233822-851.jpg (959×1280)">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2308225" y="4702857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insp-233822-931.jpg (959×1280)">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608267" y="49628875"/>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219075</xdr:colOff>
      <xdr:row>213</xdr:row>
      <xdr:rowOff>95250</xdr:rowOff>
    </xdr:from>
    <xdr:to>
      <xdr:col>7</xdr:col>
      <xdr:colOff>610810</xdr:colOff>
      <xdr:row>250</xdr:row>
      <xdr:rowOff>25650</xdr:rowOff>
    </xdr:to>
    <xdr:grpSp>
      <xdr:nvGrpSpPr>
        <xdr:cNvPr id="41" name="Group 40">
          <a:extLst>
            <a:ext uri="{FF2B5EF4-FFF2-40B4-BE49-F238E27FC236}">
              <a16:creationId xmlns:a16="http://schemas.microsoft.com/office/drawing/2014/main" id="{7E42BD19-6007-464A-A8C4-0DC159C128A3}"/>
            </a:ext>
          </a:extLst>
        </xdr:cNvPr>
        <xdr:cNvGrpSpPr/>
      </xdr:nvGrpSpPr>
      <xdr:grpSpPr>
        <a:xfrm>
          <a:off x="219075" y="44415075"/>
          <a:ext cx="5973385" cy="7321800"/>
          <a:chOff x="441326" y="342900"/>
          <a:chExt cx="5973385" cy="7321800"/>
        </a:xfrm>
      </xdr:grpSpPr>
      <xdr:pic>
        <xdr:nvPicPr>
          <xdr:cNvPr id="42" name="Picture 41">
            <a:extLst>
              <a:ext uri="{FF2B5EF4-FFF2-40B4-BE49-F238E27FC236}">
                <a16:creationId xmlns:a16="http://schemas.microsoft.com/office/drawing/2014/main" id="{C194004E-EE10-45D7-9C79-168A7DD2FC16}"/>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898923" y="342900"/>
            <a:ext cx="2427469" cy="3240000"/>
          </a:xfrm>
          <a:prstGeom prst="rect">
            <a:avLst/>
          </a:prstGeom>
          <a:ln>
            <a:solidFill>
              <a:schemeClr val="tx1"/>
            </a:solidFill>
          </a:ln>
        </xdr:spPr>
      </xdr:pic>
      <xdr:pic>
        <xdr:nvPicPr>
          <xdr:cNvPr id="43" name="Picture 42">
            <a:extLst>
              <a:ext uri="{FF2B5EF4-FFF2-40B4-BE49-F238E27FC236}">
                <a16:creationId xmlns:a16="http://schemas.microsoft.com/office/drawing/2014/main" id="{F3D46420-BEEE-4CA3-BC0B-DC949D3FFA68}"/>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562350" y="342900"/>
            <a:ext cx="2427469" cy="3240000"/>
          </a:xfrm>
          <a:prstGeom prst="rect">
            <a:avLst/>
          </a:prstGeom>
          <a:ln>
            <a:solidFill>
              <a:schemeClr val="tx1"/>
            </a:solidFill>
          </a:ln>
        </xdr:spPr>
      </xdr:pic>
      <xdr:pic>
        <xdr:nvPicPr>
          <xdr:cNvPr id="44" name="Picture 43">
            <a:extLst>
              <a:ext uri="{FF2B5EF4-FFF2-40B4-BE49-F238E27FC236}">
                <a16:creationId xmlns:a16="http://schemas.microsoft.com/office/drawing/2014/main" id="{62F3CB54-5EEC-4CFC-9A93-9D91A345F58B}"/>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41326" y="3733800"/>
            <a:ext cx="1483453" cy="1980000"/>
          </a:xfrm>
          <a:prstGeom prst="rect">
            <a:avLst/>
          </a:prstGeom>
          <a:ln>
            <a:solidFill>
              <a:schemeClr val="tx1"/>
            </a:solidFill>
          </a:ln>
        </xdr:spPr>
      </xdr:pic>
      <xdr:pic>
        <xdr:nvPicPr>
          <xdr:cNvPr id="45" name="Picture 44">
            <a:extLst>
              <a:ext uri="{FF2B5EF4-FFF2-40B4-BE49-F238E27FC236}">
                <a16:creationId xmlns:a16="http://schemas.microsoft.com/office/drawing/2014/main" id="{A170013D-2073-4B24-AEA4-AC0CD41CC4D4}"/>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109241" y="3733800"/>
            <a:ext cx="1483453" cy="1980000"/>
          </a:xfrm>
          <a:prstGeom prst="rect">
            <a:avLst/>
          </a:prstGeom>
          <a:ln>
            <a:solidFill>
              <a:schemeClr val="tx1"/>
            </a:solidFill>
          </a:ln>
        </xdr:spPr>
      </xdr:pic>
      <xdr:pic>
        <xdr:nvPicPr>
          <xdr:cNvPr id="46" name="Picture 45">
            <a:extLst>
              <a:ext uri="{FF2B5EF4-FFF2-40B4-BE49-F238E27FC236}">
                <a16:creationId xmlns:a16="http://schemas.microsoft.com/office/drawing/2014/main" id="{C233C0FF-16D3-491E-B3F9-C073C6B8C23D}"/>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777156" y="3733800"/>
            <a:ext cx="2637555" cy="1980000"/>
          </a:xfrm>
          <a:prstGeom prst="rect">
            <a:avLst/>
          </a:prstGeom>
          <a:ln>
            <a:solidFill>
              <a:schemeClr val="tx1"/>
            </a:solidFill>
          </a:ln>
        </xdr:spPr>
      </xdr:pic>
      <xdr:pic>
        <xdr:nvPicPr>
          <xdr:cNvPr id="47" name="Picture 46">
            <a:extLst>
              <a:ext uri="{FF2B5EF4-FFF2-40B4-BE49-F238E27FC236}">
                <a16:creationId xmlns:a16="http://schemas.microsoft.com/office/drawing/2014/main" id="{A7CA4278-FAA8-4F88-96AD-825097898D93}"/>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975396" y="5864700"/>
            <a:ext cx="1348593" cy="1800000"/>
          </a:xfrm>
          <a:prstGeom prst="rect">
            <a:avLst/>
          </a:prstGeom>
          <a:ln>
            <a:solidFill>
              <a:schemeClr val="tx1"/>
            </a:solidFill>
          </a:ln>
        </xdr:spPr>
      </xdr:pic>
      <xdr:pic>
        <xdr:nvPicPr>
          <xdr:cNvPr id="48" name="Picture 47">
            <a:extLst>
              <a:ext uri="{FF2B5EF4-FFF2-40B4-BE49-F238E27FC236}">
                <a16:creationId xmlns:a16="http://schemas.microsoft.com/office/drawing/2014/main" id="{09911E48-E38B-4262-BC24-F3DD6E2AE133}"/>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562350" y="5864700"/>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fU9wTQZx7PbNQDr1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01"/>
  <sheetViews>
    <sheetView tabSelected="1" view="pageBreakPreview" topLeftCell="A89" zoomScaleNormal="100" zoomScaleSheetLayoutView="100" zoomScalePageLayoutView="85" workbookViewId="0">
      <selection activeCell="J13" sqref="J13"/>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7" width="11" style="39" customWidth="1"/>
    <col min="8" max="8" width="14.7109375" style="39" customWidth="1"/>
    <col min="9" max="9" width="17.42578125" style="20" customWidth="1"/>
    <col min="10" max="10" width="14.5703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41" t="s">
        <v>161</v>
      </c>
      <c r="B1" s="141"/>
      <c r="C1" s="141"/>
      <c r="D1" s="141"/>
      <c r="E1" s="141"/>
      <c r="F1" s="141"/>
      <c r="G1" s="141"/>
      <c r="H1" s="141"/>
    </row>
    <row r="2" spans="1:26" ht="16.5" customHeight="1" x14ac:dyDescent="0.25">
      <c r="A2" s="142" t="s">
        <v>0</v>
      </c>
      <c r="B2" s="142"/>
      <c r="C2" s="142"/>
      <c r="D2" s="142"/>
      <c r="E2" s="142"/>
      <c r="F2" s="142"/>
      <c r="G2" s="142"/>
      <c r="H2" s="142"/>
    </row>
    <row r="3" spans="1:26" x14ac:dyDescent="0.25">
      <c r="A3" s="129" t="s">
        <v>1</v>
      </c>
      <c r="B3" s="129"/>
      <c r="C3" s="129"/>
      <c r="D3" s="129"/>
      <c r="E3" s="129" t="str">
        <f ca="1">TEXT(TODAY(),"DD/MM/YYYY")</f>
        <v>11/08/2025</v>
      </c>
      <c r="F3" s="129"/>
      <c r="G3" s="129"/>
      <c r="H3" s="129"/>
      <c r="K3" s="55" t="s">
        <v>232</v>
      </c>
      <c r="L3" s="54" t="s">
        <v>230</v>
      </c>
      <c r="M3" s="54" t="s">
        <v>235</v>
      </c>
      <c r="N3" s="54" t="s">
        <v>233</v>
      </c>
      <c r="O3" s="54" t="s">
        <v>234</v>
      </c>
      <c r="P3" s="54" t="s">
        <v>236</v>
      </c>
    </row>
    <row r="4" spans="1:26" ht="15" customHeight="1" x14ac:dyDescent="0.25">
      <c r="A4" s="129" t="s">
        <v>229</v>
      </c>
      <c r="B4" s="129"/>
      <c r="C4" s="129"/>
      <c r="D4" s="129"/>
      <c r="E4" s="129" t="s">
        <v>230</v>
      </c>
      <c r="F4" s="129"/>
      <c r="G4" s="129"/>
      <c r="H4" s="129"/>
      <c r="K4" s="53" t="s">
        <v>231</v>
      </c>
      <c r="L4" s="54" t="s">
        <v>167</v>
      </c>
      <c r="M4" s="54" t="s">
        <v>240</v>
      </c>
      <c r="N4" s="54" t="s">
        <v>242</v>
      </c>
      <c r="O4" s="54" t="s">
        <v>244</v>
      </c>
      <c r="P4" s="54"/>
    </row>
    <row r="5" spans="1:26" ht="15" customHeight="1" x14ac:dyDescent="0.25">
      <c r="A5" s="129" t="s">
        <v>2</v>
      </c>
      <c r="B5" s="129"/>
      <c r="C5" s="129"/>
      <c r="D5" s="129"/>
      <c r="E5" s="129" t="s">
        <v>238</v>
      </c>
      <c r="F5" s="129"/>
      <c r="G5" s="129"/>
      <c r="H5" s="129"/>
      <c r="K5" s="53"/>
      <c r="L5" s="54" t="s">
        <v>237</v>
      </c>
      <c r="M5" s="54" t="s">
        <v>241</v>
      </c>
      <c r="N5" s="54" t="s">
        <v>243</v>
      </c>
      <c r="O5" s="54" t="s">
        <v>245</v>
      </c>
      <c r="P5" s="54"/>
    </row>
    <row r="6" spans="1:26" x14ac:dyDescent="0.25">
      <c r="A6" s="129" t="s">
        <v>3</v>
      </c>
      <c r="B6" s="129"/>
      <c r="C6" s="129"/>
      <c r="D6" s="129"/>
      <c r="E6" s="143">
        <v>45880</v>
      </c>
      <c r="F6" s="129"/>
      <c r="G6" s="129"/>
      <c r="H6" s="129"/>
      <c r="K6" s="53"/>
      <c r="L6" s="54" t="s">
        <v>238</v>
      </c>
      <c r="M6" s="54"/>
      <c r="N6" s="54"/>
      <c r="O6" s="54" t="s">
        <v>246</v>
      </c>
      <c r="P6" s="54"/>
    </row>
    <row r="7" spans="1:26" ht="16.5" customHeight="1" x14ac:dyDescent="0.25">
      <c r="A7" s="129" t="s">
        <v>4</v>
      </c>
      <c r="B7" s="129"/>
      <c r="C7" s="129"/>
      <c r="D7" s="129"/>
      <c r="E7" s="129" t="s">
        <v>297</v>
      </c>
      <c r="F7" s="129"/>
      <c r="G7" s="129"/>
      <c r="H7" s="129"/>
      <c r="K7" s="53"/>
      <c r="L7" s="54" t="s">
        <v>239</v>
      </c>
      <c r="M7" s="54"/>
      <c r="N7" s="54"/>
      <c r="O7" s="54" t="s">
        <v>246</v>
      </c>
      <c r="P7" s="54"/>
    </row>
    <row r="8" spans="1:26" ht="15" customHeight="1" x14ac:dyDescent="0.25">
      <c r="A8" s="129" t="s">
        <v>5</v>
      </c>
      <c r="B8" s="129"/>
      <c r="C8" s="129"/>
      <c r="D8" s="129"/>
      <c r="E8" s="129" t="str">
        <f>E7</f>
        <v>Mass Realty</v>
      </c>
      <c r="F8" s="129"/>
      <c r="G8" s="129"/>
      <c r="H8" s="129"/>
      <c r="K8" s="53"/>
      <c r="L8" s="54"/>
      <c r="M8" s="54"/>
      <c r="N8" s="54"/>
      <c r="O8" s="54" t="s">
        <v>247</v>
      </c>
      <c r="P8" s="54"/>
    </row>
    <row r="9" spans="1:26" x14ac:dyDescent="0.25">
      <c r="A9" s="129" t="s">
        <v>6</v>
      </c>
      <c r="B9" s="129"/>
      <c r="C9" s="129"/>
      <c r="D9" s="129"/>
      <c r="E9" s="102" t="s">
        <v>298</v>
      </c>
      <c r="F9" s="102"/>
      <c r="G9" s="102"/>
      <c r="H9" s="102"/>
      <c r="I9" s="20">
        <f>17*0.29</f>
        <v>4.93</v>
      </c>
      <c r="K9" s="53"/>
      <c r="L9" s="54"/>
      <c r="M9" s="54"/>
      <c r="N9" s="54"/>
      <c r="O9" s="54" t="s">
        <v>248</v>
      </c>
      <c r="P9" s="54"/>
    </row>
    <row r="10" spans="1:26" x14ac:dyDescent="0.25">
      <c r="A10" s="129" t="s">
        <v>164</v>
      </c>
      <c r="B10" s="129"/>
      <c r="C10" s="129"/>
      <c r="D10" s="129"/>
      <c r="E10" s="129" t="s">
        <v>299</v>
      </c>
      <c r="F10" s="129"/>
      <c r="G10" s="129"/>
      <c r="H10" s="129"/>
      <c r="K10" s="53"/>
      <c r="L10" s="54"/>
      <c r="M10" s="54"/>
      <c r="N10" s="54"/>
      <c r="O10" s="54"/>
      <c r="P10" s="54"/>
    </row>
    <row r="11" spans="1:26" x14ac:dyDescent="0.25">
      <c r="A11" s="129" t="s">
        <v>165</v>
      </c>
      <c r="B11" s="129"/>
      <c r="C11" s="129"/>
      <c r="D11" s="129"/>
      <c r="E11" s="129" t="s">
        <v>356</v>
      </c>
      <c r="F11" s="129"/>
      <c r="G11" s="129"/>
      <c r="H11" s="129"/>
    </row>
    <row r="12" spans="1:26" x14ac:dyDescent="0.25">
      <c r="A12" s="129" t="s">
        <v>7</v>
      </c>
      <c r="B12" s="129"/>
      <c r="C12" s="129"/>
      <c r="D12" s="129"/>
      <c r="E12" s="129" t="s">
        <v>118</v>
      </c>
      <c r="F12" s="129"/>
      <c r="G12" s="129"/>
      <c r="H12" s="129"/>
    </row>
    <row r="13" spans="1:26" x14ac:dyDescent="0.25">
      <c r="A13" s="129" t="s">
        <v>168</v>
      </c>
      <c r="B13" s="129"/>
      <c r="C13" s="129"/>
      <c r="D13" s="129"/>
      <c r="E13" s="129" t="s">
        <v>28</v>
      </c>
      <c r="F13" s="129"/>
      <c r="G13" s="129"/>
      <c r="H13" s="129"/>
      <c r="S13" s="54" t="s">
        <v>175</v>
      </c>
      <c r="T13" s="54" t="s">
        <v>185</v>
      </c>
      <c r="U13" s="54" t="s">
        <v>169</v>
      </c>
      <c r="V13" s="54" t="s">
        <v>190</v>
      </c>
      <c r="W13" s="54" t="s">
        <v>208</v>
      </c>
      <c r="X13"/>
      <c r="Y13" t="s">
        <v>190</v>
      </c>
      <c r="Z13" t="e">
        <f ca="1">OFFSET($S$13,1,MATCH($G20,$S$13:$W$13,0)-1,15,1)</f>
        <v>#VALUE!</v>
      </c>
    </row>
    <row r="14" spans="1:26" ht="32.25" customHeight="1" x14ac:dyDescent="0.25">
      <c r="A14" s="79" t="s">
        <v>275</v>
      </c>
      <c r="B14" s="79"/>
      <c r="C14" s="79"/>
      <c r="D14" s="79"/>
      <c r="E14" s="87" t="s">
        <v>346</v>
      </c>
      <c r="F14" s="87"/>
      <c r="G14" s="87"/>
      <c r="H14" s="87"/>
      <c r="S14" s="54" t="s">
        <v>176</v>
      </c>
      <c r="T14" s="54" t="s">
        <v>183</v>
      </c>
      <c r="U14" s="54" t="s">
        <v>205</v>
      </c>
      <c r="V14" s="54" t="s">
        <v>191</v>
      </c>
      <c r="W14" s="54" t="s">
        <v>209</v>
      </c>
      <c r="X14"/>
      <c r="Y14"/>
      <c r="Z14"/>
    </row>
    <row r="15" spans="1:26" x14ac:dyDescent="0.25">
      <c r="A15" s="79" t="s">
        <v>8</v>
      </c>
      <c r="B15" s="79"/>
      <c r="C15" s="79"/>
      <c r="D15" s="79"/>
      <c r="E15" s="87" t="s">
        <v>300</v>
      </c>
      <c r="F15" s="129"/>
      <c r="G15" s="129"/>
      <c r="H15" s="129"/>
      <c r="I15" s="188" t="e">
        <f ca="1">OFFSET($D$5,1,MATCH($J13,$D$5:$H$5,0)-1,15,1)</f>
        <v>#N/A</v>
      </c>
      <c r="J15" s="189"/>
      <c r="K15" s="189"/>
      <c r="L15" s="189"/>
      <c r="M15" s="189"/>
      <c r="N15" s="189"/>
      <c r="O15" s="189"/>
      <c r="P15" s="189"/>
      <c r="S15" s="54" t="s">
        <v>177</v>
      </c>
      <c r="T15" s="54" t="s">
        <v>184</v>
      </c>
      <c r="U15" s="54" t="s">
        <v>206</v>
      </c>
      <c r="V15" s="54" t="s">
        <v>192</v>
      </c>
      <c r="W15" s="54" t="s">
        <v>222</v>
      </c>
      <c r="X15"/>
      <c r="Y15"/>
      <c r="Z15"/>
    </row>
    <row r="16" spans="1:26" ht="33" customHeight="1" x14ac:dyDescent="0.25">
      <c r="A16" s="108" t="s">
        <v>9</v>
      </c>
      <c r="B16" s="108"/>
      <c r="C16" s="108" t="str">
        <f>CONCATENATE((IF(OR(E9="",E9="NA"),"",E9)),", ",(IF(OR(A17="",A17="NA"),"",A17)),".",(IF(OR(C17="",C17="NA"),"",C17)),", near ",(IF(OR(C22="",C22="NA"),"",C22)),", ",(IF(OR(C19="",C19="NA"),"",C19)),", ",(IF(OR(C18="",C18="NA"),"",C18)),", ",(IF(OR(G19="",G19="NA"),"",G19)),", ",(IF(OR(C20="",C20="NA"),"",C20)),", ",(IF(OR(C21="",C21="NA"),"",C21)),", ",(IF(OR(G20="",G20="NA"),"",G20))," - ",(IF(OR(G21="",G21="NA"),"",G21)),".")</f>
        <v>Mass Insignia, Plot No.59, Sector 34A, near Pushp Pinnacle, Sai Mannat Road, Navi Mumbai, Kharghar, Taloja, Panvel, Raigad - 410210.</v>
      </c>
      <c r="D16" s="108"/>
      <c r="E16" s="108"/>
      <c r="F16" s="108"/>
      <c r="G16" s="108"/>
      <c r="H16" s="108"/>
      <c r="S16" s="54" t="s">
        <v>178</v>
      </c>
      <c r="T16" s="54" t="s">
        <v>186</v>
      </c>
      <c r="U16" s="54" t="s">
        <v>207</v>
      </c>
      <c r="V16" s="54" t="s">
        <v>193</v>
      </c>
      <c r="W16" s="54" t="s">
        <v>210</v>
      </c>
      <c r="X16"/>
      <c r="Y16"/>
      <c r="Z16"/>
    </row>
    <row r="17" spans="1:26" x14ac:dyDescent="0.25">
      <c r="A17" s="87" t="s">
        <v>301</v>
      </c>
      <c r="B17" s="87"/>
      <c r="C17" s="87" t="s">
        <v>302</v>
      </c>
      <c r="D17" s="87"/>
      <c r="E17" s="87"/>
      <c r="F17" s="87"/>
      <c r="G17" s="87"/>
      <c r="H17" s="87"/>
      <c r="S17" s="54" t="s">
        <v>179</v>
      </c>
      <c r="T17" s="54" t="s">
        <v>187</v>
      </c>
      <c r="U17" s="54" t="s">
        <v>169</v>
      </c>
      <c r="V17" s="54" t="s">
        <v>194</v>
      </c>
      <c r="W17" s="54" t="s">
        <v>211</v>
      </c>
      <c r="X17"/>
      <c r="Y17"/>
      <c r="Z17"/>
    </row>
    <row r="18" spans="1:26" ht="15.75" customHeight="1" x14ac:dyDescent="0.25">
      <c r="A18" s="87" t="s">
        <v>159</v>
      </c>
      <c r="B18" s="87"/>
      <c r="C18" s="87" t="s">
        <v>309</v>
      </c>
      <c r="D18" s="87"/>
      <c r="E18" s="87"/>
      <c r="F18" s="87"/>
      <c r="G18" s="87"/>
      <c r="H18" s="87"/>
      <c r="S18" s="54" t="s">
        <v>180</v>
      </c>
      <c r="T18" s="54" t="s">
        <v>185</v>
      </c>
      <c r="U18" s="54"/>
      <c r="V18" s="54" t="s">
        <v>195</v>
      </c>
      <c r="W18" s="54" t="s">
        <v>212</v>
      </c>
      <c r="X18"/>
      <c r="Y18"/>
      <c r="Z18"/>
    </row>
    <row r="19" spans="1:26" ht="15.75" customHeight="1" x14ac:dyDescent="0.25">
      <c r="A19" s="108" t="s">
        <v>10</v>
      </c>
      <c r="B19" s="108"/>
      <c r="C19" s="129" t="s">
        <v>306</v>
      </c>
      <c r="D19" s="129"/>
      <c r="E19" s="87" t="s">
        <v>70</v>
      </c>
      <c r="F19" s="87"/>
      <c r="G19" s="87" t="s">
        <v>308</v>
      </c>
      <c r="H19" s="87"/>
      <c r="S19" s="54" t="s">
        <v>181</v>
      </c>
      <c r="T19" s="54" t="s">
        <v>188</v>
      </c>
      <c r="U19" s="54"/>
      <c r="V19" s="54" t="s">
        <v>196</v>
      </c>
      <c r="W19" s="54" t="s">
        <v>213</v>
      </c>
      <c r="X19"/>
      <c r="Y19"/>
      <c r="Z19"/>
    </row>
    <row r="20" spans="1:26" x14ac:dyDescent="0.25">
      <c r="A20" s="79" t="s">
        <v>12</v>
      </c>
      <c r="B20" s="79"/>
      <c r="C20" s="87" t="s">
        <v>310</v>
      </c>
      <c r="D20" s="87"/>
      <c r="E20" s="87" t="s">
        <v>11</v>
      </c>
      <c r="F20" s="87"/>
      <c r="G20" s="140" t="s">
        <v>190</v>
      </c>
      <c r="H20" s="140"/>
      <c r="S20" s="54" t="s">
        <v>182</v>
      </c>
      <c r="T20" s="54" t="s">
        <v>189</v>
      </c>
      <c r="U20" s="54"/>
      <c r="V20" s="54" t="s">
        <v>197</v>
      </c>
      <c r="W20" s="54" t="s">
        <v>214</v>
      </c>
      <c r="X20"/>
      <c r="Y20"/>
      <c r="Z20"/>
    </row>
    <row r="21" spans="1:26" x14ac:dyDescent="0.25">
      <c r="A21" s="79" t="s">
        <v>71</v>
      </c>
      <c r="B21" s="79"/>
      <c r="C21" s="87" t="s">
        <v>192</v>
      </c>
      <c r="D21" s="87"/>
      <c r="E21" s="87" t="s">
        <v>13</v>
      </c>
      <c r="F21" s="87"/>
      <c r="G21" s="87">
        <v>410210</v>
      </c>
      <c r="H21" s="87"/>
      <c r="S21" s="54"/>
      <c r="T21" s="54"/>
      <c r="U21" s="54"/>
      <c r="V21" s="54" t="s">
        <v>198</v>
      </c>
      <c r="W21" s="54" t="s">
        <v>215</v>
      </c>
      <c r="X21"/>
      <c r="Y21"/>
      <c r="Z21"/>
    </row>
    <row r="22" spans="1:26" ht="33" customHeight="1" x14ac:dyDescent="0.25">
      <c r="A22" s="79" t="s">
        <v>119</v>
      </c>
      <c r="B22" s="79"/>
      <c r="C22" s="87" t="s">
        <v>305</v>
      </c>
      <c r="D22" s="87"/>
      <c r="E22" s="108" t="s">
        <v>14</v>
      </c>
      <c r="F22" s="108"/>
      <c r="G22" s="87" t="s">
        <v>307</v>
      </c>
      <c r="H22" s="87"/>
      <c r="S22" s="54"/>
      <c r="T22" s="54"/>
      <c r="U22" s="54"/>
      <c r="V22" s="54" t="s">
        <v>199</v>
      </c>
      <c r="W22" s="54" t="s">
        <v>216</v>
      </c>
      <c r="X22"/>
      <c r="Y22"/>
      <c r="Z22"/>
    </row>
    <row r="23" spans="1:26" ht="15" customHeight="1" x14ac:dyDescent="0.25">
      <c r="A23" s="108" t="s">
        <v>73</v>
      </c>
      <c r="B23" s="108"/>
      <c r="C23" s="108"/>
      <c r="D23" s="108"/>
      <c r="E23" s="129" t="s">
        <v>15</v>
      </c>
      <c r="F23" s="129"/>
      <c r="G23" s="129"/>
      <c r="H23" s="129"/>
      <c r="S23" s="54"/>
      <c r="T23" s="54"/>
      <c r="U23" s="54"/>
      <c r="V23" s="54" t="s">
        <v>200</v>
      </c>
      <c r="W23" s="54" t="s">
        <v>217</v>
      </c>
      <c r="X23"/>
      <c r="Y23"/>
      <c r="Z23"/>
    </row>
    <row r="24" spans="1:26" ht="18.75" customHeight="1" x14ac:dyDescent="0.25">
      <c r="A24" s="108"/>
      <c r="B24" s="108"/>
      <c r="C24" s="108"/>
      <c r="D24" s="108"/>
      <c r="E24" s="129"/>
      <c r="F24" s="129"/>
      <c r="G24" s="129"/>
      <c r="H24" s="129"/>
      <c r="S24" s="54"/>
      <c r="T24" s="54"/>
      <c r="U24" s="54"/>
      <c r="V24" s="54" t="s">
        <v>201</v>
      </c>
      <c r="W24" s="54" t="s">
        <v>218</v>
      </c>
      <c r="X24"/>
      <c r="Y24"/>
      <c r="Z24"/>
    </row>
    <row r="25" spans="1:26" ht="15" customHeight="1" x14ac:dyDescent="0.25">
      <c r="A25" s="108" t="s">
        <v>16</v>
      </c>
      <c r="B25" s="108"/>
      <c r="C25" s="108"/>
      <c r="D25" s="108"/>
      <c r="E25" s="87" t="s">
        <v>17</v>
      </c>
      <c r="F25" s="87"/>
      <c r="G25" s="87"/>
      <c r="H25" s="87"/>
      <c r="S25" s="54"/>
      <c r="T25" s="54"/>
      <c r="U25" s="54"/>
      <c r="V25" s="54" t="s">
        <v>202</v>
      </c>
      <c r="W25" s="54" t="s">
        <v>219</v>
      </c>
      <c r="X25"/>
      <c r="Y25"/>
      <c r="Z25"/>
    </row>
    <row r="26" spans="1:26" ht="15" customHeight="1" x14ac:dyDescent="0.25">
      <c r="A26" s="79" t="s">
        <v>18</v>
      </c>
      <c r="B26" s="79"/>
      <c r="C26" s="79"/>
      <c r="D26" s="79"/>
      <c r="E26" s="87" t="str">
        <f>IF(AND(G20="Mumbai"),"Upper Class","Middle Class")</f>
        <v>Middle Class</v>
      </c>
      <c r="F26" s="87"/>
      <c r="G26" s="87"/>
      <c r="H26" s="87"/>
      <c r="S26" s="54"/>
      <c r="T26" s="54"/>
      <c r="U26" s="54"/>
      <c r="V26" s="54" t="s">
        <v>203</v>
      </c>
      <c r="W26" s="54" t="s">
        <v>220</v>
      </c>
      <c r="X26"/>
      <c r="Y26"/>
      <c r="Z26"/>
    </row>
    <row r="27" spans="1:26" x14ac:dyDescent="0.25">
      <c r="A27" s="79" t="s">
        <v>19</v>
      </c>
      <c r="B27" s="79"/>
      <c r="C27" s="79"/>
      <c r="D27" s="79"/>
      <c r="E27" s="87" t="s">
        <v>20</v>
      </c>
      <c r="F27" s="87"/>
      <c r="G27" s="87"/>
      <c r="H27" s="87"/>
      <c r="S27" s="54"/>
      <c r="T27" s="54"/>
      <c r="U27" s="54"/>
      <c r="V27" s="54" t="s">
        <v>204</v>
      </c>
      <c r="W27" s="54" t="s">
        <v>221</v>
      </c>
      <c r="X27"/>
      <c r="Y27"/>
      <c r="Z27"/>
    </row>
    <row r="28" spans="1:26" ht="15.75" customHeight="1" x14ac:dyDescent="0.25">
      <c r="A28" s="79" t="s">
        <v>21</v>
      </c>
      <c r="B28" s="79"/>
      <c r="C28" s="79"/>
      <c r="D28" s="79"/>
      <c r="E28" s="87" t="str">
        <f>IF(AND(G20="Mumbai"),"Developed","Developing")</f>
        <v>Developing</v>
      </c>
      <c r="F28" s="87"/>
      <c r="G28" s="87"/>
      <c r="H28" s="87"/>
    </row>
    <row r="29" spans="1:26" x14ac:dyDescent="0.25">
      <c r="A29" s="79" t="s">
        <v>22</v>
      </c>
      <c r="B29" s="79"/>
      <c r="C29" s="79"/>
      <c r="D29" s="79"/>
      <c r="E29" s="87" t="s">
        <v>23</v>
      </c>
      <c r="F29" s="87"/>
      <c r="G29" s="87"/>
      <c r="H29" s="87"/>
    </row>
    <row r="30" spans="1:26" ht="15.75" customHeight="1" x14ac:dyDescent="0.25">
      <c r="A30" s="79" t="s">
        <v>78</v>
      </c>
      <c r="B30" s="79"/>
      <c r="C30" s="79"/>
      <c r="D30" s="79"/>
      <c r="E30" s="87" t="s">
        <v>79</v>
      </c>
      <c r="F30" s="87"/>
      <c r="G30" s="87"/>
      <c r="H30" s="87"/>
    </row>
    <row r="31" spans="1:26" ht="15" customHeight="1" x14ac:dyDescent="0.25">
      <c r="A31" s="79" t="s">
        <v>30</v>
      </c>
      <c r="B31" s="79"/>
      <c r="C31" s="79"/>
      <c r="D31" s="79"/>
      <c r="E31" s="87"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87"/>
      <c r="G31" s="87"/>
      <c r="H31" s="87"/>
    </row>
    <row r="32" spans="1:26" ht="15.75" customHeight="1" x14ac:dyDescent="0.25">
      <c r="A32" s="79" t="s">
        <v>90</v>
      </c>
      <c r="B32" s="79"/>
      <c r="C32" s="79"/>
      <c r="D32" s="79"/>
      <c r="E32" s="87" t="s">
        <v>31</v>
      </c>
      <c r="F32" s="87"/>
      <c r="G32" s="87"/>
      <c r="H32" s="87"/>
    </row>
    <row r="33" spans="1:19" s="21" customFormat="1" x14ac:dyDescent="0.25">
      <c r="A33" s="139" t="s">
        <v>91</v>
      </c>
      <c r="B33" s="139"/>
      <c r="C33" s="136" t="s">
        <v>170</v>
      </c>
      <c r="D33" s="137"/>
      <c r="E33" s="138"/>
      <c r="F33" s="136" t="s">
        <v>29</v>
      </c>
      <c r="G33" s="137"/>
      <c r="H33" s="138"/>
      <c r="S33" s="21" t="e">
        <f ca="1">OFFSET($S$13,1,MATCH($G20,$S$13:$W$13,0)-1,15,1)</f>
        <v>#VALUE!</v>
      </c>
    </row>
    <row r="34" spans="1:19" s="21" customFormat="1" x14ac:dyDescent="0.25">
      <c r="A34" s="119" t="s">
        <v>24</v>
      </c>
      <c r="B34" s="119" t="s">
        <v>28</v>
      </c>
      <c r="C34" s="120" t="s">
        <v>312</v>
      </c>
      <c r="D34" s="121"/>
      <c r="E34" s="122"/>
      <c r="F34" s="120" t="s">
        <v>315</v>
      </c>
      <c r="G34" s="121"/>
      <c r="H34" s="122"/>
    </row>
    <row r="35" spans="1:19" x14ac:dyDescent="0.25">
      <c r="A35" s="119" t="s">
        <v>25</v>
      </c>
      <c r="B35" s="119" t="s">
        <v>28</v>
      </c>
      <c r="C35" s="120" t="s">
        <v>313</v>
      </c>
      <c r="D35" s="121"/>
      <c r="E35" s="122"/>
      <c r="F35" s="120" t="s">
        <v>306</v>
      </c>
      <c r="G35" s="121"/>
      <c r="H35" s="122"/>
    </row>
    <row r="36" spans="1:19" s="21" customFormat="1" x14ac:dyDescent="0.25">
      <c r="A36" s="119" t="s">
        <v>27</v>
      </c>
      <c r="B36" s="119" t="s">
        <v>28</v>
      </c>
      <c r="C36" s="120" t="s">
        <v>311</v>
      </c>
      <c r="D36" s="121"/>
      <c r="E36" s="122"/>
      <c r="F36" s="120" t="s">
        <v>315</v>
      </c>
      <c r="G36" s="121"/>
      <c r="H36" s="122"/>
    </row>
    <row r="37" spans="1:19" x14ac:dyDescent="0.25">
      <c r="A37" s="119" t="s">
        <v>26</v>
      </c>
      <c r="B37" s="119" t="s">
        <v>28</v>
      </c>
      <c r="C37" s="120" t="s">
        <v>314</v>
      </c>
      <c r="D37" s="121"/>
      <c r="E37" s="122"/>
      <c r="F37" s="120" t="s">
        <v>315</v>
      </c>
      <c r="G37" s="121"/>
      <c r="H37" s="122"/>
    </row>
    <row r="38" spans="1:19" x14ac:dyDescent="0.25">
      <c r="A38" s="79" t="s">
        <v>276</v>
      </c>
      <c r="B38" s="79"/>
      <c r="C38" s="79"/>
      <c r="D38" s="79"/>
      <c r="E38" s="79"/>
      <c r="F38" s="79"/>
      <c r="G38" s="79"/>
      <c r="H38" s="79"/>
    </row>
    <row r="39" spans="1:19" ht="15.75" customHeight="1" x14ac:dyDescent="0.25">
      <c r="A39" s="79" t="s">
        <v>162</v>
      </c>
      <c r="B39" s="79"/>
      <c r="C39" s="79" t="s">
        <v>303</v>
      </c>
      <c r="D39" s="79"/>
      <c r="E39" s="79"/>
      <c r="F39" s="79"/>
      <c r="G39" s="79"/>
      <c r="H39" s="79"/>
    </row>
    <row r="40" spans="1:19" x14ac:dyDescent="0.25">
      <c r="A40" s="79" t="s">
        <v>158</v>
      </c>
      <c r="B40" s="79"/>
      <c r="C40" s="86" t="s">
        <v>304</v>
      </c>
      <c r="D40" s="87"/>
      <c r="E40" s="87"/>
      <c r="F40" s="87"/>
      <c r="G40" s="87"/>
      <c r="H40" s="87"/>
    </row>
    <row r="41" spans="1:19" x14ac:dyDescent="0.25">
      <c r="A41" s="124" t="s">
        <v>32</v>
      </c>
      <c r="B41" s="124"/>
      <c r="C41" s="124"/>
      <c r="D41" s="124"/>
      <c r="E41" s="124"/>
      <c r="F41" s="124"/>
      <c r="G41" s="124"/>
      <c r="H41" s="124"/>
    </row>
    <row r="42" spans="1:19" x14ac:dyDescent="0.25">
      <c r="A42" s="79" t="s">
        <v>33</v>
      </c>
      <c r="B42" s="79"/>
      <c r="C42" s="79"/>
      <c r="D42" s="79"/>
      <c r="E42" s="123">
        <v>1953.9</v>
      </c>
      <c r="F42" s="123"/>
      <c r="G42" s="123"/>
      <c r="H42" s="123"/>
    </row>
    <row r="43" spans="1:19" x14ac:dyDescent="0.25">
      <c r="A43" s="79" t="s">
        <v>34</v>
      </c>
      <c r="B43" s="79"/>
      <c r="C43" s="79"/>
      <c r="D43" s="79"/>
      <c r="E43" s="127">
        <f>2930.85/E42</f>
        <v>1.4999999999999998</v>
      </c>
      <c r="F43" s="127"/>
      <c r="G43" s="127"/>
      <c r="H43" s="127"/>
    </row>
    <row r="44" spans="1:19" x14ac:dyDescent="0.25">
      <c r="A44" s="79" t="s">
        <v>35</v>
      </c>
      <c r="B44" s="79"/>
      <c r="C44" s="79"/>
      <c r="D44" s="79"/>
      <c r="E44" s="127">
        <f>E46/E42-E43</f>
        <v>2.5100056297661082</v>
      </c>
      <c r="F44" s="127"/>
      <c r="G44" s="127"/>
      <c r="H44" s="127"/>
    </row>
    <row r="45" spans="1:19" x14ac:dyDescent="0.25">
      <c r="A45" s="79" t="s">
        <v>36</v>
      </c>
      <c r="B45" s="79"/>
      <c r="C45" s="79"/>
      <c r="D45" s="79"/>
      <c r="E45" s="127">
        <f>E43+E44</f>
        <v>4.0100056297661082</v>
      </c>
      <c r="F45" s="127"/>
      <c r="G45" s="127"/>
      <c r="H45" s="127"/>
    </row>
    <row r="46" spans="1:19" x14ac:dyDescent="0.25">
      <c r="A46" s="79" t="s">
        <v>89</v>
      </c>
      <c r="B46" s="79"/>
      <c r="C46" s="79"/>
      <c r="D46" s="79"/>
      <c r="E46" s="128">
        <v>7835.15</v>
      </c>
      <c r="F46" s="128"/>
      <c r="G46" s="128"/>
      <c r="H46" s="128"/>
    </row>
    <row r="47" spans="1:19" x14ac:dyDescent="0.25">
      <c r="A47" s="129" t="s">
        <v>37</v>
      </c>
      <c r="B47" s="129"/>
      <c r="C47" s="129"/>
      <c r="D47" s="129"/>
      <c r="E47" s="129" t="s">
        <v>118</v>
      </c>
      <c r="F47" s="129"/>
      <c r="G47" s="129"/>
      <c r="H47" s="129"/>
    </row>
    <row r="48" spans="1:19" x14ac:dyDescent="0.25">
      <c r="A48" s="124" t="s">
        <v>38</v>
      </c>
      <c r="B48" s="124"/>
      <c r="C48" s="124"/>
      <c r="D48" s="124"/>
      <c r="E48" s="124"/>
      <c r="F48" s="124"/>
      <c r="G48" s="124"/>
      <c r="H48" s="124"/>
    </row>
    <row r="49" spans="1:24" ht="33.75" customHeight="1" x14ac:dyDescent="0.25">
      <c r="A49" s="96" t="s">
        <v>148</v>
      </c>
      <c r="B49" s="97"/>
      <c r="C49" s="98" t="s">
        <v>264</v>
      </c>
      <c r="D49" s="99"/>
      <c r="E49" s="99"/>
      <c r="F49" s="99"/>
      <c r="G49" s="99"/>
      <c r="H49" s="100"/>
      <c r="R49" t="s">
        <v>249</v>
      </c>
      <c r="S49" t="s">
        <v>169</v>
      </c>
      <c r="T49" t="s">
        <v>175</v>
      </c>
      <c r="U49" t="s">
        <v>190</v>
      </c>
      <c r="V49" t="s">
        <v>185</v>
      </c>
    </row>
    <row r="50" spans="1:24" ht="31.5" customHeight="1" x14ac:dyDescent="0.25">
      <c r="A50" s="96" t="s">
        <v>39</v>
      </c>
      <c r="B50" s="97"/>
      <c r="C50" s="166" t="s">
        <v>316</v>
      </c>
      <c r="D50" s="164"/>
      <c r="E50" s="165"/>
      <c r="F50" s="59" t="s">
        <v>40</v>
      </c>
      <c r="G50" s="183">
        <v>45156</v>
      </c>
      <c r="H50" s="168"/>
      <c r="R50"/>
      <c r="S50" t="s">
        <v>250</v>
      </c>
      <c r="T50" t="s">
        <v>255</v>
      </c>
      <c r="U50" t="s">
        <v>266</v>
      </c>
      <c r="V50" t="s">
        <v>271</v>
      </c>
    </row>
    <row r="51" spans="1:24" ht="30.75" customHeight="1" x14ac:dyDescent="0.25">
      <c r="A51" s="96" t="s">
        <v>41</v>
      </c>
      <c r="B51" s="97"/>
      <c r="C51" s="166" t="str">
        <f>C50</f>
        <v>CIDCO/BP-18496/TPO(NM &amp; K)/
2023/11057</v>
      </c>
      <c r="D51" s="167"/>
      <c r="E51" s="168"/>
      <c r="F51" s="59" t="s">
        <v>40</v>
      </c>
      <c r="G51" s="183">
        <f>G50</f>
        <v>45156</v>
      </c>
      <c r="H51" s="168"/>
      <c r="R51"/>
      <c r="S51" t="s">
        <v>251</v>
      </c>
      <c r="T51" t="s">
        <v>256</v>
      </c>
      <c r="U51" t="s">
        <v>264</v>
      </c>
      <c r="V51" t="s">
        <v>272</v>
      </c>
    </row>
    <row r="52" spans="1:24" s="22" customFormat="1" ht="34.5" customHeight="1" x14ac:dyDescent="0.25">
      <c r="A52" s="184" t="s">
        <v>152</v>
      </c>
      <c r="B52" s="185"/>
      <c r="C52" s="166" t="str">
        <f>C51</f>
        <v>CIDCO/BP-18496/TPO(NM &amp; K)/
2023/11057</v>
      </c>
      <c r="D52" s="167"/>
      <c r="E52" s="168"/>
      <c r="F52" s="59" t="s">
        <v>40</v>
      </c>
      <c r="G52" s="183">
        <f>G51</f>
        <v>45156</v>
      </c>
      <c r="H52" s="168"/>
      <c r="R52"/>
      <c r="S52" t="s">
        <v>252</v>
      </c>
      <c r="T52" t="s">
        <v>257</v>
      </c>
      <c r="U52" t="s">
        <v>254</v>
      </c>
      <c r="V52" t="s">
        <v>273</v>
      </c>
    </row>
    <row r="53" spans="1:24" s="22" customFormat="1" x14ac:dyDescent="0.25">
      <c r="A53" s="186"/>
      <c r="B53" s="187"/>
      <c r="C53" s="96" t="s">
        <v>317</v>
      </c>
      <c r="D53" s="130"/>
      <c r="E53" s="130"/>
      <c r="F53" s="130"/>
      <c r="G53" s="130"/>
      <c r="H53" s="97"/>
      <c r="R53"/>
      <c r="S53" t="s">
        <v>253</v>
      </c>
      <c r="T53" t="s">
        <v>260</v>
      </c>
      <c r="U53" t="s">
        <v>267</v>
      </c>
    </row>
    <row r="54" spans="1:24" s="22" customFormat="1" hidden="1" x14ac:dyDescent="0.25">
      <c r="A54" s="179" t="s">
        <v>277</v>
      </c>
      <c r="B54" s="180"/>
      <c r="C54" s="96" t="str">
        <f>C53</f>
        <v>Ground Floor + 4 Parking + 16 Floor</v>
      </c>
      <c r="D54" s="130"/>
      <c r="E54" s="97"/>
      <c r="F54" s="17" t="s">
        <v>40</v>
      </c>
      <c r="G54" s="96"/>
      <c r="H54" s="97"/>
      <c r="R54"/>
      <c r="S54" t="s">
        <v>252</v>
      </c>
      <c r="T54" t="s">
        <v>257</v>
      </c>
      <c r="U54" t="s">
        <v>254</v>
      </c>
      <c r="V54" t="s">
        <v>273</v>
      </c>
    </row>
    <row r="55" spans="1:24" s="22" customFormat="1" ht="32.25" hidden="1" customHeight="1" x14ac:dyDescent="0.25">
      <c r="A55" s="181"/>
      <c r="B55" s="182"/>
      <c r="C55" s="91"/>
      <c r="D55" s="92"/>
      <c r="E55" s="92"/>
      <c r="F55" s="92"/>
      <c r="G55" s="92"/>
      <c r="H55" s="93"/>
      <c r="R55"/>
      <c r="S55" t="s">
        <v>254</v>
      </c>
      <c r="T55" t="s">
        <v>258</v>
      </c>
      <c r="U55" t="s">
        <v>268</v>
      </c>
      <c r="V55" s="20"/>
      <c r="W55" s="20"/>
      <c r="X55" s="20"/>
    </row>
    <row r="56" spans="1:24" s="22" customFormat="1" ht="34.5" hidden="1" customHeight="1" x14ac:dyDescent="0.25">
      <c r="A56" s="179" t="s">
        <v>278</v>
      </c>
      <c r="B56" s="180"/>
      <c r="C56" s="96">
        <f>C55</f>
        <v>0</v>
      </c>
      <c r="D56" s="130"/>
      <c r="E56" s="97"/>
      <c r="F56" s="17" t="s">
        <v>40</v>
      </c>
      <c r="G56" s="96">
        <f>G55</f>
        <v>0</v>
      </c>
      <c r="H56" s="97"/>
      <c r="R56"/>
      <c r="S56" s="20"/>
      <c r="T56" t="s">
        <v>259</v>
      </c>
      <c r="U56" t="s">
        <v>269</v>
      </c>
      <c r="V56" s="20"/>
      <c r="W56" s="20"/>
      <c r="X56" s="20"/>
    </row>
    <row r="57" spans="1:24" s="22" customFormat="1" ht="41.25" hidden="1" customHeight="1" x14ac:dyDescent="0.25">
      <c r="A57" s="181"/>
      <c r="B57" s="182"/>
      <c r="C57" s="96"/>
      <c r="D57" s="130"/>
      <c r="E57" s="130"/>
      <c r="F57" s="130"/>
      <c r="G57" s="130"/>
      <c r="H57" s="97"/>
      <c r="R57"/>
      <c r="S57" s="20"/>
      <c r="T57" t="s">
        <v>261</v>
      </c>
      <c r="U57" t="s">
        <v>270</v>
      </c>
      <c r="V57" s="20"/>
      <c r="W57" s="20"/>
      <c r="X57" s="20"/>
    </row>
    <row r="58" spans="1:24" s="22" customFormat="1" ht="15.75" hidden="1" customHeight="1" x14ac:dyDescent="0.25">
      <c r="A58" s="179" t="s">
        <v>279</v>
      </c>
      <c r="B58" s="180"/>
      <c r="C58" s="96">
        <f>C57</f>
        <v>0</v>
      </c>
      <c r="D58" s="130"/>
      <c r="E58" s="97"/>
      <c r="F58" s="17" t="s">
        <v>40</v>
      </c>
      <c r="G58" s="96">
        <f>G57</f>
        <v>0</v>
      </c>
      <c r="H58" s="97"/>
      <c r="R58"/>
      <c r="S58" s="20"/>
      <c r="T58" t="s">
        <v>262</v>
      </c>
      <c r="U58" s="20" t="s">
        <v>293</v>
      </c>
      <c r="V58" s="20"/>
      <c r="W58" s="20"/>
      <c r="X58" s="20"/>
    </row>
    <row r="59" spans="1:24" s="22" customFormat="1" ht="33.75" hidden="1" customHeight="1" x14ac:dyDescent="0.25">
      <c r="A59" s="181"/>
      <c r="B59" s="182"/>
      <c r="C59" s="96"/>
      <c r="D59" s="130"/>
      <c r="E59" s="130"/>
      <c r="F59" s="130"/>
      <c r="G59" s="130"/>
      <c r="H59" s="97"/>
      <c r="R59"/>
      <c r="S59" s="20"/>
      <c r="T59" t="s">
        <v>263</v>
      </c>
      <c r="U59" s="20"/>
      <c r="V59" s="20"/>
      <c r="W59" s="20"/>
      <c r="X59" s="20"/>
    </row>
    <row r="60" spans="1:24" s="22" customFormat="1" ht="34.5" customHeight="1" x14ac:dyDescent="0.25">
      <c r="A60" s="184" t="s">
        <v>152</v>
      </c>
      <c r="B60" s="185"/>
      <c r="C60" s="166" t="s">
        <v>357</v>
      </c>
      <c r="D60" s="167"/>
      <c r="E60" s="168"/>
      <c r="F60" s="59" t="s">
        <v>40</v>
      </c>
      <c r="G60" s="183">
        <v>45573</v>
      </c>
      <c r="H60" s="168"/>
      <c r="R60"/>
      <c r="S60" t="s">
        <v>252</v>
      </c>
      <c r="T60" t="s">
        <v>257</v>
      </c>
      <c r="U60" t="s">
        <v>254</v>
      </c>
      <c r="V60" t="s">
        <v>273</v>
      </c>
    </row>
    <row r="61" spans="1:24" s="22" customFormat="1" x14ac:dyDescent="0.25">
      <c r="A61" s="186"/>
      <c r="B61" s="187"/>
      <c r="C61" s="96" t="s">
        <v>358</v>
      </c>
      <c r="D61" s="130"/>
      <c r="E61" s="130"/>
      <c r="F61" s="130"/>
      <c r="G61" s="130"/>
      <c r="H61" s="97"/>
      <c r="R61"/>
      <c r="S61" t="s">
        <v>253</v>
      </c>
      <c r="T61" t="s">
        <v>260</v>
      </c>
      <c r="U61" t="s">
        <v>267</v>
      </c>
    </row>
    <row r="62" spans="1:24" x14ac:dyDescent="0.25">
      <c r="A62" s="191" t="s">
        <v>42</v>
      </c>
      <c r="B62" s="192"/>
      <c r="C62" s="191" t="s">
        <v>102</v>
      </c>
      <c r="D62" s="193"/>
      <c r="E62" s="192"/>
      <c r="F62" s="44" t="s">
        <v>40</v>
      </c>
      <c r="G62" s="177" t="s">
        <v>28</v>
      </c>
      <c r="H62" s="178"/>
      <c r="R62"/>
      <c r="T62" t="s">
        <v>265</v>
      </c>
    </row>
    <row r="63" spans="1:24" x14ac:dyDescent="0.25">
      <c r="A63" s="161" t="s">
        <v>44</v>
      </c>
      <c r="B63" s="161"/>
      <c r="C63" s="161"/>
      <c r="D63" s="161"/>
      <c r="E63" s="161"/>
      <c r="F63" s="161"/>
      <c r="G63" s="161"/>
      <c r="H63" s="161"/>
      <c r="T63" t="s">
        <v>274</v>
      </c>
    </row>
    <row r="64" spans="1:24" x14ac:dyDescent="0.25">
      <c r="A64" s="108" t="s">
        <v>88</v>
      </c>
      <c r="B64" s="108"/>
      <c r="C64" s="108"/>
      <c r="D64" s="79">
        <f>E46</f>
        <v>7835.15</v>
      </c>
      <c r="E64" s="79"/>
      <c r="F64" s="79"/>
      <c r="G64" s="79"/>
      <c r="H64" s="79"/>
      <c r="R64"/>
    </row>
    <row r="65" spans="1:19" x14ac:dyDescent="0.25">
      <c r="A65" s="87" t="s">
        <v>45</v>
      </c>
      <c r="B65" s="129"/>
      <c r="C65" s="129"/>
      <c r="D65" s="176" t="s">
        <v>351</v>
      </c>
      <c r="E65" s="176"/>
      <c r="F65" s="176"/>
      <c r="G65" s="176"/>
      <c r="H65" s="176"/>
      <c r="I65" s="23"/>
      <c r="R65"/>
    </row>
    <row r="66" spans="1:19" x14ac:dyDescent="0.25">
      <c r="A66" s="133" t="s">
        <v>46</v>
      </c>
      <c r="B66" s="134"/>
      <c r="C66" s="135"/>
      <c r="D66" s="131" t="s">
        <v>318</v>
      </c>
      <c r="E66" s="132"/>
      <c r="F66" s="132"/>
      <c r="G66" s="132"/>
      <c r="H66" s="132"/>
      <c r="R66"/>
    </row>
    <row r="67" spans="1:19" ht="15.75" customHeight="1" x14ac:dyDescent="0.25">
      <c r="A67" s="133" t="s">
        <v>86</v>
      </c>
      <c r="B67" s="134"/>
      <c r="C67" s="134"/>
      <c r="D67" s="163" t="s">
        <v>353</v>
      </c>
      <c r="E67" s="164"/>
      <c r="F67" s="164"/>
      <c r="G67" s="164"/>
      <c r="H67" s="165"/>
      <c r="R67"/>
    </row>
    <row r="68" spans="1:19" ht="15.75" customHeight="1" x14ac:dyDescent="0.25">
      <c r="A68" s="79" t="s">
        <v>43</v>
      </c>
      <c r="B68" s="79"/>
      <c r="C68" s="79"/>
      <c r="D68" s="125" t="s">
        <v>320</v>
      </c>
      <c r="E68" s="125"/>
      <c r="F68" s="125"/>
      <c r="G68" s="125"/>
      <c r="H68" s="125"/>
      <c r="J68" s="24"/>
      <c r="K68" s="23"/>
      <c r="N68" s="23"/>
      <c r="S68"/>
    </row>
    <row r="69" spans="1:19" ht="15.75" customHeight="1" x14ac:dyDescent="0.25">
      <c r="A69" s="79" t="s">
        <v>84</v>
      </c>
      <c r="B69" s="79"/>
      <c r="C69" s="79"/>
      <c r="D69" s="126" t="str">
        <f>(IF(G62="NA","60 Years After Completion",IF(G62&lt;&gt;"NA",""&amp;60-ROUNDDOWN((E3-G62)/360,0)&amp;" Years"," ")))</f>
        <v>60 Years After Completion</v>
      </c>
      <c r="E69" s="126"/>
      <c r="F69" s="126"/>
      <c r="G69" s="126"/>
      <c r="H69" s="126"/>
      <c r="N69" s="23"/>
      <c r="S69"/>
    </row>
    <row r="70" spans="1:19" ht="15.75" customHeight="1" x14ac:dyDescent="0.25">
      <c r="A70" s="79" t="s">
        <v>85</v>
      </c>
      <c r="B70" s="79"/>
      <c r="C70" s="79"/>
      <c r="D70" s="108" t="s">
        <v>23</v>
      </c>
      <c r="E70" s="108"/>
      <c r="F70" s="108"/>
      <c r="G70" s="108"/>
      <c r="H70" s="108"/>
      <c r="J70" s="25"/>
      <c r="K70" s="25"/>
      <c r="S70"/>
    </row>
    <row r="71" spans="1:19" ht="34.5" customHeight="1" x14ac:dyDescent="0.25">
      <c r="A71" s="129" t="s">
        <v>319</v>
      </c>
      <c r="B71" s="129"/>
      <c r="C71" s="129"/>
      <c r="D71" s="87" t="s">
        <v>347</v>
      </c>
      <c r="E71" s="87"/>
      <c r="F71" s="87"/>
      <c r="G71" s="87"/>
      <c r="H71" s="87"/>
      <c r="S71"/>
    </row>
    <row r="72" spans="1:19" x14ac:dyDescent="0.25">
      <c r="A72" s="108" t="s">
        <v>145</v>
      </c>
      <c r="B72" s="108"/>
      <c r="C72" s="108"/>
      <c r="D72" s="108" t="s">
        <v>28</v>
      </c>
      <c r="E72" s="108"/>
      <c r="F72" s="108"/>
      <c r="G72" s="108"/>
      <c r="H72" s="108"/>
      <c r="I72" s="26"/>
      <c r="J72" s="26"/>
      <c r="K72" s="26"/>
      <c r="L72" s="26"/>
      <c r="M72" s="26"/>
      <c r="N72" s="26"/>
    </row>
    <row r="73" spans="1:19" ht="15.75" customHeight="1" x14ac:dyDescent="0.25">
      <c r="A73" s="194" t="s">
        <v>83</v>
      </c>
      <c r="B73" s="194"/>
      <c r="C73" s="194"/>
      <c r="D73" s="131" t="str">
        <f ca="1">(IF(G79&gt;95%,"Nothing",IF(G79&gt;0%,"Cement, Aggregate, Steel, etc",IF(G79=0%,"Work not yet Started"))))</f>
        <v>Cement, Aggregate, Steel, etc</v>
      </c>
      <c r="E73" s="131"/>
      <c r="F73" s="131"/>
      <c r="G73" s="131"/>
      <c r="H73" s="131"/>
      <c r="J73" s="25"/>
      <c r="S73"/>
    </row>
    <row r="74" spans="1:19" ht="33.75" customHeight="1" thickBot="1" x14ac:dyDescent="0.3">
      <c r="A74" s="144" t="s">
        <v>115</v>
      </c>
      <c r="B74" s="144"/>
      <c r="C74" s="144"/>
      <c r="D74" s="131" t="str">
        <f ca="1">(IF(D73="Nothing","Yes",IF(D73="Cement, Aggregate, Steel, etc","Under Construction",IF(D73="Work not yet Started","Work not yet Started"))))</f>
        <v>Under Construction</v>
      </c>
      <c r="E74" s="131"/>
      <c r="F74" s="131" t="str">
        <f ca="1">(IF(D73="Nothing","Yes",IF(D73="Cement, Aggregate, Steel, etc","Under Construction",IF(D73="Work not yet Started","Work not yet Started"))))</f>
        <v>Under Construction</v>
      </c>
      <c r="G74" s="131"/>
      <c r="H74" s="131"/>
      <c r="S74"/>
    </row>
    <row r="75" spans="1:19" ht="15.75" customHeight="1" x14ac:dyDescent="0.25">
      <c r="A75" s="103" t="s">
        <v>137</v>
      </c>
      <c r="B75" s="104"/>
      <c r="C75" s="105" t="str">
        <f>D67</f>
        <v>Gr + 1st to 4th Podium + 5th to 22nd Floor</v>
      </c>
      <c r="D75" s="106"/>
      <c r="E75" s="106"/>
      <c r="F75" s="106"/>
      <c r="G75" s="106"/>
      <c r="H75" s="107"/>
      <c r="I75" s="48" t="str">
        <f ca="1">IF(D88=100%,"All work Completed. Possession granted to the Building.",IF(D87=100%,"All work Completed, Waiting for OC",I76&amp;""&amp;I77&amp;""&amp;J76&amp;""&amp;J75&amp;" "&amp;J77))</f>
        <v>Excavation, Plinth Completed, RCC upto 21 Slab, Brickwork upto 10 Floor, Internal Plaster upto 7 Floor, External Plaster upto 6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21 Slab, Brickwork upto 10 Floor, Internal Plaster upto 7 Floor, External Plaster upto 6 Floor</v>
      </c>
      <c r="S75"/>
    </row>
    <row r="76" spans="1:19" x14ac:dyDescent="0.25">
      <c r="A76" s="15" t="s">
        <v>139</v>
      </c>
      <c r="B76" s="46">
        <f>IF(AND(ISNUMBER(SEARCH("1B",C75))),1,IF(AND(ISNUMBER(SEARCH("2B",C75))),2,IF(AND(ISNUMBER(SEARCH("3B",C75))),3,IF(AND(ISNUMBER(SEARCH("4B",C75))),4,IF(ISNUMBER(SEARCH("5B",C75)),5,0)))))</f>
        <v>0</v>
      </c>
      <c r="C76" s="46" t="s">
        <v>69</v>
      </c>
      <c r="D76" s="46">
        <v>1</v>
      </c>
      <c r="E76" s="46" t="s">
        <v>68</v>
      </c>
      <c r="F76" s="46">
        <v>0</v>
      </c>
      <c r="G76" s="47" t="s">
        <v>77</v>
      </c>
      <c r="H76" s="16">
        <f ca="1">--TRIM(RIGHT(SUBSTITUTE(LEFT(C75,_xlfn.AGGREGATE(16,6,FIND({0,1,2,3,4,5,6,7,8,9},C75,ROW(INDIRECT("1:"&amp;LEN(C75)))),1))," ",REPT(" ",LEN(C75))),LEN(C75)))</f>
        <v>22</v>
      </c>
      <c r="I76" s="50" t="str">
        <f ca="1">IF(D79=100%,"Excavation","")&amp;IF(D80=100%,", Plinth","")&amp;IF(D81=100%,", RCC Slab","")&amp;IF(D82=100%,", Brickwork","")&amp;IF(D83=100%,", Internal Plaster","")&amp;IF(D84=100%,", External Plaster","")&amp;IF(D85=100%,", Flooring","")&amp;IF(D86=100%,", Painting","")&amp;IF(D87=100%,", Building common Amenities","")</f>
        <v>Excavation, Plinth</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3.75" customHeight="1" x14ac:dyDescent="0.25">
      <c r="A77" s="101" t="s">
        <v>87</v>
      </c>
      <c r="B77" s="102"/>
      <c r="C77" s="109" t="str">
        <f ca="1">I75</f>
        <v>Excavation, Plinth Completed, RCC upto 21 Slab, Brickwork upto 10 Floor, Internal Plaster upto 7 Floor, External Plaster upto 6 Floor Completed</v>
      </c>
      <c r="D77" s="109"/>
      <c r="E77" s="109"/>
      <c r="F77" s="109"/>
      <c r="G77" s="109"/>
      <c r="H77" s="110"/>
      <c r="I77" s="50" t="str">
        <f ca="1">IF(I76&lt;&gt;""," Completed","")</f>
        <v xml:space="preserve"> Completed</v>
      </c>
      <c r="J77" s="51" t="str">
        <f ca="1">IF(J75&lt;&gt;"","Completed","")</f>
        <v>Completed</v>
      </c>
      <c r="S77"/>
    </row>
    <row r="78" spans="1:19" ht="15.75" customHeight="1" x14ac:dyDescent="0.25">
      <c r="A78" s="94" t="s">
        <v>47</v>
      </c>
      <c r="B78" s="95"/>
      <c r="C78" s="42" t="s">
        <v>136</v>
      </c>
      <c r="D78" s="42" t="s">
        <v>80</v>
      </c>
      <c r="E78" s="95" t="s">
        <v>82</v>
      </c>
      <c r="F78" s="95"/>
      <c r="G78" s="95" t="s">
        <v>81</v>
      </c>
      <c r="H78" s="145"/>
      <c r="I78" s="13" t="s">
        <v>138</v>
      </c>
      <c r="J78" s="27">
        <f ca="1">H76*25%</f>
        <v>5.5</v>
      </c>
      <c r="S78"/>
    </row>
    <row r="79" spans="1:19" x14ac:dyDescent="0.25">
      <c r="A79" s="94" t="s">
        <v>125</v>
      </c>
      <c r="B79" s="95"/>
      <c r="C79" s="42">
        <f ca="1">J80</f>
        <v>22</v>
      </c>
      <c r="D79" s="18">
        <f ca="1">((100/H76)*C79)/100</f>
        <v>1.0000000000000002</v>
      </c>
      <c r="E79" s="146">
        <f ca="1">(((C80/H76*10)+(40/(D76+F76+H76)*C81)+(7.5/(H76)*C82)+(7.5/(H76)*C83)+(10/H76*C84)+(10/H76*C85)+(5/H76*C86)+(5/H76*C87)+(5/H76*C88))/100)</f>
        <v>0.55044466403162051</v>
      </c>
      <c r="F79" s="147"/>
      <c r="G79" s="146">
        <f ca="1">((((C79/H76)*20)+((C80/H76)*25)+(30/(H76+F76+D76)*C81)+(5/H76*C82)+(5/H76*C83)+(5/H76*C84)+(5/H76*C85)+(0/H76*C86)+(0/H76*C87)+(5/H76*C88))/100)</f>
        <v>0.77618577075098816</v>
      </c>
      <c r="H79" s="152"/>
      <c r="I79" s="13" t="s">
        <v>97</v>
      </c>
      <c r="J79" s="28">
        <f ca="1">H76*50%</f>
        <v>11</v>
      </c>
    </row>
    <row r="80" spans="1:19" x14ac:dyDescent="0.25">
      <c r="A80" s="94" t="s">
        <v>48</v>
      </c>
      <c r="B80" s="95"/>
      <c r="C80" s="52">
        <f ca="1">J88</f>
        <v>22</v>
      </c>
      <c r="D80" s="18">
        <f ca="1">((100/H76)*C80)/100</f>
        <v>1.0000000000000002</v>
      </c>
      <c r="E80" s="148"/>
      <c r="F80" s="149"/>
      <c r="G80" s="148"/>
      <c r="H80" s="153"/>
      <c r="I80" s="13" t="s">
        <v>98</v>
      </c>
      <c r="J80" s="28">
        <f ca="1">H76</f>
        <v>22</v>
      </c>
      <c r="S80"/>
    </row>
    <row r="81" spans="1:22" ht="15.75" customHeight="1" x14ac:dyDescent="0.25">
      <c r="A81" s="94" t="s">
        <v>126</v>
      </c>
      <c r="B81" s="95"/>
      <c r="C81" s="42">
        <v>21</v>
      </c>
      <c r="D81" s="18">
        <f ca="1">((100/(D76+F76+H76))*C81)/100</f>
        <v>0.91304347826086951</v>
      </c>
      <c r="E81" s="148"/>
      <c r="F81" s="149"/>
      <c r="G81" s="148"/>
      <c r="H81" s="153"/>
      <c r="I81" s="13" t="s">
        <v>99</v>
      </c>
      <c r="J81" s="29">
        <f ca="1">(IF(B76&gt;1,(H76/(B76+2)),H76/4))</f>
        <v>5.5</v>
      </c>
      <c r="S81"/>
    </row>
    <row r="82" spans="1:22" ht="15.75" customHeight="1" x14ac:dyDescent="0.25">
      <c r="A82" s="94" t="s">
        <v>133</v>
      </c>
      <c r="B82" s="95" t="s">
        <v>127</v>
      </c>
      <c r="C82" s="42">
        <v>10</v>
      </c>
      <c r="D82" s="18">
        <f ca="1">((100/H76)*C82)/100</f>
        <v>0.45454545454545459</v>
      </c>
      <c r="E82" s="148"/>
      <c r="F82" s="149"/>
      <c r="G82" s="148"/>
      <c r="H82" s="153"/>
      <c r="I82" s="13" t="s">
        <v>100</v>
      </c>
      <c r="J82" s="29">
        <f ca="1">(IF(B76&gt;1,(H76/(B76+2)+J81),H76/4+J81))</f>
        <v>11</v>
      </c>
    </row>
    <row r="83" spans="1:22" ht="15.75" customHeight="1" x14ac:dyDescent="0.25">
      <c r="A83" s="94" t="s">
        <v>134</v>
      </c>
      <c r="B83" s="95" t="s">
        <v>127</v>
      </c>
      <c r="C83" s="42">
        <v>7</v>
      </c>
      <c r="D83" s="18">
        <f ca="1">((100/H76)*C83)/100</f>
        <v>0.31818181818181818</v>
      </c>
      <c r="E83" s="148"/>
      <c r="F83" s="149"/>
      <c r="G83" s="148"/>
      <c r="H83" s="153"/>
      <c r="I83" s="13" t="s">
        <v>143</v>
      </c>
      <c r="J83" s="29">
        <f>(IF(B76&gt;1,(H76/(B76+2)+J82),0))</f>
        <v>0</v>
      </c>
    </row>
    <row r="84" spans="1:22" ht="15" customHeight="1" x14ac:dyDescent="0.25">
      <c r="A84" s="94" t="s">
        <v>132</v>
      </c>
      <c r="B84" s="95" t="s">
        <v>129</v>
      </c>
      <c r="C84" s="42">
        <v>6</v>
      </c>
      <c r="D84" s="18">
        <f ca="1">((100/(H76))*C84)/100</f>
        <v>0.27272727272727271</v>
      </c>
      <c r="E84" s="148"/>
      <c r="F84" s="149"/>
      <c r="G84" s="148"/>
      <c r="H84" s="153"/>
      <c r="I84" s="13" t="s">
        <v>140</v>
      </c>
      <c r="J84" s="29">
        <f>(IF(B76&gt;2,(H76/(B76+2)+J83),0))</f>
        <v>0</v>
      </c>
    </row>
    <row r="85" spans="1:22" ht="15.75" customHeight="1" x14ac:dyDescent="0.25">
      <c r="A85" s="94" t="s">
        <v>128</v>
      </c>
      <c r="B85" s="95" t="s">
        <v>128</v>
      </c>
      <c r="C85" s="42">
        <v>0</v>
      </c>
      <c r="D85" s="18">
        <f ca="1">((100/H76)*C85)/100</f>
        <v>0</v>
      </c>
      <c r="E85" s="148"/>
      <c r="F85" s="149"/>
      <c r="G85" s="148"/>
      <c r="H85" s="153"/>
      <c r="I85" s="13" t="s">
        <v>141</v>
      </c>
      <c r="J85" s="30">
        <f>(IF(B76&gt;3,(H76/(B76+2)+J84),0))</f>
        <v>0</v>
      </c>
    </row>
    <row r="86" spans="1:22" ht="15.75" customHeight="1" x14ac:dyDescent="0.25">
      <c r="A86" s="94" t="s">
        <v>135</v>
      </c>
      <c r="B86" s="95"/>
      <c r="C86" s="42">
        <v>0</v>
      </c>
      <c r="D86" s="18">
        <f ca="1">((100/H76)*C86)/100</f>
        <v>0</v>
      </c>
      <c r="E86" s="148"/>
      <c r="F86" s="149"/>
      <c r="G86" s="148"/>
      <c r="H86" s="153"/>
      <c r="I86" s="13" t="s">
        <v>142</v>
      </c>
      <c r="J86" s="29">
        <f>(IF(B76&gt;4,(H76/(B76+2)+J85),0))</f>
        <v>0</v>
      </c>
    </row>
    <row r="87" spans="1:22" ht="15.75" customHeight="1" x14ac:dyDescent="0.25">
      <c r="A87" s="94" t="s">
        <v>130</v>
      </c>
      <c r="B87" s="95" t="s">
        <v>130</v>
      </c>
      <c r="C87" s="42">
        <v>0</v>
      </c>
      <c r="D87" s="18">
        <f ca="1">((100/(H76))*C87)/100</f>
        <v>0</v>
      </c>
      <c r="E87" s="148"/>
      <c r="F87" s="149"/>
      <c r="G87" s="148"/>
      <c r="H87" s="153"/>
      <c r="I87" s="13" t="s">
        <v>144</v>
      </c>
      <c r="J87" s="29">
        <f ca="1">(IF(B76=1,(H76/(B76+3)+J82),IF(B76=0,(H76/4+J82),IF(B76&gt;1,0))))</f>
        <v>16.5</v>
      </c>
    </row>
    <row r="88" spans="1:22" ht="16.5" thickBot="1" x14ac:dyDescent="0.3">
      <c r="A88" s="155" t="s">
        <v>131</v>
      </c>
      <c r="B88" s="156"/>
      <c r="C88" s="43">
        <v>0</v>
      </c>
      <c r="D88" s="19">
        <f ca="1">((100/(H76))*C88)/100</f>
        <v>0</v>
      </c>
      <c r="E88" s="150"/>
      <c r="F88" s="151"/>
      <c r="G88" s="150"/>
      <c r="H88" s="154"/>
      <c r="I88" s="14" t="s">
        <v>101</v>
      </c>
      <c r="J88" s="31">
        <f ca="1">(IF(B76&gt;1.5,(H76/(B76+2)+J82+MAX(0,J83-J82)+MAX(0,J84-J83)+MAX(0,J85-J84)+MAX(0,J86-J85)+MAX(0,J87-J86)),IF(B76=1,(H76/(B76+3)+J87),IF(B76=0,H76/4+J87))))</f>
        <v>22</v>
      </c>
    </row>
    <row r="89" spans="1:22" x14ac:dyDescent="0.25">
      <c r="A89" s="118" t="s">
        <v>153</v>
      </c>
      <c r="B89" s="118"/>
      <c r="C89" s="118"/>
      <c r="D89" s="118"/>
      <c r="E89" s="118"/>
      <c r="F89" s="114" t="s">
        <v>157</v>
      </c>
      <c r="G89" s="114"/>
      <c r="H89" s="114"/>
      <c r="R89" t="s">
        <v>249</v>
      </c>
      <c r="S89" t="s">
        <v>169</v>
      </c>
      <c r="T89" t="s">
        <v>175</v>
      </c>
      <c r="U89" t="s">
        <v>190</v>
      </c>
      <c r="V89" t="s">
        <v>185</v>
      </c>
    </row>
    <row r="90" spans="1:22" x14ac:dyDescent="0.25">
      <c r="A90" s="79" t="s">
        <v>155</v>
      </c>
      <c r="B90" s="79"/>
      <c r="C90" s="79"/>
      <c r="D90" s="79"/>
      <c r="E90" s="79"/>
      <c r="F90" s="75">
        <v>10600</v>
      </c>
      <c r="G90" s="75"/>
      <c r="H90" s="75"/>
      <c r="I90" s="20" t="s">
        <v>355</v>
      </c>
      <c r="R90"/>
      <c r="S90">
        <v>800000</v>
      </c>
      <c r="T90">
        <v>300000</v>
      </c>
      <c r="U90">
        <v>100000</v>
      </c>
      <c r="V90">
        <v>100000</v>
      </c>
    </row>
    <row r="91" spans="1:22" x14ac:dyDescent="0.25">
      <c r="A91" s="79" t="s">
        <v>154</v>
      </c>
      <c r="B91" s="79"/>
      <c r="C91" s="79"/>
      <c r="D91" s="79"/>
      <c r="E91" s="79"/>
      <c r="F91" s="75">
        <v>12500</v>
      </c>
      <c r="G91" s="75"/>
      <c r="H91" s="75"/>
      <c r="R91"/>
      <c r="S91">
        <v>900000</v>
      </c>
      <c r="T91">
        <v>350000</v>
      </c>
      <c r="U91">
        <v>150000</v>
      </c>
      <c r="V91">
        <v>150000</v>
      </c>
    </row>
    <row r="92" spans="1:22" x14ac:dyDescent="0.25">
      <c r="A92" s="79" t="s">
        <v>156</v>
      </c>
      <c r="B92" s="79"/>
      <c r="C92" s="79"/>
      <c r="D92" s="79"/>
      <c r="E92" s="79"/>
      <c r="F92" s="75">
        <v>10000</v>
      </c>
      <c r="G92" s="75"/>
      <c r="H92" s="75"/>
      <c r="R92"/>
      <c r="S92">
        <v>1000000</v>
      </c>
      <c r="T92">
        <v>400000</v>
      </c>
      <c r="U92">
        <v>200000</v>
      </c>
      <c r="V92">
        <v>200000</v>
      </c>
    </row>
    <row r="93" spans="1:22" s="32" customFormat="1" hidden="1" x14ac:dyDescent="0.25">
      <c r="A93" s="79" t="s">
        <v>172</v>
      </c>
      <c r="B93" s="79"/>
      <c r="C93" s="79"/>
      <c r="D93" s="79"/>
      <c r="E93" s="79"/>
      <c r="F93" s="75"/>
      <c r="G93" s="75"/>
      <c r="H93" s="75"/>
      <c r="R93"/>
      <c r="S93">
        <v>1100000</v>
      </c>
      <c r="T93">
        <v>500000</v>
      </c>
      <c r="U93">
        <v>250000</v>
      </c>
      <c r="V93" s="22">
        <v>250000</v>
      </c>
    </row>
    <row r="94" spans="1:22" s="32" customFormat="1" hidden="1" x14ac:dyDescent="0.25">
      <c r="A94" s="79" t="s">
        <v>92</v>
      </c>
      <c r="B94" s="79"/>
      <c r="C94" s="79"/>
      <c r="D94" s="79"/>
      <c r="E94" s="79"/>
      <c r="F94" s="75"/>
      <c r="G94" s="75"/>
      <c r="H94" s="75"/>
      <c r="R94"/>
      <c r="S94">
        <v>1200000</v>
      </c>
      <c r="T94">
        <v>600000</v>
      </c>
      <c r="U94">
        <v>300000</v>
      </c>
      <c r="V94">
        <v>300000</v>
      </c>
    </row>
    <row r="95" spans="1:22" s="32" customFormat="1" x14ac:dyDescent="0.25">
      <c r="A95" s="79" t="s">
        <v>352</v>
      </c>
      <c r="B95" s="79"/>
      <c r="C95" s="79"/>
      <c r="D95" s="79"/>
      <c r="E95" s="79"/>
      <c r="F95" s="75">
        <v>500000</v>
      </c>
      <c r="G95" s="75"/>
      <c r="H95" s="75"/>
      <c r="R95"/>
      <c r="S95">
        <v>1300000</v>
      </c>
      <c r="T95">
        <v>700000</v>
      </c>
      <c r="U95">
        <v>350000</v>
      </c>
      <c r="V95" s="22">
        <v>400000</v>
      </c>
    </row>
    <row r="96" spans="1:22" s="32" customFormat="1" hidden="1" x14ac:dyDescent="0.25">
      <c r="A96" s="79" t="s">
        <v>93</v>
      </c>
      <c r="B96" s="79"/>
      <c r="C96" s="79"/>
      <c r="D96" s="79"/>
      <c r="E96" s="79"/>
      <c r="F96" s="75"/>
      <c r="G96" s="75"/>
      <c r="H96" s="75"/>
      <c r="R96"/>
      <c r="S96">
        <v>1400000</v>
      </c>
      <c r="T96">
        <v>800000</v>
      </c>
      <c r="U96">
        <v>400000</v>
      </c>
      <c r="V96"/>
    </row>
    <row r="97" spans="1:22" s="32" customFormat="1" hidden="1" x14ac:dyDescent="0.25">
      <c r="A97" s="79" t="s">
        <v>94</v>
      </c>
      <c r="B97" s="79"/>
      <c r="C97" s="79"/>
      <c r="D97" s="79"/>
      <c r="E97" s="79"/>
      <c r="F97" s="75"/>
      <c r="G97" s="75"/>
      <c r="H97" s="75"/>
      <c r="R97"/>
      <c r="S97">
        <v>1500000</v>
      </c>
      <c r="T97">
        <v>900000</v>
      </c>
      <c r="U97">
        <v>500000</v>
      </c>
      <c r="V97" s="22"/>
    </row>
    <row r="98" spans="1:22" s="32" customFormat="1" hidden="1" x14ac:dyDescent="0.25">
      <c r="A98" s="79" t="s">
        <v>95</v>
      </c>
      <c r="B98" s="79"/>
      <c r="C98" s="79"/>
      <c r="D98" s="79"/>
      <c r="E98" s="79"/>
      <c r="F98" s="75"/>
      <c r="G98" s="75"/>
      <c r="H98" s="75"/>
      <c r="R98"/>
      <c r="S98">
        <v>1600000</v>
      </c>
      <c r="T98">
        <v>1000000</v>
      </c>
      <c r="U98">
        <v>600000</v>
      </c>
      <c r="V98"/>
    </row>
    <row r="99" spans="1:22" s="32" customFormat="1" hidden="1" x14ac:dyDescent="0.25">
      <c r="A99" s="79" t="s">
        <v>96</v>
      </c>
      <c r="B99" s="79"/>
      <c r="C99" s="79"/>
      <c r="D99" s="79"/>
      <c r="E99" s="79"/>
      <c r="F99" s="75"/>
      <c r="G99" s="75"/>
      <c r="H99" s="75"/>
      <c r="R99"/>
      <c r="S99">
        <v>1700000</v>
      </c>
      <c r="T99"/>
      <c r="U99"/>
      <c r="V99" s="22"/>
    </row>
    <row r="100" spans="1:22" x14ac:dyDescent="0.25">
      <c r="A100" s="79" t="s">
        <v>49</v>
      </c>
      <c r="B100" s="79"/>
      <c r="C100" s="79"/>
      <c r="D100" s="79"/>
      <c r="E100" s="79"/>
      <c r="F100" s="159">
        <v>600000</v>
      </c>
      <c r="G100" s="159"/>
      <c r="H100" s="159"/>
      <c r="R100"/>
      <c r="S100">
        <v>1800000</v>
      </c>
      <c r="T100"/>
      <c r="U100"/>
    </row>
    <row r="101" spans="1:22" s="33" customFormat="1" x14ac:dyDescent="0.25">
      <c r="A101" s="124" t="s">
        <v>50</v>
      </c>
      <c r="B101" s="124"/>
      <c r="C101" s="124"/>
      <c r="D101" s="124"/>
      <c r="E101" s="124"/>
      <c r="F101" s="75">
        <f>F90*0.8</f>
        <v>8480</v>
      </c>
      <c r="G101" s="75"/>
      <c r="H101" s="75"/>
      <c r="R101" s="20"/>
      <c r="S101" s="20"/>
      <c r="T101"/>
      <c r="U101"/>
      <c r="V101" s="20"/>
    </row>
    <row r="102" spans="1:22" s="34" customFormat="1" ht="15.75" customHeight="1" x14ac:dyDescent="0.25">
      <c r="A102" s="84" t="s">
        <v>72</v>
      </c>
      <c r="B102" s="84"/>
      <c r="C102" s="84"/>
      <c r="D102" s="84"/>
      <c r="E102" s="84"/>
      <c r="F102" s="84"/>
      <c r="G102" s="84"/>
      <c r="H102" s="84"/>
      <c r="R102"/>
      <c r="S102" s="20"/>
      <c r="T102"/>
      <c r="U102"/>
      <c r="V102" s="20"/>
    </row>
    <row r="103" spans="1:22" s="34" customFormat="1" ht="15.75" customHeight="1" x14ac:dyDescent="0.25">
      <c r="A103" s="162" t="s">
        <v>51</v>
      </c>
      <c r="B103" s="162"/>
      <c r="C103" s="85" t="s">
        <v>75</v>
      </c>
      <c r="D103" s="85"/>
      <c r="E103" s="117" t="s">
        <v>52</v>
      </c>
      <c r="F103" s="117"/>
      <c r="G103" s="162" t="s">
        <v>53</v>
      </c>
      <c r="H103" s="162"/>
      <c r="R103"/>
      <c r="S103" s="20"/>
      <c r="T103"/>
      <c r="U103" s="20"/>
      <c r="V103" s="20"/>
    </row>
    <row r="104" spans="1:22" s="34" customFormat="1" x14ac:dyDescent="0.25">
      <c r="A104" s="160" t="s">
        <v>339</v>
      </c>
      <c r="B104" s="160"/>
      <c r="C104" s="80">
        <f>COUNT(F116:F120)</f>
        <v>5</v>
      </c>
      <c r="D104" s="81"/>
      <c r="E104" s="82">
        <f>SUM(F116:F120)</f>
        <v>2206.3078439999999</v>
      </c>
      <c r="F104" s="83"/>
      <c r="G104" s="82">
        <f>SUM(H116:H120)</f>
        <v>4680</v>
      </c>
      <c r="H104" s="83"/>
      <c r="R104"/>
      <c r="S104" s="20"/>
      <c r="T104"/>
      <c r="U104" s="20"/>
      <c r="V104" s="20"/>
    </row>
    <row r="105" spans="1:22" s="34" customFormat="1" x14ac:dyDescent="0.25">
      <c r="A105" s="160" t="s">
        <v>340</v>
      </c>
      <c r="B105" s="160"/>
      <c r="C105" s="80">
        <f>COUNT(F122:F126)</f>
        <v>5</v>
      </c>
      <c r="D105" s="81"/>
      <c r="E105" s="82">
        <f>SUM(F122:F126)</f>
        <v>2195.1886319999999</v>
      </c>
      <c r="F105" s="83"/>
      <c r="G105" s="82">
        <f>SUM(H122:H126)</f>
        <v>4374</v>
      </c>
      <c r="H105" s="83"/>
      <c r="R105"/>
      <c r="S105" s="20"/>
      <c r="T105"/>
      <c r="U105" s="20"/>
      <c r="V105" s="20"/>
    </row>
    <row r="106" spans="1:22" s="34" customFormat="1" x14ac:dyDescent="0.25">
      <c r="A106" s="84" t="s">
        <v>147</v>
      </c>
      <c r="B106" s="84"/>
      <c r="C106" s="85">
        <f>SUM(C104:D105)</f>
        <v>10</v>
      </c>
      <c r="D106" s="85"/>
      <c r="E106" s="76">
        <f t="shared" ref="E106" si="0">SUM(E104:F105)</f>
        <v>4401.4964760000003</v>
      </c>
      <c r="F106" s="76"/>
      <c r="G106" s="76">
        <f t="shared" ref="G106" si="1">SUM(G104:H105)</f>
        <v>9054</v>
      </c>
      <c r="H106" s="76"/>
      <c r="R106"/>
      <c r="S106" s="20"/>
      <c r="T106"/>
      <c r="U106" s="20"/>
      <c r="V106" s="20"/>
    </row>
    <row r="107" spans="1:22" s="34" customFormat="1" x14ac:dyDescent="0.25">
      <c r="A107" s="84" t="s">
        <v>67</v>
      </c>
      <c r="B107" s="84"/>
      <c r="C107" s="84"/>
      <c r="D107" s="84"/>
      <c r="E107" s="84"/>
      <c r="F107" s="84"/>
      <c r="G107" s="84"/>
      <c r="H107" s="84"/>
      <c r="T107"/>
    </row>
    <row r="108" spans="1:22" s="34" customFormat="1" ht="15.75" customHeight="1" x14ac:dyDescent="0.25">
      <c r="A108" s="162" t="s">
        <v>51</v>
      </c>
      <c r="B108" s="162"/>
      <c r="C108" s="85" t="s">
        <v>75</v>
      </c>
      <c r="D108" s="85"/>
      <c r="E108" s="117" t="s">
        <v>52</v>
      </c>
      <c r="F108" s="117"/>
      <c r="G108" s="162" t="s">
        <v>53</v>
      </c>
      <c r="H108" s="162"/>
      <c r="T108"/>
    </row>
    <row r="109" spans="1:22" s="34" customFormat="1" ht="16.5" thickBot="1" x14ac:dyDescent="0.3">
      <c r="A109" s="160" t="s">
        <v>341</v>
      </c>
      <c r="B109" s="160"/>
      <c r="C109" s="81">
        <f>COUNT(F134:F139)+COUNT(F141:F146)*5+COUNT(F148:F153)*2+COUNT(F155:F160)+COUNT(F162:F167)+COUNT(F169:F170,F172:F173)+COUNT(F176:F177,F179:F180)+COUNT(F183:F184,F186:F187)*3</f>
        <v>80</v>
      </c>
      <c r="D109" s="81"/>
      <c r="E109" s="82">
        <f>SUM(F134:F139)+SUM(F141:F146)*5+SUM(F148:F153)*2+SUM(F155:F160)+SUM(F162:F167)+SUM(F169:F170,F172:F173)+SUM(F176:F177,F179:F180)+SUM(F183:F184,F186:F187)*3</f>
        <v>57187.183715999985</v>
      </c>
      <c r="F109" s="82"/>
      <c r="G109" s="82">
        <f>SUM(H134:H139)+SUM(H141:H146)*5+SUM(H148:H153)*2+SUM(H155:H160)+SUM(H162:H167)+SUM(H169:H170,H172:H173)+SUM(H176:H177,H179:H180)+SUM(H183:H184,H186:H187)*3</f>
        <v>85780.775573999999</v>
      </c>
      <c r="H109" s="82"/>
      <c r="T109"/>
    </row>
    <row r="110" spans="1:22" s="34" customFormat="1" ht="16.5" thickBot="1" x14ac:dyDescent="0.3">
      <c r="A110" s="170" t="s">
        <v>163</v>
      </c>
      <c r="B110" s="171"/>
      <c r="C110" s="172">
        <f>C106+C109</f>
        <v>90</v>
      </c>
      <c r="D110" s="172"/>
      <c r="E110" s="90">
        <f>E106+E109</f>
        <v>61588.680191999985</v>
      </c>
      <c r="F110" s="90"/>
      <c r="G110" s="90">
        <f>G106+G109</f>
        <v>94834.775573999999</v>
      </c>
      <c r="H110" s="90"/>
    </row>
    <row r="111" spans="1:22" s="33" customFormat="1" x14ac:dyDescent="0.25">
      <c r="A111" s="114" t="s">
        <v>54</v>
      </c>
      <c r="B111" s="114"/>
      <c r="C111" s="114"/>
      <c r="D111" s="114"/>
      <c r="E111" s="114"/>
      <c r="F111" s="114"/>
      <c r="G111" s="114"/>
      <c r="H111" s="114"/>
      <c r="T111" s="34"/>
    </row>
    <row r="112" spans="1:22" x14ac:dyDescent="0.25">
      <c r="A112" s="190" t="s">
        <v>171</v>
      </c>
      <c r="B112" s="190"/>
      <c r="C112" s="190"/>
      <c r="D112" s="190"/>
      <c r="E112" s="190"/>
      <c r="F112" s="190"/>
      <c r="G112" s="190"/>
      <c r="H112" s="190"/>
      <c r="T112" s="34"/>
    </row>
    <row r="113" spans="1:20" ht="47.25" customHeight="1" x14ac:dyDescent="0.25">
      <c r="A113" s="88" t="s">
        <v>116</v>
      </c>
      <c r="B113" s="88" t="s">
        <v>173</v>
      </c>
      <c r="C113" s="88" t="s">
        <v>55</v>
      </c>
      <c r="D113" s="88" t="s">
        <v>228</v>
      </c>
      <c r="E113" s="77" t="s">
        <v>345</v>
      </c>
      <c r="F113" s="88" t="s">
        <v>56</v>
      </c>
      <c r="G113" s="77" t="s">
        <v>57</v>
      </c>
      <c r="H113" s="67" t="s">
        <v>350</v>
      </c>
      <c r="T113" s="34"/>
    </row>
    <row r="114" spans="1:20" s="36" customFormat="1" hidden="1" x14ac:dyDescent="0.25">
      <c r="A114" s="89"/>
      <c r="B114" s="89"/>
      <c r="C114" s="89"/>
      <c r="D114" s="89"/>
      <c r="E114" s="78"/>
      <c r="F114" s="89"/>
      <c r="G114" s="78"/>
      <c r="H114" s="62">
        <v>0.55000000000000004</v>
      </c>
      <c r="I114" s="41">
        <v>10.763999999999999</v>
      </c>
      <c r="T114" s="33"/>
    </row>
    <row r="115" spans="1:20" s="36" customFormat="1" x14ac:dyDescent="0.25">
      <c r="A115" s="111" t="s">
        <v>321</v>
      </c>
      <c r="B115" s="112"/>
      <c r="C115" s="112"/>
      <c r="D115" s="112"/>
      <c r="E115" s="112"/>
      <c r="F115" s="112"/>
      <c r="G115" s="112"/>
      <c r="H115" s="113"/>
      <c r="J115" s="35"/>
      <c r="L115" s="69"/>
      <c r="M115" s="69"/>
      <c r="T115" s="20"/>
    </row>
    <row r="116" spans="1:20" s="36" customFormat="1" ht="15.75" customHeight="1" x14ac:dyDescent="0.25">
      <c r="A116" s="115">
        <v>1</v>
      </c>
      <c r="B116" s="116"/>
      <c r="C116" s="41" t="s">
        <v>322</v>
      </c>
      <c r="D116" s="41">
        <f>(45.199)*10.764</f>
        <v>486.52203599999996</v>
      </c>
      <c r="E116" s="60">
        <v>0</v>
      </c>
      <c r="F116" s="41">
        <f>D116+E116</f>
        <v>486.52203599999996</v>
      </c>
      <c r="G116" s="41">
        <v>0</v>
      </c>
      <c r="H116" s="69">
        <v>1032</v>
      </c>
      <c r="I116" s="61">
        <f>3.65*12.37</f>
        <v>45.150499999999994</v>
      </c>
      <c r="J116" s="36">
        <f>H116/F116</f>
        <v>2.1211783303480218</v>
      </c>
      <c r="L116" s="69">
        <v>1032</v>
      </c>
      <c r="M116" s="69"/>
      <c r="N116" s="61">
        <f>L116/F116</f>
        <v>2.1211783303480218</v>
      </c>
      <c r="T116" s="20"/>
    </row>
    <row r="117" spans="1:20" s="36" customFormat="1" ht="15.75" customHeight="1" x14ac:dyDescent="0.25">
      <c r="A117" s="115">
        <f>A116+1</f>
        <v>2</v>
      </c>
      <c r="B117" s="116"/>
      <c r="C117" s="41" t="s">
        <v>322</v>
      </c>
      <c r="D117" s="41">
        <f>(42.628)*10.764</f>
        <v>458.84779199999997</v>
      </c>
      <c r="E117" s="60">
        <v>0</v>
      </c>
      <c r="F117" s="41">
        <f>D117+E117</f>
        <v>458.84779199999997</v>
      </c>
      <c r="G117" s="41">
        <v>0</v>
      </c>
      <c r="H117" s="69">
        <v>973</v>
      </c>
      <c r="I117" s="35"/>
      <c r="J117" s="36">
        <f t="shared" ref="J117:J126" si="2">H117/F117</f>
        <v>2.1205288920732128</v>
      </c>
      <c r="L117" s="69">
        <v>973</v>
      </c>
      <c r="M117" s="69"/>
      <c r="N117" s="61">
        <f t="shared" ref="N117:N120" si="3">L117/F117</f>
        <v>2.1205288920732128</v>
      </c>
    </row>
    <row r="118" spans="1:20" s="36" customFormat="1" ht="15.75" customHeight="1" x14ac:dyDescent="0.25">
      <c r="A118" s="115">
        <f>A117+1</f>
        <v>3</v>
      </c>
      <c r="B118" s="116"/>
      <c r="C118" s="41" t="s">
        <v>322</v>
      </c>
      <c r="D118" s="41">
        <f>(41.563)*10.764</f>
        <v>447.38413200000002</v>
      </c>
      <c r="E118" s="60">
        <v>0</v>
      </c>
      <c r="F118" s="41">
        <f>D118+E118</f>
        <v>447.38413200000002</v>
      </c>
      <c r="G118" s="41">
        <v>0</v>
      </c>
      <c r="H118" s="69">
        <v>949</v>
      </c>
      <c r="I118" s="61">
        <f>3.36*12.37</f>
        <v>41.563199999999995</v>
      </c>
      <c r="J118" s="36">
        <f t="shared" si="2"/>
        <v>2.1212196234085474</v>
      </c>
      <c r="L118" s="69">
        <v>949</v>
      </c>
      <c r="M118" s="69"/>
      <c r="N118" s="61">
        <f t="shared" si="3"/>
        <v>2.1212196234085474</v>
      </c>
    </row>
    <row r="119" spans="1:20" s="36" customFormat="1" ht="15.75" customHeight="1" x14ac:dyDescent="0.25">
      <c r="A119" s="115">
        <f>A118+1</f>
        <v>4</v>
      </c>
      <c r="B119" s="116"/>
      <c r="C119" s="41" t="s">
        <v>322</v>
      </c>
      <c r="D119" s="41">
        <f>(41.563)*10.764</f>
        <v>447.38413200000002</v>
      </c>
      <c r="E119" s="60">
        <v>0</v>
      </c>
      <c r="F119" s="41">
        <f>D119+E119</f>
        <v>447.38413200000002</v>
      </c>
      <c r="G119" s="41">
        <v>0</v>
      </c>
      <c r="H119" s="69">
        <v>949</v>
      </c>
      <c r="I119" s="35"/>
      <c r="J119" s="36">
        <f t="shared" si="2"/>
        <v>2.1212196234085474</v>
      </c>
      <c r="L119" s="69">
        <v>949</v>
      </c>
      <c r="M119" s="69"/>
      <c r="N119" s="61">
        <f t="shared" si="3"/>
        <v>2.1212196234085474</v>
      </c>
    </row>
    <row r="120" spans="1:20" s="36" customFormat="1" ht="15.75" customHeight="1" x14ac:dyDescent="0.25">
      <c r="A120" s="115">
        <f>A119+1</f>
        <v>5</v>
      </c>
      <c r="B120" s="116"/>
      <c r="C120" s="41" t="s">
        <v>322</v>
      </c>
      <c r="D120" s="41">
        <f>(34.018)*10.764</f>
        <v>366.16975199999996</v>
      </c>
      <c r="E120" s="60">
        <v>0</v>
      </c>
      <c r="F120" s="41">
        <f>D120+E120</f>
        <v>366.16975199999996</v>
      </c>
      <c r="G120" s="41">
        <v>0</v>
      </c>
      <c r="H120" s="69">
        <v>777</v>
      </c>
      <c r="I120" s="35"/>
      <c r="J120" s="36">
        <f t="shared" si="2"/>
        <v>2.1219666445851053</v>
      </c>
      <c r="L120" s="69">
        <v>777</v>
      </c>
      <c r="M120" s="69"/>
      <c r="N120" s="61">
        <f t="shared" si="3"/>
        <v>2.1219666445851053</v>
      </c>
    </row>
    <row r="121" spans="1:20" s="36" customFormat="1" x14ac:dyDescent="0.25">
      <c r="A121" s="111" t="s">
        <v>324</v>
      </c>
      <c r="B121" s="112"/>
      <c r="C121" s="112"/>
      <c r="D121" s="112"/>
      <c r="E121" s="112"/>
      <c r="F121" s="112"/>
      <c r="G121" s="112"/>
      <c r="H121" s="113"/>
      <c r="J121" s="36" t="e">
        <f t="shared" si="2"/>
        <v>#DIV/0!</v>
      </c>
      <c r="L121" s="69"/>
      <c r="M121" s="69"/>
      <c r="N121" s="35"/>
      <c r="T121" s="20"/>
    </row>
    <row r="122" spans="1:20" s="36" customFormat="1" ht="15.75" customHeight="1" x14ac:dyDescent="0.25">
      <c r="A122" s="115">
        <v>1</v>
      </c>
      <c r="B122" s="116"/>
      <c r="C122" s="41" t="s">
        <v>323</v>
      </c>
      <c r="D122" s="41">
        <f>(41.512)*10.764</f>
        <v>446.83516799999995</v>
      </c>
      <c r="E122" s="60">
        <v>0</v>
      </c>
      <c r="F122" s="41">
        <f>D122+E122</f>
        <v>446.83516799999995</v>
      </c>
      <c r="G122" s="41">
        <v>0</v>
      </c>
      <c r="H122" s="69">
        <v>890</v>
      </c>
      <c r="I122" s="35"/>
      <c r="J122" s="36">
        <f t="shared" si="2"/>
        <v>1.9917859285417752</v>
      </c>
      <c r="L122" s="69">
        <v>890</v>
      </c>
      <c r="M122" s="69"/>
      <c r="N122" s="65">
        <f>L122/F122</f>
        <v>1.9917859285417752</v>
      </c>
      <c r="T122" s="20"/>
    </row>
    <row r="123" spans="1:20" s="36" customFormat="1" ht="15.75" customHeight="1" x14ac:dyDescent="0.25">
      <c r="A123" s="115">
        <f>A122+1</f>
        <v>2</v>
      </c>
      <c r="B123" s="116"/>
      <c r="C123" s="41" t="s">
        <v>323</v>
      </c>
      <c r="D123" s="41">
        <f>(39.16)*10.764</f>
        <v>421.51823999999993</v>
      </c>
      <c r="E123" s="60">
        <v>0</v>
      </c>
      <c r="F123" s="41">
        <f>D123+E123</f>
        <v>421.51823999999993</v>
      </c>
      <c r="G123" s="41">
        <v>0</v>
      </c>
      <c r="H123" s="69">
        <v>840</v>
      </c>
      <c r="I123" s="35"/>
      <c r="J123" s="36">
        <f t="shared" si="2"/>
        <v>1.9927963259668198</v>
      </c>
      <c r="L123" s="69">
        <v>840</v>
      </c>
      <c r="M123" s="69"/>
      <c r="N123" s="65">
        <f t="shared" ref="N123:N126" si="4">L123/F123</f>
        <v>1.9927963259668198</v>
      </c>
    </row>
    <row r="124" spans="1:20" s="36" customFormat="1" ht="15.75" customHeight="1" x14ac:dyDescent="0.25">
      <c r="A124" s="115">
        <f>A123+1</f>
        <v>3</v>
      </c>
      <c r="B124" s="116"/>
      <c r="C124" s="41" t="s">
        <v>323</v>
      </c>
      <c r="D124" s="41">
        <f>(38.185)*10.764</f>
        <v>411.02334000000002</v>
      </c>
      <c r="E124" s="60">
        <v>0</v>
      </c>
      <c r="F124" s="41">
        <f>D124+E124</f>
        <v>411.02334000000002</v>
      </c>
      <c r="G124" s="41">
        <v>0</v>
      </c>
      <c r="H124" s="69">
        <v>819</v>
      </c>
      <c r="I124" s="35"/>
      <c r="J124" s="36">
        <f t="shared" si="2"/>
        <v>1.992587574223887</v>
      </c>
      <c r="L124" s="69">
        <v>819</v>
      </c>
      <c r="M124" s="69"/>
      <c r="N124" s="65">
        <f t="shared" si="4"/>
        <v>1.992587574223887</v>
      </c>
    </row>
    <row r="125" spans="1:20" s="36" customFormat="1" ht="15.75" customHeight="1" x14ac:dyDescent="0.25">
      <c r="A125" s="115">
        <f>A124+1</f>
        <v>4</v>
      </c>
      <c r="B125" s="116"/>
      <c r="C125" s="41" t="s">
        <v>323</v>
      </c>
      <c r="D125" s="41">
        <f>(38.185)*10.764</f>
        <v>411.02334000000002</v>
      </c>
      <c r="E125" s="60">
        <v>0</v>
      </c>
      <c r="F125" s="41">
        <f>D125+E125</f>
        <v>411.02334000000002</v>
      </c>
      <c r="G125" s="41">
        <v>0</v>
      </c>
      <c r="H125" s="69">
        <v>819</v>
      </c>
      <c r="I125" s="35"/>
      <c r="J125" s="36">
        <f t="shared" si="2"/>
        <v>1.992587574223887</v>
      </c>
      <c r="L125" s="69">
        <v>819</v>
      </c>
      <c r="M125" s="69"/>
      <c r="N125" s="65">
        <f t="shared" si="4"/>
        <v>1.992587574223887</v>
      </c>
    </row>
    <row r="126" spans="1:20" s="36" customFormat="1" ht="15.75" customHeight="1" x14ac:dyDescent="0.25">
      <c r="A126" s="115">
        <f>A125+1</f>
        <v>5</v>
      </c>
      <c r="B126" s="116"/>
      <c r="C126" s="41" t="s">
        <v>323</v>
      </c>
      <c r="D126" s="41">
        <f>(46.896)*10.764</f>
        <v>504.788544</v>
      </c>
      <c r="E126" s="60">
        <v>0</v>
      </c>
      <c r="F126" s="41">
        <f>D126+E126</f>
        <v>504.788544</v>
      </c>
      <c r="G126" s="41">
        <v>0</v>
      </c>
      <c r="H126" s="69">
        <v>1006</v>
      </c>
      <c r="I126" s="35"/>
      <c r="J126" s="36">
        <f t="shared" si="2"/>
        <v>1.9929136902124307</v>
      </c>
      <c r="L126" s="69">
        <v>1006</v>
      </c>
      <c r="M126" s="69"/>
      <c r="N126" s="65">
        <f t="shared" si="4"/>
        <v>1.9929136902124307</v>
      </c>
    </row>
    <row r="127" spans="1:20" s="36" customFormat="1" x14ac:dyDescent="0.25">
      <c r="A127" s="115"/>
      <c r="B127" s="196"/>
      <c r="C127" s="196"/>
      <c r="D127" s="196"/>
      <c r="E127" s="196"/>
      <c r="F127" s="196"/>
      <c r="G127" s="196"/>
      <c r="H127" s="116"/>
      <c r="I127" s="35"/>
      <c r="N127" s="35"/>
    </row>
    <row r="128" spans="1:20" ht="47.25" customHeight="1" x14ac:dyDescent="0.25">
      <c r="A128" s="197" t="s">
        <v>117</v>
      </c>
      <c r="B128" s="88" t="s">
        <v>174</v>
      </c>
      <c r="C128" s="88" t="s">
        <v>55</v>
      </c>
      <c r="D128" s="88" t="s">
        <v>228</v>
      </c>
      <c r="E128" s="88" t="s">
        <v>330</v>
      </c>
      <c r="F128" s="88" t="s">
        <v>56</v>
      </c>
      <c r="G128" s="77" t="s">
        <v>57</v>
      </c>
      <c r="H128" s="67" t="s">
        <v>146</v>
      </c>
      <c r="I128" s="35"/>
      <c r="T128" s="36"/>
    </row>
    <row r="129" spans="1:20" s="36" customFormat="1" x14ac:dyDescent="0.25">
      <c r="A129" s="198"/>
      <c r="B129" s="89"/>
      <c r="C129" s="89"/>
      <c r="D129" s="89"/>
      <c r="E129" s="89"/>
      <c r="F129" s="89"/>
      <c r="G129" s="78"/>
      <c r="H129" s="68">
        <v>0.5</v>
      </c>
      <c r="I129" s="35"/>
      <c r="K129" s="63" t="s">
        <v>344</v>
      </c>
    </row>
    <row r="130" spans="1:20" s="36" customFormat="1" x14ac:dyDescent="0.25">
      <c r="A130" s="111" t="s">
        <v>348</v>
      </c>
      <c r="B130" s="112"/>
      <c r="C130" s="112"/>
      <c r="D130" s="112"/>
      <c r="E130" s="112"/>
      <c r="F130" s="112"/>
      <c r="G130" s="112"/>
      <c r="H130" s="113"/>
      <c r="I130" s="41">
        <v>10.763999999999999</v>
      </c>
      <c r="J130" s="35"/>
    </row>
    <row r="131" spans="1:20" s="36" customFormat="1" x14ac:dyDescent="0.25">
      <c r="A131" s="111" t="s">
        <v>325</v>
      </c>
      <c r="B131" s="112"/>
      <c r="C131" s="112"/>
      <c r="D131" s="112"/>
      <c r="E131" s="112"/>
      <c r="F131" s="112"/>
      <c r="G131" s="112"/>
      <c r="H131" s="113"/>
      <c r="I131" s="41">
        <v>10.763999999999999</v>
      </c>
      <c r="J131" s="35"/>
    </row>
    <row r="132" spans="1:20" s="36" customFormat="1" x14ac:dyDescent="0.25">
      <c r="A132" s="111" t="s">
        <v>326</v>
      </c>
      <c r="B132" s="112"/>
      <c r="C132" s="112"/>
      <c r="D132" s="112"/>
      <c r="E132" s="112"/>
      <c r="F132" s="112"/>
      <c r="G132" s="112"/>
      <c r="H132" s="113"/>
      <c r="J132" s="35"/>
    </row>
    <row r="133" spans="1:20" s="36" customFormat="1" x14ac:dyDescent="0.25">
      <c r="A133" s="111" t="s">
        <v>327</v>
      </c>
      <c r="B133" s="112"/>
      <c r="C133" s="112"/>
      <c r="D133" s="112"/>
      <c r="E133" s="112"/>
      <c r="F133" s="112"/>
      <c r="G133" s="112"/>
      <c r="H133" s="113"/>
      <c r="J133" s="35"/>
    </row>
    <row r="134" spans="1:20" s="36" customFormat="1" ht="15.75" customHeight="1" x14ac:dyDescent="0.25">
      <c r="A134" s="115">
        <v>1</v>
      </c>
      <c r="B134" s="116"/>
      <c r="C134" s="41" t="s">
        <v>328</v>
      </c>
      <c r="D134" s="41">
        <f>(75.141)*10.764</f>
        <v>808.817724</v>
      </c>
      <c r="E134" s="41">
        <f>(1.2*3.36+1*2.45)*10.764</f>
        <v>69.772248000000005</v>
      </c>
      <c r="F134" s="41">
        <f>D134+E134</f>
        <v>878.58997199999999</v>
      </c>
      <c r="G134" s="41">
        <v>0</v>
      </c>
      <c r="H134" s="41">
        <f>F134*(($H$129)+1)+(IF(G134&lt;101,G134,IF(G134&lt;201,G134/2,IF(G134&lt;=301,G134/3,G134/4))))</f>
        <v>1317.8849580000001</v>
      </c>
      <c r="I134" s="35">
        <f>3.36*5.2+3.36*1.55+3.05*2.45+2.75*3.66+3.05*3.66+3.05*3.66+1.2*2.36+1.2*2.36+1.2*2.14+2.6*1</f>
        <v>73.375499999999974</v>
      </c>
      <c r="J134" s="36">
        <v>1659</v>
      </c>
      <c r="K134" s="61">
        <f>J134/F134</f>
        <v>1.8882528288178551</v>
      </c>
      <c r="L134" s="195"/>
      <c r="M134" s="195"/>
      <c r="N134" s="35"/>
      <c r="T134" s="20"/>
    </row>
    <row r="135" spans="1:20" s="36" customFormat="1" ht="15.75" customHeight="1" x14ac:dyDescent="0.25">
      <c r="A135" s="115">
        <f>A134+1</f>
        <v>2</v>
      </c>
      <c r="B135" s="116"/>
      <c r="C135" s="41" t="s">
        <v>328</v>
      </c>
      <c r="D135" s="41">
        <f>(75.158)*10.764</f>
        <v>809.00071199999991</v>
      </c>
      <c r="E135" s="41">
        <f>(1.2*3.36+1*2.45)*10.764</f>
        <v>69.772248000000005</v>
      </c>
      <c r="F135" s="41">
        <f>D135+E135</f>
        <v>878.7729599999999</v>
      </c>
      <c r="G135" s="41">
        <v>0</v>
      </c>
      <c r="H135" s="41">
        <f>F135*(($H$129)+1)+(IF(G135&lt;101,G135,IF(G135&lt;201,G135/2,IF(G135&lt;=301,G135/3,G135/4))))</f>
        <v>1318.1594399999999</v>
      </c>
      <c r="I135" s="35"/>
      <c r="J135" s="36">
        <v>1659</v>
      </c>
      <c r="K135" s="61">
        <f t="shared" ref="K135:K146" si="5">J135/F135</f>
        <v>1.8878596355536477</v>
      </c>
      <c r="L135" s="195"/>
      <c r="M135" s="195"/>
      <c r="N135" s="35"/>
    </row>
    <row r="136" spans="1:20" s="36" customFormat="1" ht="15.75" customHeight="1" x14ac:dyDescent="0.25">
      <c r="A136" s="115">
        <f>A135+1</f>
        <v>3</v>
      </c>
      <c r="B136" s="116"/>
      <c r="C136" s="41" t="s">
        <v>329</v>
      </c>
      <c r="D136" s="41">
        <f>(53.499)*10.764</f>
        <v>575.86323600000003</v>
      </c>
      <c r="E136" s="41">
        <v>0</v>
      </c>
      <c r="F136" s="41">
        <f>D136+E136</f>
        <v>575.86323600000003</v>
      </c>
      <c r="G136" s="41">
        <v>0</v>
      </c>
      <c r="H136" s="41">
        <f>F136*(($H$129)+1)+(IF(G136&lt;101,G136,IF(G136&lt;201,G136/2,IF(G136&lt;=301,G136/3,G136/4))))</f>
        <v>863.79485399999999</v>
      </c>
      <c r="I136" s="35">
        <f>4.7*3.05+2.4*2.14+3.05*2.75+3.36*3.05+1.2*2.45+2.06*1.22+2.54*2.2+2.6*1</f>
        <v>51.747699999999995</v>
      </c>
      <c r="J136" s="36">
        <v>1163</v>
      </c>
      <c r="K136" s="61">
        <f t="shared" si="5"/>
        <v>2.0195767454757259</v>
      </c>
      <c r="L136" s="195"/>
      <c r="M136" s="195"/>
      <c r="N136" s="35"/>
    </row>
    <row r="137" spans="1:20" s="36" customFormat="1" ht="15.75" customHeight="1" x14ac:dyDescent="0.25">
      <c r="A137" s="115">
        <f>A136+1</f>
        <v>4</v>
      </c>
      <c r="B137" s="116"/>
      <c r="C137" s="41" t="s">
        <v>329</v>
      </c>
      <c r="D137" s="41">
        <f>(53.954)*10.764</f>
        <v>580.76085599999999</v>
      </c>
      <c r="E137" s="41">
        <f>(3.05*1.2+2.14)*10.764</f>
        <v>62.431199999999997</v>
      </c>
      <c r="F137" s="41">
        <f>D137+E137</f>
        <v>643.19205599999998</v>
      </c>
      <c r="G137" s="41">
        <v>0</v>
      </c>
      <c r="H137" s="41">
        <f>F137*(($H$129)+1)+(IF(G137&lt;101,G137,IF(G137&lt;201,G137/2,IF(G137&lt;=301,G137/3,G137/4))))</f>
        <v>964.78808400000003</v>
      </c>
      <c r="I137" s="35"/>
      <c r="J137" s="36">
        <v>1341</v>
      </c>
      <c r="K137" s="61">
        <f t="shared" si="5"/>
        <v>2.0849138099429512</v>
      </c>
      <c r="L137" s="195"/>
      <c r="M137" s="195"/>
      <c r="N137" s="35"/>
    </row>
    <row r="138" spans="1:20" s="36" customFormat="1" ht="15.75" customHeight="1" x14ac:dyDescent="0.25">
      <c r="A138" s="115">
        <f t="shared" ref="A138:A139" si="6">A137+1</f>
        <v>5</v>
      </c>
      <c r="B138" s="116"/>
      <c r="C138" s="41" t="s">
        <v>329</v>
      </c>
      <c r="D138" s="41">
        <f>(53.9)*10.764</f>
        <v>580.17959999999994</v>
      </c>
      <c r="E138" s="41">
        <f>(3.05*1.2+2.14)*10.764</f>
        <v>62.431199999999997</v>
      </c>
      <c r="F138" s="41">
        <f t="shared" ref="F138:F139" si="7">D138+E138</f>
        <v>642.61079999999993</v>
      </c>
      <c r="G138" s="41">
        <v>0</v>
      </c>
      <c r="H138" s="41">
        <f t="shared" ref="H138:H139" si="8">F138*(($H$129)+1)+(IF(G138&lt;101,G138,IF(G138&lt;201,G138/2,IF(G138&lt;=301,G138/3,G138/4))))</f>
        <v>963.91619999999989</v>
      </c>
      <c r="I138" s="35"/>
      <c r="J138" s="36">
        <v>1294</v>
      </c>
      <c r="K138" s="61">
        <f t="shared" si="5"/>
        <v>2.013660523601533</v>
      </c>
      <c r="L138" s="195"/>
      <c r="M138" s="195"/>
      <c r="N138" s="35"/>
    </row>
    <row r="139" spans="1:20" s="36" customFormat="1" ht="15.75" customHeight="1" x14ac:dyDescent="0.25">
      <c r="A139" s="115">
        <f t="shared" si="6"/>
        <v>6</v>
      </c>
      <c r="B139" s="116"/>
      <c r="C139" s="41" t="s">
        <v>329</v>
      </c>
      <c r="D139" s="41">
        <f>(53.751)*10.764</f>
        <v>578.57576399999994</v>
      </c>
      <c r="E139" s="41">
        <v>0</v>
      </c>
      <c r="F139" s="41">
        <f t="shared" si="7"/>
        <v>578.57576399999994</v>
      </c>
      <c r="G139" s="41">
        <v>0</v>
      </c>
      <c r="H139" s="41">
        <f t="shared" si="8"/>
        <v>867.8636459999999</v>
      </c>
      <c r="I139" s="35"/>
      <c r="J139" s="36">
        <v>1165</v>
      </c>
      <c r="K139" s="61">
        <f t="shared" si="5"/>
        <v>2.0135651585986589</v>
      </c>
      <c r="L139" s="195"/>
      <c r="M139" s="195"/>
      <c r="N139" s="35"/>
    </row>
    <row r="140" spans="1:20" s="36" customFormat="1" x14ac:dyDescent="0.25">
      <c r="A140" s="111" t="s">
        <v>333</v>
      </c>
      <c r="B140" s="112"/>
      <c r="C140" s="112"/>
      <c r="D140" s="112"/>
      <c r="E140" s="112"/>
      <c r="F140" s="112"/>
      <c r="G140" s="112"/>
      <c r="H140" s="113"/>
      <c r="J140" s="35"/>
    </row>
    <row r="141" spans="1:20" s="36" customFormat="1" ht="15.75" customHeight="1" x14ac:dyDescent="0.25">
      <c r="A141" s="115">
        <v>1</v>
      </c>
      <c r="B141" s="116"/>
      <c r="C141" s="41" t="s">
        <v>328</v>
      </c>
      <c r="D141" s="41">
        <f>(75.141)*10.764</f>
        <v>808.817724</v>
      </c>
      <c r="E141" s="41">
        <f>(1.2*3.36+1*2.45)*10.764</f>
        <v>69.772248000000005</v>
      </c>
      <c r="F141" s="41">
        <f>D141+E141</f>
        <v>878.58997199999999</v>
      </c>
      <c r="G141" s="41">
        <v>0</v>
      </c>
      <c r="H141" s="41">
        <f>F141*(($H$129)+1)+(IF(G141&lt;101,G141,IF(G141&lt;201,G141/2,IF(G141&lt;=301,G141/3,G141/4))))</f>
        <v>1317.8849580000001</v>
      </c>
      <c r="I141" s="35"/>
      <c r="J141" s="36">
        <v>1659</v>
      </c>
      <c r="K141" s="61">
        <f t="shared" si="5"/>
        <v>1.8882528288178551</v>
      </c>
      <c r="L141" s="195"/>
      <c r="M141" s="195"/>
      <c r="N141" s="35"/>
      <c r="T141" s="20"/>
    </row>
    <row r="142" spans="1:20" s="36" customFormat="1" ht="15.75" customHeight="1" x14ac:dyDescent="0.25">
      <c r="A142" s="115">
        <f>A141+1</f>
        <v>2</v>
      </c>
      <c r="B142" s="116"/>
      <c r="C142" s="41" t="s">
        <v>328</v>
      </c>
      <c r="D142" s="41">
        <f>(75.158)*10.764</f>
        <v>809.00071199999991</v>
      </c>
      <c r="E142" s="41">
        <f>(1.2*3.36+1*2.45)*10.764</f>
        <v>69.772248000000005</v>
      </c>
      <c r="F142" s="41">
        <f>D142+E142</f>
        <v>878.7729599999999</v>
      </c>
      <c r="G142" s="41">
        <v>0</v>
      </c>
      <c r="H142" s="41">
        <f>F142*(($H$129)+1)+(IF(G142&lt;101,G142,IF(G142&lt;201,G142/2,IF(G142&lt;=301,G142/3,G142/4))))</f>
        <v>1318.1594399999999</v>
      </c>
      <c r="I142" s="35"/>
      <c r="J142" s="36">
        <v>1659</v>
      </c>
      <c r="K142" s="61">
        <f t="shared" si="5"/>
        <v>1.8878596355536477</v>
      </c>
      <c r="L142" s="195"/>
      <c r="M142" s="195"/>
      <c r="N142" s="35"/>
    </row>
    <row r="143" spans="1:20" s="36" customFormat="1" ht="15.75" customHeight="1" x14ac:dyDescent="0.25">
      <c r="A143" s="115">
        <f>A142+1</f>
        <v>3</v>
      </c>
      <c r="B143" s="116"/>
      <c r="C143" s="41" t="s">
        <v>329</v>
      </c>
      <c r="D143" s="41">
        <f>(53.499)*10.764</f>
        <v>575.86323600000003</v>
      </c>
      <c r="E143" s="41">
        <v>0</v>
      </c>
      <c r="F143" s="41">
        <f>D143+E143</f>
        <v>575.86323600000003</v>
      </c>
      <c r="G143" s="41">
        <v>0</v>
      </c>
      <c r="H143" s="41">
        <f>F143*(($H$129)+1)+(IF(G143&lt;101,G143,IF(G143&lt;201,G143/2,IF(G143&lt;=301,G143/3,G143/4))))</f>
        <v>863.79485399999999</v>
      </c>
      <c r="I143" s="35"/>
      <c r="J143" s="36">
        <v>1163</v>
      </c>
      <c r="K143" s="61">
        <f t="shared" si="5"/>
        <v>2.0195767454757259</v>
      </c>
      <c r="L143" s="195"/>
      <c r="M143" s="195"/>
      <c r="N143" s="35"/>
    </row>
    <row r="144" spans="1:20" s="36" customFormat="1" ht="15.75" customHeight="1" x14ac:dyDescent="0.25">
      <c r="A144" s="115">
        <f>A143+1</f>
        <v>4</v>
      </c>
      <c r="B144" s="116"/>
      <c r="C144" s="41" t="s">
        <v>329</v>
      </c>
      <c r="D144" s="41">
        <f>(53.954)*10.764</f>
        <v>580.76085599999999</v>
      </c>
      <c r="E144" s="41">
        <f>(3.05*1.2+2.14)*10.764</f>
        <v>62.431199999999997</v>
      </c>
      <c r="F144" s="41">
        <f>D144+E144</f>
        <v>643.19205599999998</v>
      </c>
      <c r="G144" s="41">
        <v>0</v>
      </c>
      <c r="H144" s="41">
        <f>F144*(($H$129)+1)+(IF(G144&lt;101,G144,IF(G144&lt;201,G144/2,IF(G144&lt;=301,G144/3,G144/4))))</f>
        <v>964.78808400000003</v>
      </c>
      <c r="I144" s="35"/>
      <c r="J144" s="36">
        <v>1183</v>
      </c>
      <c r="K144" s="61">
        <f t="shared" si="5"/>
        <v>1.8392640098154447</v>
      </c>
      <c r="L144" s="195"/>
      <c r="M144" s="195"/>
      <c r="N144" s="35"/>
    </row>
    <row r="145" spans="1:20" s="36" customFormat="1" ht="15.75" customHeight="1" x14ac:dyDescent="0.25">
      <c r="A145" s="115">
        <f t="shared" ref="A145:A146" si="9">A144+1</f>
        <v>5</v>
      </c>
      <c r="B145" s="116"/>
      <c r="C145" s="41" t="s">
        <v>329</v>
      </c>
      <c r="D145" s="41">
        <f>(53.9)*10.764</f>
        <v>580.17959999999994</v>
      </c>
      <c r="E145" s="41">
        <f>(3.05*1.2+2.14)*10.764</f>
        <v>62.431199999999997</v>
      </c>
      <c r="F145" s="41">
        <f t="shared" ref="F145:F146" si="10">D145+E145</f>
        <v>642.61079999999993</v>
      </c>
      <c r="G145" s="41">
        <v>0</v>
      </c>
      <c r="H145" s="41">
        <f t="shared" ref="H145:H146" si="11">F145*(($H$129)+1)+(IF(G145&lt;101,G145,IF(G145&lt;201,G145/2,IF(G145&lt;=301,G145/3,G145/4))))</f>
        <v>963.91619999999989</v>
      </c>
      <c r="I145" s="35"/>
      <c r="J145" s="36">
        <v>1201</v>
      </c>
      <c r="K145" s="61">
        <f t="shared" si="5"/>
        <v>1.8689383994168789</v>
      </c>
      <c r="L145" s="195"/>
      <c r="M145" s="195"/>
      <c r="N145" s="35"/>
    </row>
    <row r="146" spans="1:20" s="36" customFormat="1" ht="15.75" customHeight="1" x14ac:dyDescent="0.25">
      <c r="A146" s="115">
        <f t="shared" si="9"/>
        <v>6</v>
      </c>
      <c r="B146" s="116"/>
      <c r="C146" s="41" t="s">
        <v>329</v>
      </c>
      <c r="D146" s="41">
        <f>(53.751)*10.764</f>
        <v>578.57576399999994</v>
      </c>
      <c r="E146" s="41">
        <v>0</v>
      </c>
      <c r="F146" s="41">
        <f t="shared" si="10"/>
        <v>578.57576399999994</v>
      </c>
      <c r="G146" s="41">
        <v>0</v>
      </c>
      <c r="H146" s="41">
        <f t="shared" si="11"/>
        <v>867.8636459999999</v>
      </c>
      <c r="I146" s="35"/>
      <c r="J146" s="36">
        <v>1165</v>
      </c>
      <c r="K146" s="61">
        <f t="shared" si="5"/>
        <v>2.0135651585986589</v>
      </c>
      <c r="L146" s="195"/>
      <c r="M146" s="195"/>
      <c r="N146" s="35"/>
    </row>
    <row r="147" spans="1:20" s="36" customFormat="1" x14ac:dyDescent="0.25">
      <c r="A147" s="111" t="s">
        <v>332</v>
      </c>
      <c r="B147" s="112"/>
      <c r="C147" s="112"/>
      <c r="D147" s="112"/>
      <c r="E147" s="112"/>
      <c r="F147" s="112"/>
      <c r="G147" s="112"/>
      <c r="H147" s="113"/>
      <c r="J147" s="35"/>
    </row>
    <row r="148" spans="1:20" s="36" customFormat="1" ht="15.75" customHeight="1" x14ac:dyDescent="0.25">
      <c r="A148" s="115">
        <v>1</v>
      </c>
      <c r="B148" s="116"/>
      <c r="C148" s="41" t="s">
        <v>328</v>
      </c>
      <c r="D148" s="41">
        <f>(75.141)*10.764</f>
        <v>808.817724</v>
      </c>
      <c r="E148" s="41">
        <f>(1.2*3.36+1*2.45)*10.764</f>
        <v>69.772248000000005</v>
      </c>
      <c r="F148" s="41">
        <f>D148+E148</f>
        <v>878.58997199999999</v>
      </c>
      <c r="G148" s="41">
        <v>0</v>
      </c>
      <c r="H148" s="41">
        <f>F148*(($H$129)+1)+(IF(G148&lt;101,G148,IF(G148&lt;201,G148/2,IF(G148&lt;=301,G148/3,G148/4))))</f>
        <v>1317.8849580000001</v>
      </c>
      <c r="I148" s="35"/>
      <c r="J148" s="36">
        <f>1600000/H148</f>
        <v>1214.0665164189543</v>
      </c>
      <c r="L148" s="195"/>
      <c r="M148" s="195"/>
      <c r="N148" s="35">
        <f>11700000*0.7</f>
        <v>8189999.9999999991</v>
      </c>
      <c r="O148" s="35">
        <f>12200000-N148</f>
        <v>4010000.0000000009</v>
      </c>
      <c r="T148" s="20"/>
    </row>
    <row r="149" spans="1:20" s="36" customFormat="1" ht="15.75" customHeight="1" x14ac:dyDescent="0.25">
      <c r="A149" s="115">
        <f>A148+1</f>
        <v>2</v>
      </c>
      <c r="B149" s="116"/>
      <c r="C149" s="41" t="s">
        <v>328</v>
      </c>
      <c r="D149" s="41">
        <f>(75.158)*10.764</f>
        <v>809.00071199999991</v>
      </c>
      <c r="E149" s="41">
        <f>(1.2*3.36+1*2.45)*10.764</f>
        <v>69.772248000000005</v>
      </c>
      <c r="F149" s="41">
        <f>D149+E149</f>
        <v>878.7729599999999</v>
      </c>
      <c r="G149" s="41">
        <v>0</v>
      </c>
      <c r="H149" s="41">
        <f>F149*(($H$129)+1)+(IF(G149&lt;101,G149,IF(G149&lt;201,G149/2,IF(G149&lt;=301,G149/3,G149/4))))</f>
        <v>1318.1594399999999</v>
      </c>
      <c r="I149" s="35"/>
      <c r="L149" s="195"/>
      <c r="M149" s="195"/>
      <c r="N149" s="35"/>
    </row>
    <row r="150" spans="1:20" s="36" customFormat="1" ht="15.75" customHeight="1" x14ac:dyDescent="0.25">
      <c r="A150" s="115">
        <f>A149+1</f>
        <v>3</v>
      </c>
      <c r="B150" s="116"/>
      <c r="C150" s="41" t="s">
        <v>329</v>
      </c>
      <c r="D150" s="41">
        <f>(53.499)*10.764</f>
        <v>575.86323600000003</v>
      </c>
      <c r="E150" s="41">
        <v>0</v>
      </c>
      <c r="F150" s="41">
        <f>D150+E150</f>
        <v>575.86323600000003</v>
      </c>
      <c r="G150" s="41">
        <v>0</v>
      </c>
      <c r="H150" s="41">
        <f>F150*(($H$129)+1)+(IF(G150&lt;101,G150,IF(G150&lt;201,G150/2,IF(G150&lt;=301,G150/3,G150/4))))</f>
        <v>863.79485399999999</v>
      </c>
      <c r="I150" s="35">
        <f>10500000/H150</f>
        <v>12155.663988245988</v>
      </c>
      <c r="J150" s="36">
        <f>12200000/H150</f>
        <v>14123.723872057242</v>
      </c>
      <c r="K150" s="36">
        <f>11700000/H150</f>
        <v>13544.882729759815</v>
      </c>
      <c r="L150" s="195"/>
      <c r="M150" s="195"/>
      <c r="N150" s="35">
        <f>L150/H150</f>
        <v>0</v>
      </c>
      <c r="O150" s="36">
        <f>N148/H150</f>
        <v>9481.4179108318694</v>
      </c>
    </row>
    <row r="151" spans="1:20" s="36" customFormat="1" ht="15.75" customHeight="1" x14ac:dyDescent="0.25">
      <c r="A151" s="115">
        <f>A150+1</f>
        <v>4</v>
      </c>
      <c r="B151" s="116"/>
      <c r="C151" s="41" t="s">
        <v>329</v>
      </c>
      <c r="D151" s="41">
        <f>(53.954)*10.764</f>
        <v>580.76085599999999</v>
      </c>
      <c r="E151" s="41">
        <f>(3.05*1.2+2.14)*10.764</f>
        <v>62.431199999999997</v>
      </c>
      <c r="F151" s="41">
        <f>D151+E151</f>
        <v>643.19205599999998</v>
      </c>
      <c r="G151" s="41">
        <v>0</v>
      </c>
      <c r="H151" s="41">
        <f>F151*(($H$129)+1)+(IF(G151&lt;101,G151,IF(G151&lt;201,G151/2,IF(G151&lt;=301,G151/3,G151/4))))</f>
        <v>964.78808400000003</v>
      </c>
      <c r="I151" s="35"/>
      <c r="J151" s="36">
        <f>12200000/H151</f>
        <v>12645.263972808354</v>
      </c>
      <c r="L151" s="195"/>
      <c r="M151" s="195"/>
      <c r="N151" s="35"/>
    </row>
    <row r="152" spans="1:20" s="36" customFormat="1" ht="15.75" customHeight="1" x14ac:dyDescent="0.25">
      <c r="A152" s="115">
        <f t="shared" ref="A152:A153" si="12">A151+1</f>
        <v>5</v>
      </c>
      <c r="B152" s="116"/>
      <c r="C152" s="41" t="s">
        <v>329</v>
      </c>
      <c r="D152" s="41">
        <f>(53.9)*10.764</f>
        <v>580.17959999999994</v>
      </c>
      <c r="E152" s="41">
        <f>(3.05*1.2+2.14)*10.764</f>
        <v>62.431199999999997</v>
      </c>
      <c r="F152" s="41">
        <f t="shared" ref="F152:F153" si="13">D152+E152</f>
        <v>642.61079999999993</v>
      </c>
      <c r="G152" s="41">
        <v>0</v>
      </c>
      <c r="H152" s="41">
        <f t="shared" ref="H152:H153" si="14">F152*(($H$129)+1)+(IF(G152&lt;101,G152,IF(G152&lt;201,G152/2,IF(G152&lt;=301,G152/3,G152/4))))</f>
        <v>963.91619999999989</v>
      </c>
      <c r="I152" s="35"/>
      <c r="L152" s="195"/>
      <c r="M152" s="195"/>
      <c r="N152" s="35"/>
    </row>
    <row r="153" spans="1:20" s="36" customFormat="1" ht="15.75" customHeight="1" x14ac:dyDescent="0.25">
      <c r="A153" s="115">
        <f t="shared" si="12"/>
        <v>6</v>
      </c>
      <c r="B153" s="116"/>
      <c r="C153" s="41" t="s">
        <v>329</v>
      </c>
      <c r="D153" s="41">
        <f>(53.751)*10.764</f>
        <v>578.57576399999994</v>
      </c>
      <c r="E153" s="41">
        <v>0</v>
      </c>
      <c r="F153" s="41">
        <f t="shared" si="13"/>
        <v>578.57576399999994</v>
      </c>
      <c r="G153" s="41">
        <v>0</v>
      </c>
      <c r="H153" s="41">
        <f t="shared" si="14"/>
        <v>867.8636459999999</v>
      </c>
      <c r="I153" s="35"/>
      <c r="L153" s="195"/>
      <c r="M153" s="195"/>
      <c r="N153" s="35"/>
    </row>
    <row r="154" spans="1:20" s="36" customFormat="1" x14ac:dyDescent="0.25">
      <c r="A154" s="111" t="s">
        <v>331</v>
      </c>
      <c r="B154" s="112"/>
      <c r="C154" s="112"/>
      <c r="D154" s="112"/>
      <c r="E154" s="112"/>
      <c r="F154" s="112"/>
      <c r="G154" s="112"/>
      <c r="H154" s="113"/>
      <c r="J154" s="35">
        <v>10000</v>
      </c>
    </row>
    <row r="155" spans="1:20" s="36" customFormat="1" ht="15.75" customHeight="1" x14ac:dyDescent="0.25">
      <c r="A155" s="115">
        <v>1</v>
      </c>
      <c r="B155" s="116"/>
      <c r="C155" s="41" t="s">
        <v>328</v>
      </c>
      <c r="D155" s="41">
        <f>(75.141)*10.764</f>
        <v>808.817724</v>
      </c>
      <c r="E155" s="41">
        <f>(1.2*3.36+1*2.45)*10.764</f>
        <v>69.772248000000005</v>
      </c>
      <c r="F155" s="41">
        <f>D155+E155</f>
        <v>878.58997199999999</v>
      </c>
      <c r="G155" s="41">
        <v>0</v>
      </c>
      <c r="H155" s="41">
        <f>F155*(($H$129)+1)+(IF(G155&lt;101,G155,IF(G155&lt;201,G155/2,IF(G155&lt;=301,G155/3,G155/4))))</f>
        <v>1317.8849580000001</v>
      </c>
      <c r="I155" s="35"/>
      <c r="J155" s="36">
        <f>J$154*H155</f>
        <v>13178849.58</v>
      </c>
      <c r="L155" s="195"/>
      <c r="M155" s="195"/>
      <c r="N155" s="35"/>
      <c r="T155" s="20"/>
    </row>
    <row r="156" spans="1:20" s="36" customFormat="1" ht="15.75" customHeight="1" x14ac:dyDescent="0.25">
      <c r="A156" s="115">
        <f>A155+1</f>
        <v>2</v>
      </c>
      <c r="B156" s="116"/>
      <c r="C156" s="41" t="s">
        <v>328</v>
      </c>
      <c r="D156" s="41">
        <f>(75.158)*10.764</f>
        <v>809.00071199999991</v>
      </c>
      <c r="E156" s="41">
        <f>(1.2*3.36+1*2.45)*10.764</f>
        <v>69.772248000000005</v>
      </c>
      <c r="F156" s="41">
        <f>D156+E156</f>
        <v>878.7729599999999</v>
      </c>
      <c r="G156" s="41">
        <v>0</v>
      </c>
      <c r="H156" s="41">
        <f>F156*(($H$129)+1)+(IF(G156&lt;101,G156,IF(G156&lt;201,G156/2,IF(G156&lt;=301,G156/3,G156/4))))</f>
        <v>1318.1594399999999</v>
      </c>
      <c r="I156" s="35"/>
      <c r="J156" s="36">
        <f t="shared" ref="J156:J160" si="15">J$154*H156</f>
        <v>13181594.399999999</v>
      </c>
      <c r="L156" s="195"/>
      <c r="M156" s="195"/>
      <c r="N156" s="35"/>
    </row>
    <row r="157" spans="1:20" s="36" customFormat="1" ht="15.75" customHeight="1" x14ac:dyDescent="0.25">
      <c r="A157" s="115">
        <f>A156+1</f>
        <v>3</v>
      </c>
      <c r="B157" s="116"/>
      <c r="C157" s="41" t="s">
        <v>329</v>
      </c>
      <c r="D157" s="66">
        <f>(51.125+2.373)*10.764</f>
        <v>575.85247199999992</v>
      </c>
      <c r="E157" s="41">
        <v>0</v>
      </c>
      <c r="F157" s="41">
        <f>D157+E157</f>
        <v>575.85247199999992</v>
      </c>
      <c r="G157" s="41">
        <v>0</v>
      </c>
      <c r="H157" s="41">
        <f>F157*(($H$129)+1)+(IF(G157&lt;101,G157,IF(G157&lt;201,G157/2,IF(G157&lt;=301,G157/3,G157/4))))</f>
        <v>863.77870799999982</v>
      </c>
      <c r="I157" s="35"/>
      <c r="J157" s="36">
        <f t="shared" si="15"/>
        <v>8637787.0799999982</v>
      </c>
      <c r="L157" s="195"/>
      <c r="M157" s="195"/>
      <c r="N157" s="35"/>
    </row>
    <row r="158" spans="1:20" s="36" customFormat="1" ht="15.75" customHeight="1" x14ac:dyDescent="0.25">
      <c r="A158" s="115">
        <f>A157+1</f>
        <v>4</v>
      </c>
      <c r="B158" s="116"/>
      <c r="C158" s="41" t="s">
        <v>329</v>
      </c>
      <c r="D158" s="41">
        <f>(53.954)*10.764</f>
        <v>580.76085599999999</v>
      </c>
      <c r="E158" s="41">
        <f>(3.05*1.2+2.14)*10.764</f>
        <v>62.431199999999997</v>
      </c>
      <c r="F158" s="41">
        <f>D158+E158</f>
        <v>643.19205599999998</v>
      </c>
      <c r="G158" s="41">
        <v>0</v>
      </c>
      <c r="H158" s="41">
        <f>F158*(($H$129)+1)+(IF(G158&lt;101,G158,IF(G158&lt;201,G158/2,IF(G158&lt;=301,G158/3,G158/4))))</f>
        <v>964.78808400000003</v>
      </c>
      <c r="I158" s="35"/>
      <c r="J158" s="36">
        <f t="shared" si="15"/>
        <v>9647880.8399999999</v>
      </c>
      <c r="L158" s="195"/>
      <c r="M158" s="195"/>
      <c r="N158" s="35"/>
    </row>
    <row r="159" spans="1:20" s="36" customFormat="1" ht="15.75" customHeight="1" x14ac:dyDescent="0.25">
      <c r="A159" s="115">
        <f t="shared" ref="A159:A160" si="16">A158+1</f>
        <v>5</v>
      </c>
      <c r="B159" s="116"/>
      <c r="C159" s="41" t="s">
        <v>329</v>
      </c>
      <c r="D159" s="41">
        <f>(53.9)*10.764</f>
        <v>580.17959999999994</v>
      </c>
      <c r="E159" s="41">
        <f>(3.05*1.2+2.14)*10.764</f>
        <v>62.431199999999997</v>
      </c>
      <c r="F159" s="41">
        <f t="shared" ref="F159:F160" si="17">D159+E159</f>
        <v>642.61079999999993</v>
      </c>
      <c r="G159" s="41">
        <v>0</v>
      </c>
      <c r="H159" s="41">
        <f t="shared" ref="H159:H160" si="18">F159*(($H$129)+1)+(IF(G159&lt;101,G159,IF(G159&lt;201,G159/2,IF(G159&lt;=301,G159/3,G159/4))))</f>
        <v>963.91619999999989</v>
      </c>
      <c r="I159" s="35"/>
      <c r="J159" s="36">
        <f t="shared" si="15"/>
        <v>9639161.9999999981</v>
      </c>
      <c r="L159" s="195"/>
      <c r="M159" s="195"/>
      <c r="N159" s="35"/>
    </row>
    <row r="160" spans="1:20" s="36" customFormat="1" ht="15.75" customHeight="1" x14ac:dyDescent="0.25">
      <c r="A160" s="115">
        <f t="shared" si="16"/>
        <v>6</v>
      </c>
      <c r="B160" s="116"/>
      <c r="C160" s="41" t="s">
        <v>329</v>
      </c>
      <c r="D160" s="41">
        <f>(53.751)*10.764</f>
        <v>578.57576399999994</v>
      </c>
      <c r="E160" s="41">
        <v>0</v>
      </c>
      <c r="F160" s="41">
        <f t="shared" si="17"/>
        <v>578.57576399999994</v>
      </c>
      <c r="G160" s="41">
        <v>0</v>
      </c>
      <c r="H160" s="41">
        <f t="shared" si="18"/>
        <v>867.8636459999999</v>
      </c>
      <c r="I160" s="35"/>
      <c r="J160" s="36">
        <f t="shared" si="15"/>
        <v>8678636.459999999</v>
      </c>
      <c r="L160" s="195"/>
      <c r="M160" s="195"/>
      <c r="N160" s="35"/>
    </row>
    <row r="161" spans="1:20" s="36" customFormat="1" x14ac:dyDescent="0.25">
      <c r="A161" s="111" t="s">
        <v>334</v>
      </c>
      <c r="B161" s="112"/>
      <c r="C161" s="112"/>
      <c r="D161" s="112"/>
      <c r="E161" s="112"/>
      <c r="F161" s="112"/>
      <c r="G161" s="112"/>
      <c r="H161" s="113"/>
      <c r="J161" s="35"/>
    </row>
    <row r="162" spans="1:20" s="36" customFormat="1" ht="15.75" customHeight="1" x14ac:dyDescent="0.25">
      <c r="A162" s="115">
        <v>1</v>
      </c>
      <c r="B162" s="116"/>
      <c r="C162" s="41" t="s">
        <v>328</v>
      </c>
      <c r="D162" s="41">
        <f>(75.141)*10.764</f>
        <v>808.817724</v>
      </c>
      <c r="E162" s="41">
        <f>(1.2*3.36+1*2.45)*10.764</f>
        <v>69.772248000000005</v>
      </c>
      <c r="F162" s="41">
        <f>D162+E162</f>
        <v>878.58997199999999</v>
      </c>
      <c r="G162" s="41">
        <v>0</v>
      </c>
      <c r="H162" s="41">
        <f>F162*(($H$129)+1)+(IF(G162&lt;101,G162,IF(G162&lt;201,G162/2,IF(G162&lt;=301,G162/3,G162/4))))</f>
        <v>1317.8849580000001</v>
      </c>
      <c r="I162" s="35">
        <f>15760500</f>
        <v>15760500</v>
      </c>
      <c r="J162" s="35">
        <f>I162-500000</f>
        <v>15260500</v>
      </c>
      <c r="K162" s="36" t="e">
        <f>J162*L160.7</f>
        <v>#NAME?</v>
      </c>
      <c r="L162" s="199" t="e">
        <f>J162-K162</f>
        <v>#NAME?</v>
      </c>
      <c r="M162" s="195"/>
      <c r="N162" s="35"/>
      <c r="T162" s="20"/>
    </row>
    <row r="163" spans="1:20" s="36" customFormat="1" ht="15.75" customHeight="1" x14ac:dyDescent="0.25">
      <c r="A163" s="115">
        <f>A162+1</f>
        <v>2</v>
      </c>
      <c r="B163" s="116"/>
      <c r="C163" s="41" t="s">
        <v>328</v>
      </c>
      <c r="D163" s="41">
        <f>(75.158)*10.764</f>
        <v>809.00071199999991</v>
      </c>
      <c r="E163" s="41">
        <f>(1.2*3.36+1*2.45)*10.764</f>
        <v>69.772248000000005</v>
      </c>
      <c r="F163" s="41">
        <f>D163+E163</f>
        <v>878.7729599999999</v>
      </c>
      <c r="G163" s="41">
        <v>0</v>
      </c>
      <c r="H163" s="41">
        <f>F163*(($H$129)+1)+(IF(G163&lt;101,G163,IF(G163&lt;201,G163/2,IF(G163&lt;=301,G163/3,G163/4))))</f>
        <v>1318.1594399999999</v>
      </c>
      <c r="I163" s="35"/>
      <c r="L163" s="195"/>
      <c r="M163" s="195"/>
      <c r="N163" s="35"/>
    </row>
    <row r="164" spans="1:20" s="36" customFormat="1" ht="15.75" customHeight="1" x14ac:dyDescent="0.25">
      <c r="A164" s="115">
        <f>A163+1</f>
        <v>3</v>
      </c>
      <c r="B164" s="116"/>
      <c r="C164" s="41" t="s">
        <v>329</v>
      </c>
      <c r="D164" s="41">
        <f>(43.49+9.574)*10.764</f>
        <v>571.18089599999996</v>
      </c>
      <c r="E164" s="41">
        <v>0</v>
      </c>
      <c r="F164" s="41">
        <f>D164+E164</f>
        <v>571.18089599999996</v>
      </c>
      <c r="G164" s="41">
        <v>0</v>
      </c>
      <c r="H164" s="41">
        <f>F164*(($H$129)+1)+(IF(G164&lt;101,G164,IF(G164&lt;201,G164/2,IF(G164&lt;=301,G164/3,G164/4))))</f>
        <v>856.771344</v>
      </c>
      <c r="I164" s="35"/>
      <c r="L164" s="195"/>
      <c r="M164" s="195"/>
      <c r="N164" s="35"/>
    </row>
    <row r="165" spans="1:20" s="36" customFormat="1" ht="15.75" customHeight="1" x14ac:dyDescent="0.25">
      <c r="A165" s="115">
        <f>A164+1</f>
        <v>4</v>
      </c>
      <c r="B165" s="116"/>
      <c r="C165" s="41" t="s">
        <v>329</v>
      </c>
      <c r="D165" s="41">
        <f>(53.954)*10.764</f>
        <v>580.76085599999999</v>
      </c>
      <c r="E165" s="41">
        <f>(3.05*1.2+2.14)*10.764</f>
        <v>62.431199999999997</v>
      </c>
      <c r="F165" s="41">
        <f>D165+E165</f>
        <v>643.19205599999998</v>
      </c>
      <c r="G165" s="41">
        <v>0</v>
      </c>
      <c r="H165" s="41">
        <f>F165*(($H$129)+1)+(IF(G165&lt;101,G165,IF(G165&lt;201,G165/2,IF(G165&lt;=301,G165/3,G165/4))))</f>
        <v>964.78808400000003</v>
      </c>
      <c r="I165" s="35"/>
      <c r="L165" s="195"/>
      <c r="M165" s="195"/>
      <c r="N165" s="35"/>
    </row>
    <row r="166" spans="1:20" s="36" customFormat="1" ht="15.75" customHeight="1" x14ac:dyDescent="0.25">
      <c r="A166" s="115">
        <f t="shared" ref="A166:A167" si="19">A165+1</f>
        <v>5</v>
      </c>
      <c r="B166" s="116"/>
      <c r="C166" s="41" t="s">
        <v>329</v>
      </c>
      <c r="D166" s="41">
        <f>(53.9)*10.764</f>
        <v>580.17959999999994</v>
      </c>
      <c r="E166" s="41">
        <f>(3.05*1.2+2.14)*10.764</f>
        <v>62.431199999999997</v>
      </c>
      <c r="F166" s="41">
        <f t="shared" ref="F166:F167" si="20">D166+E166</f>
        <v>642.61079999999993</v>
      </c>
      <c r="G166" s="41">
        <v>0</v>
      </c>
      <c r="H166" s="41">
        <f t="shared" ref="H166:H167" si="21">F166*(($H$129)+1)+(IF(G166&lt;101,G166,IF(G166&lt;201,G166/2,IF(G166&lt;=301,G166/3,G166/4))))</f>
        <v>963.91619999999989</v>
      </c>
      <c r="I166" s="35"/>
      <c r="L166" s="195"/>
      <c r="M166" s="195"/>
      <c r="N166" s="35"/>
    </row>
    <row r="167" spans="1:20" s="36" customFormat="1" ht="15.75" customHeight="1" x14ac:dyDescent="0.25">
      <c r="A167" s="115">
        <f t="shared" si="19"/>
        <v>6</v>
      </c>
      <c r="B167" s="116"/>
      <c r="C167" s="41" t="s">
        <v>329</v>
      </c>
      <c r="D167" s="41">
        <f>(53.751)*10.764</f>
        <v>578.57576399999994</v>
      </c>
      <c r="E167" s="41">
        <v>0</v>
      </c>
      <c r="F167" s="41">
        <f t="shared" si="20"/>
        <v>578.57576399999994</v>
      </c>
      <c r="G167" s="41">
        <v>0</v>
      </c>
      <c r="H167" s="41">
        <f t="shared" si="21"/>
        <v>867.8636459999999</v>
      </c>
      <c r="I167" s="35"/>
      <c r="L167" s="195"/>
      <c r="M167" s="195"/>
      <c r="N167" s="35"/>
    </row>
    <row r="168" spans="1:20" s="36" customFormat="1" x14ac:dyDescent="0.25">
      <c r="A168" s="111" t="s">
        <v>336</v>
      </c>
      <c r="B168" s="112"/>
      <c r="C168" s="112"/>
      <c r="D168" s="112"/>
      <c r="E168" s="112"/>
      <c r="F168" s="112"/>
      <c r="G168" s="112"/>
      <c r="H168" s="113"/>
      <c r="J168" s="35"/>
    </row>
    <row r="169" spans="1:20" s="36" customFormat="1" ht="15.75" customHeight="1" x14ac:dyDescent="0.25">
      <c r="A169" s="115">
        <v>1</v>
      </c>
      <c r="B169" s="116"/>
      <c r="C169" s="41" t="s">
        <v>328</v>
      </c>
      <c r="D169" s="41">
        <f>(75.141)*10.764</f>
        <v>808.817724</v>
      </c>
      <c r="E169" s="41">
        <f>(1.2*3.36+1*2.45)*10.764</f>
        <v>69.772248000000005</v>
      </c>
      <c r="F169" s="41">
        <f>D169+E169</f>
        <v>878.58997199999999</v>
      </c>
      <c r="G169" s="41">
        <v>0</v>
      </c>
      <c r="H169" s="41">
        <f>F169*(($H$129)+1)+(IF(G169&lt;101,G169,IF(G169&lt;201,G169/2,IF(G169&lt;=301,G169/3,G169/4))))</f>
        <v>1317.8849580000001</v>
      </c>
      <c r="I169" s="35"/>
      <c r="L169" s="195"/>
      <c r="M169" s="195"/>
      <c r="N169" s="35"/>
      <c r="T169" s="20"/>
    </row>
    <row r="170" spans="1:20" s="36" customFormat="1" ht="15.75" customHeight="1" x14ac:dyDescent="0.25">
      <c r="A170" s="115">
        <f>A169+1</f>
        <v>2</v>
      </c>
      <c r="B170" s="116"/>
      <c r="C170" s="41" t="s">
        <v>328</v>
      </c>
      <c r="D170" s="41">
        <f>(75.158)*10.764</f>
        <v>809.00071199999991</v>
      </c>
      <c r="E170" s="41">
        <f>(1.2*3.36+1*2.45)*10.764</f>
        <v>69.772248000000005</v>
      </c>
      <c r="F170" s="41">
        <f>D170+E170</f>
        <v>878.7729599999999</v>
      </c>
      <c r="G170" s="41">
        <v>0</v>
      </c>
      <c r="H170" s="41">
        <f>F170*(($H$129)+1)+(IF(G170&lt;101,G170,IF(G170&lt;201,G170/2,IF(G170&lt;=301,G170/3,G170/4))))</f>
        <v>1318.1594399999999</v>
      </c>
      <c r="I170" s="35"/>
      <c r="L170" s="195"/>
      <c r="M170" s="195"/>
      <c r="N170" s="35"/>
    </row>
    <row r="171" spans="1:20" s="36" customFormat="1" ht="15.75" customHeight="1" x14ac:dyDescent="0.25">
      <c r="A171" s="115">
        <f>A170+1</f>
        <v>3</v>
      </c>
      <c r="B171" s="116"/>
      <c r="C171" s="115" t="s">
        <v>335</v>
      </c>
      <c r="D171" s="196"/>
      <c r="E171" s="196"/>
      <c r="F171" s="196"/>
      <c r="G171" s="196"/>
      <c r="H171" s="116"/>
      <c r="I171" s="35"/>
      <c r="L171" s="195"/>
      <c r="M171" s="195"/>
      <c r="N171" s="35"/>
    </row>
    <row r="172" spans="1:20" s="36" customFormat="1" ht="15.75" customHeight="1" x14ac:dyDescent="0.25">
      <c r="A172" s="115">
        <f>A171+1</f>
        <v>4</v>
      </c>
      <c r="B172" s="116"/>
      <c r="C172" s="41" t="s">
        <v>329</v>
      </c>
      <c r="D172" s="41">
        <f>(53.954)*10.764</f>
        <v>580.76085599999999</v>
      </c>
      <c r="E172" s="41">
        <f>(3.05*1.2+2.14)*10.764</f>
        <v>62.431199999999997</v>
      </c>
      <c r="F172" s="41">
        <f>D172+E172</f>
        <v>643.19205599999998</v>
      </c>
      <c r="G172" s="41">
        <v>0</v>
      </c>
      <c r="H172" s="41">
        <f>F172*(($H$129)+1)+(IF(G172&lt;101,G172,IF(G172&lt;201,G172/2,IF(G172&lt;=301,G172/3,G172/4))))</f>
        <v>964.78808400000003</v>
      </c>
      <c r="I172" s="35"/>
      <c r="L172" s="195"/>
      <c r="M172" s="195"/>
      <c r="N172" s="35"/>
    </row>
    <row r="173" spans="1:20" s="36" customFormat="1" ht="15.75" customHeight="1" x14ac:dyDescent="0.25">
      <c r="A173" s="115">
        <f t="shared" ref="A173:A174" si="22">A172+1</f>
        <v>5</v>
      </c>
      <c r="B173" s="116"/>
      <c r="C173" s="41" t="s">
        <v>329</v>
      </c>
      <c r="D173" s="41">
        <f>(53.9)*10.764</f>
        <v>580.17959999999994</v>
      </c>
      <c r="E173" s="41">
        <f>(3.05*1.2+2.14)*10.764</f>
        <v>62.431199999999997</v>
      </c>
      <c r="F173" s="41">
        <f t="shared" ref="F173" si="23">D173+E173</f>
        <v>642.61079999999993</v>
      </c>
      <c r="G173" s="41">
        <v>0</v>
      </c>
      <c r="H173" s="41">
        <f>F173*(($H$129)+1)+(IF(G173&lt;101,G173,IF(G173&lt;201,G173/2,IF(G173&lt;=301,G173/3,G173/4))))</f>
        <v>963.91619999999989</v>
      </c>
      <c r="I173" s="35"/>
      <c r="L173" s="195"/>
      <c r="M173" s="195"/>
      <c r="N173" s="35"/>
    </row>
    <row r="174" spans="1:20" s="36" customFormat="1" ht="15.75" customHeight="1" x14ac:dyDescent="0.25">
      <c r="A174" s="115">
        <f t="shared" si="22"/>
        <v>6</v>
      </c>
      <c r="B174" s="116"/>
      <c r="C174" s="115" t="s">
        <v>335</v>
      </c>
      <c r="D174" s="196"/>
      <c r="E174" s="196"/>
      <c r="F174" s="196"/>
      <c r="G174" s="196"/>
      <c r="H174" s="116"/>
      <c r="I174" s="35"/>
      <c r="L174" s="195"/>
      <c r="M174" s="195"/>
      <c r="N174" s="35"/>
    </row>
    <row r="175" spans="1:20" s="36" customFormat="1" x14ac:dyDescent="0.25">
      <c r="A175" s="111" t="s">
        <v>349</v>
      </c>
      <c r="B175" s="112"/>
      <c r="C175" s="112"/>
      <c r="D175" s="112"/>
      <c r="E175" s="112"/>
      <c r="F175" s="112"/>
      <c r="G175" s="112"/>
      <c r="H175" s="113"/>
      <c r="J175" s="35"/>
    </row>
    <row r="176" spans="1:20" s="36" customFormat="1" ht="15.75" customHeight="1" x14ac:dyDescent="0.25">
      <c r="A176" s="115">
        <v>1</v>
      </c>
      <c r="B176" s="116"/>
      <c r="C176" s="41" t="s">
        <v>328</v>
      </c>
      <c r="D176" s="41">
        <f>(75.141)*10.764</f>
        <v>808.817724</v>
      </c>
      <c r="E176" s="41">
        <f>(1.2*3.36+1*2.45)*10.764</f>
        <v>69.772248000000005</v>
      </c>
      <c r="F176" s="41">
        <f>D176+E176</f>
        <v>878.58997199999999</v>
      </c>
      <c r="G176" s="41">
        <v>0</v>
      </c>
      <c r="H176" s="41">
        <f>F176*(($H$129)+1)+(IF(G176&lt;101,G176,IF(G176&lt;201,G176/2,IF(G176&lt;=301,G176/3,G176/4))))</f>
        <v>1317.8849580000001</v>
      </c>
      <c r="I176" s="35"/>
      <c r="L176" s="195"/>
      <c r="M176" s="195"/>
      <c r="N176" s="35"/>
      <c r="T176" s="20"/>
    </row>
    <row r="177" spans="1:20" s="36" customFormat="1" ht="15.75" customHeight="1" x14ac:dyDescent="0.25">
      <c r="A177" s="115">
        <f>A176+1</f>
        <v>2</v>
      </c>
      <c r="B177" s="116"/>
      <c r="C177" s="41" t="s">
        <v>328</v>
      </c>
      <c r="D177" s="41">
        <f>(75.158)*10.764</f>
        <v>809.00071199999991</v>
      </c>
      <c r="E177" s="41">
        <f>(1.2*3.36+1*2.45)*10.764</f>
        <v>69.772248000000005</v>
      </c>
      <c r="F177" s="41">
        <f>D177+E177</f>
        <v>878.7729599999999</v>
      </c>
      <c r="G177" s="41">
        <v>0</v>
      </c>
      <c r="H177" s="41">
        <f>F177*(($H$129)+1)+(IF(G177&lt;101,G177,IF(G177&lt;201,G177/2,IF(G177&lt;=301,G177/3,G177/4))))</f>
        <v>1318.1594399999999</v>
      </c>
      <c r="I177" s="35"/>
      <c r="L177" s="195"/>
      <c r="M177" s="195"/>
      <c r="N177" s="35"/>
    </row>
    <row r="178" spans="1:20" s="36" customFormat="1" ht="15.75" customHeight="1" x14ac:dyDescent="0.25">
      <c r="A178" s="115">
        <f>A177+1</f>
        <v>3</v>
      </c>
      <c r="B178" s="116"/>
      <c r="C178" s="115" t="s">
        <v>338</v>
      </c>
      <c r="D178" s="196"/>
      <c r="E178" s="196"/>
      <c r="F178" s="196"/>
      <c r="G178" s="196"/>
      <c r="H178" s="116"/>
      <c r="I178" s="35"/>
      <c r="L178" s="195"/>
      <c r="M178" s="195"/>
      <c r="N178" s="35"/>
    </row>
    <row r="179" spans="1:20" s="36" customFormat="1" ht="15.75" customHeight="1" x14ac:dyDescent="0.25">
      <c r="A179" s="115">
        <f>A178+1</f>
        <v>4</v>
      </c>
      <c r="B179" s="116"/>
      <c r="C179" s="41" t="s">
        <v>329</v>
      </c>
      <c r="D179" s="41">
        <f>(53.954)*10.764</f>
        <v>580.76085599999999</v>
      </c>
      <c r="E179" s="41">
        <f>(3.05*1.2+2.14)*10.764</f>
        <v>62.431199999999997</v>
      </c>
      <c r="F179" s="41">
        <f>D179+E179</f>
        <v>643.19205599999998</v>
      </c>
      <c r="G179" s="41">
        <v>0</v>
      </c>
      <c r="H179" s="41">
        <f>F179*(($H$129)+1)+(IF(G179&lt;101,G179,IF(G179&lt;201,G179/2,IF(G179&lt;=301,G179/3,G179/4))))</f>
        <v>964.78808400000003</v>
      </c>
      <c r="I179" s="35"/>
      <c r="L179" s="195"/>
      <c r="M179" s="195"/>
      <c r="N179" s="35"/>
    </row>
    <row r="180" spans="1:20" s="36" customFormat="1" ht="15.75" customHeight="1" x14ac:dyDescent="0.25">
      <c r="A180" s="115">
        <f t="shared" ref="A180:A181" si="24">A179+1</f>
        <v>5</v>
      </c>
      <c r="B180" s="116"/>
      <c r="C180" s="41" t="s">
        <v>329</v>
      </c>
      <c r="D180" s="41">
        <f>(53.9)*10.764</f>
        <v>580.17959999999994</v>
      </c>
      <c r="E180" s="41">
        <f>(3.05*1.2+2.14)*10.764</f>
        <v>62.431199999999997</v>
      </c>
      <c r="F180" s="41">
        <f t="shared" ref="F180" si="25">D180+E180</f>
        <v>642.61079999999993</v>
      </c>
      <c r="G180" s="41">
        <v>0</v>
      </c>
      <c r="H180" s="41">
        <f t="shared" ref="H180" si="26">F180*(($H$129)+1)+(IF(G180&lt;101,G180,IF(G180&lt;201,G180/2,IF(G180&lt;=301,G180/3,G180/4))))</f>
        <v>963.91619999999989</v>
      </c>
      <c r="I180" s="35"/>
      <c r="L180" s="195"/>
      <c r="M180" s="195"/>
      <c r="N180" s="35"/>
    </row>
    <row r="181" spans="1:20" s="36" customFormat="1" ht="15.75" customHeight="1" x14ac:dyDescent="0.25">
      <c r="A181" s="115">
        <f t="shared" si="24"/>
        <v>6</v>
      </c>
      <c r="B181" s="116"/>
      <c r="C181" s="115" t="s">
        <v>338</v>
      </c>
      <c r="D181" s="196"/>
      <c r="E181" s="196"/>
      <c r="F181" s="196"/>
      <c r="G181" s="196"/>
      <c r="H181" s="116"/>
      <c r="I181" s="35"/>
      <c r="L181" s="195"/>
      <c r="M181" s="195"/>
      <c r="N181" s="35"/>
    </row>
    <row r="182" spans="1:20" s="36" customFormat="1" x14ac:dyDescent="0.25">
      <c r="A182" s="111" t="s">
        <v>337</v>
      </c>
      <c r="B182" s="112"/>
      <c r="C182" s="112"/>
      <c r="D182" s="112"/>
      <c r="E182" s="112"/>
      <c r="F182" s="112"/>
      <c r="G182" s="112"/>
      <c r="H182" s="113"/>
      <c r="J182" s="35"/>
    </row>
    <row r="183" spans="1:20" s="36" customFormat="1" ht="15.75" customHeight="1" x14ac:dyDescent="0.25">
      <c r="A183" s="115">
        <v>1</v>
      </c>
      <c r="B183" s="116"/>
      <c r="C183" s="41" t="s">
        <v>328</v>
      </c>
      <c r="D183" s="41">
        <f>(75.141)*10.764</f>
        <v>808.817724</v>
      </c>
      <c r="E183" s="41">
        <f>(1.2*3.36+1*2.45)*10.764</f>
        <v>69.772248000000005</v>
      </c>
      <c r="F183" s="41">
        <f>D183+E183</f>
        <v>878.58997199999999</v>
      </c>
      <c r="G183" s="41">
        <v>0</v>
      </c>
      <c r="H183" s="41">
        <f>F183*(($H$129)+1)+(IF(G183&lt;101,G183,IF(G183&lt;201,G183/2,IF(G183&lt;=301,G183/3,G183/4))))</f>
        <v>1317.8849580000001</v>
      </c>
      <c r="I183" s="35"/>
      <c r="L183" s="195"/>
      <c r="M183" s="195"/>
      <c r="N183" s="35"/>
      <c r="T183" s="20"/>
    </row>
    <row r="184" spans="1:20" s="36" customFormat="1" ht="15.75" customHeight="1" x14ac:dyDescent="0.25">
      <c r="A184" s="115">
        <f>A183+1</f>
        <v>2</v>
      </c>
      <c r="B184" s="116"/>
      <c r="C184" s="41" t="s">
        <v>328</v>
      </c>
      <c r="D184" s="41">
        <f>(75.158)*10.764</f>
        <v>809.00071199999991</v>
      </c>
      <c r="E184" s="41">
        <f>(1.2*3.36+1*2.45)*10.764</f>
        <v>69.772248000000005</v>
      </c>
      <c r="F184" s="41">
        <f>D184+E184</f>
        <v>878.7729599999999</v>
      </c>
      <c r="G184" s="41">
        <v>0</v>
      </c>
      <c r="H184" s="41">
        <f>F184*(($H$129)+1)+(IF(G184&lt;101,G184,IF(G184&lt;201,G184/2,IF(G184&lt;=301,G184/3,G184/4))))</f>
        <v>1318.1594399999999</v>
      </c>
      <c r="I184" s="35"/>
      <c r="J184" s="36">
        <f>19-4</f>
        <v>15</v>
      </c>
      <c r="K184" s="36">
        <f>15*6-5*2</f>
        <v>80</v>
      </c>
      <c r="L184" s="195"/>
      <c r="M184" s="195"/>
      <c r="N184" s="35"/>
    </row>
    <row r="185" spans="1:20" s="36" customFormat="1" ht="15.75" customHeight="1" x14ac:dyDescent="0.25">
      <c r="A185" s="115">
        <f>A184+1</f>
        <v>3</v>
      </c>
      <c r="B185" s="116"/>
      <c r="C185" s="115" t="s">
        <v>338</v>
      </c>
      <c r="D185" s="196"/>
      <c r="E185" s="196"/>
      <c r="F185" s="196"/>
      <c r="G185" s="196"/>
      <c r="H185" s="116"/>
      <c r="I185" s="35"/>
      <c r="L185" s="195"/>
      <c r="M185" s="195"/>
      <c r="N185" s="35"/>
    </row>
    <row r="186" spans="1:20" s="36" customFormat="1" ht="15.75" customHeight="1" x14ac:dyDescent="0.25">
      <c r="A186" s="115">
        <f>A185+1</f>
        <v>4</v>
      </c>
      <c r="B186" s="116"/>
      <c r="C186" s="41" t="s">
        <v>329</v>
      </c>
      <c r="D186" s="41">
        <f>(53.954)*10.764</f>
        <v>580.76085599999999</v>
      </c>
      <c r="E186" s="41">
        <f>(3.05*1.2+2.14)*10.764</f>
        <v>62.431199999999997</v>
      </c>
      <c r="F186" s="41">
        <f>D186+E186</f>
        <v>643.19205599999998</v>
      </c>
      <c r="G186" s="41">
        <v>0</v>
      </c>
      <c r="H186" s="41">
        <f>F186*(($H$129)+1)+(IF(G186&lt;101,G186,IF(G186&lt;201,G186/2,IF(G186&lt;=301,G186/3,G186/4))))</f>
        <v>964.78808400000003</v>
      </c>
      <c r="I186" s="35"/>
      <c r="L186" s="195"/>
      <c r="M186" s="195"/>
      <c r="N186" s="35"/>
    </row>
    <row r="187" spans="1:20" s="36" customFormat="1" ht="15.75" customHeight="1" x14ac:dyDescent="0.25">
      <c r="A187" s="115">
        <f t="shared" ref="A187:A188" si="27">A186+1</f>
        <v>5</v>
      </c>
      <c r="B187" s="116"/>
      <c r="C187" s="41" t="s">
        <v>329</v>
      </c>
      <c r="D187" s="41">
        <f>(53.9)*10.764</f>
        <v>580.17959999999994</v>
      </c>
      <c r="E187" s="41">
        <f>(3.05*1.2+2.14)*10.764</f>
        <v>62.431199999999997</v>
      </c>
      <c r="F187" s="41">
        <f t="shared" ref="F187" si="28">D187+E187</f>
        <v>642.61079999999993</v>
      </c>
      <c r="G187" s="41">
        <v>0</v>
      </c>
      <c r="H187" s="41">
        <f t="shared" ref="H187" si="29">F187*(($H$129)+1)+(IF(G187&lt;101,G187,IF(G187&lt;201,G187/2,IF(G187&lt;=301,G187/3,G187/4))))</f>
        <v>963.91619999999989</v>
      </c>
      <c r="I187" s="35"/>
      <c r="L187" s="195"/>
      <c r="M187" s="195"/>
      <c r="N187" s="35"/>
    </row>
    <row r="188" spans="1:20" s="36" customFormat="1" ht="15.75" customHeight="1" x14ac:dyDescent="0.25">
      <c r="A188" s="115">
        <f t="shared" si="27"/>
        <v>6</v>
      </c>
      <c r="B188" s="116"/>
      <c r="C188" s="115" t="s">
        <v>338</v>
      </c>
      <c r="D188" s="196"/>
      <c r="E188" s="196"/>
      <c r="F188" s="196"/>
      <c r="G188" s="196"/>
      <c r="H188" s="116"/>
      <c r="I188" s="35"/>
      <c r="L188" s="195"/>
      <c r="M188" s="195"/>
      <c r="N188" s="35"/>
    </row>
    <row r="189" spans="1:20" s="34" customFormat="1" x14ac:dyDescent="0.25">
      <c r="A189" s="200" t="s">
        <v>65</v>
      </c>
      <c r="B189" s="200"/>
      <c r="C189" s="200"/>
      <c r="D189" s="200"/>
      <c r="E189" s="200"/>
      <c r="F189" s="200"/>
      <c r="G189" s="200"/>
      <c r="H189" s="200"/>
      <c r="T189" s="36"/>
    </row>
    <row r="190" spans="1:20" s="34" customFormat="1" x14ac:dyDescent="0.25">
      <c r="A190" s="45" t="s">
        <v>150</v>
      </c>
      <c r="B190" s="173" t="s">
        <v>360</v>
      </c>
      <c r="C190" s="174"/>
      <c r="D190" s="174"/>
      <c r="E190" s="174"/>
      <c r="F190" s="174"/>
      <c r="G190" s="174"/>
      <c r="H190" s="175"/>
      <c r="T190" s="36"/>
    </row>
    <row r="191" spans="1:20" s="34" customFormat="1" x14ac:dyDescent="0.25">
      <c r="A191" s="45" t="s">
        <v>150</v>
      </c>
      <c r="B191" s="173" t="str">
        <f>(IF(H128="Saleable area Loading :","We have considered Saleable area of Flats as per our Calculation.","We considered Saleable area of Flat as per Builder area Sheet."))</f>
        <v>We have considered Saleable area of Flats as per our Calculation.</v>
      </c>
      <c r="C191" s="174"/>
      <c r="D191" s="174"/>
      <c r="E191" s="174"/>
      <c r="F191" s="174"/>
      <c r="G191" s="174"/>
      <c r="H191" s="175"/>
      <c r="T191" s="36"/>
    </row>
    <row r="192" spans="1:20" s="34" customFormat="1" x14ac:dyDescent="0.25">
      <c r="A192" s="45" t="s">
        <v>150</v>
      </c>
      <c r="B192" s="173" t="str">
        <f>(IF(H113="Saleable area Loading :","We have considered Saleable area of Commercial as per our Calculation.","We considered Saleable area of Commercial as per Builder area Sheet."))</f>
        <v>We considered Saleable area of Commercial as per Builder area Sheet.</v>
      </c>
      <c r="C192" s="174"/>
      <c r="D192" s="174"/>
      <c r="E192" s="174"/>
      <c r="F192" s="174"/>
      <c r="G192" s="174"/>
      <c r="H192" s="175"/>
    </row>
    <row r="193" spans="1:20" s="34" customFormat="1" x14ac:dyDescent="0.25">
      <c r="A193" s="45" t="s">
        <v>150</v>
      </c>
      <c r="B193" s="72" t="s">
        <v>120</v>
      </c>
      <c r="C193" s="73"/>
      <c r="D193" s="73"/>
      <c r="E193" s="73"/>
      <c r="F193" s="73"/>
      <c r="G193" s="73"/>
      <c r="H193" s="74"/>
    </row>
    <row r="194" spans="1:20" s="34" customFormat="1" x14ac:dyDescent="0.25">
      <c r="A194" s="45" t="s">
        <v>150</v>
      </c>
      <c r="B194" s="72" t="s">
        <v>342</v>
      </c>
      <c r="C194" s="73"/>
      <c r="D194" s="73"/>
      <c r="E194" s="73"/>
      <c r="F194" s="73"/>
      <c r="G194" s="73"/>
      <c r="H194" s="74"/>
    </row>
    <row r="195" spans="1:20" s="34" customFormat="1" x14ac:dyDescent="0.25">
      <c r="A195" s="45" t="s">
        <v>150</v>
      </c>
      <c r="B195" s="72" t="s">
        <v>149</v>
      </c>
      <c r="C195" s="73"/>
      <c r="D195" s="73"/>
      <c r="E195" s="73"/>
      <c r="F195" s="73"/>
      <c r="G195" s="73"/>
      <c r="H195" s="74"/>
    </row>
    <row r="196" spans="1:20" s="34" customFormat="1" x14ac:dyDescent="0.25">
      <c r="A196" s="45" t="s">
        <v>150</v>
      </c>
      <c r="B196" s="72" t="s">
        <v>121</v>
      </c>
      <c r="C196" s="73"/>
      <c r="D196" s="73"/>
      <c r="E196" s="73"/>
      <c r="F196" s="73"/>
      <c r="G196" s="73"/>
      <c r="H196" s="74"/>
    </row>
    <row r="197" spans="1:20" s="34" customFormat="1" ht="34.5" customHeight="1" x14ac:dyDescent="0.25">
      <c r="A197" s="45" t="s">
        <v>150</v>
      </c>
      <c r="B197" s="72" t="s">
        <v>151</v>
      </c>
      <c r="C197" s="73"/>
      <c r="D197" s="73"/>
      <c r="E197" s="73"/>
      <c r="F197" s="73"/>
      <c r="G197" s="73"/>
      <c r="H197" s="74"/>
    </row>
    <row r="198" spans="1:20" s="34" customFormat="1" x14ac:dyDescent="0.25">
      <c r="A198" s="70" t="s">
        <v>150</v>
      </c>
      <c r="B198" s="72" t="s">
        <v>122</v>
      </c>
      <c r="C198" s="73"/>
      <c r="D198" s="73"/>
      <c r="E198" s="73"/>
      <c r="F198" s="73"/>
      <c r="G198" s="73"/>
      <c r="H198" s="74"/>
    </row>
    <row r="199" spans="1:20" s="34" customFormat="1" x14ac:dyDescent="0.25">
      <c r="A199" s="71" t="s">
        <v>150</v>
      </c>
      <c r="B199" s="72" t="s">
        <v>354</v>
      </c>
      <c r="C199" s="73"/>
      <c r="D199" s="73"/>
      <c r="E199" s="73"/>
      <c r="F199" s="73"/>
      <c r="G199" s="73"/>
      <c r="H199" s="74"/>
    </row>
    <row r="200" spans="1:20" s="34" customFormat="1" ht="32.25" customHeight="1" x14ac:dyDescent="0.25">
      <c r="A200" s="45" t="s">
        <v>150</v>
      </c>
      <c r="B200" s="72" t="s">
        <v>359</v>
      </c>
      <c r="C200" s="73"/>
      <c r="D200" s="73"/>
      <c r="E200" s="73"/>
      <c r="F200" s="73"/>
      <c r="G200" s="73"/>
      <c r="H200" s="74"/>
    </row>
    <row r="201" spans="1:20" x14ac:dyDescent="0.25">
      <c r="A201" s="161" t="s">
        <v>58</v>
      </c>
      <c r="B201" s="161"/>
      <c r="C201" s="161"/>
      <c r="D201" s="161"/>
      <c r="E201" s="161"/>
      <c r="F201" s="161"/>
      <c r="G201" s="161"/>
      <c r="H201" s="161"/>
      <c r="T201" s="34"/>
    </row>
    <row r="202" spans="1:20" x14ac:dyDescent="0.25">
      <c r="A202" s="79" t="s">
        <v>59</v>
      </c>
      <c r="B202" s="79"/>
      <c r="C202" s="79"/>
      <c r="D202" s="79"/>
      <c r="E202" s="79"/>
      <c r="F202" s="79"/>
      <c r="G202" s="79"/>
      <c r="H202" s="79"/>
      <c r="T202" s="34"/>
    </row>
    <row r="203" spans="1:20" ht="15.75" customHeight="1" x14ac:dyDescent="0.25">
      <c r="A203" s="169" t="s">
        <v>60</v>
      </c>
      <c r="B203" s="169"/>
      <c r="C203" s="169"/>
      <c r="D203" s="169"/>
      <c r="E203" s="169"/>
      <c r="F203" s="169"/>
      <c r="G203" s="169"/>
      <c r="H203" s="169"/>
      <c r="T203" s="34"/>
    </row>
    <row r="204" spans="1:20" x14ac:dyDescent="0.25">
      <c r="A204" s="79" t="s">
        <v>61</v>
      </c>
      <c r="B204" s="79"/>
      <c r="C204" s="79"/>
      <c r="D204" s="79"/>
      <c r="E204" s="79"/>
      <c r="F204" s="79"/>
      <c r="G204" s="79"/>
      <c r="H204" s="79"/>
    </row>
    <row r="205" spans="1:20" x14ac:dyDescent="0.25">
      <c r="A205" s="79" t="s">
        <v>62</v>
      </c>
      <c r="B205" s="79"/>
      <c r="C205" s="79"/>
      <c r="D205" s="79"/>
      <c r="E205" s="79"/>
      <c r="F205" s="79"/>
      <c r="G205" s="79"/>
      <c r="H205" s="79"/>
    </row>
    <row r="206" spans="1:20" x14ac:dyDescent="0.25">
      <c r="A206" s="79" t="s">
        <v>123</v>
      </c>
      <c r="B206" s="79"/>
      <c r="C206" s="79"/>
      <c r="D206" s="79"/>
      <c r="E206" s="79"/>
      <c r="F206" s="79"/>
      <c r="G206" s="79"/>
      <c r="H206" s="79"/>
    </row>
    <row r="207" spans="1:20" ht="33.950000000000003" customHeight="1" x14ac:dyDescent="0.25">
      <c r="A207" s="108" t="s">
        <v>124</v>
      </c>
      <c r="B207" s="108"/>
      <c r="C207" s="108"/>
      <c r="D207" s="108"/>
      <c r="E207" s="108"/>
      <c r="F207" s="108"/>
      <c r="G207" s="108"/>
      <c r="H207" s="108"/>
    </row>
    <row r="208" spans="1:20" x14ac:dyDescent="0.25">
      <c r="A208" s="158" t="s">
        <v>74</v>
      </c>
      <c r="B208" s="158"/>
      <c r="C208" s="158" t="s">
        <v>343</v>
      </c>
      <c r="D208" s="158"/>
      <c r="E208" s="158" t="s">
        <v>103</v>
      </c>
      <c r="F208" s="158"/>
      <c r="G208" s="158" t="s">
        <v>361</v>
      </c>
      <c r="H208" s="158"/>
    </row>
    <row r="209" spans="1:8" x14ac:dyDescent="0.25">
      <c r="A209" s="157" t="s">
        <v>76</v>
      </c>
      <c r="B209" s="157"/>
      <c r="C209" s="157"/>
      <c r="D209" s="157"/>
      <c r="E209" s="157"/>
      <c r="F209" s="157"/>
      <c r="G209" s="157"/>
      <c r="H209" s="157"/>
    </row>
    <row r="210" spans="1:8" x14ac:dyDescent="0.25">
      <c r="A210" s="157"/>
      <c r="B210" s="157"/>
      <c r="C210" s="157"/>
      <c r="D210" s="157"/>
      <c r="E210" s="157"/>
      <c r="F210" s="157"/>
      <c r="G210" s="157"/>
      <c r="H210" s="157"/>
    </row>
    <row r="211" spans="1:8" x14ac:dyDescent="0.25">
      <c r="A211" s="157"/>
      <c r="B211" s="157"/>
      <c r="C211" s="157"/>
      <c r="D211" s="157"/>
      <c r="E211" s="157"/>
      <c r="F211" s="157"/>
      <c r="G211" s="157"/>
      <c r="H211" s="157"/>
    </row>
    <row r="212" spans="1:8" x14ac:dyDescent="0.25">
      <c r="A212" s="157"/>
      <c r="B212" s="157"/>
      <c r="C212" s="157"/>
      <c r="D212" s="157"/>
      <c r="E212" s="157"/>
      <c r="F212" s="157"/>
      <c r="G212" s="157"/>
      <c r="H212" s="157"/>
    </row>
    <row r="213" spans="1:8" x14ac:dyDescent="0.25">
      <c r="A213" s="37" t="s">
        <v>63</v>
      </c>
      <c r="B213" s="38"/>
      <c r="C213" s="38"/>
      <c r="D213" s="37" t="str">
        <f>E9</f>
        <v>Mass Insignia</v>
      </c>
      <c r="F213" s="38"/>
      <c r="G213" s="38"/>
      <c r="H213" s="38"/>
    </row>
    <row r="214" spans="1:8" x14ac:dyDescent="0.25">
      <c r="A214" s="38"/>
      <c r="B214" s="38"/>
      <c r="C214" s="38"/>
      <c r="D214" s="38"/>
      <c r="E214" s="38"/>
      <c r="F214" s="38"/>
      <c r="G214" s="38"/>
      <c r="H214" s="38"/>
    </row>
    <row r="215" spans="1:8" x14ac:dyDescent="0.25">
      <c r="A215" s="38"/>
      <c r="B215" s="38"/>
      <c r="C215" s="38"/>
      <c r="D215" s="38"/>
      <c r="E215" s="38"/>
      <c r="F215" s="38"/>
      <c r="G215" s="38"/>
      <c r="H215" s="38"/>
    </row>
    <row r="216" spans="1:8" ht="15" customHeight="1" x14ac:dyDescent="0.25"/>
    <row r="257" spans="1:1" x14ac:dyDescent="0.25">
      <c r="A257" s="64" t="s">
        <v>160</v>
      </c>
    </row>
    <row r="301" spans="1:1" x14ac:dyDescent="0.25">
      <c r="A301" s="40" t="s">
        <v>64</v>
      </c>
    </row>
  </sheetData>
  <mergeCells count="398">
    <mergeCell ref="A181:B181"/>
    <mergeCell ref="C181:H181"/>
    <mergeCell ref="L181:M181"/>
    <mergeCell ref="A182:H182"/>
    <mergeCell ref="A183:B183"/>
    <mergeCell ref="L183:M183"/>
    <mergeCell ref="A184:B184"/>
    <mergeCell ref="L184:M184"/>
    <mergeCell ref="B198:H198"/>
    <mergeCell ref="A185:B185"/>
    <mergeCell ref="C185:H185"/>
    <mergeCell ref="L185:M185"/>
    <mergeCell ref="A186:B186"/>
    <mergeCell ref="L186:M186"/>
    <mergeCell ref="A187:B187"/>
    <mergeCell ref="L187:M187"/>
    <mergeCell ref="A188:B188"/>
    <mergeCell ref="C188:H188"/>
    <mergeCell ref="L188:M188"/>
    <mergeCell ref="B197:H197"/>
    <mergeCell ref="B195:H195"/>
    <mergeCell ref="A189:H189"/>
    <mergeCell ref="A177:B177"/>
    <mergeCell ref="L177:M177"/>
    <mergeCell ref="A178:B178"/>
    <mergeCell ref="C178:H178"/>
    <mergeCell ref="L178:M178"/>
    <mergeCell ref="A179:B179"/>
    <mergeCell ref="L179:M179"/>
    <mergeCell ref="A180:B180"/>
    <mergeCell ref="L180:M180"/>
    <mergeCell ref="A173:B173"/>
    <mergeCell ref="L173:M173"/>
    <mergeCell ref="A174:B174"/>
    <mergeCell ref="L174:M174"/>
    <mergeCell ref="C171:H171"/>
    <mergeCell ref="C174:H174"/>
    <mergeCell ref="A175:H175"/>
    <mergeCell ref="A176:B176"/>
    <mergeCell ref="L176:M176"/>
    <mergeCell ref="L167:M167"/>
    <mergeCell ref="A168:H168"/>
    <mergeCell ref="A169:B169"/>
    <mergeCell ref="L169:M169"/>
    <mergeCell ref="A170:B170"/>
    <mergeCell ref="L170:M170"/>
    <mergeCell ref="A171:B171"/>
    <mergeCell ref="L171:M171"/>
    <mergeCell ref="A172:B172"/>
    <mergeCell ref="L172:M172"/>
    <mergeCell ref="L162:M162"/>
    <mergeCell ref="A163:B163"/>
    <mergeCell ref="L163:M163"/>
    <mergeCell ref="A164:B164"/>
    <mergeCell ref="L164:M164"/>
    <mergeCell ref="A165:B165"/>
    <mergeCell ref="L165:M165"/>
    <mergeCell ref="A166:B166"/>
    <mergeCell ref="L166:M166"/>
    <mergeCell ref="L156:M156"/>
    <mergeCell ref="A157:B157"/>
    <mergeCell ref="L157:M157"/>
    <mergeCell ref="A158:B158"/>
    <mergeCell ref="L158:M158"/>
    <mergeCell ref="A159:B159"/>
    <mergeCell ref="L159:M159"/>
    <mergeCell ref="A160:B160"/>
    <mergeCell ref="L160:M160"/>
    <mergeCell ref="L145:M145"/>
    <mergeCell ref="A146:B146"/>
    <mergeCell ref="L146:M146"/>
    <mergeCell ref="A154:H154"/>
    <mergeCell ref="A155:B155"/>
    <mergeCell ref="L155:M155"/>
    <mergeCell ref="A147:H147"/>
    <mergeCell ref="A148:B148"/>
    <mergeCell ref="L148:M148"/>
    <mergeCell ref="A149:B149"/>
    <mergeCell ref="L149:M149"/>
    <mergeCell ref="A150:B150"/>
    <mergeCell ref="L150:M150"/>
    <mergeCell ref="A151:B151"/>
    <mergeCell ref="L151:M151"/>
    <mergeCell ref="A152:B152"/>
    <mergeCell ref="L152:M152"/>
    <mergeCell ref="A153:B153"/>
    <mergeCell ref="L153:M153"/>
    <mergeCell ref="L139:M139"/>
    <mergeCell ref="A140:H140"/>
    <mergeCell ref="A141:B141"/>
    <mergeCell ref="L141:M141"/>
    <mergeCell ref="A142:B142"/>
    <mergeCell ref="L142:M142"/>
    <mergeCell ref="A143:B143"/>
    <mergeCell ref="L143:M143"/>
    <mergeCell ref="A144:B144"/>
    <mergeCell ref="L144:M144"/>
    <mergeCell ref="L138:M138"/>
    <mergeCell ref="A120:B120"/>
    <mergeCell ref="A121:H121"/>
    <mergeCell ref="A122:B122"/>
    <mergeCell ref="A123:B123"/>
    <mergeCell ref="A124:B124"/>
    <mergeCell ref="L137:M137"/>
    <mergeCell ref="L134:M134"/>
    <mergeCell ref="L135:M135"/>
    <mergeCell ref="L136:M136"/>
    <mergeCell ref="A130:H130"/>
    <mergeCell ref="A134:B134"/>
    <mergeCell ref="A127:H127"/>
    <mergeCell ref="A128:A129"/>
    <mergeCell ref="F128:F129"/>
    <mergeCell ref="A125:B125"/>
    <mergeCell ref="I15:P15"/>
    <mergeCell ref="F99:H99"/>
    <mergeCell ref="F97:H97"/>
    <mergeCell ref="A112:H112"/>
    <mergeCell ref="G103:H103"/>
    <mergeCell ref="A98:E98"/>
    <mergeCell ref="A117:B117"/>
    <mergeCell ref="A62:B62"/>
    <mergeCell ref="C62:E62"/>
    <mergeCell ref="D64:H64"/>
    <mergeCell ref="F98:H98"/>
    <mergeCell ref="E103:F103"/>
    <mergeCell ref="A103:B103"/>
    <mergeCell ref="A105:B105"/>
    <mergeCell ref="C108:D108"/>
    <mergeCell ref="D72:H72"/>
    <mergeCell ref="A73:C73"/>
    <mergeCell ref="E43:H43"/>
    <mergeCell ref="A43:D43"/>
    <mergeCell ref="A84:B84"/>
    <mergeCell ref="A50:B50"/>
    <mergeCell ref="C50:E50"/>
    <mergeCell ref="G50:H50"/>
    <mergeCell ref="G52:H52"/>
    <mergeCell ref="A51:B51"/>
    <mergeCell ref="A63:H63"/>
    <mergeCell ref="A64:C64"/>
    <mergeCell ref="A65:C65"/>
    <mergeCell ref="D65:H65"/>
    <mergeCell ref="G62:H62"/>
    <mergeCell ref="A54:B55"/>
    <mergeCell ref="C54:E54"/>
    <mergeCell ref="G54:H54"/>
    <mergeCell ref="A56:B57"/>
    <mergeCell ref="C56:E56"/>
    <mergeCell ref="G56:H56"/>
    <mergeCell ref="A58:B59"/>
    <mergeCell ref="C58:E58"/>
    <mergeCell ref="G58:H58"/>
    <mergeCell ref="G51:H51"/>
    <mergeCell ref="A52:B53"/>
    <mergeCell ref="C53:H53"/>
    <mergeCell ref="C52:E52"/>
    <mergeCell ref="A60:B61"/>
    <mergeCell ref="C60:E60"/>
    <mergeCell ref="G60:H60"/>
    <mergeCell ref="C61:H61"/>
    <mergeCell ref="A67:C67"/>
    <mergeCell ref="D67:H67"/>
    <mergeCell ref="C51:E51"/>
    <mergeCell ref="A206:H206"/>
    <mergeCell ref="A203:H203"/>
    <mergeCell ref="A108:B108"/>
    <mergeCell ref="D128:D129"/>
    <mergeCell ref="E128:E129"/>
    <mergeCell ref="F90:H90"/>
    <mergeCell ref="G104:H104"/>
    <mergeCell ref="F96:H96"/>
    <mergeCell ref="C103:D103"/>
    <mergeCell ref="A131:H131"/>
    <mergeCell ref="A116:B116"/>
    <mergeCell ref="A110:B110"/>
    <mergeCell ref="C110:D110"/>
    <mergeCell ref="E110:F110"/>
    <mergeCell ref="B200:H200"/>
    <mergeCell ref="B196:H196"/>
    <mergeCell ref="B192:H192"/>
    <mergeCell ref="B190:H190"/>
    <mergeCell ref="B191:H191"/>
    <mergeCell ref="B193:H193"/>
    <mergeCell ref="B194:H194"/>
    <mergeCell ref="A209:H212"/>
    <mergeCell ref="A208:B208"/>
    <mergeCell ref="E208:F208"/>
    <mergeCell ref="C208:D208"/>
    <mergeCell ref="G208:H208"/>
    <mergeCell ref="A102:H102"/>
    <mergeCell ref="A100:E100"/>
    <mergeCell ref="F100:H100"/>
    <mergeCell ref="A101:E101"/>
    <mergeCell ref="F101:H101"/>
    <mergeCell ref="A109:B109"/>
    <mergeCell ref="A104:B104"/>
    <mergeCell ref="A204:H204"/>
    <mergeCell ref="A107:H107"/>
    <mergeCell ref="A207:H207"/>
    <mergeCell ref="A205:H205"/>
    <mergeCell ref="A201:H201"/>
    <mergeCell ref="G108:H108"/>
    <mergeCell ref="C113:C114"/>
    <mergeCell ref="B128:B129"/>
    <mergeCell ref="A202:H202"/>
    <mergeCell ref="A135:B135"/>
    <mergeCell ref="A136:B136"/>
    <mergeCell ref="A137:B137"/>
    <mergeCell ref="A82:B82"/>
    <mergeCell ref="E78:F78"/>
    <mergeCell ref="A71:C71"/>
    <mergeCell ref="D71:H71"/>
    <mergeCell ref="A74:C74"/>
    <mergeCell ref="D74:H74"/>
    <mergeCell ref="A72:C72"/>
    <mergeCell ref="D73:H73"/>
    <mergeCell ref="A79:B79"/>
    <mergeCell ref="G78:H78"/>
    <mergeCell ref="E79:F88"/>
    <mergeCell ref="G79:H88"/>
    <mergeCell ref="A87:B87"/>
    <mergeCell ref="A88:B88"/>
    <mergeCell ref="A85:B85"/>
    <mergeCell ref="A86:B8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A42:D42"/>
    <mergeCell ref="E42:H42"/>
    <mergeCell ref="A41:H41"/>
    <mergeCell ref="A68:C68"/>
    <mergeCell ref="A69:C69"/>
    <mergeCell ref="D68:H68"/>
    <mergeCell ref="D69:H69"/>
    <mergeCell ref="A44:D44"/>
    <mergeCell ref="E44:H44"/>
    <mergeCell ref="E45:H45"/>
    <mergeCell ref="E46:H46"/>
    <mergeCell ref="E47:H47"/>
    <mergeCell ref="C57:H57"/>
    <mergeCell ref="C59:H59"/>
    <mergeCell ref="A39:B39"/>
    <mergeCell ref="C39:H39"/>
    <mergeCell ref="A46:D46"/>
    <mergeCell ref="A47:D47"/>
    <mergeCell ref="A48:H48"/>
    <mergeCell ref="D66:H66"/>
    <mergeCell ref="A66:C66"/>
    <mergeCell ref="A90:E90"/>
    <mergeCell ref="A115:H115"/>
    <mergeCell ref="E113:E114"/>
    <mergeCell ref="F89:H89"/>
    <mergeCell ref="F94:H94"/>
    <mergeCell ref="A119:B119"/>
    <mergeCell ref="A118:B118"/>
    <mergeCell ref="A95:E95"/>
    <mergeCell ref="F95:H95"/>
    <mergeCell ref="A97:E97"/>
    <mergeCell ref="F92:H92"/>
    <mergeCell ref="A96:E96"/>
    <mergeCell ref="E106:F106"/>
    <mergeCell ref="E108:F108"/>
    <mergeCell ref="A111:H111"/>
    <mergeCell ref="F91:H91"/>
    <mergeCell ref="A91:E91"/>
    <mergeCell ref="D113:D114"/>
    <mergeCell ref="A93:E93"/>
    <mergeCell ref="A92:E92"/>
    <mergeCell ref="A89:E89"/>
    <mergeCell ref="A45:D45"/>
    <mergeCell ref="A40:B40"/>
    <mergeCell ref="C40:H40"/>
    <mergeCell ref="F113:F114"/>
    <mergeCell ref="C104:D104"/>
    <mergeCell ref="E104:F104"/>
    <mergeCell ref="B113:B114"/>
    <mergeCell ref="A113:A114"/>
    <mergeCell ref="C128:C129"/>
    <mergeCell ref="G128:G129"/>
    <mergeCell ref="G110:H110"/>
    <mergeCell ref="C55:H55"/>
    <mergeCell ref="A78:B78"/>
    <mergeCell ref="A49:B49"/>
    <mergeCell ref="C49:H49"/>
    <mergeCell ref="A81:B81"/>
    <mergeCell ref="A77:B77"/>
    <mergeCell ref="A75:B75"/>
    <mergeCell ref="C75:H75"/>
    <mergeCell ref="A83:B83"/>
    <mergeCell ref="A70:C70"/>
    <mergeCell ref="D70:H70"/>
    <mergeCell ref="C77:H77"/>
    <mergeCell ref="A80:B80"/>
    <mergeCell ref="B199:H199"/>
    <mergeCell ref="F93:H93"/>
    <mergeCell ref="G106:H106"/>
    <mergeCell ref="G113:G114"/>
    <mergeCell ref="A94:E94"/>
    <mergeCell ref="A99:E99"/>
    <mergeCell ref="C105:D105"/>
    <mergeCell ref="E105:F105"/>
    <mergeCell ref="G105:H105"/>
    <mergeCell ref="A106:B106"/>
    <mergeCell ref="C106:D106"/>
    <mergeCell ref="C109:D109"/>
    <mergeCell ref="E109:F109"/>
    <mergeCell ref="G109:H109"/>
    <mergeCell ref="A126:B126"/>
    <mergeCell ref="A132:H132"/>
    <mergeCell ref="A133:H133"/>
    <mergeCell ref="A138:B138"/>
    <mergeCell ref="A139:B139"/>
    <mergeCell ref="A145:B145"/>
    <mergeCell ref="A156:B156"/>
    <mergeCell ref="A161:H161"/>
    <mergeCell ref="A162:B162"/>
    <mergeCell ref="A167:B167"/>
  </mergeCells>
  <dataValidations count="14">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3:E114" xr:uid="{00000000-0002-0000-0000-000003000000}">
      <formula1>"Attached Loft area,Attached Otla area,Attached Mezzanine area"</formula1>
    </dataValidation>
    <dataValidation type="list" allowBlank="1" showInputMessage="1" showErrorMessage="1" sqref="F89:H89" xr:uid="{00000000-0002-0000-0000-000005000000}">
      <formula1>"On Saleable Area,On Builtup Area,On Carpet Area,On Plot Area"</formula1>
    </dataValidation>
    <dataValidation type="list" allowBlank="1" showInputMessage="1" showErrorMessage="1" sqref="F100:H100" xr:uid="{00000000-0002-0000-0000-000006000000}">
      <formula1>OFFSET($S$89,1,MATCH($G20,$S$89:$W$89,0)-1,15,1)</formula1>
    </dataValidation>
    <dataValidation type="list" allowBlank="1" showInputMessage="1" showErrorMessage="1" sqref="B113:B114" xr:uid="{00000000-0002-0000-0000-000007000000}">
      <formula1>"Shop No. (Sale Plan),Sale / Rehab,Sale / Mhada"</formula1>
    </dataValidation>
    <dataValidation type="list" allowBlank="1" showInputMessage="1" showErrorMessage="1" sqref="B128:B129"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8:E129" xr:uid="{00000000-0002-0000-0000-00000B000000}">
      <formula1>"Fungible area,Balcony Area,Chajja Area,Cornice Area,AP Area,WS Area"</formula1>
    </dataValidation>
    <dataValidation type="list" allowBlank="1" showInputMessage="1" showErrorMessage="1" sqref="H114 H129"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scale="99" fitToHeight="0" orientation="portrait" r:id="rId2"/>
  <headerFooter>
    <oddHeader>&amp;C&amp;G</oddHeader>
    <oddFooter>&amp;L&amp;"Times New Roman,Bold"&amp;12Ref No: &amp;F&amp;C&amp;G&amp;R&amp;"Times New Roman,Bold"&amp;12&amp;P</oddFooter>
  </headerFooter>
  <rowBreaks count="6" manualBreakCount="6">
    <brk id="38" max="16383" man="1"/>
    <brk id="74" max="16383" man="1"/>
    <brk id="200" max="16383" man="1"/>
    <brk id="212" max="7" man="1"/>
    <brk id="256" max="16383" man="1"/>
    <brk id="30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01" t="s">
        <v>104</v>
      </c>
      <c r="C3" s="201"/>
      <c r="D3" s="201"/>
      <c r="E3" s="201"/>
      <c r="F3" s="201"/>
      <c r="G3" s="201"/>
      <c r="H3" s="201"/>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175</v>
      </c>
      <c r="E4" s="54" t="s">
        <v>185</v>
      </c>
      <c r="F4" s="54" t="s">
        <v>169</v>
      </c>
      <c r="G4" s="54" t="s">
        <v>190</v>
      </c>
      <c r="H4" s="54" t="s">
        <v>208</v>
      </c>
      <c r="J4" t="s">
        <v>190</v>
      </c>
      <c r="K4" t="s">
        <v>206</v>
      </c>
    </row>
    <row r="5" spans="2:11" x14ac:dyDescent="0.25">
      <c r="B5" s="53"/>
      <c r="C5" s="53"/>
      <c r="D5" s="54" t="s">
        <v>176</v>
      </c>
      <c r="E5" s="54" t="s">
        <v>183</v>
      </c>
      <c r="F5" s="54" t="s">
        <v>205</v>
      </c>
      <c r="G5" s="54" t="s">
        <v>191</v>
      </c>
      <c r="H5" s="54" t="s">
        <v>209</v>
      </c>
    </row>
    <row r="6" spans="2:11" x14ac:dyDescent="0.25">
      <c r="B6" s="53"/>
      <c r="C6" s="53"/>
      <c r="D6" s="54" t="s">
        <v>177</v>
      </c>
      <c r="E6" s="54" t="s">
        <v>184</v>
      </c>
      <c r="F6" s="54" t="s">
        <v>206</v>
      </c>
      <c r="G6" s="54" t="s">
        <v>192</v>
      </c>
      <c r="H6" s="54" t="s">
        <v>222</v>
      </c>
    </row>
    <row r="7" spans="2:11" x14ac:dyDescent="0.25">
      <c r="B7" s="53"/>
      <c r="C7" s="53"/>
      <c r="D7" s="54" t="s">
        <v>178</v>
      </c>
      <c r="E7" s="54" t="s">
        <v>186</v>
      </c>
      <c r="F7" s="54" t="s">
        <v>207</v>
      </c>
      <c r="G7" s="54" t="s">
        <v>193</v>
      </c>
      <c r="H7" s="54" t="s">
        <v>210</v>
      </c>
    </row>
    <row r="8" spans="2:11" x14ac:dyDescent="0.25">
      <c r="B8" s="53"/>
      <c r="C8" s="53"/>
      <c r="D8" s="54" t="s">
        <v>179</v>
      </c>
      <c r="E8" s="54" t="s">
        <v>187</v>
      </c>
      <c r="F8" s="54"/>
      <c r="G8" s="54" t="s">
        <v>194</v>
      </c>
      <c r="H8" s="54" t="s">
        <v>211</v>
      </c>
    </row>
    <row r="9" spans="2:11" x14ac:dyDescent="0.25">
      <c r="B9" s="53"/>
      <c r="C9" s="53"/>
      <c r="D9" s="54" t="s">
        <v>180</v>
      </c>
      <c r="E9" s="54" t="s">
        <v>185</v>
      </c>
      <c r="F9" s="54"/>
      <c r="G9" s="54" t="s">
        <v>195</v>
      </c>
      <c r="H9" s="54" t="s">
        <v>212</v>
      </c>
    </row>
    <row r="10" spans="2:11" x14ac:dyDescent="0.25">
      <c r="B10" s="53"/>
      <c r="C10" s="53"/>
      <c r="D10" s="54" t="s">
        <v>181</v>
      </c>
      <c r="E10" s="54" t="s">
        <v>188</v>
      </c>
      <c r="F10" s="54"/>
      <c r="G10" s="54" t="s">
        <v>196</v>
      </c>
      <c r="H10" s="54" t="s">
        <v>213</v>
      </c>
    </row>
    <row r="11" spans="2:11" x14ac:dyDescent="0.25">
      <c r="B11" s="53"/>
      <c r="C11" s="53"/>
      <c r="D11" s="54" t="s">
        <v>182</v>
      </c>
      <c r="E11" s="54" t="s">
        <v>189</v>
      </c>
      <c r="F11" s="54"/>
      <c r="G11" s="54" t="s">
        <v>197</v>
      </c>
      <c r="H11" s="54" t="s">
        <v>214</v>
      </c>
    </row>
    <row r="12" spans="2:11" x14ac:dyDescent="0.25">
      <c r="B12" s="53"/>
      <c r="C12" s="53"/>
      <c r="D12" s="54"/>
      <c r="E12" s="54"/>
      <c r="F12" s="54"/>
      <c r="G12" s="54" t="s">
        <v>198</v>
      </c>
      <c r="H12" s="54" t="s">
        <v>215</v>
      </c>
    </row>
    <row r="13" spans="2:11" x14ac:dyDescent="0.25">
      <c r="B13" s="53"/>
      <c r="C13" s="53"/>
      <c r="D13" s="54"/>
      <c r="E13" s="54"/>
      <c r="F13" s="54"/>
      <c r="G13" s="54" t="s">
        <v>199</v>
      </c>
      <c r="H13" s="54" t="s">
        <v>216</v>
      </c>
    </row>
    <row r="14" spans="2:11" x14ac:dyDescent="0.25">
      <c r="B14" s="53"/>
      <c r="C14" s="53"/>
      <c r="D14" s="54"/>
      <c r="E14" s="54"/>
      <c r="F14" s="54"/>
      <c r="G14" s="54" t="s">
        <v>200</v>
      </c>
      <c r="H14" s="54" t="s">
        <v>217</v>
      </c>
    </row>
    <row r="15" spans="2:11" x14ac:dyDescent="0.25">
      <c r="B15" s="53"/>
      <c r="C15" s="53"/>
      <c r="D15" s="54"/>
      <c r="E15" s="54"/>
      <c r="F15" s="54"/>
      <c r="G15" s="54" t="s">
        <v>201</v>
      </c>
      <c r="H15" s="54" t="s">
        <v>218</v>
      </c>
    </row>
    <row r="16" spans="2:11" x14ac:dyDescent="0.25">
      <c r="B16" s="53"/>
      <c r="C16" s="53"/>
      <c r="D16" s="54"/>
      <c r="E16" s="54"/>
      <c r="F16" s="54"/>
      <c r="G16" s="54" t="s">
        <v>202</v>
      </c>
      <c r="H16" s="54" t="s">
        <v>219</v>
      </c>
    </row>
    <row r="17" spans="2:8" x14ac:dyDescent="0.25">
      <c r="B17" s="53"/>
      <c r="C17" s="53"/>
      <c r="D17" s="54"/>
      <c r="E17" s="54"/>
      <c r="F17" s="54"/>
      <c r="G17" s="54" t="s">
        <v>203</v>
      </c>
      <c r="H17" s="54" t="s">
        <v>220</v>
      </c>
    </row>
    <row r="18" spans="2:8" x14ac:dyDescent="0.25">
      <c r="B18" s="53"/>
      <c r="C18" s="53"/>
      <c r="D18" s="54"/>
      <c r="E18" s="54"/>
      <c r="F18" s="54"/>
      <c r="G18" s="54" t="s">
        <v>204</v>
      </c>
      <c r="H18" s="54" t="s">
        <v>221</v>
      </c>
    </row>
    <row r="24" spans="2:8" x14ac:dyDescent="0.25">
      <c r="C24" t="s">
        <v>166</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166</v>
      </c>
    </row>
    <row r="33" spans="3:11" x14ac:dyDescent="0.25">
      <c r="J33">
        <v>1</v>
      </c>
      <c r="K33">
        <v>2</v>
      </c>
    </row>
    <row r="34" spans="3:11" x14ac:dyDescent="0.25">
      <c r="C34" s="55" t="s">
        <v>232</v>
      </c>
      <c r="D34" s="54" t="s">
        <v>230</v>
      </c>
      <c r="E34" s="54" t="s">
        <v>235</v>
      </c>
      <c r="F34" s="54" t="s">
        <v>233</v>
      </c>
      <c r="G34" s="54" t="s">
        <v>234</v>
      </c>
      <c r="H34" s="54" t="s">
        <v>236</v>
      </c>
      <c r="J34" t="s">
        <v>190</v>
      </c>
      <c r="K34" t="s">
        <v>206</v>
      </c>
    </row>
    <row r="35" spans="3:11" x14ac:dyDescent="0.25">
      <c r="C35" s="53" t="s">
        <v>231</v>
      </c>
      <c r="D35" s="54" t="s">
        <v>167</v>
      </c>
      <c r="E35" s="54" t="s">
        <v>240</v>
      </c>
      <c r="F35" s="54" t="s">
        <v>242</v>
      </c>
      <c r="G35" s="54" t="s">
        <v>244</v>
      </c>
      <c r="H35" s="54"/>
    </row>
    <row r="36" spans="3:11" x14ac:dyDescent="0.25">
      <c r="C36" s="53"/>
      <c r="D36" s="54" t="s">
        <v>237</v>
      </c>
      <c r="E36" s="54" t="s">
        <v>241</v>
      </c>
      <c r="F36" s="54" t="s">
        <v>243</v>
      </c>
      <c r="G36" s="54" t="s">
        <v>245</v>
      </c>
      <c r="H36" s="54"/>
    </row>
    <row r="37" spans="3:11" x14ac:dyDescent="0.25">
      <c r="C37" s="53"/>
      <c r="D37" s="54" t="s">
        <v>238</v>
      </c>
      <c r="E37" s="54"/>
      <c r="F37" s="54"/>
      <c r="G37" s="54" t="s">
        <v>246</v>
      </c>
      <c r="H37" s="54"/>
    </row>
    <row r="38" spans="3:11" x14ac:dyDescent="0.25">
      <c r="C38" s="53"/>
      <c r="D38" s="54" t="s">
        <v>239</v>
      </c>
      <c r="E38" s="54"/>
      <c r="F38" s="54"/>
      <c r="G38" s="54" t="s">
        <v>246</v>
      </c>
      <c r="H38" s="54"/>
    </row>
    <row r="39" spans="3:11" x14ac:dyDescent="0.25">
      <c r="C39" s="53"/>
      <c r="D39" s="54"/>
      <c r="E39" s="54"/>
      <c r="F39" s="54"/>
      <c r="G39" s="54" t="s">
        <v>247</v>
      </c>
      <c r="H39" s="54"/>
    </row>
    <row r="40" spans="3:11" x14ac:dyDescent="0.25">
      <c r="C40" s="53"/>
      <c r="D40" s="54"/>
      <c r="E40" s="54"/>
      <c r="F40" s="54"/>
      <c r="G40" s="54" t="s">
        <v>248</v>
      </c>
      <c r="H40" s="54"/>
    </row>
    <row r="41" spans="3:11" x14ac:dyDescent="0.25">
      <c r="C41" s="53"/>
      <c r="D41" s="54"/>
      <c r="E41" s="54"/>
      <c r="F41" s="54"/>
      <c r="G41" s="54"/>
      <c r="H41" s="54"/>
    </row>
    <row r="43" spans="3:11" x14ac:dyDescent="0.25">
      <c r="C43" t="s">
        <v>249</v>
      </c>
    </row>
    <row r="44" spans="3:11" x14ac:dyDescent="0.25">
      <c r="C44" t="s">
        <v>169</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175</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190</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185</v>
      </c>
      <c r="D67" t="s">
        <v>271</v>
      </c>
    </row>
    <row r="68" spans="3:4" x14ac:dyDescent="0.25">
      <c r="D68" t="s">
        <v>272</v>
      </c>
    </row>
    <row r="69" spans="3:4" x14ac:dyDescent="0.25">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8"/>
  <sheetViews>
    <sheetView topLeftCell="A4" workbookViewId="0">
      <selection activeCell="C16" sqref="C16"/>
    </sheetView>
  </sheetViews>
  <sheetFormatPr defaultRowHeight="15" x14ac:dyDescent="0.25"/>
  <cols>
    <col min="2" max="2" width="3" bestFit="1" customWidth="1"/>
    <col min="3" max="3" width="167.140625" customWidth="1"/>
  </cols>
  <sheetData>
    <row r="2" spans="2:3" ht="15" customHeight="1" x14ac:dyDescent="0.25">
      <c r="B2" s="56">
        <v>1</v>
      </c>
      <c r="C2" s="58" t="s">
        <v>280</v>
      </c>
    </row>
    <row r="3" spans="2:3" x14ac:dyDescent="0.25">
      <c r="B3" s="56">
        <v>2</v>
      </c>
      <c r="C3" s="57" t="s">
        <v>281</v>
      </c>
    </row>
    <row r="4" spans="2:3" x14ac:dyDescent="0.25">
      <c r="B4" s="56">
        <v>3</v>
      </c>
      <c r="C4" s="56" t="s">
        <v>282</v>
      </c>
    </row>
    <row r="5" spans="2:3" x14ac:dyDescent="0.25">
      <c r="B5" s="56">
        <v>4</v>
      </c>
      <c r="C5" s="57" t="s">
        <v>283</v>
      </c>
    </row>
    <row r="6" spans="2:3" x14ac:dyDescent="0.25">
      <c r="B6" s="56">
        <v>5</v>
      </c>
      <c r="C6" s="56" t="s">
        <v>284</v>
      </c>
    </row>
    <row r="7" spans="2:3" ht="30" x14ac:dyDescent="0.25">
      <c r="B7" s="56">
        <v>6</v>
      </c>
      <c r="C7" s="57" t="s">
        <v>285</v>
      </c>
    </row>
    <row r="8" spans="2:3" ht="75" x14ac:dyDescent="0.25">
      <c r="B8" s="56">
        <v>7</v>
      </c>
      <c r="C8" s="57" t="s">
        <v>286</v>
      </c>
    </row>
    <row r="9" spans="2:3" x14ac:dyDescent="0.25">
      <c r="B9" s="56">
        <v>8</v>
      </c>
      <c r="C9" s="56" t="s">
        <v>287</v>
      </c>
    </row>
    <row r="10" spans="2:3" x14ac:dyDescent="0.25">
      <c r="B10" s="56">
        <v>9</v>
      </c>
      <c r="C10" s="56" t="s">
        <v>288</v>
      </c>
    </row>
    <row r="11" spans="2:3" x14ac:dyDescent="0.25">
      <c r="B11" s="56">
        <v>10</v>
      </c>
      <c r="C11" s="56" t="s">
        <v>289</v>
      </c>
    </row>
    <row r="12" spans="2:3" x14ac:dyDescent="0.25">
      <c r="B12" s="56">
        <v>11</v>
      </c>
      <c r="C12" s="56" t="s">
        <v>290</v>
      </c>
    </row>
    <row r="13" spans="2:3" x14ac:dyDescent="0.25">
      <c r="B13" s="56">
        <v>12</v>
      </c>
      <c r="C13" s="56" t="s">
        <v>291</v>
      </c>
    </row>
    <row r="14" spans="2:3" x14ac:dyDescent="0.25">
      <c r="B14" s="56">
        <v>13</v>
      </c>
      <c r="C14" s="56" t="s">
        <v>292</v>
      </c>
    </row>
    <row r="15" spans="2:3" x14ac:dyDescent="0.25">
      <c r="B15" s="56">
        <v>14</v>
      </c>
      <c r="C15" s="56" t="s">
        <v>294</v>
      </c>
    </row>
    <row r="16" spans="2:3" x14ac:dyDescent="0.25">
      <c r="B16" s="56">
        <v>15</v>
      </c>
      <c r="C16" s="56" t="s">
        <v>295</v>
      </c>
    </row>
    <row r="17" spans="2:3" x14ac:dyDescent="0.25">
      <c r="B17" s="56">
        <v>16</v>
      </c>
      <c r="C17" s="56" t="s">
        <v>296</v>
      </c>
    </row>
    <row r="18" spans="2:3" x14ac:dyDescent="0.25">
      <c r="B18" s="56">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2025-08-11T12:45:09Z</cp:lastPrinted>
  <dcterms:created xsi:type="dcterms:W3CDTF">2019-07-16T09:29:46Z</dcterms:created>
  <dcterms:modified xsi:type="dcterms:W3CDTF">2025-08-11T12:51:00Z</dcterms:modified>
</cp:coreProperties>
</file>