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aug 25\AXIS\DUMP\"/>
    </mc:Choice>
  </mc:AlternateContent>
  <xr:revisionPtr revIDLastSave="0" documentId="13_ncr:1_{DD82E338-CE1B-4C3D-9FC8-75551C336229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5" i="1" l="1"/>
  <c r="D182" i="1" l="1"/>
  <c r="F182" i="1" s="1"/>
  <c r="G182" i="1"/>
  <c r="I182" i="1"/>
  <c r="D193" i="1"/>
  <c r="D190" i="1"/>
  <c r="D189" i="1"/>
  <c r="D188" i="1"/>
  <c r="D186" i="1"/>
  <c r="D185" i="1"/>
  <c r="D184" i="1"/>
  <c r="D175" i="1"/>
  <c r="D174" i="1"/>
  <c r="D173" i="1"/>
  <c r="D171" i="1"/>
  <c r="D170" i="1"/>
  <c r="D169" i="1"/>
  <c r="D168" i="1"/>
  <c r="D165" i="1"/>
  <c r="D164" i="1"/>
  <c r="D163" i="1"/>
  <c r="D161" i="1"/>
  <c r="D160" i="1"/>
  <c r="D159" i="1"/>
  <c r="D158" i="1"/>
  <c r="D150" i="1"/>
  <c r="D149" i="1"/>
  <c r="D148" i="1"/>
  <c r="D147" i="1"/>
  <c r="D146" i="1"/>
  <c r="D145" i="1"/>
  <c r="D144" i="1"/>
  <c r="D143" i="1"/>
  <c r="C129" i="1" s="1"/>
  <c r="C134" i="1" l="1"/>
  <c r="C71" i="1"/>
  <c r="C135" i="1" l="1"/>
  <c r="E134" i="1"/>
  <c r="E135" i="1" s="1"/>
  <c r="C131" i="1"/>
  <c r="E129" i="1" l="1"/>
  <c r="E131" i="1" s="1"/>
  <c r="G190" i="1" l="1"/>
  <c r="G189" i="1"/>
  <c r="G188" i="1"/>
  <c r="G194" i="1"/>
  <c r="G192" i="1"/>
  <c r="F193" i="1"/>
  <c r="F190" i="1"/>
  <c r="F189" i="1"/>
  <c r="F185" i="1"/>
  <c r="F188" i="1"/>
  <c r="I189" i="1"/>
  <c r="I188" i="1"/>
  <c r="G184" i="1"/>
  <c r="I185" i="1"/>
  <c r="I184" i="1"/>
  <c r="I173" i="1"/>
  <c r="I170" i="1" l="1"/>
  <c r="I169" i="1"/>
  <c r="I171" i="1"/>
  <c r="I168" i="1"/>
  <c r="I164" i="1"/>
  <c r="I163" i="1"/>
  <c r="G158" i="1"/>
  <c r="I158" i="1"/>
  <c r="I151" i="1"/>
  <c r="I150" i="1"/>
  <c r="I149" i="1"/>
  <c r="I148" i="1"/>
  <c r="I147" i="1"/>
  <c r="I146" i="1"/>
  <c r="I145" i="1"/>
  <c r="I144" i="1"/>
  <c r="I143" i="1"/>
  <c r="F150" i="1"/>
  <c r="F149" i="1"/>
  <c r="F148" i="1"/>
  <c r="F147" i="1"/>
  <c r="G49" i="1" l="1"/>
  <c r="E7" i="1" l="1"/>
  <c r="E136" i="1" l="1"/>
  <c r="C136" i="1"/>
  <c r="E42" i="1" l="1"/>
  <c r="E43" i="1" s="1"/>
  <c r="C14" i="1" l="1"/>
  <c r="E29" i="1" l="1"/>
  <c r="F159" i="1" l="1"/>
  <c r="F160" i="1"/>
  <c r="F161" i="1"/>
  <c r="J161" i="1" s="1"/>
  <c r="F158" i="1"/>
  <c r="A159" i="1"/>
  <c r="A160" i="1" s="1"/>
  <c r="A161" i="1" s="1"/>
  <c r="F126" i="1" l="1"/>
  <c r="F144" i="1" l="1"/>
  <c r="F145" i="1"/>
  <c r="F146" i="1"/>
  <c r="F143" i="1"/>
  <c r="G129" i="1" l="1"/>
  <c r="G131" i="1" s="1"/>
  <c r="B197" i="1"/>
  <c r="F186" i="1" l="1"/>
  <c r="F184" i="1"/>
  <c r="F175" i="1"/>
  <c r="F174" i="1"/>
  <c r="F173" i="1"/>
  <c r="F171" i="1"/>
  <c r="F170" i="1"/>
  <c r="F169" i="1"/>
  <c r="F168" i="1"/>
  <c r="F164" i="1"/>
  <c r="F163" i="1"/>
  <c r="F165" i="1"/>
  <c r="G134" i="1" l="1"/>
  <c r="G135" i="1" s="1"/>
  <c r="G136" i="1" s="1"/>
  <c r="B19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1" i="1"/>
  <c r="G173" i="1"/>
  <c r="G168" i="1"/>
  <c r="G163" i="1"/>
  <c r="A164" i="1"/>
  <c r="A165" i="1" s="1"/>
  <c r="A166" i="1" s="1"/>
  <c r="A144" i="1"/>
  <c r="A145" i="1" s="1"/>
  <c r="A146" i="1" s="1"/>
  <c r="A147" i="1" s="1"/>
  <c r="A148" i="1" s="1"/>
  <c r="A149" i="1" s="1"/>
  <c r="A150" i="1" s="1"/>
  <c r="G143" i="1"/>
  <c r="C99" i="1"/>
  <c r="B100" i="1" s="1"/>
  <c r="C85" i="1"/>
  <c r="B86" i="1" s="1"/>
  <c r="B72" i="1"/>
  <c r="D58" i="1"/>
  <c r="C49" i="1"/>
  <c r="E26" i="1"/>
  <c r="E24" i="1"/>
  <c r="E3" i="1"/>
  <c r="H72" i="1"/>
  <c r="D65" i="1" l="1"/>
  <c r="D84" i="1"/>
  <c r="D82" i="1"/>
  <c r="D81" i="1"/>
  <c r="D80" i="1"/>
  <c r="D78" i="1"/>
  <c r="J71" i="1"/>
  <c r="D83" i="1"/>
  <c r="D79" i="1"/>
  <c r="J75" i="1"/>
  <c r="J76" i="1"/>
  <c r="J74" i="1"/>
  <c r="J77" i="1"/>
  <c r="J78" i="1" s="1"/>
  <c r="J83" i="1" s="1"/>
  <c r="H86" i="1"/>
  <c r="H100" i="1"/>
  <c r="C105" i="1" l="1"/>
  <c r="J99" i="1" s="1"/>
  <c r="J101" i="1" s="1"/>
  <c r="D108" i="1"/>
  <c r="J105" i="1"/>
  <c r="J106" i="1" s="1"/>
  <c r="J111" i="1" s="1"/>
  <c r="J103" i="1"/>
  <c r="D106" i="1"/>
  <c r="D111" i="1"/>
  <c r="J104" i="1"/>
  <c r="C103" i="1" s="1"/>
  <c r="D103" i="1" s="1"/>
  <c r="D109" i="1"/>
  <c r="J102" i="1"/>
  <c r="D107" i="1"/>
  <c r="D110" i="1"/>
  <c r="D112" i="1"/>
  <c r="D92" i="1"/>
  <c r="J89" i="1"/>
  <c r="J90" i="1"/>
  <c r="J85" i="1"/>
  <c r="J87" i="1" s="1"/>
  <c r="D95" i="1"/>
  <c r="D96" i="1"/>
  <c r="D93" i="1"/>
  <c r="J91" i="1"/>
  <c r="J92" i="1" s="1"/>
  <c r="J97" i="1" s="1"/>
  <c r="D97" i="1"/>
  <c r="D94" i="1"/>
  <c r="J88" i="1"/>
  <c r="D98" i="1"/>
  <c r="J107" i="1"/>
  <c r="J108" i="1" s="1"/>
  <c r="J109" i="1" s="1"/>
  <c r="J110" i="1" s="1"/>
  <c r="J93" i="1"/>
  <c r="J94" i="1" s="1"/>
  <c r="J95" i="1" s="1"/>
  <c r="J96" i="1" s="1"/>
  <c r="J79" i="1"/>
  <c r="J80" i="1" s="1"/>
  <c r="J81" i="1" s="1"/>
  <c r="J82" i="1" s="1"/>
  <c r="D105" i="1"/>
  <c r="D91" i="1"/>
  <c r="D77" i="1"/>
  <c r="J73" i="1"/>
  <c r="D89" i="1"/>
  <c r="J112" i="1" l="1"/>
  <c r="C104" i="1" s="1"/>
  <c r="G103" i="1" s="1"/>
  <c r="J84" i="1"/>
  <c r="J98" i="1"/>
  <c r="J86" i="1" s="1"/>
  <c r="J100" i="1"/>
  <c r="D104" i="1" l="1"/>
  <c r="I100" i="1" s="1"/>
  <c r="E103" i="1"/>
  <c r="D75" i="1"/>
  <c r="J72" i="1" s="1"/>
  <c r="D76" i="1"/>
  <c r="E75" i="1"/>
  <c r="E89" i="1"/>
  <c r="G89" i="1"/>
  <c r="D90" i="1"/>
  <c r="I86" i="1" s="1"/>
  <c r="I87" i="1" s="1"/>
  <c r="I101" i="1"/>
  <c r="I99" i="1" s="1"/>
  <c r="C101" i="1" s="1"/>
  <c r="I72" i="1" l="1"/>
  <c r="I73" i="1" s="1"/>
  <c r="G75" i="1"/>
  <c r="D69" i="1" s="1"/>
  <c r="I85" i="1"/>
  <c r="C87" i="1" s="1"/>
  <c r="I71" i="1" l="1"/>
  <c r="C73" i="1" s="1"/>
  <c r="D70" i="1"/>
  <c r="F70" i="1"/>
</calcChain>
</file>

<file path=xl/sharedStrings.xml><?xml version="1.0" encoding="utf-8"?>
<sst xmlns="http://schemas.openxmlformats.org/spreadsheetml/2006/main" count="405" uniqueCount="256">
  <si>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</si>
  <si>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</si>
  <si>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</si>
  <si>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</si>
  <si>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</si>
  <si>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</si>
  <si>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</si>
  <si>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</si>
  <si>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</si>
  <si>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</si>
  <si>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</si>
  <si>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</si>
  <si>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</si>
  <si>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</si>
  <si>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</si>
  <si>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</si>
  <si>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</si>
  <si>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</si>
  <si>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</si>
  <si>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</si>
  <si>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</si>
  <si>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</si>
  <si>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</si>
  <si>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</si>
  <si>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</si>
  <si>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</si>
  <si>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</si>
  <si>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</si>
  <si>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</si>
  <si>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</si>
  <si>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</si>
  <si>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</si>
  <si>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</si>
  <si>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</si>
  <si>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</si>
  <si>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</si>
  <si>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</si>
  <si>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</si>
  <si>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</si>
  <si>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</si>
  <si>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</si>
  <si>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</si>
  <si>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</si>
  <si>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</si>
  <si>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</si>
  <si>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</si>
  <si>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</si>
  <si>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</si>
  <si>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</si>
  <si>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</si>
  <si>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</si>
  <si>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</si>
  <si>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</si>
  <si>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</si>
  <si>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</si>
  <si>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</si>
  <si>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</si>
  <si>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</si>
  <si>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</si>
  <si>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</si>
  <si>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</si>
  <si>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</si>
  <si>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</si>
  <si>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</si>
  <si>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</si>
  <si>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</si>
  <si>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</si>
  <si>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</si>
  <si>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</si>
  <si>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</si>
  <si>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</si>
  <si>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</si>
  <si>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</si>
  <si>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</si>
  <si>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</si>
  <si>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</si>
  <si>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</si>
  <si>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</si>
  <si>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</si>
  <si>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</si>
  <si>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</si>
  <si>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</si>
  <si>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</si>
  <si>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</si>
  <si>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</si>
  <si>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</si>
  <si>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</si>
  <si>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</si>
  <si>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</si>
  <si>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</si>
  <si>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</si>
  <si>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</si>
  <si>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</si>
  <si>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</si>
  <si>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</si>
  <si>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</si>
  <si>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</si>
  <si>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</si>
  <si>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</si>
  <si>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</si>
  <si>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</si>
  <si>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</si>
  <si>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</si>
  <si>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</si>
  <si>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</si>
  <si>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</si>
  <si>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</si>
  <si>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</si>
  <si>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</si>
  <si>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</si>
  <si>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</si>
  <si>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</si>
  <si>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</si>
  <si>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</si>
  <si>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</si>
  <si>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</si>
  <si>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</si>
  <si>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</si>
  <si>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</si>
  <si>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</si>
  <si>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</si>
  <si>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</si>
  <si>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</si>
  <si>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</si>
  <si>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</si>
  <si>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</si>
  <si>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</si>
  <si>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</si>
  <si>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</si>
  <si>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</si>
  <si>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</si>
  <si>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</si>
  <si>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</si>
  <si>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</si>
  <si>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</si>
  <si>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</si>
  <si>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</si>
  <si>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</si>
  <si>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</si>
  <si>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</si>
  <si>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</si>
  <si>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</si>
  <si>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</si>
  <si>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</si>
  <si>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</si>
  <si>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</si>
  <si>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</si>
  <si>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</si>
  <si>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</si>
  <si>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</si>
  <si>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</si>
  <si>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</si>
  <si>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</si>
  <si>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</si>
  <si>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</si>
  <si>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</si>
  <si>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</si>
  <si>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</si>
  <si>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</si>
  <si>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</si>
  <si>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</si>
  <si>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</si>
  <si>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</si>
  <si>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</si>
  <si>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</si>
  <si>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</si>
  <si>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</si>
  <si>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</si>
  <si>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</si>
  <si>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</si>
  <si>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</si>
  <si>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</si>
  <si>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</si>
  <si>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</si>
  <si>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Metro Associates</t>
  </si>
  <si>
    <t>Metro Millennium</t>
  </si>
  <si>
    <t>CTS No</t>
  </si>
  <si>
    <t>662,662/1 to 15,  Redevlopement of " Malad Sundarm "</t>
  </si>
  <si>
    <t>Malad</t>
  </si>
  <si>
    <t>Mumbai</t>
  </si>
  <si>
    <t xml:space="preserve">Ramchandra Lane </t>
  </si>
  <si>
    <t>Adarsh Nagar</t>
  </si>
  <si>
    <t>1.1 KM from Malad Railway Station</t>
  </si>
  <si>
    <t>https://goo.gl/maps/SyMamZ9XbBniHBc4A</t>
  </si>
  <si>
    <t>19.19029, 72.84309</t>
  </si>
  <si>
    <t>Milan Residency</t>
  </si>
  <si>
    <t>Shakil Bunglow</t>
  </si>
  <si>
    <t>Building</t>
  </si>
  <si>
    <t>Road/Milan Residency</t>
  </si>
  <si>
    <t xml:space="preserve">P51800051411
</t>
  </si>
  <si>
    <t>Approved Plans, CC, Cost Sheet</t>
  </si>
  <si>
    <t xml:space="preserve">Municipal Corporation Of Greater Mumbai
</t>
  </si>
  <si>
    <t>Witty Neelkanth Student Housing Apartment</t>
  </si>
  <si>
    <t>As per RERA - 31/12/2026</t>
  </si>
  <si>
    <t>Shop</t>
  </si>
  <si>
    <t xml:space="preserve">B Wing </t>
  </si>
  <si>
    <t>Wing A</t>
  </si>
  <si>
    <t>2BHK</t>
  </si>
  <si>
    <t>3BHK</t>
  </si>
  <si>
    <t>Refuge Area</t>
  </si>
  <si>
    <t>10th To 13th Floor</t>
  </si>
  <si>
    <t>1BHK</t>
  </si>
  <si>
    <t xml:space="preserve">7th Floor </t>
  </si>
  <si>
    <t>Terrace Area</t>
  </si>
  <si>
    <t>8th Floor</t>
  </si>
  <si>
    <t xml:space="preserve"> A Wing</t>
  </si>
  <si>
    <t>Roshan Kudalkar</t>
  </si>
  <si>
    <t xml:space="preserve">We considered Gross carpet area = Net carpet </t>
  </si>
  <si>
    <t xml:space="preserve"> Wing A</t>
  </si>
  <si>
    <t>Dated
Valid Upto:</t>
  </si>
  <si>
    <t>Malad (West)</t>
  </si>
  <si>
    <t>Borivali</t>
  </si>
  <si>
    <t xml:space="preserve">Ground Floor For Commercial, Residential Meter Room,Commercial Meter Room, Entrance Lobby, SubStation Room &amp; Parking </t>
  </si>
  <si>
    <t xml:space="preserve">P-13499/2022/(662 AND OTHER)/P/N
WARD/MALAD NORTH/CC/1/NEW
</t>
  </si>
  <si>
    <t>First C.C. is granted for the work upto top of plinth level only as per approved IOD plans on 29/03/2023</t>
  </si>
  <si>
    <t>Wing A - Gr + 3P + 4th to 14th Floor
Wing B - Gr + 2P + 3rd to 8th Floor</t>
  </si>
  <si>
    <t>Plans</t>
  </si>
  <si>
    <t>Wing B - Gr + 2P + 3rd to 8th Floor</t>
  </si>
  <si>
    <t>Wing A - Gr + 3P + 4th to 19th Floor</t>
  </si>
  <si>
    <t>Inspect &amp; RERA &amp; Sale</t>
  </si>
  <si>
    <t>Sewage Treatment, Landscaping &amp; Tree, Solid Waste Management</t>
  </si>
  <si>
    <t>1st &amp; 2nd Podium Floor for Parking</t>
  </si>
  <si>
    <t>3rd Podium Floor for Parking &amp; Fitness Center</t>
  </si>
  <si>
    <t>4th to 6th, 8th &amp; 9th Floor For Residential</t>
  </si>
  <si>
    <t>7th Floor (Part Refuge Floor)</t>
  </si>
  <si>
    <t>2.5BHK</t>
  </si>
  <si>
    <t>14th Floor (Part Terace Area)</t>
  </si>
  <si>
    <t>Ground Floor For Pump Room, Electric Meter Room, Double Height Entrance Lobby, Stilt Double Height &amp; Parking</t>
  </si>
  <si>
    <t>1st Podium Floor for Double Height Lobby</t>
  </si>
  <si>
    <t>8th Floor (Part Terrace Area)</t>
  </si>
  <si>
    <t>2nd Podium Floor for Parking</t>
  </si>
  <si>
    <t>3rd Podium Floor for Residential &amp; Parking</t>
  </si>
  <si>
    <t>1RK</t>
  </si>
  <si>
    <t>4th To 6th Floor</t>
  </si>
  <si>
    <t>2 Wings</t>
  </si>
  <si>
    <t>Flats -56, Shops - 8</t>
  </si>
  <si>
    <t>Name / No of the Building as per RERA</t>
  </si>
  <si>
    <t>Sale Wing A</t>
  </si>
  <si>
    <t xml:space="preserve">As the project is redevelopement project but rehab statement or rehab flats is not mentioned approved layout plan &amp; floor plan.
</t>
  </si>
  <si>
    <t>As per RERA, Wing A is Sale and Wing B is Rehab. Hence we have refered RERA and have drafted only Sale Wing A.</t>
  </si>
  <si>
    <t xml:space="preserve">Wing B is drafted </t>
  </si>
  <si>
    <t xml:space="preserve">P-13499/2022/(662 And Other)/P/N
Ward/Malad North/FCC/1/New
</t>
  </si>
  <si>
    <t xml:space="preserve">P-13499/2022/(662 And Other)/P/N
Ward/Malad North/FCC/1/Amend
</t>
  </si>
  <si>
    <t>Mr. Mahesh</t>
  </si>
  <si>
    <t xml:space="preserve">Construction work is in process at the time of Visit. Internal visit not allowed.
</t>
  </si>
  <si>
    <t>Infrastructure Charges</t>
  </si>
  <si>
    <t>Water Charges</t>
  </si>
  <si>
    <t>Electric &amp; Service Connection Charges</t>
  </si>
  <si>
    <t xml:space="preserve">Other charges of the Property have been revised on 29/11/2024.
</t>
  </si>
  <si>
    <t>Other charges 29/11/2024 Shailesh sir Costsheet</t>
  </si>
  <si>
    <t>P-13499/2022/(662 And Other)/
P/N/Ward/Malad North/337/1/New</t>
  </si>
  <si>
    <t xml:space="preserve">Construction work goes beyond the approved floor plan. Please provide the revised approved plan.
</t>
  </si>
  <si>
    <t>This C.C. is granted for the building comprising of Wing ‘A’ having Ht. 64.95mt. comprising of Gr. Floor (pt.) for Commercial User &amp; (pt. Stilt) for parking + 1st to 3rd Podium + 4th to 19th upper residential floors and Wing ‘B’ having Ht. 27.55mt. comprising of Gr. Stilt + 1st &amp; 2nd Podium + 3rd (pt.) Podium &amp; (pt.) residential flat + 4th to 7th + 8th (pt.) upper residential floors as per approved amended plan dt.14.09.2023.</t>
  </si>
  <si>
    <t>This C.C is now granted for the building comprising of Wing ‘A’ Gr. Floor (pt.) for Commercial User &amp; (pt. Stilt) for
parking + 1st to 3rd Podium + 4th to 19th upper residential floors and Wing ‘B’ having Ht. 27.55mt. comprising of
Gr. Stilt + 1st &amp; 2nd Podium + 3rd (pt.) Podium &amp; (pt.) residential flat + 4th to 7th + 8th (pt.) upper residential floors by restricting CC of flat no. 802 (adm. 44.96 Sq.mt) in Wing ’B’ as per last approved plans dt.14.09.23.</t>
  </si>
  <si>
    <t>Flats - 42, Shops - 8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</si>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</sst>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4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0" fillId="0" borderId="0" xfId="1" applyNumberFormat="1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8" xfId="0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8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9" xfId="1" applyNumberFormat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8" fillId="3" borderId="8" xfId="1" applyNumberFormat="1" applyFont="1" applyFill="1" applyBorder="1" applyAlignment="1" applyProtection="1">
      <alignment horizontal="center" vertical="top" wrapText="1"/>
      <protection locked="0"/>
    </xf>
    <xf numFmtId="1" fontId="8" fillId="3" borderId="21" xfId="1" applyNumberFormat="1" applyFont="1" applyFill="1" applyBorder="1" applyAlignment="1" applyProtection="1">
      <alignment horizontal="center" vertical="top" wrapText="1"/>
      <protection locked="0"/>
    </xf>
    <xf numFmtId="1" fontId="8" fillId="3" borderId="9" xfId="1" applyNumberFormat="1" applyFont="1" applyFill="1" applyBorder="1" applyAlignment="1" applyProtection="1">
      <alignment horizontal="center" vertical="top" wrapText="1"/>
      <protection locked="0"/>
    </xf>
    <xf numFmtId="0" fontId="6" fillId="0" borderId="21" xfId="1" applyFont="1" applyBorder="1" applyAlignment="1" applyProtection="1">
      <alignment horizontal="left" vertical="top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176483</xdr:colOff>
      <xdr:row>12</xdr:row>
      <xdr:rowOff>180623</xdr:rowOff>
    </xdr:from>
    <xdr:to>
      <xdr:col>15</xdr:col>
      <xdr:colOff>391731</xdr:colOff>
      <xdr:row>14</xdr:row>
      <xdr:rowOff>91730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0461" y="2988427"/>
          <a:ext cx="5822574" cy="720318"/>
        </a:xfrm>
        <a:prstGeom prst="rect">
          <a:avLst/>
        </a:prstGeom>
      </xdr:spPr>
    </xdr:pic>
    <xdr:clientData/>
  </xdr:twoCellAnchor>
  <xdr:twoCellAnchor editAs="oneCell">
    <xdr:from>
      <xdr:col>8</xdr:col>
      <xdr:colOff>149087</xdr:colOff>
      <xdr:row>16</xdr:row>
      <xdr:rowOff>0</xdr:rowOff>
    </xdr:from>
    <xdr:to>
      <xdr:col>12</xdr:col>
      <xdr:colOff>779479</xdr:colOff>
      <xdr:row>25</xdr:row>
      <xdr:rowOff>147326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03065" y="3834848"/>
          <a:ext cx="3960000" cy="2160000"/>
        </a:xfrm>
        <a:prstGeom prst="rect">
          <a:avLst/>
        </a:prstGeom>
      </xdr:spPr>
    </xdr:pic>
    <xdr:clientData/>
  </xdr:twoCellAnchor>
  <xdr:twoCellAnchor>
    <xdr:from>
      <xdr:col>9</xdr:col>
      <xdr:colOff>687457</xdr:colOff>
      <xdr:row>23</xdr:row>
      <xdr:rowOff>157370</xdr:rowOff>
    </xdr:from>
    <xdr:to>
      <xdr:col>10</xdr:col>
      <xdr:colOff>571500</xdr:colOff>
      <xdr:row>24</xdr:row>
      <xdr:rowOff>91109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001000" y="5615609"/>
          <a:ext cx="646043" cy="12423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8</xdr:col>
      <xdr:colOff>49695</xdr:colOff>
      <xdr:row>46</xdr:row>
      <xdr:rowOff>372717</xdr:rowOff>
    </xdr:from>
    <xdr:to>
      <xdr:col>14</xdr:col>
      <xdr:colOff>506219</xdr:colOff>
      <xdr:row>48</xdr:row>
      <xdr:rowOff>99735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03673" y="10593456"/>
          <a:ext cx="5409524" cy="561905"/>
        </a:xfrm>
        <a:prstGeom prst="rect">
          <a:avLst/>
        </a:prstGeom>
      </xdr:spPr>
    </xdr:pic>
    <xdr:clientData/>
  </xdr:twoCellAnchor>
  <xdr:twoCellAnchor editAs="oneCell">
    <xdr:from>
      <xdr:col>8</xdr:col>
      <xdr:colOff>57980</xdr:colOff>
      <xdr:row>126</xdr:row>
      <xdr:rowOff>190500</xdr:rowOff>
    </xdr:from>
    <xdr:to>
      <xdr:col>10</xdr:col>
      <xdr:colOff>638496</xdr:colOff>
      <xdr:row>138</xdr:row>
      <xdr:rowOff>346109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11958" y="25030043"/>
          <a:ext cx="2502081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115956</xdr:colOff>
      <xdr:row>261</xdr:row>
      <xdr:rowOff>173934</xdr:rowOff>
    </xdr:from>
    <xdr:to>
      <xdr:col>5</xdr:col>
      <xdr:colOff>772499</xdr:colOff>
      <xdr:row>279</xdr:row>
      <xdr:rowOff>195846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4913" y="50010391"/>
          <a:ext cx="3166173" cy="3600000"/>
        </a:xfrm>
        <a:prstGeom prst="rect">
          <a:avLst/>
        </a:prstGeom>
        <a:ln>
          <a:solidFill>
            <a:schemeClr val="tx1">
              <a:lumMod val="95000"/>
              <a:lumOff val="5000"/>
            </a:schemeClr>
          </a:solidFill>
        </a:ln>
      </xdr:spPr>
    </xdr:pic>
    <xdr:clientData/>
  </xdr:twoCellAnchor>
  <xdr:twoCellAnchor>
    <xdr:from>
      <xdr:col>3</xdr:col>
      <xdr:colOff>140804</xdr:colOff>
      <xdr:row>265</xdr:row>
      <xdr:rowOff>173935</xdr:rowOff>
    </xdr:from>
    <xdr:to>
      <xdr:col>5</xdr:col>
      <xdr:colOff>24848</xdr:colOff>
      <xdr:row>269</xdr:row>
      <xdr:rowOff>74544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244587" y="50805522"/>
          <a:ext cx="1548848" cy="69573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33130</xdr:colOff>
      <xdr:row>271</xdr:row>
      <xdr:rowOff>157370</xdr:rowOff>
    </xdr:from>
    <xdr:to>
      <xdr:col>5</xdr:col>
      <xdr:colOff>16566</xdr:colOff>
      <xdr:row>277</xdr:row>
      <xdr:rowOff>49697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136913" y="51981653"/>
          <a:ext cx="1648240" cy="108502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629478</xdr:colOff>
      <xdr:row>277</xdr:row>
      <xdr:rowOff>91108</xdr:rowOff>
    </xdr:from>
    <xdr:to>
      <xdr:col>4</xdr:col>
      <xdr:colOff>314739</xdr:colOff>
      <xdr:row>278</xdr:row>
      <xdr:rowOff>157368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733261" y="53108086"/>
          <a:ext cx="629478" cy="2650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Wing A</a:t>
          </a:r>
        </a:p>
      </xdr:txBody>
    </xdr:sp>
    <xdr:clientData/>
  </xdr:twoCellAnchor>
  <xdr:twoCellAnchor>
    <xdr:from>
      <xdr:col>4</xdr:col>
      <xdr:colOff>372718</xdr:colOff>
      <xdr:row>264</xdr:row>
      <xdr:rowOff>49695</xdr:rowOff>
    </xdr:from>
    <xdr:to>
      <xdr:col>5</xdr:col>
      <xdr:colOff>281609</xdr:colOff>
      <xdr:row>265</xdr:row>
      <xdr:rowOff>115955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420718" y="50482499"/>
          <a:ext cx="629478" cy="2650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Wing B</a:t>
          </a:r>
        </a:p>
      </xdr:txBody>
    </xdr:sp>
    <xdr:clientData/>
  </xdr:twoCellAnchor>
  <xdr:twoCellAnchor editAs="oneCell">
    <xdr:from>
      <xdr:col>2</xdr:col>
      <xdr:colOff>165651</xdr:colOff>
      <xdr:row>280</xdr:row>
      <xdr:rowOff>173935</xdr:rowOff>
    </xdr:from>
    <xdr:to>
      <xdr:col>6</xdr:col>
      <xdr:colOff>20313</xdr:colOff>
      <xdr:row>301</xdr:row>
      <xdr:rowOff>56646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24608" y="53787261"/>
          <a:ext cx="3142857" cy="40571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413297</xdr:colOff>
      <xdr:row>306</xdr:row>
      <xdr:rowOff>131280</xdr:rowOff>
    </xdr:from>
    <xdr:to>
      <xdr:col>7</xdr:col>
      <xdr:colOff>1004181</xdr:colOff>
      <xdr:row>340</xdr:row>
      <xdr:rowOff>120721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13297" y="59424405"/>
          <a:ext cx="5924884" cy="6790291"/>
          <a:chOff x="413297" y="59424405"/>
          <a:chExt cx="5924884" cy="6790291"/>
        </a:xfrm>
      </xdr:grpSpPr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27796" y="59424405"/>
            <a:ext cx="5910385" cy="322387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13297" y="62773574"/>
            <a:ext cx="5894407" cy="344112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 rot="20822234">
            <a:off x="2913822" y="60849426"/>
            <a:ext cx="702779" cy="566944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8</xdr:col>
      <xdr:colOff>506482</xdr:colOff>
      <xdr:row>220</xdr:row>
      <xdr:rowOff>114300</xdr:rowOff>
    </xdr:from>
    <xdr:to>
      <xdr:col>15</xdr:col>
      <xdr:colOff>698069</xdr:colOff>
      <xdr:row>257</xdr:row>
      <xdr:rowOff>102967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/>
      </xdr:nvGrpSpPr>
      <xdr:grpSpPr>
        <a:xfrm>
          <a:off x="7297807" y="42214800"/>
          <a:ext cx="5811337" cy="7380067"/>
          <a:chOff x="454015" y="190350"/>
          <a:chExt cx="5957111" cy="7338240"/>
        </a:xfrm>
      </xdr:grpSpPr>
      <xdr:grpSp>
        <xdr:nvGrpSpPr>
          <xdr:cNvPr id="40" name="Group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GrpSpPr/>
        </xdr:nvGrpSpPr>
        <xdr:grpSpPr>
          <a:xfrm>
            <a:off x="1875864" y="5548590"/>
            <a:ext cx="3113413" cy="1980000"/>
            <a:chOff x="739621" y="5497830"/>
            <a:chExt cx="3113413" cy="1980000"/>
          </a:xfrm>
        </xdr:grpSpPr>
        <xdr:pic>
          <xdr:nvPicPr>
            <xdr:cNvPr id="45" name="Picture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69581" y="5497830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6" name="Picture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39621" y="5497830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41" name="Group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GrpSpPr/>
        </xdr:nvGrpSpPr>
        <xdr:grpSpPr>
          <a:xfrm>
            <a:off x="454015" y="190350"/>
            <a:ext cx="5957111" cy="5220000"/>
            <a:chOff x="335043" y="148590"/>
            <a:chExt cx="5957111" cy="5220000"/>
          </a:xfrm>
        </xdr:grpSpPr>
        <xdr:pic>
          <xdr:nvPicPr>
            <xdr:cNvPr id="42" name="Picture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04123" y="14859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3" name="Picture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5043" y="148590"/>
              <a:ext cx="3910921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4" name="Picture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04122" y="284859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8</xdr:col>
      <xdr:colOff>781050</xdr:colOff>
      <xdr:row>221</xdr:row>
      <xdr:rowOff>133350</xdr:rowOff>
    </xdr:from>
    <xdr:to>
      <xdr:col>17</xdr:col>
      <xdr:colOff>166688</xdr:colOff>
      <xdr:row>256</xdr:row>
      <xdr:rowOff>152399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572375" y="42433875"/>
          <a:ext cx="6396038" cy="7010399"/>
          <a:chOff x="171450" y="42129075"/>
          <a:chExt cx="6396038" cy="7010399"/>
        </a:xfrm>
      </xdr:grpSpPr>
      <xdr:pic>
        <xdr:nvPicPr>
          <xdr:cNvPr id="37" name="Picture 36" descr="https://vsjcllp.vsjadon.com/upload/insp-234000-1525.jpg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495800" y="46405799"/>
            <a:ext cx="2050256" cy="27336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" name="Picture 46" descr="https://vsjcllp.vsjadon.com/upload/insp-234000-843.jpg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" y="42129075"/>
            <a:ext cx="3157538" cy="42100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8" name="Picture 47" descr="https://vsjcllp.vsjadon.com/upload/insp-234000-846.jpg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09950" y="42129075"/>
            <a:ext cx="3157538" cy="42100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0" name="Picture 49" descr="https://vsjcllp.vsjadon.com/upload/insp-234000-861.jpg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0975" y="46405799"/>
            <a:ext cx="2050256" cy="27336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1" name="Picture 50" descr="https://vsjcllp.vsjadon.com/upload/insp-234000-852.jpg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43150" y="46405799"/>
            <a:ext cx="2050256" cy="27336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533400</xdr:colOff>
      <xdr:row>222</xdr:row>
      <xdr:rowOff>19050</xdr:rowOff>
    </xdr:from>
    <xdr:to>
      <xdr:col>7</xdr:col>
      <xdr:colOff>875682</xdr:colOff>
      <xdr:row>252</xdr:row>
      <xdr:rowOff>133001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ADB68CA3-F93B-4181-9444-8BE03244E3B8}"/>
            </a:ext>
          </a:extLst>
        </xdr:cNvPr>
        <xdr:cNvGrpSpPr/>
      </xdr:nvGrpSpPr>
      <xdr:grpSpPr>
        <a:xfrm>
          <a:off x="533400" y="42519600"/>
          <a:ext cx="5676282" cy="6105176"/>
          <a:chOff x="699247" y="215153"/>
          <a:chExt cx="5676282" cy="6105176"/>
        </a:xfrm>
      </xdr:grpSpPr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B9062455-64F3-483B-AA4A-D30FDF5730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9247" y="215153"/>
            <a:ext cx="2700000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3A675102-0FA5-446C-8136-9BFE45FA33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75529" y="215153"/>
            <a:ext cx="2700000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8A28D170-1638-4300-B1D9-A66921087C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9247" y="3980329"/>
            <a:ext cx="1755000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>
            <a:extLst>
              <a:ext uri="{FF2B5EF4-FFF2-40B4-BE49-F238E27FC236}">
                <a16:creationId xmlns:a16="http://schemas.microsoft.com/office/drawing/2014/main" id="{32BD27D6-376C-4013-A90A-3F0E689987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48755" y="3980329"/>
            <a:ext cx="1755000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>
            <a:extLst>
              <a:ext uri="{FF2B5EF4-FFF2-40B4-BE49-F238E27FC236}">
                <a16:creationId xmlns:a16="http://schemas.microsoft.com/office/drawing/2014/main" id="{3E7E4FCD-B712-45BD-AFBA-289AA402BB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8263" y="3980329"/>
            <a:ext cx="1755000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SyMamZ9XbBniHBc4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06"/>
  <sheetViews>
    <sheetView tabSelected="1" view="pageBreakPreview" zoomScaleNormal="100" zoomScaleSheetLayoutView="100" zoomScalePageLayoutView="115" workbookViewId="0">
      <selection activeCell="I4" sqref="I4"/>
    </sheetView>
  </sheetViews>
  <sheetFormatPr defaultColWidth="9.140625" defaultRowHeight="15.75" x14ac:dyDescent="0.25"/>
  <cols>
    <col min="1" max="1" width="11.42578125" style="41" customWidth="1"/>
    <col min="2" max="2" width="7.42578125" style="41" customWidth="1"/>
    <col min="3" max="3" width="12.7109375" style="41" customWidth="1"/>
    <col min="4" max="4" width="14.140625" style="41" customWidth="1"/>
    <col min="5" max="5" width="10.85546875" style="41" customWidth="1"/>
    <col min="6" max="7" width="11.7109375" style="41" customWidth="1"/>
    <col min="8" max="8" width="21.85546875" style="41" customWidth="1"/>
    <col min="9" max="9" width="17.42578125" style="22" customWidth="1"/>
    <col min="10" max="10" width="11.42578125" style="22" customWidth="1"/>
    <col min="11" max="11" width="10.5703125" style="22" bestFit="1" customWidth="1"/>
    <col min="12" max="12" width="10.5703125" style="22" customWidth="1"/>
    <col min="13" max="13" width="11.85546875" style="22" customWidth="1"/>
    <col min="14" max="14" width="12.5703125" style="22" customWidth="1"/>
    <col min="15" max="15" width="9.85546875" style="22" customWidth="1"/>
    <col min="16" max="16" width="11.7109375" style="22" customWidth="1"/>
    <col min="17" max="247" width="9.140625" style="22"/>
    <col min="248" max="248" width="8.7109375" style="22" customWidth="1"/>
    <col min="249" max="249" width="9.85546875" style="22" customWidth="1"/>
    <col min="250" max="250" width="14.42578125" style="22" customWidth="1"/>
    <col min="251" max="251" width="7.28515625" style="22" customWidth="1"/>
    <col min="252" max="252" width="5.5703125" style="22" customWidth="1"/>
    <col min="253" max="253" width="9" style="22" customWidth="1"/>
    <col min="254" max="255" width="9.85546875" style="22" customWidth="1"/>
    <col min="256" max="256" width="11.140625" style="22" customWidth="1"/>
    <col min="257" max="257" width="2.85546875" style="22" customWidth="1"/>
    <col min="258" max="258" width="3.5703125" style="22" customWidth="1"/>
    <col min="259" max="503" width="9.140625" style="22"/>
    <col min="504" max="504" width="8.7109375" style="22" customWidth="1"/>
    <col min="505" max="505" width="9.85546875" style="22" customWidth="1"/>
    <col min="506" max="506" width="14.42578125" style="22" customWidth="1"/>
    <col min="507" max="507" width="7.28515625" style="22" customWidth="1"/>
    <col min="508" max="508" width="5.5703125" style="22" customWidth="1"/>
    <col min="509" max="509" width="9" style="22" customWidth="1"/>
    <col min="510" max="511" width="9.85546875" style="22" customWidth="1"/>
    <col min="512" max="512" width="11.140625" style="22" customWidth="1"/>
    <col min="513" max="513" width="2.85546875" style="22" customWidth="1"/>
    <col min="514" max="514" width="3.5703125" style="22" customWidth="1"/>
    <col min="515" max="759" width="9.140625" style="22"/>
    <col min="760" max="760" width="8.7109375" style="22" customWidth="1"/>
    <col min="761" max="761" width="9.85546875" style="22" customWidth="1"/>
    <col min="762" max="762" width="14.42578125" style="22" customWidth="1"/>
    <col min="763" max="763" width="7.28515625" style="22" customWidth="1"/>
    <col min="764" max="764" width="5.5703125" style="22" customWidth="1"/>
    <col min="765" max="765" width="9" style="22" customWidth="1"/>
    <col min="766" max="767" width="9.85546875" style="22" customWidth="1"/>
    <col min="768" max="768" width="11.140625" style="22" customWidth="1"/>
    <col min="769" max="769" width="2.85546875" style="22" customWidth="1"/>
    <col min="770" max="770" width="3.5703125" style="22" customWidth="1"/>
    <col min="771" max="1015" width="9.140625" style="22"/>
    <col min="1016" max="1016" width="8.7109375" style="22" customWidth="1"/>
    <col min="1017" max="1017" width="9.85546875" style="22" customWidth="1"/>
    <col min="1018" max="1018" width="14.42578125" style="22" customWidth="1"/>
    <col min="1019" max="1019" width="7.28515625" style="22" customWidth="1"/>
    <col min="1020" max="1020" width="5.5703125" style="22" customWidth="1"/>
    <col min="1021" max="1021" width="9" style="22" customWidth="1"/>
    <col min="1022" max="1023" width="9.85546875" style="22" customWidth="1"/>
    <col min="1024" max="1024" width="11.140625" style="22" customWidth="1"/>
    <col min="1025" max="1025" width="2.85546875" style="22" customWidth="1"/>
    <col min="1026" max="1026" width="3.5703125" style="22" customWidth="1"/>
    <col min="1027" max="1271" width="9.140625" style="22"/>
    <col min="1272" max="1272" width="8.7109375" style="22" customWidth="1"/>
    <col min="1273" max="1273" width="9.85546875" style="22" customWidth="1"/>
    <col min="1274" max="1274" width="14.42578125" style="22" customWidth="1"/>
    <col min="1275" max="1275" width="7.28515625" style="22" customWidth="1"/>
    <col min="1276" max="1276" width="5.5703125" style="22" customWidth="1"/>
    <col min="1277" max="1277" width="9" style="22" customWidth="1"/>
    <col min="1278" max="1279" width="9.85546875" style="22" customWidth="1"/>
    <col min="1280" max="1280" width="11.140625" style="22" customWidth="1"/>
    <col min="1281" max="1281" width="2.85546875" style="22" customWidth="1"/>
    <col min="1282" max="1282" width="3.5703125" style="22" customWidth="1"/>
    <col min="1283" max="1527" width="9.140625" style="22"/>
    <col min="1528" max="1528" width="8.7109375" style="22" customWidth="1"/>
    <col min="1529" max="1529" width="9.85546875" style="22" customWidth="1"/>
    <col min="1530" max="1530" width="14.42578125" style="22" customWidth="1"/>
    <col min="1531" max="1531" width="7.28515625" style="22" customWidth="1"/>
    <col min="1532" max="1532" width="5.5703125" style="22" customWidth="1"/>
    <col min="1533" max="1533" width="9" style="22" customWidth="1"/>
    <col min="1534" max="1535" width="9.85546875" style="22" customWidth="1"/>
    <col min="1536" max="1536" width="11.140625" style="22" customWidth="1"/>
    <col min="1537" max="1537" width="2.85546875" style="22" customWidth="1"/>
    <col min="1538" max="1538" width="3.5703125" style="22" customWidth="1"/>
    <col min="1539" max="1783" width="9.140625" style="22"/>
    <col min="1784" max="1784" width="8.7109375" style="22" customWidth="1"/>
    <col min="1785" max="1785" width="9.85546875" style="22" customWidth="1"/>
    <col min="1786" max="1786" width="14.42578125" style="22" customWidth="1"/>
    <col min="1787" max="1787" width="7.28515625" style="22" customWidth="1"/>
    <col min="1788" max="1788" width="5.5703125" style="22" customWidth="1"/>
    <col min="1789" max="1789" width="9" style="22" customWidth="1"/>
    <col min="1790" max="1791" width="9.85546875" style="22" customWidth="1"/>
    <col min="1792" max="1792" width="11.140625" style="22" customWidth="1"/>
    <col min="1793" max="1793" width="2.85546875" style="22" customWidth="1"/>
    <col min="1794" max="1794" width="3.5703125" style="22" customWidth="1"/>
    <col min="1795" max="2039" width="9.140625" style="22"/>
    <col min="2040" max="2040" width="8.7109375" style="22" customWidth="1"/>
    <col min="2041" max="2041" width="9.85546875" style="22" customWidth="1"/>
    <col min="2042" max="2042" width="14.42578125" style="22" customWidth="1"/>
    <col min="2043" max="2043" width="7.28515625" style="22" customWidth="1"/>
    <col min="2044" max="2044" width="5.5703125" style="22" customWidth="1"/>
    <col min="2045" max="2045" width="9" style="22" customWidth="1"/>
    <col min="2046" max="2047" width="9.85546875" style="22" customWidth="1"/>
    <col min="2048" max="2048" width="11.140625" style="22" customWidth="1"/>
    <col min="2049" max="2049" width="2.85546875" style="22" customWidth="1"/>
    <col min="2050" max="2050" width="3.5703125" style="22" customWidth="1"/>
    <col min="2051" max="2295" width="9.140625" style="22"/>
    <col min="2296" max="2296" width="8.7109375" style="22" customWidth="1"/>
    <col min="2297" max="2297" width="9.85546875" style="22" customWidth="1"/>
    <col min="2298" max="2298" width="14.42578125" style="22" customWidth="1"/>
    <col min="2299" max="2299" width="7.28515625" style="22" customWidth="1"/>
    <col min="2300" max="2300" width="5.5703125" style="22" customWidth="1"/>
    <col min="2301" max="2301" width="9" style="22" customWidth="1"/>
    <col min="2302" max="2303" width="9.85546875" style="22" customWidth="1"/>
    <col min="2304" max="2304" width="11.140625" style="22" customWidth="1"/>
    <col min="2305" max="2305" width="2.85546875" style="22" customWidth="1"/>
    <col min="2306" max="2306" width="3.5703125" style="22" customWidth="1"/>
    <col min="2307" max="2551" width="9.140625" style="22"/>
    <col min="2552" max="2552" width="8.7109375" style="22" customWidth="1"/>
    <col min="2553" max="2553" width="9.85546875" style="22" customWidth="1"/>
    <col min="2554" max="2554" width="14.42578125" style="22" customWidth="1"/>
    <col min="2555" max="2555" width="7.28515625" style="22" customWidth="1"/>
    <col min="2556" max="2556" width="5.5703125" style="22" customWidth="1"/>
    <col min="2557" max="2557" width="9" style="22" customWidth="1"/>
    <col min="2558" max="2559" width="9.85546875" style="22" customWidth="1"/>
    <col min="2560" max="2560" width="11.140625" style="22" customWidth="1"/>
    <col min="2561" max="2561" width="2.85546875" style="22" customWidth="1"/>
    <col min="2562" max="2562" width="3.5703125" style="22" customWidth="1"/>
    <col min="2563" max="2807" width="9.140625" style="22"/>
    <col min="2808" max="2808" width="8.7109375" style="22" customWidth="1"/>
    <col min="2809" max="2809" width="9.85546875" style="22" customWidth="1"/>
    <col min="2810" max="2810" width="14.42578125" style="22" customWidth="1"/>
    <col min="2811" max="2811" width="7.28515625" style="22" customWidth="1"/>
    <col min="2812" max="2812" width="5.5703125" style="22" customWidth="1"/>
    <col min="2813" max="2813" width="9" style="22" customWidth="1"/>
    <col min="2814" max="2815" width="9.85546875" style="22" customWidth="1"/>
    <col min="2816" max="2816" width="11.140625" style="22" customWidth="1"/>
    <col min="2817" max="2817" width="2.85546875" style="22" customWidth="1"/>
    <col min="2818" max="2818" width="3.5703125" style="22" customWidth="1"/>
    <col min="2819" max="3063" width="9.140625" style="22"/>
    <col min="3064" max="3064" width="8.7109375" style="22" customWidth="1"/>
    <col min="3065" max="3065" width="9.85546875" style="22" customWidth="1"/>
    <col min="3066" max="3066" width="14.42578125" style="22" customWidth="1"/>
    <col min="3067" max="3067" width="7.28515625" style="22" customWidth="1"/>
    <col min="3068" max="3068" width="5.5703125" style="22" customWidth="1"/>
    <col min="3069" max="3069" width="9" style="22" customWidth="1"/>
    <col min="3070" max="3071" width="9.85546875" style="22" customWidth="1"/>
    <col min="3072" max="3072" width="11.140625" style="22" customWidth="1"/>
    <col min="3073" max="3073" width="2.85546875" style="22" customWidth="1"/>
    <col min="3074" max="3074" width="3.5703125" style="22" customWidth="1"/>
    <col min="3075" max="3319" width="9.140625" style="22"/>
    <col min="3320" max="3320" width="8.7109375" style="22" customWidth="1"/>
    <col min="3321" max="3321" width="9.85546875" style="22" customWidth="1"/>
    <col min="3322" max="3322" width="14.42578125" style="22" customWidth="1"/>
    <col min="3323" max="3323" width="7.28515625" style="22" customWidth="1"/>
    <col min="3324" max="3324" width="5.5703125" style="22" customWidth="1"/>
    <col min="3325" max="3325" width="9" style="22" customWidth="1"/>
    <col min="3326" max="3327" width="9.85546875" style="22" customWidth="1"/>
    <col min="3328" max="3328" width="11.140625" style="22" customWidth="1"/>
    <col min="3329" max="3329" width="2.85546875" style="22" customWidth="1"/>
    <col min="3330" max="3330" width="3.5703125" style="22" customWidth="1"/>
    <col min="3331" max="3575" width="9.140625" style="22"/>
    <col min="3576" max="3576" width="8.7109375" style="22" customWidth="1"/>
    <col min="3577" max="3577" width="9.85546875" style="22" customWidth="1"/>
    <col min="3578" max="3578" width="14.42578125" style="22" customWidth="1"/>
    <col min="3579" max="3579" width="7.28515625" style="22" customWidth="1"/>
    <col min="3580" max="3580" width="5.5703125" style="22" customWidth="1"/>
    <col min="3581" max="3581" width="9" style="22" customWidth="1"/>
    <col min="3582" max="3583" width="9.85546875" style="22" customWidth="1"/>
    <col min="3584" max="3584" width="11.140625" style="22" customWidth="1"/>
    <col min="3585" max="3585" width="2.85546875" style="22" customWidth="1"/>
    <col min="3586" max="3586" width="3.5703125" style="22" customWidth="1"/>
    <col min="3587" max="3831" width="9.140625" style="22"/>
    <col min="3832" max="3832" width="8.7109375" style="22" customWidth="1"/>
    <col min="3833" max="3833" width="9.85546875" style="22" customWidth="1"/>
    <col min="3834" max="3834" width="14.42578125" style="22" customWidth="1"/>
    <col min="3835" max="3835" width="7.28515625" style="22" customWidth="1"/>
    <col min="3836" max="3836" width="5.5703125" style="22" customWidth="1"/>
    <col min="3837" max="3837" width="9" style="22" customWidth="1"/>
    <col min="3838" max="3839" width="9.85546875" style="22" customWidth="1"/>
    <col min="3840" max="3840" width="11.140625" style="22" customWidth="1"/>
    <col min="3841" max="3841" width="2.85546875" style="22" customWidth="1"/>
    <col min="3842" max="3842" width="3.5703125" style="22" customWidth="1"/>
    <col min="3843" max="4087" width="9.140625" style="22"/>
    <col min="4088" max="4088" width="8.7109375" style="22" customWidth="1"/>
    <col min="4089" max="4089" width="9.85546875" style="22" customWidth="1"/>
    <col min="4090" max="4090" width="14.42578125" style="22" customWidth="1"/>
    <col min="4091" max="4091" width="7.28515625" style="22" customWidth="1"/>
    <col min="4092" max="4092" width="5.5703125" style="22" customWidth="1"/>
    <col min="4093" max="4093" width="9" style="22" customWidth="1"/>
    <col min="4094" max="4095" width="9.85546875" style="22" customWidth="1"/>
    <col min="4096" max="4096" width="11.140625" style="22" customWidth="1"/>
    <col min="4097" max="4097" width="2.85546875" style="22" customWidth="1"/>
    <col min="4098" max="4098" width="3.5703125" style="22" customWidth="1"/>
    <col min="4099" max="4343" width="9.140625" style="22"/>
    <col min="4344" max="4344" width="8.7109375" style="22" customWidth="1"/>
    <col min="4345" max="4345" width="9.85546875" style="22" customWidth="1"/>
    <col min="4346" max="4346" width="14.42578125" style="22" customWidth="1"/>
    <col min="4347" max="4347" width="7.28515625" style="22" customWidth="1"/>
    <col min="4348" max="4348" width="5.5703125" style="22" customWidth="1"/>
    <col min="4349" max="4349" width="9" style="22" customWidth="1"/>
    <col min="4350" max="4351" width="9.85546875" style="22" customWidth="1"/>
    <col min="4352" max="4352" width="11.140625" style="22" customWidth="1"/>
    <col min="4353" max="4353" width="2.85546875" style="22" customWidth="1"/>
    <col min="4354" max="4354" width="3.5703125" style="22" customWidth="1"/>
    <col min="4355" max="4599" width="9.140625" style="22"/>
    <col min="4600" max="4600" width="8.7109375" style="22" customWidth="1"/>
    <col min="4601" max="4601" width="9.85546875" style="22" customWidth="1"/>
    <col min="4602" max="4602" width="14.42578125" style="22" customWidth="1"/>
    <col min="4603" max="4603" width="7.28515625" style="22" customWidth="1"/>
    <col min="4604" max="4604" width="5.5703125" style="22" customWidth="1"/>
    <col min="4605" max="4605" width="9" style="22" customWidth="1"/>
    <col min="4606" max="4607" width="9.85546875" style="22" customWidth="1"/>
    <col min="4608" max="4608" width="11.140625" style="22" customWidth="1"/>
    <col min="4609" max="4609" width="2.85546875" style="22" customWidth="1"/>
    <col min="4610" max="4610" width="3.5703125" style="22" customWidth="1"/>
    <col min="4611" max="4855" width="9.140625" style="22"/>
    <col min="4856" max="4856" width="8.7109375" style="22" customWidth="1"/>
    <col min="4857" max="4857" width="9.85546875" style="22" customWidth="1"/>
    <col min="4858" max="4858" width="14.42578125" style="22" customWidth="1"/>
    <col min="4859" max="4859" width="7.28515625" style="22" customWidth="1"/>
    <col min="4860" max="4860" width="5.5703125" style="22" customWidth="1"/>
    <col min="4861" max="4861" width="9" style="22" customWidth="1"/>
    <col min="4862" max="4863" width="9.85546875" style="22" customWidth="1"/>
    <col min="4864" max="4864" width="11.140625" style="22" customWidth="1"/>
    <col min="4865" max="4865" width="2.85546875" style="22" customWidth="1"/>
    <col min="4866" max="4866" width="3.5703125" style="22" customWidth="1"/>
    <col min="4867" max="5111" width="9.140625" style="22"/>
    <col min="5112" max="5112" width="8.7109375" style="22" customWidth="1"/>
    <col min="5113" max="5113" width="9.85546875" style="22" customWidth="1"/>
    <col min="5114" max="5114" width="14.42578125" style="22" customWidth="1"/>
    <col min="5115" max="5115" width="7.28515625" style="22" customWidth="1"/>
    <col min="5116" max="5116" width="5.5703125" style="22" customWidth="1"/>
    <col min="5117" max="5117" width="9" style="22" customWidth="1"/>
    <col min="5118" max="5119" width="9.85546875" style="22" customWidth="1"/>
    <col min="5120" max="5120" width="11.140625" style="22" customWidth="1"/>
    <col min="5121" max="5121" width="2.85546875" style="22" customWidth="1"/>
    <col min="5122" max="5122" width="3.5703125" style="22" customWidth="1"/>
    <col min="5123" max="5367" width="9.140625" style="22"/>
    <col min="5368" max="5368" width="8.7109375" style="22" customWidth="1"/>
    <col min="5369" max="5369" width="9.85546875" style="22" customWidth="1"/>
    <col min="5370" max="5370" width="14.42578125" style="22" customWidth="1"/>
    <col min="5371" max="5371" width="7.28515625" style="22" customWidth="1"/>
    <col min="5372" max="5372" width="5.5703125" style="22" customWidth="1"/>
    <col min="5373" max="5373" width="9" style="22" customWidth="1"/>
    <col min="5374" max="5375" width="9.85546875" style="22" customWidth="1"/>
    <col min="5376" max="5376" width="11.140625" style="22" customWidth="1"/>
    <col min="5377" max="5377" width="2.85546875" style="22" customWidth="1"/>
    <col min="5378" max="5378" width="3.5703125" style="22" customWidth="1"/>
    <col min="5379" max="5623" width="9.140625" style="22"/>
    <col min="5624" max="5624" width="8.7109375" style="22" customWidth="1"/>
    <col min="5625" max="5625" width="9.85546875" style="22" customWidth="1"/>
    <col min="5626" max="5626" width="14.42578125" style="22" customWidth="1"/>
    <col min="5627" max="5627" width="7.28515625" style="22" customWidth="1"/>
    <col min="5628" max="5628" width="5.5703125" style="22" customWidth="1"/>
    <col min="5629" max="5629" width="9" style="22" customWidth="1"/>
    <col min="5630" max="5631" width="9.85546875" style="22" customWidth="1"/>
    <col min="5632" max="5632" width="11.140625" style="22" customWidth="1"/>
    <col min="5633" max="5633" width="2.85546875" style="22" customWidth="1"/>
    <col min="5634" max="5634" width="3.5703125" style="22" customWidth="1"/>
    <col min="5635" max="5879" width="9.140625" style="22"/>
    <col min="5880" max="5880" width="8.7109375" style="22" customWidth="1"/>
    <col min="5881" max="5881" width="9.85546875" style="22" customWidth="1"/>
    <col min="5882" max="5882" width="14.42578125" style="22" customWidth="1"/>
    <col min="5883" max="5883" width="7.28515625" style="22" customWidth="1"/>
    <col min="5884" max="5884" width="5.5703125" style="22" customWidth="1"/>
    <col min="5885" max="5885" width="9" style="22" customWidth="1"/>
    <col min="5886" max="5887" width="9.85546875" style="22" customWidth="1"/>
    <col min="5888" max="5888" width="11.140625" style="22" customWidth="1"/>
    <col min="5889" max="5889" width="2.85546875" style="22" customWidth="1"/>
    <col min="5890" max="5890" width="3.5703125" style="22" customWidth="1"/>
    <col min="5891" max="6135" width="9.140625" style="22"/>
    <col min="6136" max="6136" width="8.7109375" style="22" customWidth="1"/>
    <col min="6137" max="6137" width="9.85546875" style="22" customWidth="1"/>
    <col min="6138" max="6138" width="14.42578125" style="22" customWidth="1"/>
    <col min="6139" max="6139" width="7.28515625" style="22" customWidth="1"/>
    <col min="6140" max="6140" width="5.5703125" style="22" customWidth="1"/>
    <col min="6141" max="6141" width="9" style="22" customWidth="1"/>
    <col min="6142" max="6143" width="9.85546875" style="22" customWidth="1"/>
    <col min="6144" max="6144" width="11.140625" style="22" customWidth="1"/>
    <col min="6145" max="6145" width="2.85546875" style="22" customWidth="1"/>
    <col min="6146" max="6146" width="3.5703125" style="22" customWidth="1"/>
    <col min="6147" max="6391" width="9.140625" style="22"/>
    <col min="6392" max="6392" width="8.7109375" style="22" customWidth="1"/>
    <col min="6393" max="6393" width="9.85546875" style="22" customWidth="1"/>
    <col min="6394" max="6394" width="14.42578125" style="22" customWidth="1"/>
    <col min="6395" max="6395" width="7.28515625" style="22" customWidth="1"/>
    <col min="6396" max="6396" width="5.5703125" style="22" customWidth="1"/>
    <col min="6397" max="6397" width="9" style="22" customWidth="1"/>
    <col min="6398" max="6399" width="9.85546875" style="22" customWidth="1"/>
    <col min="6400" max="6400" width="11.140625" style="22" customWidth="1"/>
    <col min="6401" max="6401" width="2.85546875" style="22" customWidth="1"/>
    <col min="6402" max="6402" width="3.5703125" style="22" customWidth="1"/>
    <col min="6403" max="6647" width="9.140625" style="22"/>
    <col min="6648" max="6648" width="8.7109375" style="22" customWidth="1"/>
    <col min="6649" max="6649" width="9.85546875" style="22" customWidth="1"/>
    <col min="6650" max="6650" width="14.42578125" style="22" customWidth="1"/>
    <col min="6651" max="6651" width="7.28515625" style="22" customWidth="1"/>
    <col min="6652" max="6652" width="5.5703125" style="22" customWidth="1"/>
    <col min="6653" max="6653" width="9" style="22" customWidth="1"/>
    <col min="6654" max="6655" width="9.85546875" style="22" customWidth="1"/>
    <col min="6656" max="6656" width="11.140625" style="22" customWidth="1"/>
    <col min="6657" max="6657" width="2.85546875" style="22" customWidth="1"/>
    <col min="6658" max="6658" width="3.5703125" style="22" customWidth="1"/>
    <col min="6659" max="6903" width="9.140625" style="22"/>
    <col min="6904" max="6904" width="8.7109375" style="22" customWidth="1"/>
    <col min="6905" max="6905" width="9.85546875" style="22" customWidth="1"/>
    <col min="6906" max="6906" width="14.42578125" style="22" customWidth="1"/>
    <col min="6907" max="6907" width="7.28515625" style="22" customWidth="1"/>
    <col min="6908" max="6908" width="5.5703125" style="22" customWidth="1"/>
    <col min="6909" max="6909" width="9" style="22" customWidth="1"/>
    <col min="6910" max="6911" width="9.85546875" style="22" customWidth="1"/>
    <col min="6912" max="6912" width="11.140625" style="22" customWidth="1"/>
    <col min="6913" max="6913" width="2.85546875" style="22" customWidth="1"/>
    <col min="6914" max="6914" width="3.5703125" style="22" customWidth="1"/>
    <col min="6915" max="7159" width="9.140625" style="22"/>
    <col min="7160" max="7160" width="8.7109375" style="22" customWidth="1"/>
    <col min="7161" max="7161" width="9.85546875" style="22" customWidth="1"/>
    <col min="7162" max="7162" width="14.42578125" style="22" customWidth="1"/>
    <col min="7163" max="7163" width="7.28515625" style="22" customWidth="1"/>
    <col min="7164" max="7164" width="5.5703125" style="22" customWidth="1"/>
    <col min="7165" max="7165" width="9" style="22" customWidth="1"/>
    <col min="7166" max="7167" width="9.85546875" style="22" customWidth="1"/>
    <col min="7168" max="7168" width="11.140625" style="22" customWidth="1"/>
    <col min="7169" max="7169" width="2.85546875" style="22" customWidth="1"/>
    <col min="7170" max="7170" width="3.5703125" style="22" customWidth="1"/>
    <col min="7171" max="7415" width="9.140625" style="22"/>
    <col min="7416" max="7416" width="8.7109375" style="22" customWidth="1"/>
    <col min="7417" max="7417" width="9.85546875" style="22" customWidth="1"/>
    <col min="7418" max="7418" width="14.42578125" style="22" customWidth="1"/>
    <col min="7419" max="7419" width="7.28515625" style="22" customWidth="1"/>
    <col min="7420" max="7420" width="5.5703125" style="22" customWidth="1"/>
    <col min="7421" max="7421" width="9" style="22" customWidth="1"/>
    <col min="7422" max="7423" width="9.85546875" style="22" customWidth="1"/>
    <col min="7424" max="7424" width="11.140625" style="22" customWidth="1"/>
    <col min="7425" max="7425" width="2.85546875" style="22" customWidth="1"/>
    <col min="7426" max="7426" width="3.5703125" style="22" customWidth="1"/>
    <col min="7427" max="7671" width="9.140625" style="22"/>
    <col min="7672" max="7672" width="8.7109375" style="22" customWidth="1"/>
    <col min="7673" max="7673" width="9.85546875" style="22" customWidth="1"/>
    <col min="7674" max="7674" width="14.42578125" style="22" customWidth="1"/>
    <col min="7675" max="7675" width="7.28515625" style="22" customWidth="1"/>
    <col min="7676" max="7676" width="5.5703125" style="22" customWidth="1"/>
    <col min="7677" max="7677" width="9" style="22" customWidth="1"/>
    <col min="7678" max="7679" width="9.85546875" style="22" customWidth="1"/>
    <col min="7680" max="7680" width="11.140625" style="22" customWidth="1"/>
    <col min="7681" max="7681" width="2.85546875" style="22" customWidth="1"/>
    <col min="7682" max="7682" width="3.5703125" style="22" customWidth="1"/>
    <col min="7683" max="7927" width="9.140625" style="22"/>
    <col min="7928" max="7928" width="8.7109375" style="22" customWidth="1"/>
    <col min="7929" max="7929" width="9.85546875" style="22" customWidth="1"/>
    <col min="7930" max="7930" width="14.42578125" style="22" customWidth="1"/>
    <col min="7931" max="7931" width="7.28515625" style="22" customWidth="1"/>
    <col min="7932" max="7932" width="5.5703125" style="22" customWidth="1"/>
    <col min="7933" max="7933" width="9" style="22" customWidth="1"/>
    <col min="7934" max="7935" width="9.85546875" style="22" customWidth="1"/>
    <col min="7936" max="7936" width="11.140625" style="22" customWidth="1"/>
    <col min="7937" max="7937" width="2.85546875" style="22" customWidth="1"/>
    <col min="7938" max="7938" width="3.5703125" style="22" customWidth="1"/>
    <col min="7939" max="8183" width="9.140625" style="22"/>
    <col min="8184" max="8184" width="8.7109375" style="22" customWidth="1"/>
    <col min="8185" max="8185" width="9.85546875" style="22" customWidth="1"/>
    <col min="8186" max="8186" width="14.42578125" style="22" customWidth="1"/>
    <col min="8187" max="8187" width="7.28515625" style="22" customWidth="1"/>
    <col min="8188" max="8188" width="5.5703125" style="22" customWidth="1"/>
    <col min="8189" max="8189" width="9" style="22" customWidth="1"/>
    <col min="8190" max="8191" width="9.85546875" style="22" customWidth="1"/>
    <col min="8192" max="8192" width="11.140625" style="22" customWidth="1"/>
    <col min="8193" max="8193" width="2.85546875" style="22" customWidth="1"/>
    <col min="8194" max="8194" width="3.5703125" style="22" customWidth="1"/>
    <col min="8195" max="8439" width="9.140625" style="22"/>
    <col min="8440" max="8440" width="8.7109375" style="22" customWidth="1"/>
    <col min="8441" max="8441" width="9.85546875" style="22" customWidth="1"/>
    <col min="8442" max="8442" width="14.42578125" style="22" customWidth="1"/>
    <col min="8443" max="8443" width="7.28515625" style="22" customWidth="1"/>
    <col min="8444" max="8444" width="5.5703125" style="22" customWidth="1"/>
    <col min="8445" max="8445" width="9" style="22" customWidth="1"/>
    <col min="8446" max="8447" width="9.85546875" style="22" customWidth="1"/>
    <col min="8448" max="8448" width="11.140625" style="22" customWidth="1"/>
    <col min="8449" max="8449" width="2.85546875" style="22" customWidth="1"/>
    <col min="8450" max="8450" width="3.5703125" style="22" customWidth="1"/>
    <col min="8451" max="8695" width="9.140625" style="22"/>
    <col min="8696" max="8696" width="8.7109375" style="22" customWidth="1"/>
    <col min="8697" max="8697" width="9.85546875" style="22" customWidth="1"/>
    <col min="8698" max="8698" width="14.42578125" style="22" customWidth="1"/>
    <col min="8699" max="8699" width="7.28515625" style="22" customWidth="1"/>
    <col min="8700" max="8700" width="5.5703125" style="22" customWidth="1"/>
    <col min="8701" max="8701" width="9" style="22" customWidth="1"/>
    <col min="8702" max="8703" width="9.85546875" style="22" customWidth="1"/>
    <col min="8704" max="8704" width="11.140625" style="22" customWidth="1"/>
    <col min="8705" max="8705" width="2.85546875" style="22" customWidth="1"/>
    <col min="8706" max="8706" width="3.5703125" style="22" customWidth="1"/>
    <col min="8707" max="8951" width="9.140625" style="22"/>
    <col min="8952" max="8952" width="8.7109375" style="22" customWidth="1"/>
    <col min="8953" max="8953" width="9.85546875" style="22" customWidth="1"/>
    <col min="8954" max="8954" width="14.42578125" style="22" customWidth="1"/>
    <col min="8955" max="8955" width="7.28515625" style="22" customWidth="1"/>
    <col min="8956" max="8956" width="5.5703125" style="22" customWidth="1"/>
    <col min="8957" max="8957" width="9" style="22" customWidth="1"/>
    <col min="8958" max="8959" width="9.85546875" style="22" customWidth="1"/>
    <col min="8960" max="8960" width="11.140625" style="22" customWidth="1"/>
    <col min="8961" max="8961" width="2.85546875" style="22" customWidth="1"/>
    <col min="8962" max="8962" width="3.5703125" style="22" customWidth="1"/>
    <col min="8963" max="9207" width="9.140625" style="22"/>
    <col min="9208" max="9208" width="8.7109375" style="22" customWidth="1"/>
    <col min="9209" max="9209" width="9.85546875" style="22" customWidth="1"/>
    <col min="9210" max="9210" width="14.42578125" style="22" customWidth="1"/>
    <col min="9211" max="9211" width="7.28515625" style="22" customWidth="1"/>
    <col min="9212" max="9212" width="5.5703125" style="22" customWidth="1"/>
    <col min="9213" max="9213" width="9" style="22" customWidth="1"/>
    <col min="9214" max="9215" width="9.85546875" style="22" customWidth="1"/>
    <col min="9216" max="9216" width="11.140625" style="22" customWidth="1"/>
    <col min="9217" max="9217" width="2.85546875" style="22" customWidth="1"/>
    <col min="9218" max="9218" width="3.5703125" style="22" customWidth="1"/>
    <col min="9219" max="9463" width="9.140625" style="22"/>
    <col min="9464" max="9464" width="8.7109375" style="22" customWidth="1"/>
    <col min="9465" max="9465" width="9.85546875" style="22" customWidth="1"/>
    <col min="9466" max="9466" width="14.42578125" style="22" customWidth="1"/>
    <col min="9467" max="9467" width="7.28515625" style="22" customWidth="1"/>
    <col min="9468" max="9468" width="5.5703125" style="22" customWidth="1"/>
    <col min="9469" max="9469" width="9" style="22" customWidth="1"/>
    <col min="9470" max="9471" width="9.85546875" style="22" customWidth="1"/>
    <col min="9472" max="9472" width="11.140625" style="22" customWidth="1"/>
    <col min="9473" max="9473" width="2.85546875" style="22" customWidth="1"/>
    <col min="9474" max="9474" width="3.5703125" style="22" customWidth="1"/>
    <col min="9475" max="9719" width="9.140625" style="22"/>
    <col min="9720" max="9720" width="8.7109375" style="22" customWidth="1"/>
    <col min="9721" max="9721" width="9.85546875" style="22" customWidth="1"/>
    <col min="9722" max="9722" width="14.42578125" style="22" customWidth="1"/>
    <col min="9723" max="9723" width="7.28515625" style="22" customWidth="1"/>
    <col min="9724" max="9724" width="5.5703125" style="22" customWidth="1"/>
    <col min="9725" max="9725" width="9" style="22" customWidth="1"/>
    <col min="9726" max="9727" width="9.85546875" style="22" customWidth="1"/>
    <col min="9728" max="9728" width="11.140625" style="22" customWidth="1"/>
    <col min="9729" max="9729" width="2.85546875" style="22" customWidth="1"/>
    <col min="9730" max="9730" width="3.5703125" style="22" customWidth="1"/>
    <col min="9731" max="9975" width="9.140625" style="22"/>
    <col min="9976" max="9976" width="8.7109375" style="22" customWidth="1"/>
    <col min="9977" max="9977" width="9.85546875" style="22" customWidth="1"/>
    <col min="9978" max="9978" width="14.42578125" style="22" customWidth="1"/>
    <col min="9979" max="9979" width="7.28515625" style="22" customWidth="1"/>
    <col min="9980" max="9980" width="5.5703125" style="22" customWidth="1"/>
    <col min="9981" max="9981" width="9" style="22" customWidth="1"/>
    <col min="9982" max="9983" width="9.85546875" style="22" customWidth="1"/>
    <col min="9984" max="9984" width="11.140625" style="22" customWidth="1"/>
    <col min="9985" max="9985" width="2.85546875" style="22" customWidth="1"/>
    <col min="9986" max="9986" width="3.5703125" style="22" customWidth="1"/>
    <col min="9987" max="10231" width="9.140625" style="22"/>
    <col min="10232" max="10232" width="8.7109375" style="22" customWidth="1"/>
    <col min="10233" max="10233" width="9.85546875" style="22" customWidth="1"/>
    <col min="10234" max="10234" width="14.42578125" style="22" customWidth="1"/>
    <col min="10235" max="10235" width="7.28515625" style="22" customWidth="1"/>
    <col min="10236" max="10236" width="5.5703125" style="22" customWidth="1"/>
    <col min="10237" max="10237" width="9" style="22" customWidth="1"/>
    <col min="10238" max="10239" width="9.85546875" style="22" customWidth="1"/>
    <col min="10240" max="10240" width="11.140625" style="22" customWidth="1"/>
    <col min="10241" max="10241" width="2.85546875" style="22" customWidth="1"/>
    <col min="10242" max="10242" width="3.5703125" style="22" customWidth="1"/>
    <col min="10243" max="10487" width="9.140625" style="22"/>
    <col min="10488" max="10488" width="8.7109375" style="22" customWidth="1"/>
    <col min="10489" max="10489" width="9.85546875" style="22" customWidth="1"/>
    <col min="10490" max="10490" width="14.42578125" style="22" customWidth="1"/>
    <col min="10491" max="10491" width="7.28515625" style="22" customWidth="1"/>
    <col min="10492" max="10492" width="5.5703125" style="22" customWidth="1"/>
    <col min="10493" max="10493" width="9" style="22" customWidth="1"/>
    <col min="10494" max="10495" width="9.85546875" style="22" customWidth="1"/>
    <col min="10496" max="10496" width="11.140625" style="22" customWidth="1"/>
    <col min="10497" max="10497" width="2.85546875" style="22" customWidth="1"/>
    <col min="10498" max="10498" width="3.5703125" style="22" customWidth="1"/>
    <col min="10499" max="10743" width="9.140625" style="22"/>
    <col min="10744" max="10744" width="8.7109375" style="22" customWidth="1"/>
    <col min="10745" max="10745" width="9.85546875" style="22" customWidth="1"/>
    <col min="10746" max="10746" width="14.42578125" style="22" customWidth="1"/>
    <col min="10747" max="10747" width="7.28515625" style="22" customWidth="1"/>
    <col min="10748" max="10748" width="5.5703125" style="22" customWidth="1"/>
    <col min="10749" max="10749" width="9" style="22" customWidth="1"/>
    <col min="10750" max="10751" width="9.85546875" style="22" customWidth="1"/>
    <col min="10752" max="10752" width="11.140625" style="22" customWidth="1"/>
    <col min="10753" max="10753" width="2.85546875" style="22" customWidth="1"/>
    <col min="10754" max="10754" width="3.5703125" style="22" customWidth="1"/>
    <col min="10755" max="10999" width="9.140625" style="22"/>
    <col min="11000" max="11000" width="8.7109375" style="22" customWidth="1"/>
    <col min="11001" max="11001" width="9.85546875" style="22" customWidth="1"/>
    <col min="11002" max="11002" width="14.42578125" style="22" customWidth="1"/>
    <col min="11003" max="11003" width="7.28515625" style="22" customWidth="1"/>
    <col min="11004" max="11004" width="5.5703125" style="22" customWidth="1"/>
    <col min="11005" max="11005" width="9" style="22" customWidth="1"/>
    <col min="11006" max="11007" width="9.85546875" style="22" customWidth="1"/>
    <col min="11008" max="11008" width="11.140625" style="22" customWidth="1"/>
    <col min="11009" max="11009" width="2.85546875" style="22" customWidth="1"/>
    <col min="11010" max="11010" width="3.5703125" style="22" customWidth="1"/>
    <col min="11011" max="11255" width="9.140625" style="22"/>
    <col min="11256" max="11256" width="8.7109375" style="22" customWidth="1"/>
    <col min="11257" max="11257" width="9.85546875" style="22" customWidth="1"/>
    <col min="11258" max="11258" width="14.42578125" style="22" customWidth="1"/>
    <col min="11259" max="11259" width="7.28515625" style="22" customWidth="1"/>
    <col min="11260" max="11260" width="5.5703125" style="22" customWidth="1"/>
    <col min="11261" max="11261" width="9" style="22" customWidth="1"/>
    <col min="11262" max="11263" width="9.85546875" style="22" customWidth="1"/>
    <col min="11264" max="11264" width="11.140625" style="22" customWidth="1"/>
    <col min="11265" max="11265" width="2.85546875" style="22" customWidth="1"/>
    <col min="11266" max="11266" width="3.5703125" style="22" customWidth="1"/>
    <col min="11267" max="11511" width="9.140625" style="22"/>
    <col min="11512" max="11512" width="8.7109375" style="22" customWidth="1"/>
    <col min="11513" max="11513" width="9.85546875" style="22" customWidth="1"/>
    <col min="11514" max="11514" width="14.42578125" style="22" customWidth="1"/>
    <col min="11515" max="11515" width="7.28515625" style="22" customWidth="1"/>
    <col min="11516" max="11516" width="5.5703125" style="22" customWidth="1"/>
    <col min="11517" max="11517" width="9" style="22" customWidth="1"/>
    <col min="11518" max="11519" width="9.85546875" style="22" customWidth="1"/>
    <col min="11520" max="11520" width="11.140625" style="22" customWidth="1"/>
    <col min="11521" max="11521" width="2.85546875" style="22" customWidth="1"/>
    <col min="11522" max="11522" width="3.5703125" style="22" customWidth="1"/>
    <col min="11523" max="11767" width="9.140625" style="22"/>
    <col min="11768" max="11768" width="8.7109375" style="22" customWidth="1"/>
    <col min="11769" max="11769" width="9.85546875" style="22" customWidth="1"/>
    <col min="11770" max="11770" width="14.42578125" style="22" customWidth="1"/>
    <col min="11771" max="11771" width="7.28515625" style="22" customWidth="1"/>
    <col min="11772" max="11772" width="5.5703125" style="22" customWidth="1"/>
    <col min="11773" max="11773" width="9" style="22" customWidth="1"/>
    <col min="11774" max="11775" width="9.85546875" style="22" customWidth="1"/>
    <col min="11776" max="11776" width="11.140625" style="22" customWidth="1"/>
    <col min="11777" max="11777" width="2.85546875" style="22" customWidth="1"/>
    <col min="11778" max="11778" width="3.5703125" style="22" customWidth="1"/>
    <col min="11779" max="12023" width="9.140625" style="22"/>
    <col min="12024" max="12024" width="8.7109375" style="22" customWidth="1"/>
    <col min="12025" max="12025" width="9.85546875" style="22" customWidth="1"/>
    <col min="12026" max="12026" width="14.42578125" style="22" customWidth="1"/>
    <col min="12027" max="12027" width="7.28515625" style="22" customWidth="1"/>
    <col min="12028" max="12028" width="5.5703125" style="22" customWidth="1"/>
    <col min="12029" max="12029" width="9" style="22" customWidth="1"/>
    <col min="12030" max="12031" width="9.85546875" style="22" customWidth="1"/>
    <col min="12032" max="12032" width="11.140625" style="22" customWidth="1"/>
    <col min="12033" max="12033" width="2.85546875" style="22" customWidth="1"/>
    <col min="12034" max="12034" width="3.5703125" style="22" customWidth="1"/>
    <col min="12035" max="12279" width="9.140625" style="22"/>
    <col min="12280" max="12280" width="8.7109375" style="22" customWidth="1"/>
    <col min="12281" max="12281" width="9.85546875" style="22" customWidth="1"/>
    <col min="12282" max="12282" width="14.42578125" style="22" customWidth="1"/>
    <col min="12283" max="12283" width="7.28515625" style="22" customWidth="1"/>
    <col min="12284" max="12284" width="5.5703125" style="22" customWidth="1"/>
    <col min="12285" max="12285" width="9" style="22" customWidth="1"/>
    <col min="12286" max="12287" width="9.85546875" style="22" customWidth="1"/>
    <col min="12288" max="12288" width="11.140625" style="22" customWidth="1"/>
    <col min="12289" max="12289" width="2.85546875" style="22" customWidth="1"/>
    <col min="12290" max="12290" width="3.5703125" style="22" customWidth="1"/>
    <col min="12291" max="12535" width="9.140625" style="22"/>
    <col min="12536" max="12536" width="8.7109375" style="22" customWidth="1"/>
    <col min="12537" max="12537" width="9.85546875" style="22" customWidth="1"/>
    <col min="12538" max="12538" width="14.42578125" style="22" customWidth="1"/>
    <col min="12539" max="12539" width="7.28515625" style="22" customWidth="1"/>
    <col min="12540" max="12540" width="5.5703125" style="22" customWidth="1"/>
    <col min="12541" max="12541" width="9" style="22" customWidth="1"/>
    <col min="12542" max="12543" width="9.85546875" style="22" customWidth="1"/>
    <col min="12544" max="12544" width="11.140625" style="22" customWidth="1"/>
    <col min="12545" max="12545" width="2.85546875" style="22" customWidth="1"/>
    <col min="12546" max="12546" width="3.5703125" style="22" customWidth="1"/>
    <col min="12547" max="12791" width="9.140625" style="22"/>
    <col min="12792" max="12792" width="8.7109375" style="22" customWidth="1"/>
    <col min="12793" max="12793" width="9.85546875" style="22" customWidth="1"/>
    <col min="12794" max="12794" width="14.42578125" style="22" customWidth="1"/>
    <col min="12795" max="12795" width="7.28515625" style="22" customWidth="1"/>
    <col min="12796" max="12796" width="5.5703125" style="22" customWidth="1"/>
    <col min="12797" max="12797" width="9" style="22" customWidth="1"/>
    <col min="12798" max="12799" width="9.85546875" style="22" customWidth="1"/>
    <col min="12800" max="12800" width="11.140625" style="22" customWidth="1"/>
    <col min="12801" max="12801" width="2.85546875" style="22" customWidth="1"/>
    <col min="12802" max="12802" width="3.5703125" style="22" customWidth="1"/>
    <col min="12803" max="13047" width="9.140625" style="22"/>
    <col min="13048" max="13048" width="8.7109375" style="22" customWidth="1"/>
    <col min="13049" max="13049" width="9.85546875" style="22" customWidth="1"/>
    <col min="13050" max="13050" width="14.42578125" style="22" customWidth="1"/>
    <col min="13051" max="13051" width="7.28515625" style="22" customWidth="1"/>
    <col min="13052" max="13052" width="5.5703125" style="22" customWidth="1"/>
    <col min="13053" max="13053" width="9" style="22" customWidth="1"/>
    <col min="13054" max="13055" width="9.85546875" style="22" customWidth="1"/>
    <col min="13056" max="13056" width="11.140625" style="22" customWidth="1"/>
    <col min="13057" max="13057" width="2.85546875" style="22" customWidth="1"/>
    <col min="13058" max="13058" width="3.5703125" style="22" customWidth="1"/>
    <col min="13059" max="13303" width="9.140625" style="22"/>
    <col min="13304" max="13304" width="8.7109375" style="22" customWidth="1"/>
    <col min="13305" max="13305" width="9.85546875" style="22" customWidth="1"/>
    <col min="13306" max="13306" width="14.42578125" style="22" customWidth="1"/>
    <col min="13307" max="13307" width="7.28515625" style="22" customWidth="1"/>
    <col min="13308" max="13308" width="5.5703125" style="22" customWidth="1"/>
    <col min="13309" max="13309" width="9" style="22" customWidth="1"/>
    <col min="13310" max="13311" width="9.85546875" style="22" customWidth="1"/>
    <col min="13312" max="13312" width="11.140625" style="22" customWidth="1"/>
    <col min="13313" max="13313" width="2.85546875" style="22" customWidth="1"/>
    <col min="13314" max="13314" width="3.5703125" style="22" customWidth="1"/>
    <col min="13315" max="13559" width="9.140625" style="22"/>
    <col min="13560" max="13560" width="8.7109375" style="22" customWidth="1"/>
    <col min="13561" max="13561" width="9.85546875" style="22" customWidth="1"/>
    <col min="13562" max="13562" width="14.42578125" style="22" customWidth="1"/>
    <col min="13563" max="13563" width="7.28515625" style="22" customWidth="1"/>
    <col min="13564" max="13564" width="5.5703125" style="22" customWidth="1"/>
    <col min="13565" max="13565" width="9" style="22" customWidth="1"/>
    <col min="13566" max="13567" width="9.85546875" style="22" customWidth="1"/>
    <col min="13568" max="13568" width="11.140625" style="22" customWidth="1"/>
    <col min="13569" max="13569" width="2.85546875" style="22" customWidth="1"/>
    <col min="13570" max="13570" width="3.5703125" style="22" customWidth="1"/>
    <col min="13571" max="13815" width="9.140625" style="22"/>
    <col min="13816" max="13816" width="8.7109375" style="22" customWidth="1"/>
    <col min="13817" max="13817" width="9.85546875" style="22" customWidth="1"/>
    <col min="13818" max="13818" width="14.42578125" style="22" customWidth="1"/>
    <col min="13819" max="13819" width="7.28515625" style="22" customWidth="1"/>
    <col min="13820" max="13820" width="5.5703125" style="22" customWidth="1"/>
    <col min="13821" max="13821" width="9" style="22" customWidth="1"/>
    <col min="13822" max="13823" width="9.85546875" style="22" customWidth="1"/>
    <col min="13824" max="13824" width="11.140625" style="22" customWidth="1"/>
    <col min="13825" max="13825" width="2.85546875" style="22" customWidth="1"/>
    <col min="13826" max="13826" width="3.5703125" style="22" customWidth="1"/>
    <col min="13827" max="14071" width="9.140625" style="22"/>
    <col min="14072" max="14072" width="8.7109375" style="22" customWidth="1"/>
    <col min="14073" max="14073" width="9.85546875" style="22" customWidth="1"/>
    <col min="14074" max="14074" width="14.42578125" style="22" customWidth="1"/>
    <col min="14075" max="14075" width="7.28515625" style="22" customWidth="1"/>
    <col min="14076" max="14076" width="5.5703125" style="22" customWidth="1"/>
    <col min="14077" max="14077" width="9" style="22" customWidth="1"/>
    <col min="14078" max="14079" width="9.85546875" style="22" customWidth="1"/>
    <col min="14080" max="14080" width="11.140625" style="22" customWidth="1"/>
    <col min="14081" max="14081" width="2.85546875" style="22" customWidth="1"/>
    <col min="14082" max="14082" width="3.5703125" style="22" customWidth="1"/>
    <col min="14083" max="14327" width="9.140625" style="22"/>
    <col min="14328" max="14328" width="8.7109375" style="22" customWidth="1"/>
    <col min="14329" max="14329" width="9.85546875" style="22" customWidth="1"/>
    <col min="14330" max="14330" width="14.42578125" style="22" customWidth="1"/>
    <col min="14331" max="14331" width="7.28515625" style="22" customWidth="1"/>
    <col min="14332" max="14332" width="5.5703125" style="22" customWidth="1"/>
    <col min="14333" max="14333" width="9" style="22" customWidth="1"/>
    <col min="14334" max="14335" width="9.85546875" style="22" customWidth="1"/>
    <col min="14336" max="14336" width="11.140625" style="22" customWidth="1"/>
    <col min="14337" max="14337" width="2.85546875" style="22" customWidth="1"/>
    <col min="14338" max="14338" width="3.5703125" style="22" customWidth="1"/>
    <col min="14339" max="14583" width="9.140625" style="22"/>
    <col min="14584" max="14584" width="8.7109375" style="22" customWidth="1"/>
    <col min="14585" max="14585" width="9.85546875" style="22" customWidth="1"/>
    <col min="14586" max="14586" width="14.42578125" style="22" customWidth="1"/>
    <col min="14587" max="14587" width="7.28515625" style="22" customWidth="1"/>
    <col min="14588" max="14588" width="5.5703125" style="22" customWidth="1"/>
    <col min="14589" max="14589" width="9" style="22" customWidth="1"/>
    <col min="14590" max="14591" width="9.85546875" style="22" customWidth="1"/>
    <col min="14592" max="14592" width="11.140625" style="22" customWidth="1"/>
    <col min="14593" max="14593" width="2.85546875" style="22" customWidth="1"/>
    <col min="14594" max="14594" width="3.5703125" style="22" customWidth="1"/>
    <col min="14595" max="14839" width="9.140625" style="22"/>
    <col min="14840" max="14840" width="8.7109375" style="22" customWidth="1"/>
    <col min="14841" max="14841" width="9.85546875" style="22" customWidth="1"/>
    <col min="14842" max="14842" width="14.42578125" style="22" customWidth="1"/>
    <col min="14843" max="14843" width="7.28515625" style="22" customWidth="1"/>
    <col min="14844" max="14844" width="5.5703125" style="22" customWidth="1"/>
    <col min="14845" max="14845" width="9" style="22" customWidth="1"/>
    <col min="14846" max="14847" width="9.85546875" style="22" customWidth="1"/>
    <col min="14848" max="14848" width="11.140625" style="22" customWidth="1"/>
    <col min="14849" max="14849" width="2.85546875" style="22" customWidth="1"/>
    <col min="14850" max="14850" width="3.5703125" style="22" customWidth="1"/>
    <col min="14851" max="15095" width="9.140625" style="22"/>
    <col min="15096" max="15096" width="8.7109375" style="22" customWidth="1"/>
    <col min="15097" max="15097" width="9.85546875" style="22" customWidth="1"/>
    <col min="15098" max="15098" width="14.42578125" style="22" customWidth="1"/>
    <col min="15099" max="15099" width="7.28515625" style="22" customWidth="1"/>
    <col min="15100" max="15100" width="5.5703125" style="22" customWidth="1"/>
    <col min="15101" max="15101" width="9" style="22" customWidth="1"/>
    <col min="15102" max="15103" width="9.85546875" style="22" customWidth="1"/>
    <col min="15104" max="15104" width="11.140625" style="22" customWidth="1"/>
    <col min="15105" max="15105" width="2.85546875" style="22" customWidth="1"/>
    <col min="15106" max="15106" width="3.5703125" style="22" customWidth="1"/>
    <col min="15107" max="15351" width="9.140625" style="22"/>
    <col min="15352" max="15352" width="8.7109375" style="22" customWidth="1"/>
    <col min="15353" max="15353" width="9.85546875" style="22" customWidth="1"/>
    <col min="15354" max="15354" width="14.42578125" style="22" customWidth="1"/>
    <col min="15355" max="15355" width="7.28515625" style="22" customWidth="1"/>
    <col min="15356" max="15356" width="5.5703125" style="22" customWidth="1"/>
    <col min="15357" max="15357" width="9" style="22" customWidth="1"/>
    <col min="15358" max="15359" width="9.85546875" style="22" customWidth="1"/>
    <col min="15360" max="15360" width="11.140625" style="22" customWidth="1"/>
    <col min="15361" max="15361" width="2.85546875" style="22" customWidth="1"/>
    <col min="15362" max="15362" width="3.5703125" style="22" customWidth="1"/>
    <col min="15363" max="15607" width="9.140625" style="22"/>
    <col min="15608" max="15608" width="8.7109375" style="22" customWidth="1"/>
    <col min="15609" max="15609" width="9.85546875" style="22" customWidth="1"/>
    <col min="15610" max="15610" width="14.42578125" style="22" customWidth="1"/>
    <col min="15611" max="15611" width="7.28515625" style="22" customWidth="1"/>
    <col min="15612" max="15612" width="5.5703125" style="22" customWidth="1"/>
    <col min="15613" max="15613" width="9" style="22" customWidth="1"/>
    <col min="15614" max="15615" width="9.85546875" style="22" customWidth="1"/>
    <col min="15616" max="15616" width="11.140625" style="22" customWidth="1"/>
    <col min="15617" max="15617" width="2.85546875" style="22" customWidth="1"/>
    <col min="15618" max="15618" width="3.5703125" style="22" customWidth="1"/>
    <col min="15619" max="15863" width="9.140625" style="22"/>
    <col min="15864" max="15864" width="8.7109375" style="22" customWidth="1"/>
    <col min="15865" max="15865" width="9.85546875" style="22" customWidth="1"/>
    <col min="15866" max="15866" width="14.42578125" style="22" customWidth="1"/>
    <col min="15867" max="15867" width="7.28515625" style="22" customWidth="1"/>
    <col min="15868" max="15868" width="5.5703125" style="22" customWidth="1"/>
    <col min="15869" max="15869" width="9" style="22" customWidth="1"/>
    <col min="15870" max="15871" width="9.85546875" style="22" customWidth="1"/>
    <col min="15872" max="15872" width="11.140625" style="22" customWidth="1"/>
    <col min="15873" max="15873" width="2.85546875" style="22" customWidth="1"/>
    <col min="15874" max="15874" width="3.5703125" style="22" customWidth="1"/>
    <col min="15875" max="16119" width="9.140625" style="22"/>
    <col min="16120" max="16120" width="8.7109375" style="22" customWidth="1"/>
    <col min="16121" max="16121" width="9.85546875" style="22" customWidth="1"/>
    <col min="16122" max="16122" width="14.42578125" style="22" customWidth="1"/>
    <col min="16123" max="16123" width="7.28515625" style="22" customWidth="1"/>
    <col min="16124" max="16124" width="5.5703125" style="22" customWidth="1"/>
    <col min="16125" max="16125" width="9" style="22" customWidth="1"/>
    <col min="16126" max="16127" width="9.85546875" style="22" customWidth="1"/>
    <col min="16128" max="16128" width="11.140625" style="22" customWidth="1"/>
    <col min="16129" max="16129" width="2.85546875" style="22" customWidth="1"/>
    <col min="16130" max="16130" width="3.5703125" style="22" customWidth="1"/>
    <col min="16131" max="16384" width="9.140625" style="22"/>
  </cols>
  <sheetData>
    <row r="1" spans="1:9" ht="46.5" customHeight="1" x14ac:dyDescent="0.25">
      <c r="A1" s="199" t="s">
        <v>168</v>
      </c>
      <c r="B1" s="199"/>
      <c r="C1" s="199"/>
      <c r="D1" s="199"/>
      <c r="E1" s="199"/>
      <c r="F1" s="199"/>
      <c r="G1" s="199"/>
      <c r="H1" s="199"/>
    </row>
    <row r="2" spans="1:9" ht="16.5" customHeight="1" x14ac:dyDescent="0.25">
      <c r="A2" s="200" t="s">
        <v>0</v>
      </c>
      <c r="B2" s="200"/>
      <c r="C2" s="200"/>
      <c r="D2" s="200"/>
      <c r="E2" s="200"/>
      <c r="F2" s="200"/>
      <c r="G2" s="200"/>
      <c r="H2" s="200"/>
    </row>
    <row r="3" spans="1:9" x14ac:dyDescent="0.25">
      <c r="A3" s="178" t="s">
        <v>1</v>
      </c>
      <c r="B3" s="178"/>
      <c r="C3" s="178"/>
      <c r="D3" s="178"/>
      <c r="E3" s="178" t="str">
        <f ca="1">TEXT(TODAY(),"DD/MM/YYYY")</f>
        <v>19/08/2025</v>
      </c>
      <c r="F3" s="178"/>
      <c r="G3" s="178"/>
      <c r="H3" s="178"/>
    </row>
    <row r="4" spans="1:9" ht="15" customHeight="1" x14ac:dyDescent="0.25">
      <c r="A4" s="178" t="s">
        <v>2</v>
      </c>
      <c r="B4" s="178"/>
      <c r="C4" s="178"/>
      <c r="D4" s="178"/>
      <c r="E4" s="178" t="s">
        <v>173</v>
      </c>
      <c r="F4" s="178"/>
      <c r="G4" s="178"/>
      <c r="H4" s="178"/>
    </row>
    <row r="5" spans="1:9" x14ac:dyDescent="0.25">
      <c r="A5" s="178" t="s">
        <v>3</v>
      </c>
      <c r="B5" s="178"/>
      <c r="C5" s="178"/>
      <c r="D5" s="178"/>
      <c r="E5" s="201">
        <v>45883</v>
      </c>
      <c r="F5" s="178"/>
      <c r="G5" s="178"/>
      <c r="H5" s="178"/>
    </row>
    <row r="6" spans="1:9" ht="16.5" customHeight="1" x14ac:dyDescent="0.25">
      <c r="A6" s="178" t="s">
        <v>4</v>
      </c>
      <c r="B6" s="178"/>
      <c r="C6" s="178"/>
      <c r="D6" s="178"/>
      <c r="E6" s="178" t="s">
        <v>174</v>
      </c>
      <c r="F6" s="178"/>
      <c r="G6" s="178"/>
      <c r="H6" s="178"/>
    </row>
    <row r="7" spans="1:9" ht="15" customHeight="1" x14ac:dyDescent="0.25">
      <c r="A7" s="178" t="s">
        <v>5</v>
      </c>
      <c r="B7" s="178"/>
      <c r="C7" s="178"/>
      <c r="D7" s="178"/>
      <c r="E7" s="178" t="str">
        <f>E6</f>
        <v>Metro Associates</v>
      </c>
      <c r="F7" s="178"/>
      <c r="G7" s="178"/>
      <c r="H7" s="178"/>
    </row>
    <row r="8" spans="1:9" x14ac:dyDescent="0.25">
      <c r="A8" s="178" t="s">
        <v>6</v>
      </c>
      <c r="B8" s="178"/>
      <c r="C8" s="178"/>
      <c r="D8" s="178"/>
      <c r="E8" s="101" t="s">
        <v>175</v>
      </c>
      <c r="F8" s="101"/>
      <c r="G8" s="101"/>
      <c r="H8" s="101"/>
      <c r="I8" s="22" t="s">
        <v>240</v>
      </c>
    </row>
    <row r="9" spans="1:9" x14ac:dyDescent="0.25">
      <c r="A9" s="178" t="s">
        <v>171</v>
      </c>
      <c r="B9" s="178"/>
      <c r="C9" s="178"/>
      <c r="D9" s="178"/>
      <c r="E9" s="178">
        <v>7045211813</v>
      </c>
      <c r="F9" s="178"/>
      <c r="G9" s="178"/>
      <c r="H9" s="178"/>
    </row>
    <row r="10" spans="1:9" x14ac:dyDescent="0.25">
      <c r="A10" s="178" t="s">
        <v>172</v>
      </c>
      <c r="B10" s="178"/>
      <c r="C10" s="178"/>
      <c r="D10" s="178"/>
      <c r="E10" s="178" t="s">
        <v>243</v>
      </c>
      <c r="F10" s="178"/>
      <c r="G10" s="178"/>
      <c r="H10" s="178"/>
    </row>
    <row r="11" spans="1:9" x14ac:dyDescent="0.25">
      <c r="A11" s="178" t="s">
        <v>236</v>
      </c>
      <c r="B11" s="178"/>
      <c r="C11" s="178"/>
      <c r="D11" s="178"/>
      <c r="E11" s="178" t="s">
        <v>237</v>
      </c>
      <c r="F11" s="178"/>
      <c r="G11" s="178"/>
      <c r="H11" s="178"/>
    </row>
    <row r="12" spans="1:9" ht="18" customHeight="1" x14ac:dyDescent="0.25">
      <c r="A12" s="95" t="s">
        <v>7</v>
      </c>
      <c r="B12" s="95"/>
      <c r="C12" s="95"/>
      <c r="D12" s="95"/>
      <c r="E12" s="183" t="s">
        <v>190</v>
      </c>
      <c r="F12" s="183"/>
      <c r="G12" s="183"/>
      <c r="H12" s="183"/>
    </row>
    <row r="13" spans="1:9" x14ac:dyDescent="0.25">
      <c r="A13" s="95" t="s">
        <v>8</v>
      </c>
      <c r="B13" s="95"/>
      <c r="C13" s="95"/>
      <c r="D13" s="95"/>
      <c r="E13" s="183" t="s">
        <v>189</v>
      </c>
      <c r="F13" s="196"/>
      <c r="G13" s="196"/>
      <c r="H13" s="196"/>
    </row>
    <row r="14" spans="1:9" ht="48" customHeight="1" x14ac:dyDescent="0.25">
      <c r="A14" s="195" t="s">
        <v>9</v>
      </c>
      <c r="B14" s="195"/>
      <c r="C14" s="19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Metro Millennium, CTS No.662,662/1 to 15,  Redevlopement of " Malad Sundarm ", near Milan Residency, Ramchandra Lane , Adarsh Nagar, Malad, Malad (West), Borivali, Mumbai - 400064.</v>
      </c>
      <c r="D14" s="195"/>
      <c r="E14" s="195"/>
      <c r="F14" s="195"/>
      <c r="G14" s="195"/>
      <c r="H14" s="195"/>
    </row>
    <row r="15" spans="1:9" x14ac:dyDescent="0.25">
      <c r="A15" s="195" t="s">
        <v>176</v>
      </c>
      <c r="B15" s="195"/>
      <c r="C15" s="195" t="s">
        <v>177</v>
      </c>
      <c r="D15" s="195"/>
      <c r="E15" s="195"/>
      <c r="F15" s="195"/>
      <c r="G15" s="195"/>
      <c r="H15" s="195"/>
    </row>
    <row r="16" spans="1:9" ht="15.75" customHeight="1" x14ac:dyDescent="0.25">
      <c r="A16" s="195" t="s">
        <v>166</v>
      </c>
      <c r="B16" s="195"/>
      <c r="C16" s="195" t="s">
        <v>181</v>
      </c>
      <c r="D16" s="195"/>
      <c r="E16" s="195"/>
      <c r="F16" s="195"/>
      <c r="G16" s="195"/>
      <c r="H16" s="195"/>
    </row>
    <row r="17" spans="1:8" ht="15.75" customHeight="1" x14ac:dyDescent="0.25">
      <c r="A17" s="195" t="s">
        <v>10</v>
      </c>
      <c r="B17" s="195"/>
      <c r="C17" s="197" t="s">
        <v>180</v>
      </c>
      <c r="D17" s="197"/>
      <c r="E17" s="195" t="s">
        <v>74</v>
      </c>
      <c r="F17" s="195"/>
      <c r="G17" s="195" t="s">
        <v>178</v>
      </c>
      <c r="H17" s="195"/>
    </row>
    <row r="18" spans="1:8" x14ac:dyDescent="0.25">
      <c r="A18" s="197" t="s">
        <v>12</v>
      </c>
      <c r="B18" s="197"/>
      <c r="C18" s="195" t="s">
        <v>210</v>
      </c>
      <c r="D18" s="195"/>
      <c r="E18" s="195" t="s">
        <v>11</v>
      </c>
      <c r="F18" s="195"/>
      <c r="G18" s="198" t="s">
        <v>179</v>
      </c>
      <c r="H18" s="198"/>
    </row>
    <row r="19" spans="1:8" x14ac:dyDescent="0.25">
      <c r="A19" s="197" t="s">
        <v>75</v>
      </c>
      <c r="B19" s="197"/>
      <c r="C19" s="195" t="s">
        <v>211</v>
      </c>
      <c r="D19" s="195"/>
      <c r="E19" s="195" t="s">
        <v>13</v>
      </c>
      <c r="F19" s="195"/>
      <c r="G19" s="195">
        <v>400064</v>
      </c>
      <c r="H19" s="195"/>
    </row>
    <row r="20" spans="1:8" ht="32.25" customHeight="1" x14ac:dyDescent="0.25">
      <c r="A20" s="197" t="s">
        <v>124</v>
      </c>
      <c r="B20" s="197"/>
      <c r="C20" s="195" t="s">
        <v>185</v>
      </c>
      <c r="D20" s="195"/>
      <c r="E20" s="195" t="s">
        <v>14</v>
      </c>
      <c r="F20" s="195"/>
      <c r="G20" s="195" t="s">
        <v>182</v>
      </c>
      <c r="H20" s="195"/>
    </row>
    <row r="21" spans="1:8" ht="15" customHeight="1" x14ac:dyDescent="0.25">
      <c r="A21" s="176" t="s">
        <v>78</v>
      </c>
      <c r="B21" s="176"/>
      <c r="C21" s="176"/>
      <c r="D21" s="176"/>
      <c r="E21" s="178" t="s">
        <v>15</v>
      </c>
      <c r="F21" s="178"/>
      <c r="G21" s="178"/>
      <c r="H21" s="178"/>
    </row>
    <row r="22" spans="1:8" ht="18.75" customHeight="1" x14ac:dyDescent="0.25">
      <c r="A22" s="176"/>
      <c r="B22" s="176"/>
      <c r="C22" s="176"/>
      <c r="D22" s="176"/>
      <c r="E22" s="178"/>
      <c r="F22" s="178"/>
      <c r="G22" s="178"/>
      <c r="H22" s="178"/>
    </row>
    <row r="23" spans="1:8" ht="15" customHeight="1" x14ac:dyDescent="0.25">
      <c r="A23" s="176" t="s">
        <v>16</v>
      </c>
      <c r="B23" s="176"/>
      <c r="C23" s="176"/>
      <c r="D23" s="176"/>
      <c r="E23" s="183" t="s">
        <v>17</v>
      </c>
      <c r="F23" s="183"/>
      <c r="G23" s="183"/>
      <c r="H23" s="183"/>
    </row>
    <row r="24" spans="1:8" ht="15" customHeight="1" x14ac:dyDescent="0.25">
      <c r="A24" s="95" t="s">
        <v>18</v>
      </c>
      <c r="B24" s="95"/>
      <c r="C24" s="95"/>
      <c r="D24" s="95"/>
      <c r="E24" s="183" t="str">
        <f>IF(AND(G18="Mumbai"),"Upper Class","Middle Class")</f>
        <v>Upper Class</v>
      </c>
      <c r="F24" s="183"/>
      <c r="G24" s="183"/>
      <c r="H24" s="183"/>
    </row>
    <row r="25" spans="1:8" x14ac:dyDescent="0.25">
      <c r="A25" s="95" t="s">
        <v>19</v>
      </c>
      <c r="B25" s="95"/>
      <c r="C25" s="95"/>
      <c r="D25" s="95"/>
      <c r="E25" s="183" t="s">
        <v>20</v>
      </c>
      <c r="F25" s="183"/>
      <c r="G25" s="183"/>
      <c r="H25" s="183"/>
    </row>
    <row r="26" spans="1:8" ht="15.75" customHeight="1" x14ac:dyDescent="0.25">
      <c r="A26" s="95" t="s">
        <v>21</v>
      </c>
      <c r="B26" s="95"/>
      <c r="C26" s="95"/>
      <c r="D26" s="95"/>
      <c r="E26" s="183" t="str">
        <f>IF(AND(G18="Mumbai"),"Developed","Developing")</f>
        <v>Developed</v>
      </c>
      <c r="F26" s="183"/>
      <c r="G26" s="183"/>
      <c r="H26" s="183"/>
    </row>
    <row r="27" spans="1:8" x14ac:dyDescent="0.25">
      <c r="A27" s="95" t="s">
        <v>22</v>
      </c>
      <c r="B27" s="95"/>
      <c r="C27" s="95"/>
      <c r="D27" s="95"/>
      <c r="E27" s="183" t="s">
        <v>23</v>
      </c>
      <c r="F27" s="183"/>
      <c r="G27" s="183"/>
      <c r="H27" s="183"/>
    </row>
    <row r="28" spans="1:8" ht="15.75" customHeight="1" x14ac:dyDescent="0.25">
      <c r="A28" s="95" t="s">
        <v>83</v>
      </c>
      <c r="B28" s="95"/>
      <c r="C28" s="95"/>
      <c r="D28" s="95"/>
      <c r="E28" s="183" t="s">
        <v>84</v>
      </c>
      <c r="F28" s="183"/>
      <c r="G28" s="183"/>
      <c r="H28" s="183"/>
    </row>
    <row r="29" spans="1:8" ht="15" customHeight="1" x14ac:dyDescent="0.25">
      <c r="A29" s="95" t="s">
        <v>32</v>
      </c>
      <c r="B29" s="95"/>
      <c r="C29" s="95"/>
      <c r="D29" s="95"/>
      <c r="E29" s="183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Residential + Commercial</v>
      </c>
      <c r="F29" s="183"/>
      <c r="G29" s="183"/>
      <c r="H29" s="183"/>
    </row>
    <row r="30" spans="1:8" ht="15.75" customHeight="1" x14ac:dyDescent="0.25">
      <c r="A30" s="95" t="s">
        <v>95</v>
      </c>
      <c r="B30" s="95"/>
      <c r="C30" s="95"/>
      <c r="D30" s="95"/>
      <c r="E30" s="183" t="s">
        <v>33</v>
      </c>
      <c r="F30" s="183"/>
      <c r="G30" s="183"/>
      <c r="H30" s="183"/>
    </row>
    <row r="31" spans="1:8" s="23" customFormat="1" x14ac:dyDescent="0.25">
      <c r="A31" s="192" t="s">
        <v>96</v>
      </c>
      <c r="B31" s="192"/>
      <c r="C31" s="190" t="s">
        <v>28</v>
      </c>
      <c r="D31" s="190"/>
      <c r="E31" s="190"/>
      <c r="F31" s="190" t="s">
        <v>30</v>
      </c>
      <c r="G31" s="190"/>
      <c r="H31" s="190"/>
    </row>
    <row r="32" spans="1:8" s="23" customFormat="1" x14ac:dyDescent="0.25">
      <c r="A32" s="191" t="s">
        <v>24</v>
      </c>
      <c r="B32" s="191" t="s">
        <v>29</v>
      </c>
      <c r="C32" s="191" t="s">
        <v>29</v>
      </c>
      <c r="D32" s="191"/>
      <c r="E32" s="191"/>
      <c r="F32" s="193" t="s">
        <v>192</v>
      </c>
      <c r="G32" s="193"/>
      <c r="H32" s="193"/>
    </row>
    <row r="33" spans="1:8" x14ac:dyDescent="0.25">
      <c r="A33" s="165" t="s">
        <v>25</v>
      </c>
      <c r="B33" s="165" t="s">
        <v>29</v>
      </c>
      <c r="C33" s="166" t="s">
        <v>29</v>
      </c>
      <c r="D33" s="166"/>
      <c r="E33" s="166"/>
      <c r="F33" s="166" t="s">
        <v>186</v>
      </c>
      <c r="G33" s="166"/>
      <c r="H33" s="166"/>
    </row>
    <row r="34" spans="1:8" s="23" customFormat="1" x14ac:dyDescent="0.25">
      <c r="A34" s="165" t="s">
        <v>27</v>
      </c>
      <c r="B34" s="165" t="s">
        <v>29</v>
      </c>
      <c r="C34" s="166" t="s">
        <v>29</v>
      </c>
      <c r="D34" s="166"/>
      <c r="E34" s="166"/>
      <c r="F34" s="166" t="s">
        <v>187</v>
      </c>
      <c r="G34" s="166"/>
      <c r="H34" s="166"/>
    </row>
    <row r="35" spans="1:8" x14ac:dyDescent="0.25">
      <c r="A35" s="165" t="s">
        <v>26</v>
      </c>
      <c r="B35" s="165" t="s">
        <v>29</v>
      </c>
      <c r="C35" s="166" t="s">
        <v>29</v>
      </c>
      <c r="D35" s="166"/>
      <c r="E35" s="166"/>
      <c r="F35" s="166" t="s">
        <v>188</v>
      </c>
      <c r="G35" s="166"/>
      <c r="H35" s="166"/>
    </row>
    <row r="36" spans="1:8" x14ac:dyDescent="0.25">
      <c r="A36" s="95" t="s">
        <v>31</v>
      </c>
      <c r="B36" s="95"/>
      <c r="C36" s="95"/>
      <c r="D36" s="95"/>
      <c r="E36" s="95"/>
      <c r="F36" s="95"/>
      <c r="G36" s="95"/>
      <c r="H36" s="95"/>
    </row>
    <row r="37" spans="1:8" ht="15.75" customHeight="1" x14ac:dyDescent="0.25">
      <c r="A37" s="95" t="s">
        <v>169</v>
      </c>
      <c r="B37" s="95"/>
      <c r="C37" s="177" t="s">
        <v>184</v>
      </c>
      <c r="D37" s="177"/>
      <c r="E37" s="177"/>
      <c r="F37" s="177"/>
      <c r="G37" s="177"/>
      <c r="H37" s="177"/>
    </row>
    <row r="38" spans="1:8" x14ac:dyDescent="0.25">
      <c r="A38" s="95" t="s">
        <v>165</v>
      </c>
      <c r="B38" s="95"/>
      <c r="C38" s="182" t="s">
        <v>183</v>
      </c>
      <c r="D38" s="183"/>
      <c r="E38" s="183"/>
      <c r="F38" s="183"/>
      <c r="G38" s="183"/>
      <c r="H38" s="183"/>
    </row>
    <row r="39" spans="1:8" x14ac:dyDescent="0.25">
      <c r="A39" s="177" t="s">
        <v>34</v>
      </c>
      <c r="B39" s="177"/>
      <c r="C39" s="177"/>
      <c r="D39" s="177"/>
      <c r="E39" s="177"/>
      <c r="F39" s="177"/>
      <c r="G39" s="177"/>
      <c r="H39" s="177"/>
    </row>
    <row r="40" spans="1:8" x14ac:dyDescent="0.25">
      <c r="A40" s="95" t="s">
        <v>35</v>
      </c>
      <c r="B40" s="95"/>
      <c r="C40" s="95"/>
      <c r="D40" s="95"/>
      <c r="E40" s="170">
        <v>1865.1</v>
      </c>
      <c r="F40" s="170"/>
      <c r="G40" s="170"/>
      <c r="H40" s="170"/>
    </row>
    <row r="41" spans="1:8" x14ac:dyDescent="0.25">
      <c r="A41" s="95" t="s">
        <v>36</v>
      </c>
      <c r="B41" s="95"/>
      <c r="C41" s="95"/>
      <c r="D41" s="95"/>
      <c r="E41" s="187">
        <v>1</v>
      </c>
      <c r="F41" s="187"/>
      <c r="G41" s="187"/>
      <c r="H41" s="187"/>
    </row>
    <row r="42" spans="1:8" x14ac:dyDescent="0.25">
      <c r="A42" s="95" t="s">
        <v>37</v>
      </c>
      <c r="B42" s="95"/>
      <c r="C42" s="95"/>
      <c r="D42" s="95"/>
      <c r="E42" s="187">
        <f>E44/E40-E41</f>
        <v>0.65427054849605937</v>
      </c>
      <c r="F42" s="187"/>
      <c r="G42" s="187"/>
      <c r="H42" s="187"/>
    </row>
    <row r="43" spans="1:8" x14ac:dyDescent="0.25">
      <c r="A43" s="95" t="s">
        <v>38</v>
      </c>
      <c r="B43" s="95"/>
      <c r="C43" s="95"/>
      <c r="D43" s="95"/>
      <c r="E43" s="187">
        <f>E41+E42</f>
        <v>1.6542705484960594</v>
      </c>
      <c r="F43" s="187"/>
      <c r="G43" s="187"/>
      <c r="H43" s="187"/>
    </row>
    <row r="44" spans="1:8" x14ac:dyDescent="0.25">
      <c r="A44" s="95" t="s">
        <v>94</v>
      </c>
      <c r="B44" s="95"/>
      <c r="C44" s="95"/>
      <c r="D44" s="95"/>
      <c r="E44" s="188">
        <v>3085.38</v>
      </c>
      <c r="F44" s="188"/>
      <c r="G44" s="188"/>
      <c r="H44" s="188"/>
    </row>
    <row r="45" spans="1:8" x14ac:dyDescent="0.25">
      <c r="A45" s="178" t="s">
        <v>39</v>
      </c>
      <c r="B45" s="178"/>
      <c r="C45" s="178"/>
      <c r="D45" s="178"/>
      <c r="E45" s="178" t="s">
        <v>234</v>
      </c>
      <c r="F45" s="178"/>
      <c r="G45" s="178"/>
      <c r="H45" s="178"/>
    </row>
    <row r="46" spans="1:8" x14ac:dyDescent="0.25">
      <c r="A46" s="177" t="s">
        <v>40</v>
      </c>
      <c r="B46" s="177"/>
      <c r="C46" s="177"/>
      <c r="D46" s="177"/>
      <c r="E46" s="177"/>
      <c r="F46" s="177"/>
      <c r="G46" s="177"/>
      <c r="H46" s="177"/>
    </row>
    <row r="47" spans="1:8" ht="33.75" customHeight="1" x14ac:dyDescent="0.25">
      <c r="A47" s="79" t="s">
        <v>153</v>
      </c>
      <c r="B47" s="80"/>
      <c r="C47" s="81" t="s">
        <v>191</v>
      </c>
      <c r="D47" s="82"/>
      <c r="E47" s="82"/>
      <c r="F47" s="82"/>
      <c r="G47" s="82"/>
      <c r="H47" s="83"/>
    </row>
    <row r="48" spans="1:8" ht="31.9" customHeight="1" x14ac:dyDescent="0.25">
      <c r="A48" s="79" t="s">
        <v>41</v>
      </c>
      <c r="B48" s="80"/>
      <c r="C48" s="79" t="s">
        <v>250</v>
      </c>
      <c r="D48" s="214"/>
      <c r="E48" s="215"/>
      <c r="F48" s="19" t="s">
        <v>42</v>
      </c>
      <c r="G48" s="216">
        <v>45014</v>
      </c>
      <c r="H48" s="80"/>
    </row>
    <row r="49" spans="1:14" ht="30.75" customHeight="1" x14ac:dyDescent="0.25">
      <c r="A49" s="79" t="s">
        <v>43</v>
      </c>
      <c r="B49" s="80"/>
      <c r="C49" s="79" t="str">
        <f>C48</f>
        <v>P-13499/2022/(662 And Other)/
P/N/Ward/Malad North/337/1/New</v>
      </c>
      <c r="D49" s="227"/>
      <c r="E49" s="80"/>
      <c r="F49" s="19" t="s">
        <v>42</v>
      </c>
      <c r="G49" s="216">
        <f>G48</f>
        <v>45014</v>
      </c>
      <c r="H49" s="80"/>
    </row>
    <row r="50" spans="1:14" s="24" customFormat="1" ht="30.75" customHeight="1" x14ac:dyDescent="0.25">
      <c r="A50" s="221" t="s">
        <v>157</v>
      </c>
      <c r="B50" s="235"/>
      <c r="C50" s="219" t="s">
        <v>213</v>
      </c>
      <c r="D50" s="220"/>
      <c r="E50" s="218"/>
      <c r="F50" s="66" t="s">
        <v>42</v>
      </c>
      <c r="G50" s="217">
        <v>45062</v>
      </c>
      <c r="H50" s="218"/>
    </row>
    <row r="51" spans="1:14" s="24" customFormat="1" ht="52.5" customHeight="1" x14ac:dyDescent="0.25">
      <c r="A51" s="225"/>
      <c r="B51" s="236"/>
      <c r="C51" s="244" t="s">
        <v>214</v>
      </c>
      <c r="D51" s="244"/>
      <c r="E51" s="244"/>
      <c r="F51" s="66" t="s">
        <v>209</v>
      </c>
      <c r="G51" s="233">
        <v>45427</v>
      </c>
      <c r="H51" s="183"/>
    </row>
    <row r="52" spans="1:14" s="24" customFormat="1" ht="30.75" customHeight="1" x14ac:dyDescent="0.25">
      <c r="A52" s="221" t="s">
        <v>157</v>
      </c>
      <c r="B52" s="235"/>
      <c r="C52" s="219" t="s">
        <v>241</v>
      </c>
      <c r="D52" s="220"/>
      <c r="E52" s="218"/>
      <c r="F52" s="66" t="s">
        <v>42</v>
      </c>
      <c r="G52" s="217">
        <v>45211</v>
      </c>
      <c r="H52" s="218"/>
    </row>
    <row r="53" spans="1:14" s="24" customFormat="1" ht="187.5" customHeight="1" x14ac:dyDescent="0.25">
      <c r="A53" s="225"/>
      <c r="B53" s="236"/>
      <c r="C53" s="183" t="s">
        <v>253</v>
      </c>
      <c r="D53" s="183"/>
      <c r="E53" s="183"/>
      <c r="F53" s="66" t="s">
        <v>209</v>
      </c>
      <c r="G53" s="233">
        <v>45576</v>
      </c>
      <c r="H53" s="183"/>
    </row>
    <row r="54" spans="1:14" s="24" customFormat="1" ht="33" customHeight="1" x14ac:dyDescent="0.25">
      <c r="A54" s="221" t="s">
        <v>157</v>
      </c>
      <c r="B54" s="235"/>
      <c r="C54" s="219" t="s">
        <v>242</v>
      </c>
      <c r="D54" s="220"/>
      <c r="E54" s="218"/>
      <c r="F54" s="66" t="s">
        <v>42</v>
      </c>
      <c r="G54" s="217">
        <v>45390</v>
      </c>
      <c r="H54" s="218"/>
    </row>
    <row r="55" spans="1:14" s="24" customFormat="1" ht="174" customHeight="1" x14ac:dyDescent="0.25">
      <c r="A55" s="225"/>
      <c r="B55" s="236"/>
      <c r="C55" s="183" t="s">
        <v>252</v>
      </c>
      <c r="D55" s="183"/>
      <c r="E55" s="183"/>
      <c r="F55" s="66" t="s">
        <v>209</v>
      </c>
      <c r="G55" s="233">
        <v>45427</v>
      </c>
      <c r="H55" s="183"/>
    </row>
    <row r="56" spans="1:14" x14ac:dyDescent="0.25">
      <c r="A56" s="228" t="s">
        <v>44</v>
      </c>
      <c r="B56" s="229"/>
      <c r="C56" s="228" t="s">
        <v>106</v>
      </c>
      <c r="D56" s="230"/>
      <c r="E56" s="229"/>
      <c r="F56" s="47" t="s">
        <v>42</v>
      </c>
      <c r="G56" s="231" t="s">
        <v>29</v>
      </c>
      <c r="H56" s="232"/>
    </row>
    <row r="57" spans="1:14" x14ac:dyDescent="0.25">
      <c r="A57" s="207" t="s">
        <v>46</v>
      </c>
      <c r="B57" s="207"/>
      <c r="C57" s="207"/>
      <c r="D57" s="207"/>
      <c r="E57" s="207"/>
      <c r="F57" s="207"/>
      <c r="G57" s="207"/>
      <c r="H57" s="207"/>
    </row>
    <row r="58" spans="1:14" x14ac:dyDescent="0.25">
      <c r="A58" s="176" t="s">
        <v>93</v>
      </c>
      <c r="B58" s="176"/>
      <c r="C58" s="176"/>
      <c r="D58" s="95">
        <f>E44</f>
        <v>3085.38</v>
      </c>
      <c r="E58" s="95"/>
      <c r="F58" s="95"/>
      <c r="G58" s="95"/>
      <c r="H58" s="95"/>
    </row>
    <row r="59" spans="1:14" x14ac:dyDescent="0.25">
      <c r="A59" s="183" t="s">
        <v>47</v>
      </c>
      <c r="B59" s="178"/>
      <c r="C59" s="178"/>
      <c r="D59" s="178" t="s">
        <v>254</v>
      </c>
      <c r="E59" s="178"/>
      <c r="F59" s="178"/>
      <c r="G59" s="178"/>
      <c r="H59" s="178"/>
      <c r="I59" s="25" t="s">
        <v>235</v>
      </c>
    </row>
    <row r="60" spans="1:14" x14ac:dyDescent="0.25">
      <c r="A60" s="221" t="s">
        <v>48</v>
      </c>
      <c r="B60" s="222"/>
      <c r="C60" s="235"/>
      <c r="D60" s="189" t="s">
        <v>215</v>
      </c>
      <c r="E60" s="234"/>
      <c r="F60" s="234"/>
      <c r="G60" s="234"/>
      <c r="H60" s="234"/>
      <c r="I60" s="22" t="s">
        <v>216</v>
      </c>
    </row>
    <row r="61" spans="1:14" ht="15.75" customHeight="1" x14ac:dyDescent="0.25">
      <c r="A61" s="221" t="s">
        <v>91</v>
      </c>
      <c r="B61" s="222"/>
      <c r="C61" s="222"/>
      <c r="D61" s="178" t="s">
        <v>218</v>
      </c>
      <c r="E61" s="178"/>
      <c r="F61" s="178"/>
      <c r="G61" s="178"/>
      <c r="H61" s="178"/>
    </row>
    <row r="62" spans="1:14" ht="15.75" hidden="1" customHeight="1" x14ac:dyDescent="0.25">
      <c r="A62" s="223"/>
      <c r="B62" s="224"/>
      <c r="C62" s="224"/>
      <c r="D62" s="178" t="s">
        <v>217</v>
      </c>
      <c r="E62" s="178"/>
      <c r="F62" s="178"/>
      <c r="G62" s="178"/>
      <c r="H62" s="178"/>
      <c r="I62" s="22" t="s">
        <v>219</v>
      </c>
    </row>
    <row r="63" spans="1:14" ht="15.75" hidden="1" customHeight="1" x14ac:dyDescent="0.25">
      <c r="A63" s="225"/>
      <c r="B63" s="226"/>
      <c r="C63" s="226"/>
      <c r="D63" s="178"/>
      <c r="E63" s="178"/>
      <c r="F63" s="178"/>
      <c r="G63" s="178"/>
      <c r="H63" s="178"/>
    </row>
    <row r="64" spans="1:14" ht="15.75" customHeight="1" x14ac:dyDescent="0.25">
      <c r="A64" s="95" t="s">
        <v>45</v>
      </c>
      <c r="B64" s="95"/>
      <c r="C64" s="95"/>
      <c r="D64" s="176" t="s">
        <v>193</v>
      </c>
      <c r="E64" s="176"/>
      <c r="F64" s="176"/>
      <c r="G64" s="176"/>
      <c r="H64" s="176"/>
      <c r="J64" s="26"/>
      <c r="K64" s="25"/>
      <c r="N64" s="25"/>
    </row>
    <row r="65" spans="1:14" ht="15.75" customHeight="1" x14ac:dyDescent="0.25">
      <c r="A65" s="95" t="s">
        <v>89</v>
      </c>
      <c r="B65" s="95"/>
      <c r="C65" s="95"/>
      <c r="D65" s="186" t="str">
        <f>(IF(G56="NA","60 Years After Completion",IF(G56&lt;&gt;"NA",""&amp;60-ROUNDDOWN((E3-G56)/360,0)&amp;" Years"," ")))</f>
        <v>60 Years After Completion</v>
      </c>
      <c r="E65" s="186"/>
      <c r="F65" s="186"/>
      <c r="G65" s="186"/>
      <c r="H65" s="186"/>
      <c r="N65" s="25"/>
    </row>
    <row r="66" spans="1:14" ht="15.75" customHeight="1" x14ac:dyDescent="0.25">
      <c r="A66" s="95" t="s">
        <v>90</v>
      </c>
      <c r="B66" s="95"/>
      <c r="C66" s="95"/>
      <c r="D66" s="176" t="s">
        <v>23</v>
      </c>
      <c r="E66" s="176"/>
      <c r="F66" s="176"/>
      <c r="G66" s="176"/>
      <c r="H66" s="176"/>
      <c r="J66" s="27"/>
      <c r="K66" s="27"/>
    </row>
    <row r="67" spans="1:14" x14ac:dyDescent="0.25">
      <c r="A67" s="95" t="s">
        <v>76</v>
      </c>
      <c r="B67" s="95"/>
      <c r="C67" s="95"/>
      <c r="D67" s="183" t="s">
        <v>220</v>
      </c>
      <c r="E67" s="176"/>
      <c r="F67" s="176"/>
      <c r="G67" s="176"/>
      <c r="H67" s="176"/>
    </row>
    <row r="68" spans="1:14" x14ac:dyDescent="0.25">
      <c r="A68" s="176" t="s">
        <v>150</v>
      </c>
      <c r="B68" s="176"/>
      <c r="C68" s="176"/>
      <c r="D68" s="176" t="s">
        <v>29</v>
      </c>
      <c r="E68" s="176"/>
      <c r="F68" s="176"/>
      <c r="G68" s="176"/>
      <c r="H68" s="176"/>
      <c r="I68" s="28"/>
      <c r="J68" s="28"/>
      <c r="K68" s="28"/>
      <c r="L68" s="28"/>
      <c r="M68" s="28"/>
      <c r="N68" s="28"/>
    </row>
    <row r="69" spans="1:14" ht="15.75" customHeight="1" x14ac:dyDescent="0.25">
      <c r="A69" s="202" t="s">
        <v>88</v>
      </c>
      <c r="B69" s="202"/>
      <c r="C69" s="202"/>
      <c r="D69" s="189" t="str">
        <f ca="1">(IF(G75&gt;95%,"Nothing",IF(G75&gt;0%,"Cement, Aggregate, Steel, etc",IF(G75=0%,"Work not yet Started"))))</f>
        <v>Cement, Aggregate, Steel, etc</v>
      </c>
      <c r="E69" s="189"/>
      <c r="F69" s="189"/>
      <c r="G69" s="189"/>
      <c r="H69" s="189"/>
      <c r="J69" s="27"/>
    </row>
    <row r="70" spans="1:14" ht="33.75" customHeight="1" thickBot="1" x14ac:dyDescent="0.3">
      <c r="A70" s="194" t="s">
        <v>119</v>
      </c>
      <c r="B70" s="194"/>
      <c r="C70" s="194"/>
      <c r="D70" s="189" t="str">
        <f ca="1">(IF(D69="Nothing","Yes",IF(D69="Cement, Aggregate, Steel, etc","Under Construction",IF(D69="Work not yet Started","Work not yet Started"))))</f>
        <v>Under Construction</v>
      </c>
      <c r="E70" s="189"/>
      <c r="F70" s="189" t="str">
        <f ca="1">(IF(D69="Nothing","Yes",IF(D69="Cement, Aggregate, Steel, etc","Under Construction",IF(D69="Work not yet Started","Work not yet Started"))))</f>
        <v>Under Construction</v>
      </c>
      <c r="G70" s="189"/>
      <c r="H70" s="189"/>
    </row>
    <row r="71" spans="1:14" ht="15.75" customHeight="1" x14ac:dyDescent="0.25">
      <c r="A71" s="171" t="s">
        <v>142</v>
      </c>
      <c r="B71" s="172"/>
      <c r="C71" s="173" t="str">
        <f>D61</f>
        <v>Wing A - Gr + 3P + 4th to 19th Floor</v>
      </c>
      <c r="D71" s="174"/>
      <c r="E71" s="174"/>
      <c r="F71" s="174"/>
      <c r="G71" s="174"/>
      <c r="H71" s="175"/>
      <c r="I71" s="51" t="str">
        <f ca="1">IF(D84=100%,"All work Completed. Possession granted to the Building.",IF(D83=100%,"All work Completed, Waiting for OC",I72&amp;""&amp;I73&amp;""&amp;J72&amp;""&amp;J71&amp;" "&amp;J73))</f>
        <v>Excavation, Plinth, RCC Slab, Brickwork, Internal Plaster, External Plaster, Flooring Completed, Painting upto 16 Floor Completed</v>
      </c>
      <c r="J71" s="52" t="str">
        <f ca="1">(IF(C77=(D72+F72+H72),"",IF(C77&gt;0,", RCC upto "&amp;C77&amp;" Slab","")))&amp;(IF(C78=H72,"",IF(C78&gt;0,", Brickwork upto "&amp;C78&amp;" Floor","")))&amp;(IF(C79=H72,"",IF(C79&gt;0,", Internal Plaster upto "&amp;C79&amp;" Floor","")))&amp;(IF(C80=H72,"",IF(C80&gt;0,", External Plaster upto "&amp;C80&amp;" Floor","")))&amp;(IF(C81=H72,"",IF(C81&gt;0,", Flooring upto "&amp;C81&amp;" Floor","")))&amp;(IF(C82=H72,"",IF(C82&gt;0,", Painting upto "&amp;C82&amp;" Floor","")))&amp;(IF(C83=H72,"",IF(C83&gt;0,", Finishing upto "&amp;C83&amp;" Floor","")))&amp;(IF(C84=H72,"",IF(C84&gt;0,", Possession upto "&amp;C84&amp;" Floor","")))</f>
        <v>, Painting upto 16 Floor</v>
      </c>
    </row>
    <row r="72" spans="1:14" x14ac:dyDescent="0.25">
      <c r="A72" s="17" t="s">
        <v>144</v>
      </c>
      <c r="B72" s="65">
        <f>IF(AND(ISNUMBER(SEARCH("1B",C71))),1,IF(AND(ISNUMBER(SEARCH("2B",C71))),2,IF(AND(ISNUMBER(SEARCH("3B",C71))),3,IF(AND(ISNUMBER(SEARCH("4B",C71))),4,IF(ISNUMBER(SEARCH("5B",C71)),5,0)))))</f>
        <v>0</v>
      </c>
      <c r="C72" s="65" t="s">
        <v>73</v>
      </c>
      <c r="D72" s="65">
        <v>1</v>
      </c>
      <c r="E72" s="65" t="s">
        <v>72</v>
      </c>
      <c r="F72" s="65">
        <v>0</v>
      </c>
      <c r="G72" s="65" t="s">
        <v>82</v>
      </c>
      <c r="H72" s="18">
        <f ca="1">--TRIM(RIGHT(SUBSTITUTE(LEFT(C71,_xlfn.AGGREGATE(16,6,FIND({0,1,2,3,4,5,6,7,8,9},C71,ROW(INDIRECT("1:"&amp;LEN(C71)))),1))," ",REPT(" ",LEN(C71))),LEN(C71)))</f>
        <v>19</v>
      </c>
      <c r="I72" s="53" t="str">
        <f ca="1">IF(D75=100%,"Excavation","")&amp;IF(D76=100%,", Plinth","")&amp;IF(D77=100%,", RCC Slab","")&amp;IF(D78=100%,", Brickwork","")&amp;IF(D79=100%,", Internal Plaster","")&amp;IF(D80=100%,", External Plaster","")&amp;IF(D81=100%,", Flooring","")&amp;IF(D82=100%,", Painting","")&amp;IF(D83=100%,", Building common Amenities","")</f>
        <v>Excavation, Plinth, RCC Slab, Brickwork, Internal Plaster, External Plaster, Flooring</v>
      </c>
      <c r="J72" s="54" t="str">
        <f ca="1">(IF(C75=0,"Work not yet Started.",IF(D75=25%,"Piling work in process",IF(D75=50%,"Excavation work in process",IF(D75=100%,"","0")))))&amp;(IF(C76=0%,"",IF(C76=J77,", Footing work is process",IF(C76=J78,", Footing work Completed",IF(C76=J79,", 1st Basement Completed",IF(C76=J80,", 1st &amp; 2nd Basement Completed",IF(C76=J81,", 1st to 3rd Basement Completed",IF(C76=J82,", 1st to 4th Basement Completed",IF(C76=J83,", Plinth work is process",IF(C76=J84,"","0"))))))))))</f>
        <v/>
      </c>
    </row>
    <row r="73" spans="1:14" ht="33" customHeight="1" x14ac:dyDescent="0.25">
      <c r="A73" s="100" t="s">
        <v>92</v>
      </c>
      <c r="B73" s="101"/>
      <c r="C73" s="102" t="str">
        <f ca="1">I71</f>
        <v>Excavation, Plinth, RCC Slab, Brickwork, Internal Plaster, External Plaster, Flooring Completed, Painting upto 16 Floor Completed</v>
      </c>
      <c r="D73" s="102"/>
      <c r="E73" s="102"/>
      <c r="F73" s="102"/>
      <c r="G73" s="102"/>
      <c r="H73" s="103"/>
      <c r="I73" s="53" t="str">
        <f ca="1">IF(I72&lt;&gt;""," Completed","")</f>
        <v xml:space="preserve"> Completed</v>
      </c>
      <c r="J73" s="54" t="str">
        <f ca="1">IF(J71&lt;&gt;"","Completed","")</f>
        <v>Completed</v>
      </c>
    </row>
    <row r="74" spans="1:14" ht="15.75" customHeight="1" x14ac:dyDescent="0.25">
      <c r="A74" s="92" t="s">
        <v>49</v>
      </c>
      <c r="B74" s="93"/>
      <c r="C74" s="67" t="s">
        <v>141</v>
      </c>
      <c r="D74" s="67" t="s">
        <v>85</v>
      </c>
      <c r="E74" s="93" t="s">
        <v>87</v>
      </c>
      <c r="F74" s="93"/>
      <c r="G74" s="93" t="s">
        <v>86</v>
      </c>
      <c r="H74" s="104"/>
      <c r="I74" s="14" t="s">
        <v>143</v>
      </c>
      <c r="J74" s="29">
        <f ca="1">H72*25%</f>
        <v>4.75</v>
      </c>
    </row>
    <row r="75" spans="1:14" x14ac:dyDescent="0.25">
      <c r="A75" s="92" t="s">
        <v>130</v>
      </c>
      <c r="B75" s="93"/>
      <c r="C75" s="68">
        <v>19</v>
      </c>
      <c r="D75" s="69">
        <f ca="1">((100/H72)*C75)/100</f>
        <v>1</v>
      </c>
      <c r="E75" s="86">
        <f ca="1">(((C76/H72*10)+(40/(D72+F72+H72)*C77)+(7.5/(H72)*C78)+(7.5/(H72)*C79)+(10/H72*C80)+(10/H72*C81)+(5/H72*C82)+(5/H72*C83)+(5/H72*C84))/100)</f>
        <v>0.89210526315789485</v>
      </c>
      <c r="F75" s="179"/>
      <c r="G75" s="86">
        <f ca="1">((((C75/H72)*20)+((C76/H72)*25)+(30/(H72+F72+D72)*C77)+(5/H72*C78)+(5/H72*C79)+(5/H72*C80)+(5/H72*C81)+(0/H72*C82)+(0/H72*C83)+(5/H72*C84))/100)</f>
        <v>0.95</v>
      </c>
      <c r="H75" s="87"/>
      <c r="I75" s="14" t="s">
        <v>101</v>
      </c>
      <c r="J75" s="30">
        <f ca="1">H72*50%</f>
        <v>9.5</v>
      </c>
    </row>
    <row r="76" spans="1:14" x14ac:dyDescent="0.25">
      <c r="A76" s="92" t="s">
        <v>50</v>
      </c>
      <c r="B76" s="93"/>
      <c r="C76" s="68">
        <v>19</v>
      </c>
      <c r="D76" s="69">
        <f ca="1">((100/H72)*C76)/100</f>
        <v>1</v>
      </c>
      <c r="E76" s="88"/>
      <c r="F76" s="180"/>
      <c r="G76" s="88"/>
      <c r="H76" s="89"/>
      <c r="I76" s="14" t="s">
        <v>102</v>
      </c>
      <c r="J76" s="30">
        <f ca="1">H72</f>
        <v>19</v>
      </c>
    </row>
    <row r="77" spans="1:14" ht="15.75" customHeight="1" x14ac:dyDescent="0.25">
      <c r="A77" s="92" t="s">
        <v>131</v>
      </c>
      <c r="B77" s="93"/>
      <c r="C77" s="67">
        <v>20</v>
      </c>
      <c r="D77" s="69">
        <f ca="1">((100/(D72+F72+H72))*C77)/100</f>
        <v>1</v>
      </c>
      <c r="E77" s="88"/>
      <c r="F77" s="180"/>
      <c r="G77" s="88"/>
      <c r="H77" s="89"/>
      <c r="I77" s="14" t="s">
        <v>103</v>
      </c>
      <c r="J77" s="31">
        <f ca="1">(IF(B72&gt;1,(H72/(B72+2)),H72/4))</f>
        <v>4.75</v>
      </c>
    </row>
    <row r="78" spans="1:14" ht="15.75" customHeight="1" x14ac:dyDescent="0.25">
      <c r="A78" s="92" t="s">
        <v>138</v>
      </c>
      <c r="B78" s="93" t="s">
        <v>132</v>
      </c>
      <c r="C78" s="67">
        <v>19</v>
      </c>
      <c r="D78" s="69">
        <f ca="1">((100/H72)*C78)/100</f>
        <v>1</v>
      </c>
      <c r="E78" s="88"/>
      <c r="F78" s="180"/>
      <c r="G78" s="88"/>
      <c r="H78" s="89"/>
      <c r="I78" s="14" t="s">
        <v>104</v>
      </c>
      <c r="J78" s="31">
        <f ca="1">(IF(B72&gt;1,(H72/(B72+2)+J77),H72/4+J77))</f>
        <v>9.5</v>
      </c>
    </row>
    <row r="79" spans="1:14" ht="15.75" customHeight="1" x14ac:dyDescent="0.25">
      <c r="A79" s="92" t="s">
        <v>139</v>
      </c>
      <c r="B79" s="93" t="s">
        <v>132</v>
      </c>
      <c r="C79" s="67">
        <v>19</v>
      </c>
      <c r="D79" s="69">
        <f ca="1">((100/H72)*C79)/100</f>
        <v>1</v>
      </c>
      <c r="E79" s="88"/>
      <c r="F79" s="180"/>
      <c r="G79" s="88"/>
      <c r="H79" s="89"/>
      <c r="I79" s="14" t="s">
        <v>148</v>
      </c>
      <c r="J79" s="31">
        <f>(IF(B72&gt;1,(H72/(B72+2)+J78),0))</f>
        <v>0</v>
      </c>
    </row>
    <row r="80" spans="1:14" ht="15" customHeight="1" x14ac:dyDescent="0.25">
      <c r="A80" s="92" t="s">
        <v>137</v>
      </c>
      <c r="B80" s="93" t="s">
        <v>134</v>
      </c>
      <c r="C80" s="67">
        <v>19</v>
      </c>
      <c r="D80" s="69">
        <f ca="1">((100/(H72))*C80)/100</f>
        <v>1</v>
      </c>
      <c r="E80" s="88"/>
      <c r="F80" s="180"/>
      <c r="G80" s="88"/>
      <c r="H80" s="89"/>
      <c r="I80" s="14" t="s">
        <v>145</v>
      </c>
      <c r="J80" s="31">
        <f>(IF(B72&gt;2,(H72/(B72+2)+J79),0))</f>
        <v>0</v>
      </c>
    </row>
    <row r="81" spans="1:10" ht="15.75" customHeight="1" x14ac:dyDescent="0.25">
      <c r="A81" s="92" t="s">
        <v>133</v>
      </c>
      <c r="B81" s="93" t="s">
        <v>133</v>
      </c>
      <c r="C81" s="67">
        <v>19</v>
      </c>
      <c r="D81" s="69">
        <f ca="1">((100/H72)*C81)/100</f>
        <v>1</v>
      </c>
      <c r="E81" s="88"/>
      <c r="F81" s="180"/>
      <c r="G81" s="88"/>
      <c r="H81" s="89"/>
      <c r="I81" s="14" t="s">
        <v>146</v>
      </c>
      <c r="J81" s="32">
        <f>(IF(B72&gt;3,(H72/(B72+2)+J80),0))</f>
        <v>0</v>
      </c>
    </row>
    <row r="82" spans="1:10" ht="15.75" customHeight="1" x14ac:dyDescent="0.25">
      <c r="A82" s="92" t="s">
        <v>140</v>
      </c>
      <c r="B82" s="93"/>
      <c r="C82" s="67">
        <v>16</v>
      </c>
      <c r="D82" s="69">
        <f ca="1">((100/H72)*C82)/100</f>
        <v>0.8421052631578948</v>
      </c>
      <c r="E82" s="88"/>
      <c r="F82" s="180"/>
      <c r="G82" s="88"/>
      <c r="H82" s="89"/>
      <c r="I82" s="14" t="s">
        <v>147</v>
      </c>
      <c r="J82" s="31">
        <f>(IF(B72&gt;4,(H72/(B72+2)+J81),0))</f>
        <v>0</v>
      </c>
    </row>
    <row r="83" spans="1:10" ht="15.75" customHeight="1" x14ac:dyDescent="0.25">
      <c r="A83" s="92" t="s">
        <v>135</v>
      </c>
      <c r="B83" s="93" t="s">
        <v>135</v>
      </c>
      <c r="C83" s="67">
        <v>0</v>
      </c>
      <c r="D83" s="69">
        <f ca="1">((100/(H72))*C83)/100</f>
        <v>0</v>
      </c>
      <c r="E83" s="88"/>
      <c r="F83" s="180"/>
      <c r="G83" s="88"/>
      <c r="H83" s="89"/>
      <c r="I83" s="14" t="s">
        <v>149</v>
      </c>
      <c r="J83" s="31">
        <f ca="1">(IF(B72=1,(H72/(B72+3)+J78),IF(B72=0,(H72/4+J78),IF(B72&gt;1,0))))</f>
        <v>14.25</v>
      </c>
    </row>
    <row r="84" spans="1:10" ht="16.5" thickBot="1" x14ac:dyDescent="0.3">
      <c r="A84" s="184" t="s">
        <v>136</v>
      </c>
      <c r="B84" s="185"/>
      <c r="C84" s="70">
        <v>0</v>
      </c>
      <c r="D84" s="71">
        <f ca="1">((100/(H72))*C84)/100</f>
        <v>0</v>
      </c>
      <c r="E84" s="90"/>
      <c r="F84" s="181"/>
      <c r="G84" s="90"/>
      <c r="H84" s="91"/>
      <c r="I84" s="16" t="s">
        <v>105</v>
      </c>
      <c r="J84" s="33">
        <f ca="1">(IF(B72&gt;1.5,(H72/(B72+2)+J78+MAX(0,J79-J78)+MAX(0,J80-J79)+MAX(0,J81-J80)+MAX(0,J82-J81)+MAX(0,J83-J82)),IF(B72=1,(H72/(B72+3)+J83),IF(B72=0,H72/4+J83))))</f>
        <v>19</v>
      </c>
    </row>
    <row r="85" spans="1:10" ht="15.75" hidden="1" customHeight="1" x14ac:dyDescent="0.25">
      <c r="A85" s="171" t="s">
        <v>142</v>
      </c>
      <c r="B85" s="172"/>
      <c r="C85" s="173" t="str">
        <f>D62</f>
        <v>Wing B - Gr + 2P + 3rd to 8th Floor</v>
      </c>
      <c r="D85" s="174"/>
      <c r="E85" s="174"/>
      <c r="F85" s="174"/>
      <c r="G85" s="174"/>
      <c r="H85" s="175"/>
      <c r="I85" s="51" t="str">
        <f ca="1">IF(D98=100%,"All work Completed. Possession granted to the Building.",IF(D97=100%,"All work Completed, Waiting for OC",I86&amp;""&amp;I87&amp;""&amp;J86&amp;""&amp;J85&amp;" "&amp;J87))</f>
        <v xml:space="preserve">Excavation, Plinth Completed </v>
      </c>
      <c r="J85" s="52" t="str">
        <f ca="1">(IF(C91=(D86+F86+H86),"",IF(C91&gt;0,", RCC upto "&amp;C91&amp;" Slab","")))&amp;(IF(C92=H86,"",IF(C92&gt;0,", Brickwork upto "&amp;C92&amp;" Floor","")))&amp;(IF(C93=H86,"",IF(C93&gt;0,", Internal Plaster upto "&amp;C93&amp;" Floor","")))&amp;(IF(C94=H86,"",IF(C94&gt;0,", External Plaster upto "&amp;C94&amp;" Floor","")))&amp;(IF(C95=H86,"",IF(C95&gt;0,", Flooring upto "&amp;C95&amp;" Floor","")))&amp;(IF(C96=H86,"",IF(C96&gt;0,", Painting upto "&amp;C96&amp;" Floor","")))&amp;(IF(C97=H86,"",IF(C97&gt;0,", Finishing upto "&amp;C97&amp;" Floor","")))&amp;(IF(C98=H86,"",IF(C98&gt;0,", Possession upto "&amp;C98&amp;" Floor","")))</f>
        <v/>
      </c>
    </row>
    <row r="86" spans="1:10" hidden="1" x14ac:dyDescent="0.25">
      <c r="A86" s="17" t="s">
        <v>144</v>
      </c>
      <c r="B86" s="65">
        <f>IF(AND(ISNUMBER(SEARCH("1B",C85))),1,IF(AND(ISNUMBER(SEARCH("2B",C85))),2,IF(AND(ISNUMBER(SEARCH("3B",C85))),3,IF(AND(ISNUMBER(SEARCH("4B",C85))),4,IF(ISNUMBER(SEARCH("5B",C85)),5,0)))))</f>
        <v>0</v>
      </c>
      <c r="C86" s="65" t="s">
        <v>73</v>
      </c>
      <c r="D86" s="65">
        <v>1</v>
      </c>
      <c r="E86" s="65" t="s">
        <v>72</v>
      </c>
      <c r="F86" s="65">
        <v>0</v>
      </c>
      <c r="G86" s="65" t="s">
        <v>82</v>
      </c>
      <c r="H86" s="18">
        <f ca="1">--TRIM(RIGHT(SUBSTITUTE(LEFT(C85,_xlfn.AGGREGATE(16,6,FIND({0,1,2,3,4,5,6,7,8,9},C85,ROW(INDIRECT("1:"&amp;LEN(C85)))),1))," ",REPT(" ",LEN(C85))),LEN(C85)))</f>
        <v>8</v>
      </c>
      <c r="I86" s="53" t="str">
        <f ca="1">IF(D89=100%,"Excavation","")&amp;IF(D90=100%,", Plinth","")&amp;IF(D91=100%,", RCC Slab","")&amp;IF(D92=100%,", Brickwork","")&amp;IF(D93=100%,", Internal Plaster","")&amp;IF(D94=100%,", External Plaster","")&amp;IF(D95=100%,", Flooring","")&amp;IF(D96=100%,", Painting","")&amp;IF(D97=100%,", Building common Amenities","")</f>
        <v>Excavation, Plinth</v>
      </c>
      <c r="J86" s="54" t="str">
        <f ca="1">(IF(C89=0,"Work not yet Started.",IF(D89=25%,"Piling work in process",IF(D89=50%,"Excavation work in process",IF(D89=100%,"","0")))))&amp;(IF(C90=0%,"",IF(C90=J91,", Footing work is process",IF(C90=J92,", Footing work Completed",IF(C90=J93,", 1st Basement Completed",IF(C90=J94,", 1st &amp; 2nd Basement Completed",IF(C90=J95,", 1st to 3rd Basement Completed",IF(C90=J96,", 1st to 4th Basement Completed",IF(C90=J97,", Plinth work is process",IF(C90=J98,"","0"))))))))))</f>
        <v/>
      </c>
    </row>
    <row r="87" spans="1:10" hidden="1" x14ac:dyDescent="0.25">
      <c r="A87" s="100" t="s">
        <v>92</v>
      </c>
      <c r="B87" s="101"/>
      <c r="C87" s="102" t="str">
        <f ca="1">(IF($G$56="NA",I85,"All work Completed. OC Received."))</f>
        <v xml:space="preserve">Excavation, Plinth Completed </v>
      </c>
      <c r="D87" s="102"/>
      <c r="E87" s="102"/>
      <c r="F87" s="102"/>
      <c r="G87" s="102"/>
      <c r="H87" s="103"/>
      <c r="I87" s="53" t="str">
        <f ca="1">IF(I86&lt;&gt;""," Completed","")</f>
        <v xml:space="preserve"> Completed</v>
      </c>
      <c r="J87" s="54" t="str">
        <f ca="1">IF(J85&lt;&gt;"","Completed","")</f>
        <v/>
      </c>
    </row>
    <row r="88" spans="1:10" ht="15.75" hidden="1" customHeight="1" x14ac:dyDescent="0.25">
      <c r="A88" s="92" t="s">
        <v>49</v>
      </c>
      <c r="B88" s="93"/>
      <c r="C88" s="67" t="s">
        <v>141</v>
      </c>
      <c r="D88" s="67" t="s">
        <v>85</v>
      </c>
      <c r="E88" s="93" t="s">
        <v>87</v>
      </c>
      <c r="F88" s="93"/>
      <c r="G88" s="93" t="s">
        <v>86</v>
      </c>
      <c r="H88" s="104"/>
      <c r="I88" s="14" t="s">
        <v>143</v>
      </c>
      <c r="J88" s="29">
        <f ca="1">H86*25%</f>
        <v>2</v>
      </c>
    </row>
    <row r="89" spans="1:10" hidden="1" x14ac:dyDescent="0.25">
      <c r="A89" s="92" t="s">
        <v>130</v>
      </c>
      <c r="B89" s="93"/>
      <c r="C89" s="67">
        <v>8</v>
      </c>
      <c r="D89" s="69">
        <f ca="1">((100/H86)*C89)/100</f>
        <v>1</v>
      </c>
      <c r="E89" s="86">
        <f ca="1">(((C90/H86*10)+(40/(D86+F86+H86)*C91)+(7.5/(H86)*C92)+(7.5/(H86)*C93)+(10/H86*C94)+(10/H86*C95)+(5/H86*C96)+(5/H86*C97)+(5/H86*C98))/100)</f>
        <v>0.1</v>
      </c>
      <c r="F89" s="179"/>
      <c r="G89" s="86">
        <f ca="1">((((C89/H86)*20)+((C90/H86)*25)+(30/(H86+F86+D86)*C91)+(5/H86*C92)+(5/H86*C93)+(5/H86*C94)+(5/H86*C95)+(0/H86*C96)+(0/H86*C97)+(5/H86*C98))/100)</f>
        <v>0.45</v>
      </c>
      <c r="H89" s="87"/>
      <c r="I89" s="14" t="s">
        <v>101</v>
      </c>
      <c r="J89" s="30">
        <f ca="1">H86*50%</f>
        <v>4</v>
      </c>
    </row>
    <row r="90" spans="1:10" hidden="1" x14ac:dyDescent="0.25">
      <c r="A90" s="92" t="s">
        <v>50</v>
      </c>
      <c r="B90" s="93"/>
      <c r="C90" s="68">
        <v>8</v>
      </c>
      <c r="D90" s="69">
        <f ca="1">((100/H86)*C90)/100</f>
        <v>1</v>
      </c>
      <c r="E90" s="88"/>
      <c r="F90" s="180"/>
      <c r="G90" s="88"/>
      <c r="H90" s="89"/>
      <c r="I90" s="14" t="s">
        <v>102</v>
      </c>
      <c r="J90" s="30">
        <f ca="1">H86</f>
        <v>8</v>
      </c>
    </row>
    <row r="91" spans="1:10" ht="15.75" hidden="1" customHeight="1" x14ac:dyDescent="0.25">
      <c r="A91" s="92" t="s">
        <v>131</v>
      </c>
      <c r="B91" s="93"/>
      <c r="C91" s="67">
        <v>0</v>
      </c>
      <c r="D91" s="69">
        <f ca="1">((100/(D86+F86+H86))*C91)/100</f>
        <v>0</v>
      </c>
      <c r="E91" s="88"/>
      <c r="F91" s="180"/>
      <c r="G91" s="88"/>
      <c r="H91" s="89"/>
      <c r="I91" s="14" t="s">
        <v>103</v>
      </c>
      <c r="J91" s="31">
        <f ca="1">(IF(B86&gt;1,(H86/(B86+2)),H86/4))</f>
        <v>2</v>
      </c>
    </row>
    <row r="92" spans="1:10" ht="15.75" hidden="1" customHeight="1" x14ac:dyDescent="0.25">
      <c r="A92" s="92" t="s">
        <v>138</v>
      </c>
      <c r="B92" s="93" t="s">
        <v>132</v>
      </c>
      <c r="C92" s="67">
        <v>0</v>
      </c>
      <c r="D92" s="69">
        <f ca="1">((100/H86)*C92)/100</f>
        <v>0</v>
      </c>
      <c r="E92" s="88"/>
      <c r="F92" s="180"/>
      <c r="G92" s="88"/>
      <c r="H92" s="89"/>
      <c r="I92" s="14" t="s">
        <v>104</v>
      </c>
      <c r="J92" s="31">
        <f ca="1">(IF(B86&gt;1,(H86/(B86+2)+J91),H86/4+J91))</f>
        <v>4</v>
      </c>
    </row>
    <row r="93" spans="1:10" ht="15.75" hidden="1" customHeight="1" x14ac:dyDescent="0.25">
      <c r="A93" s="92" t="s">
        <v>139</v>
      </c>
      <c r="B93" s="93" t="s">
        <v>132</v>
      </c>
      <c r="C93" s="67">
        <v>0</v>
      </c>
      <c r="D93" s="69">
        <f ca="1">((100/H86)*C93)/100</f>
        <v>0</v>
      </c>
      <c r="E93" s="88"/>
      <c r="F93" s="180"/>
      <c r="G93" s="88"/>
      <c r="H93" s="89"/>
      <c r="I93" s="14" t="s">
        <v>148</v>
      </c>
      <c r="J93" s="31">
        <f>(IF(B86&gt;1,(H86/(B86+2)+J92),0))</f>
        <v>0</v>
      </c>
    </row>
    <row r="94" spans="1:10" ht="15" hidden="1" customHeight="1" x14ac:dyDescent="0.25">
      <c r="A94" s="92" t="s">
        <v>137</v>
      </c>
      <c r="B94" s="93" t="s">
        <v>134</v>
      </c>
      <c r="C94" s="67">
        <v>0</v>
      </c>
      <c r="D94" s="69">
        <f ca="1">((100/(H86))*C94)/100</f>
        <v>0</v>
      </c>
      <c r="E94" s="88"/>
      <c r="F94" s="180"/>
      <c r="G94" s="88"/>
      <c r="H94" s="89"/>
      <c r="I94" s="14" t="s">
        <v>145</v>
      </c>
      <c r="J94" s="31">
        <f>(IF(B86&gt;2,(H86/(B86+2)+J93),0))</f>
        <v>0</v>
      </c>
    </row>
    <row r="95" spans="1:10" ht="15.75" hidden="1" customHeight="1" x14ac:dyDescent="0.25">
      <c r="A95" s="92" t="s">
        <v>133</v>
      </c>
      <c r="B95" s="93" t="s">
        <v>133</v>
      </c>
      <c r="C95" s="67">
        <v>0</v>
      </c>
      <c r="D95" s="69">
        <f ca="1">((100/H86)*C95)/100</f>
        <v>0</v>
      </c>
      <c r="E95" s="88"/>
      <c r="F95" s="180"/>
      <c r="G95" s="88"/>
      <c r="H95" s="89"/>
      <c r="I95" s="14" t="s">
        <v>146</v>
      </c>
      <c r="J95" s="32">
        <f>(IF(B86&gt;3,(H86/(B86+2)+J94),0))</f>
        <v>0</v>
      </c>
    </row>
    <row r="96" spans="1:10" ht="15.75" hidden="1" customHeight="1" x14ac:dyDescent="0.25">
      <c r="A96" s="92" t="s">
        <v>140</v>
      </c>
      <c r="B96" s="93"/>
      <c r="C96" s="67">
        <v>0</v>
      </c>
      <c r="D96" s="69">
        <f ca="1">((100/H86)*C96)/100</f>
        <v>0</v>
      </c>
      <c r="E96" s="88"/>
      <c r="F96" s="180"/>
      <c r="G96" s="88"/>
      <c r="H96" s="89"/>
      <c r="I96" s="14" t="s">
        <v>147</v>
      </c>
      <c r="J96" s="31">
        <f>(IF(B86&gt;4,(H86/(B86+2)+J95),0))</f>
        <v>0</v>
      </c>
    </row>
    <row r="97" spans="1:10" ht="15.75" hidden="1" customHeight="1" x14ac:dyDescent="0.25">
      <c r="A97" s="92" t="s">
        <v>135</v>
      </c>
      <c r="B97" s="93" t="s">
        <v>135</v>
      </c>
      <c r="C97" s="67">
        <v>0</v>
      </c>
      <c r="D97" s="69">
        <f ca="1">((100/(H86))*C97)/100</f>
        <v>0</v>
      </c>
      <c r="E97" s="88"/>
      <c r="F97" s="180"/>
      <c r="G97" s="88"/>
      <c r="H97" s="89"/>
      <c r="I97" s="14" t="s">
        <v>149</v>
      </c>
      <c r="J97" s="31">
        <f ca="1">(IF(B86=1,(H86/(B86+3)+J92),IF(B86=0,(H86/4+J92),IF(B86&gt;1,0))))</f>
        <v>6</v>
      </c>
    </row>
    <row r="98" spans="1:10" ht="16.5" hidden="1" thickBot="1" x14ac:dyDescent="0.3">
      <c r="A98" s="184" t="s">
        <v>136</v>
      </c>
      <c r="B98" s="185"/>
      <c r="C98" s="70">
        <v>0</v>
      </c>
      <c r="D98" s="71">
        <f ca="1">((100/(H86))*C98)/100</f>
        <v>0</v>
      </c>
      <c r="E98" s="90"/>
      <c r="F98" s="181"/>
      <c r="G98" s="90"/>
      <c r="H98" s="91"/>
      <c r="I98" s="16" t="s">
        <v>105</v>
      </c>
      <c r="J98" s="33">
        <f ca="1">(IF(B86&gt;1.5,(H86/(B86+2)+J92+MAX(0,J93-J92)+MAX(0,J94-J93)+MAX(0,J95-J94)+MAX(0,J96-J95)+MAX(0,J97-J96)),IF(B86=1,(H86/(B86+3)+J97),IF(B86=0,H86/4+J97))))</f>
        <v>8</v>
      </c>
    </row>
    <row r="99" spans="1:10" ht="15.75" hidden="1" customHeight="1" x14ac:dyDescent="0.25">
      <c r="A99" s="143" t="s">
        <v>142</v>
      </c>
      <c r="B99" s="144"/>
      <c r="C99" s="145">
        <f>D63</f>
        <v>0</v>
      </c>
      <c r="D99" s="146"/>
      <c r="E99" s="146"/>
      <c r="F99" s="146"/>
      <c r="G99" s="146"/>
      <c r="H99" s="147"/>
      <c r="I99" s="51" t="e">
        <f ca="1">IF(D112=100%,"All work Completed. Possession granted to the Building.",IF(D111=100%,"All work Completed, Waiting for OC",I100&amp;""&amp;I101&amp;""&amp;J100&amp;""&amp;J99&amp;" "&amp;J101))</f>
        <v>#DIV/0!</v>
      </c>
      <c r="J99" s="52" t="str">
        <f ca="1">(IF(C105=(D100+F100+H100),"",IF(C105&gt;0,", RCC upto "&amp;C105&amp;" Slab","")))&amp;(IF(C106=H100,"",IF(C106&gt;0,", Brickwork upto "&amp;C106&amp;" Floor","")))&amp;(IF(C107=H100,"",IF(C107&gt;0,", Internal Plaster upto "&amp;C107&amp;" Floor","")))&amp;(IF(C108=H100,"",IF(C108&gt;0,", External Plaster upto "&amp;C108&amp;" Floor","")))&amp;(IF(C109=H100,"",IF(C109&gt;0,", Flooring upto "&amp;C109&amp;" Floor","")))&amp;(IF(C110=H100,"",IF(C110&gt;0,", Painting upto "&amp;C110&amp;" Floor","")))&amp;(IF(C111=H100,"",IF(C111&gt;0,", Finishing upto "&amp;C111&amp;" Floor","")))&amp;(IF(C112=H100,"",IF(C112&gt;0,", Possession upto "&amp;C112&amp;" Floor","")))</f>
        <v/>
      </c>
    </row>
    <row r="100" spans="1:10" hidden="1" x14ac:dyDescent="0.25">
      <c r="A100" s="17" t="s">
        <v>144</v>
      </c>
      <c r="B100" s="55">
        <f>IF(AND(ISNUMBER(SEARCH("1B",C99))),1,IF(AND(ISNUMBER(SEARCH("2B",C99))),2,IF(AND(ISNUMBER(SEARCH("3B",C99))),3,IF(AND(ISNUMBER(SEARCH("4B",C99))),4,IF(ISNUMBER(SEARCH("5B",C99)),5,0)))))</f>
        <v>0</v>
      </c>
      <c r="C100" s="49" t="s">
        <v>73</v>
      </c>
      <c r="D100" s="49">
        <v>1</v>
      </c>
      <c r="E100" s="49" t="s">
        <v>72</v>
      </c>
      <c r="F100" s="15">
        <v>0</v>
      </c>
      <c r="G100" s="50" t="s">
        <v>82</v>
      </c>
      <c r="H100" s="18">
        <f ca="1">--TRIM(RIGHT(SUBSTITUTE(LEFT(C99,_xlfn.AGGREGATE(16,6,FIND({0,1,2,3,4,5,6,7,8,9},C99,ROW(INDIRECT("1:"&amp;LEN(C99)))),1))," ",REPT(" ",LEN(C99))),LEN(C99)))</f>
        <v>0</v>
      </c>
      <c r="I100" s="53" t="e">
        <f ca="1">IF(D103=100%,"Excavation","")&amp;IF(D104=100%,", Plinth","")&amp;IF(D105=100%,", RCC Slab","")&amp;IF(D106=100%,", Brickwork","")&amp;IF(D107=100%,", Internal Plaster","")&amp;IF(D108=100%,", External Plaster","")&amp;IF(D109=100%,", Flooring","")&amp;IF(D110=100%,", Painting","")&amp;IF(D111=100%,", Building common Amenities","")</f>
        <v>#DIV/0!</v>
      </c>
      <c r="J100" s="54" t="str">
        <f ca="1">(IF(C103=0,"Work not yet Started.",IF(D103=25%,"Piling work in process",IF(D103=50%,"Excavation work in process",IF(D103=100%,"","0")))))&amp;(IF(C104=0%,"",IF(C104=J105,", Footing work is process",IF(C104=J106,", Footing work Completed",IF(C104=J107,", 1st Basement Completed",IF(C104=J108,", 1st &amp; 2nd Basement Completed",IF(C104=J109,", 1st to 3rd Basement Completed",IF(C104=J110,", 1st to 4th Basement Completed",IF(C104=J111,", Plinth work is process",IF(C104=J112,"","0"))))))))))</f>
        <v>Work not yet Started.</v>
      </c>
    </row>
    <row r="101" spans="1:10" ht="33" hidden="1" customHeight="1" x14ac:dyDescent="0.25">
      <c r="A101" s="100" t="s">
        <v>92</v>
      </c>
      <c r="B101" s="101"/>
      <c r="C101" s="102" t="e">
        <f ca="1">(IF($G$56="NA",I99,"All work Completed. OC Received."))</f>
        <v>#DIV/0!</v>
      </c>
      <c r="D101" s="102"/>
      <c r="E101" s="102"/>
      <c r="F101" s="102"/>
      <c r="G101" s="102"/>
      <c r="H101" s="103"/>
      <c r="I101" s="53" t="e">
        <f ca="1">IF(I100&lt;&gt;""," Completed","")</f>
        <v>#DIV/0!</v>
      </c>
      <c r="J101" s="54" t="str">
        <f ca="1">IF(J99&lt;&gt;"","Completed","")</f>
        <v/>
      </c>
    </row>
    <row r="102" spans="1:10" ht="15.75" hidden="1" customHeight="1" x14ac:dyDescent="0.25">
      <c r="A102" s="84" t="s">
        <v>49</v>
      </c>
      <c r="B102" s="85"/>
      <c r="C102" s="45" t="s">
        <v>141</v>
      </c>
      <c r="D102" s="45" t="s">
        <v>85</v>
      </c>
      <c r="E102" s="85" t="s">
        <v>87</v>
      </c>
      <c r="F102" s="85"/>
      <c r="G102" s="85" t="s">
        <v>86</v>
      </c>
      <c r="H102" s="152"/>
      <c r="I102" s="14" t="s">
        <v>143</v>
      </c>
      <c r="J102" s="29">
        <f ca="1">H100*25%</f>
        <v>0</v>
      </c>
    </row>
    <row r="103" spans="1:10" hidden="1" x14ac:dyDescent="0.25">
      <c r="A103" s="84" t="s">
        <v>130</v>
      </c>
      <c r="B103" s="85"/>
      <c r="C103" s="45">
        <f ca="1">J104</f>
        <v>0</v>
      </c>
      <c r="D103" s="20" t="e">
        <f ca="1">((100/H100)*C103)/100</f>
        <v>#DIV/0!</v>
      </c>
      <c r="E103" s="153" t="e">
        <f ca="1">(((C104/H100*10)+(40/(D100+F100+H100)*C105)+(7.5/(H100)*C106)+(7.5/(H100)*C107)+(10/H100*C108)+(10/H100*C109)+(5/H100*C110)+(5/H100*C111)+(5/H100*C112))/100)</f>
        <v>#DIV/0!</v>
      </c>
      <c r="F103" s="154"/>
      <c r="G103" s="153" t="e">
        <f ca="1">((((C103/H100)*20)+((C104/H100)*25)+(30/(H100+F100+D100)*C105)+(5/H100*C106)+(5/H100*C107)+(5/H100*C108)+(5/H100*C109)+(0/H100*C110)+(0/H100*C111)+(5/H100*C112))/100)</f>
        <v>#DIV/0!</v>
      </c>
      <c r="H103" s="167"/>
      <c r="I103" s="14" t="s">
        <v>101</v>
      </c>
      <c r="J103" s="30">
        <f ca="1">H100*50%</f>
        <v>0</v>
      </c>
    </row>
    <row r="104" spans="1:10" hidden="1" x14ac:dyDescent="0.25">
      <c r="A104" s="84" t="s">
        <v>50</v>
      </c>
      <c r="B104" s="85"/>
      <c r="C104" s="45">
        <f ca="1">J112</f>
        <v>0</v>
      </c>
      <c r="D104" s="20" t="e">
        <f ca="1">((100/H100)*C104)/100</f>
        <v>#DIV/0!</v>
      </c>
      <c r="E104" s="155"/>
      <c r="F104" s="156"/>
      <c r="G104" s="155"/>
      <c r="H104" s="168"/>
      <c r="I104" s="14" t="s">
        <v>102</v>
      </c>
      <c r="J104" s="30">
        <f ca="1">H100</f>
        <v>0</v>
      </c>
    </row>
    <row r="105" spans="1:10" ht="15.75" hidden="1" customHeight="1" x14ac:dyDescent="0.25">
      <c r="A105" s="84" t="s">
        <v>131</v>
      </c>
      <c r="B105" s="85"/>
      <c r="C105" s="45">
        <f ca="1">D100+H100</f>
        <v>1</v>
      </c>
      <c r="D105" s="20">
        <f ca="1">((100/(D100+F100+H100))*C105)/100</f>
        <v>1</v>
      </c>
      <c r="E105" s="155"/>
      <c r="F105" s="156"/>
      <c r="G105" s="155"/>
      <c r="H105" s="168"/>
      <c r="I105" s="14" t="s">
        <v>103</v>
      </c>
      <c r="J105" s="31">
        <f ca="1">(IF(B100&gt;1,(H100/(B100+2)),H100/4))</f>
        <v>0</v>
      </c>
    </row>
    <row r="106" spans="1:10" ht="15.75" hidden="1" customHeight="1" x14ac:dyDescent="0.25">
      <c r="A106" s="84" t="s">
        <v>138</v>
      </c>
      <c r="B106" s="85" t="s">
        <v>132</v>
      </c>
      <c r="C106" s="45">
        <v>0</v>
      </c>
      <c r="D106" s="20" t="e">
        <f ca="1">((100/H100)*C106)/100</f>
        <v>#DIV/0!</v>
      </c>
      <c r="E106" s="155"/>
      <c r="F106" s="156"/>
      <c r="G106" s="155"/>
      <c r="H106" s="168"/>
      <c r="I106" s="14" t="s">
        <v>104</v>
      </c>
      <c r="J106" s="31">
        <f ca="1">(IF(B100&gt;1,(H100/(B100+2)+J105),H100/4+J105))</f>
        <v>0</v>
      </c>
    </row>
    <row r="107" spans="1:10" ht="15.75" hidden="1" customHeight="1" x14ac:dyDescent="0.25">
      <c r="A107" s="84" t="s">
        <v>139</v>
      </c>
      <c r="B107" s="85" t="s">
        <v>132</v>
      </c>
      <c r="C107" s="45">
        <v>0</v>
      </c>
      <c r="D107" s="20" t="e">
        <f ca="1">((100/H100)*C107)/100</f>
        <v>#DIV/0!</v>
      </c>
      <c r="E107" s="155"/>
      <c r="F107" s="156"/>
      <c r="G107" s="155"/>
      <c r="H107" s="168"/>
      <c r="I107" s="14" t="s">
        <v>148</v>
      </c>
      <c r="J107" s="31">
        <f>(IF(B100&gt;1,(H100/(B100+2)+J106),0))</f>
        <v>0</v>
      </c>
    </row>
    <row r="108" spans="1:10" ht="15" hidden="1" customHeight="1" x14ac:dyDescent="0.25">
      <c r="A108" s="84" t="s">
        <v>137</v>
      </c>
      <c r="B108" s="85" t="s">
        <v>134</v>
      </c>
      <c r="C108" s="45">
        <v>0</v>
      </c>
      <c r="D108" s="20" t="e">
        <f ca="1">((100/(H100))*C108)/100</f>
        <v>#DIV/0!</v>
      </c>
      <c r="E108" s="155"/>
      <c r="F108" s="156"/>
      <c r="G108" s="155"/>
      <c r="H108" s="168"/>
      <c r="I108" s="14" t="s">
        <v>145</v>
      </c>
      <c r="J108" s="31">
        <f>(IF(B100&gt;2,(H100/(B100+2)+J107),0))</f>
        <v>0</v>
      </c>
    </row>
    <row r="109" spans="1:10" ht="15.75" hidden="1" customHeight="1" x14ac:dyDescent="0.25">
      <c r="A109" s="84" t="s">
        <v>133</v>
      </c>
      <c r="B109" s="85" t="s">
        <v>133</v>
      </c>
      <c r="C109" s="45">
        <v>0</v>
      </c>
      <c r="D109" s="20" t="e">
        <f ca="1">((100/H100)*C109)/100</f>
        <v>#DIV/0!</v>
      </c>
      <c r="E109" s="155"/>
      <c r="F109" s="156"/>
      <c r="G109" s="155"/>
      <c r="H109" s="168"/>
      <c r="I109" s="14" t="s">
        <v>146</v>
      </c>
      <c r="J109" s="32">
        <f>(IF(B100&gt;3,(H100/(B100+2)+J108),0))</f>
        <v>0</v>
      </c>
    </row>
    <row r="110" spans="1:10" ht="15.75" hidden="1" customHeight="1" x14ac:dyDescent="0.25">
      <c r="A110" s="84" t="s">
        <v>140</v>
      </c>
      <c r="B110" s="85"/>
      <c r="C110" s="45">
        <v>0</v>
      </c>
      <c r="D110" s="20" t="e">
        <f ca="1">((100/H100)*C110)/100</f>
        <v>#DIV/0!</v>
      </c>
      <c r="E110" s="155"/>
      <c r="F110" s="156"/>
      <c r="G110" s="155"/>
      <c r="H110" s="168"/>
      <c r="I110" s="14" t="s">
        <v>147</v>
      </c>
      <c r="J110" s="31">
        <f>(IF(B100&gt;4,(H100/(B100+2)+J109),0))</f>
        <v>0</v>
      </c>
    </row>
    <row r="111" spans="1:10" ht="15.75" hidden="1" customHeight="1" x14ac:dyDescent="0.25">
      <c r="A111" s="84" t="s">
        <v>135</v>
      </c>
      <c r="B111" s="85" t="s">
        <v>135</v>
      </c>
      <c r="C111" s="45">
        <v>0</v>
      </c>
      <c r="D111" s="20" t="e">
        <f ca="1">((100/(H100))*C111)/100</f>
        <v>#DIV/0!</v>
      </c>
      <c r="E111" s="155"/>
      <c r="F111" s="156"/>
      <c r="G111" s="155"/>
      <c r="H111" s="168"/>
      <c r="I111" s="14" t="s">
        <v>149</v>
      </c>
      <c r="J111" s="31">
        <f ca="1">(IF(B100=1,(H100/(B100+3)+J106),IF(B100=0,(H100/4+J106),IF(B100&gt;1,0))))</f>
        <v>0</v>
      </c>
    </row>
    <row r="112" spans="1:10" ht="16.5" hidden="1" thickBot="1" x14ac:dyDescent="0.3">
      <c r="A112" s="238" t="s">
        <v>136</v>
      </c>
      <c r="B112" s="239"/>
      <c r="C112" s="46">
        <v>0</v>
      </c>
      <c r="D112" s="21" t="e">
        <f ca="1">((100/(H100))*C112)/100</f>
        <v>#DIV/0!</v>
      </c>
      <c r="E112" s="157"/>
      <c r="F112" s="158"/>
      <c r="G112" s="157"/>
      <c r="H112" s="169"/>
      <c r="I112" s="16" t="s">
        <v>105</v>
      </c>
      <c r="J112" s="33">
        <f ca="1">(IF(B100&gt;1.5,(H100/(B100+2)+J106+MAX(0,J107-J106)+MAX(0,J108-J107)+MAX(0,J109-J108)+MAX(0,J110-J109)+MAX(0,J111-J110)),IF(B100=1,(H100/(B100+3)+J111),IF(B100=0,H100/4+J111))))</f>
        <v>0</v>
      </c>
    </row>
    <row r="113" spans="1:10" x14ac:dyDescent="0.25">
      <c r="A113" s="117" t="s">
        <v>159</v>
      </c>
      <c r="B113" s="117"/>
      <c r="C113" s="117"/>
      <c r="D113" s="117"/>
      <c r="E113" s="117"/>
      <c r="F113" s="159" t="s">
        <v>164</v>
      </c>
      <c r="G113" s="159"/>
      <c r="H113" s="159"/>
    </row>
    <row r="114" spans="1:10" x14ac:dyDescent="0.25">
      <c r="A114" s="95" t="s">
        <v>162</v>
      </c>
      <c r="B114" s="95"/>
      <c r="C114" s="95"/>
      <c r="D114" s="95"/>
      <c r="E114" s="95"/>
      <c r="F114" s="94">
        <v>17500</v>
      </c>
      <c r="G114" s="94"/>
      <c r="H114" s="94"/>
      <c r="I114" s="22">
        <v>27000</v>
      </c>
    </row>
    <row r="115" spans="1:10" x14ac:dyDescent="0.25">
      <c r="A115" s="95" t="s">
        <v>161</v>
      </c>
      <c r="B115" s="95"/>
      <c r="C115" s="95"/>
      <c r="D115" s="95"/>
      <c r="E115" s="95"/>
      <c r="F115" s="94">
        <v>30000</v>
      </c>
      <c r="G115" s="94"/>
      <c r="H115" s="94"/>
      <c r="I115" s="72">
        <f>I114/1.55</f>
        <v>17419.354838709678</v>
      </c>
    </row>
    <row r="116" spans="1:10" hidden="1" x14ac:dyDescent="0.25">
      <c r="A116" s="95" t="s">
        <v>163</v>
      </c>
      <c r="B116" s="95"/>
      <c r="C116" s="95"/>
      <c r="D116" s="95"/>
      <c r="E116" s="95"/>
      <c r="F116" s="94"/>
      <c r="G116" s="94"/>
      <c r="H116" s="94"/>
    </row>
    <row r="117" spans="1:10" s="34" customFormat="1" hidden="1" x14ac:dyDescent="0.25">
      <c r="A117" s="95" t="s">
        <v>160</v>
      </c>
      <c r="B117" s="95"/>
      <c r="C117" s="95"/>
      <c r="D117" s="95"/>
      <c r="E117" s="95"/>
      <c r="F117" s="94"/>
      <c r="G117" s="94"/>
      <c r="H117" s="94"/>
    </row>
    <row r="118" spans="1:10" s="34" customFormat="1" x14ac:dyDescent="0.25">
      <c r="A118" s="95" t="s">
        <v>97</v>
      </c>
      <c r="B118" s="95"/>
      <c r="C118" s="95"/>
      <c r="D118" s="95"/>
      <c r="E118" s="95"/>
      <c r="F118" s="94">
        <v>200000</v>
      </c>
      <c r="G118" s="94"/>
      <c r="H118" s="94"/>
    </row>
    <row r="119" spans="1:10" s="34" customFormat="1" x14ac:dyDescent="0.25">
      <c r="A119" s="95" t="s">
        <v>245</v>
      </c>
      <c r="B119" s="95"/>
      <c r="C119" s="95"/>
      <c r="D119" s="95"/>
      <c r="E119" s="95"/>
      <c r="F119" s="94">
        <v>120000</v>
      </c>
      <c r="G119" s="94"/>
      <c r="H119" s="94"/>
    </row>
    <row r="120" spans="1:10" s="34" customFormat="1" x14ac:dyDescent="0.25">
      <c r="A120" s="95" t="s">
        <v>246</v>
      </c>
      <c r="B120" s="95"/>
      <c r="C120" s="95"/>
      <c r="D120" s="95"/>
      <c r="E120" s="95"/>
      <c r="F120" s="94">
        <v>125000</v>
      </c>
      <c r="G120" s="94"/>
      <c r="H120" s="94"/>
    </row>
    <row r="121" spans="1:10" s="34" customFormat="1" x14ac:dyDescent="0.25">
      <c r="A121" s="95" t="s">
        <v>247</v>
      </c>
      <c r="B121" s="95"/>
      <c r="C121" s="95"/>
      <c r="D121" s="95"/>
      <c r="E121" s="95"/>
      <c r="F121" s="94">
        <v>123250</v>
      </c>
      <c r="G121" s="94"/>
      <c r="H121" s="94"/>
      <c r="J121" s="34" t="s">
        <v>249</v>
      </c>
    </row>
    <row r="122" spans="1:10" s="34" customFormat="1" hidden="1" x14ac:dyDescent="0.25">
      <c r="A122" s="95" t="s">
        <v>98</v>
      </c>
      <c r="B122" s="95"/>
      <c r="C122" s="95"/>
      <c r="D122" s="95"/>
      <c r="E122" s="95"/>
      <c r="F122" s="94"/>
      <c r="G122" s="94"/>
      <c r="H122" s="94"/>
    </row>
    <row r="123" spans="1:10" s="34" customFormat="1" hidden="1" x14ac:dyDescent="0.25">
      <c r="A123" s="95" t="s">
        <v>99</v>
      </c>
      <c r="B123" s="95"/>
      <c r="C123" s="95"/>
      <c r="D123" s="95"/>
      <c r="E123" s="95"/>
      <c r="F123" s="94"/>
      <c r="G123" s="94"/>
      <c r="H123" s="94"/>
    </row>
    <row r="124" spans="1:10" s="34" customFormat="1" hidden="1" x14ac:dyDescent="0.25">
      <c r="A124" s="95" t="s">
        <v>100</v>
      </c>
      <c r="B124" s="95"/>
      <c r="C124" s="95"/>
      <c r="D124" s="95"/>
      <c r="E124" s="95"/>
      <c r="F124" s="94"/>
      <c r="G124" s="94"/>
      <c r="H124" s="94"/>
    </row>
    <row r="125" spans="1:10" x14ac:dyDescent="0.25">
      <c r="A125" s="95" t="s">
        <v>51</v>
      </c>
      <c r="B125" s="95"/>
      <c r="C125" s="95"/>
      <c r="D125" s="95"/>
      <c r="E125" s="95"/>
      <c r="F125" s="94">
        <v>800000</v>
      </c>
      <c r="G125" s="94"/>
      <c r="H125" s="94"/>
    </row>
    <row r="126" spans="1:10" s="35" customFormat="1" x14ac:dyDescent="0.25">
      <c r="A126" s="177" t="s">
        <v>52</v>
      </c>
      <c r="B126" s="177"/>
      <c r="C126" s="177"/>
      <c r="D126" s="177"/>
      <c r="E126" s="177"/>
      <c r="F126" s="94">
        <f>F114*0.8</f>
        <v>14000</v>
      </c>
      <c r="G126" s="94"/>
      <c r="H126" s="94"/>
    </row>
    <row r="127" spans="1:10" s="36" customFormat="1" ht="15.75" customHeight="1" x14ac:dyDescent="0.25">
      <c r="A127" s="124" t="s">
        <v>77</v>
      </c>
      <c r="B127" s="124"/>
      <c r="C127" s="124"/>
      <c r="D127" s="124"/>
      <c r="E127" s="124"/>
      <c r="F127" s="124"/>
      <c r="G127" s="124"/>
      <c r="H127" s="124"/>
    </row>
    <row r="128" spans="1:10" s="36" customFormat="1" ht="15.75" customHeight="1" x14ac:dyDescent="0.25">
      <c r="A128" s="119" t="s">
        <v>53</v>
      </c>
      <c r="B128" s="119"/>
      <c r="C128" s="115" t="s">
        <v>80</v>
      </c>
      <c r="D128" s="115"/>
      <c r="E128" s="128" t="s">
        <v>54</v>
      </c>
      <c r="F128" s="128"/>
      <c r="G128" s="119" t="s">
        <v>55</v>
      </c>
      <c r="H128" s="119"/>
    </row>
    <row r="129" spans="1:14" s="36" customFormat="1" x14ac:dyDescent="0.25">
      <c r="A129" s="206" t="s">
        <v>205</v>
      </c>
      <c r="B129" s="206"/>
      <c r="C129" s="208">
        <f>COUNT(D143:D150)</f>
        <v>8</v>
      </c>
      <c r="D129" s="161"/>
      <c r="E129" s="116">
        <f>SUM(D143:D150)</f>
        <v>2332.7740800000001</v>
      </c>
      <c r="F129" s="122"/>
      <c r="G129" s="116">
        <f>SUM(F143:F150)</f>
        <v>3732.4385280000006</v>
      </c>
      <c r="H129" s="122"/>
    </row>
    <row r="130" spans="1:14" s="36" customFormat="1" ht="15.75" hidden="1" customHeight="1" x14ac:dyDescent="0.25">
      <c r="A130" s="206"/>
      <c r="B130" s="206"/>
      <c r="C130" s="161"/>
      <c r="D130" s="161"/>
      <c r="E130" s="122"/>
      <c r="F130" s="122"/>
      <c r="G130" s="123"/>
      <c r="H130" s="123"/>
    </row>
    <row r="131" spans="1:14" s="36" customFormat="1" hidden="1" x14ac:dyDescent="0.25">
      <c r="A131" s="124" t="s">
        <v>152</v>
      </c>
      <c r="B131" s="124"/>
      <c r="C131" s="125">
        <f t="shared" ref="C131:G131" si="0">SUM(C129:D130)</f>
        <v>8</v>
      </c>
      <c r="D131" s="126"/>
      <c r="E131" s="127">
        <f t="shared" si="0"/>
        <v>2332.7740800000001</v>
      </c>
      <c r="F131" s="128"/>
      <c r="G131" s="119">
        <f t="shared" si="0"/>
        <v>3732.4385280000006</v>
      </c>
      <c r="H131" s="119"/>
    </row>
    <row r="132" spans="1:14" s="36" customFormat="1" x14ac:dyDescent="0.25">
      <c r="A132" s="124" t="s">
        <v>71</v>
      </c>
      <c r="B132" s="124"/>
      <c r="C132" s="124"/>
      <c r="D132" s="124"/>
      <c r="E132" s="124"/>
      <c r="F132" s="124"/>
      <c r="G132" s="124"/>
      <c r="H132" s="124"/>
    </row>
    <row r="133" spans="1:14" s="36" customFormat="1" ht="15.75" customHeight="1" x14ac:dyDescent="0.25">
      <c r="A133" s="119" t="s">
        <v>53</v>
      </c>
      <c r="B133" s="119"/>
      <c r="C133" s="115" t="s">
        <v>80</v>
      </c>
      <c r="D133" s="115"/>
      <c r="E133" s="128" t="s">
        <v>54</v>
      </c>
      <c r="F133" s="128"/>
      <c r="G133" s="119" t="s">
        <v>55</v>
      </c>
      <c r="H133" s="119"/>
    </row>
    <row r="134" spans="1:14" s="36" customFormat="1" x14ac:dyDescent="0.25">
      <c r="A134" s="206" t="s">
        <v>205</v>
      </c>
      <c r="B134" s="206"/>
      <c r="C134" s="129">
        <f>COUNT(D158:D161)*5+COUNT(D163:D165)+COUNT(D168:D171)*4+COUNT(D173:D175)</f>
        <v>42</v>
      </c>
      <c r="D134" s="129"/>
      <c r="E134" s="116">
        <f>SUM(D158:D161)*5+SUM(D163:D165)+SUM(D168:D171)*4+SUM(D173:D175)</f>
        <v>31103.654399999996</v>
      </c>
      <c r="F134" s="116"/>
      <c r="G134" s="116">
        <f>SUM(F158:F161)*5+SUM(F163:F165)+SUM(F168:F171)*4+SUM(F173:F175)</f>
        <v>48210.664319999996</v>
      </c>
      <c r="H134" s="116"/>
    </row>
    <row r="135" spans="1:14" s="36" customFormat="1" ht="16.5" thickBot="1" x14ac:dyDescent="0.3">
      <c r="A135" s="105" t="s">
        <v>152</v>
      </c>
      <c r="B135" s="105"/>
      <c r="C135" s="209">
        <f>SUM(C134:D134)</f>
        <v>42</v>
      </c>
      <c r="D135" s="210"/>
      <c r="E135" s="120">
        <f>SUM(E134:F134)</f>
        <v>31103.654399999996</v>
      </c>
      <c r="F135" s="121"/>
      <c r="G135" s="160">
        <f>SUM(G134:H134)</f>
        <v>48210.664319999996</v>
      </c>
      <c r="H135" s="160"/>
    </row>
    <row r="136" spans="1:14" s="36" customFormat="1" ht="16.5" thickBot="1" x14ac:dyDescent="0.3">
      <c r="A136" s="162" t="s">
        <v>170</v>
      </c>
      <c r="B136" s="163"/>
      <c r="C136" s="132">
        <f>C131+C135</f>
        <v>50</v>
      </c>
      <c r="D136" s="132"/>
      <c r="E136" s="164">
        <f>E131+E135</f>
        <v>33436.428479999995</v>
      </c>
      <c r="F136" s="164"/>
      <c r="G136" s="130">
        <f>G131+G135</f>
        <v>51943.102847999995</v>
      </c>
      <c r="H136" s="131"/>
    </row>
    <row r="137" spans="1:14" s="35" customFormat="1" x14ac:dyDescent="0.25">
      <c r="A137" s="159" t="s">
        <v>56</v>
      </c>
      <c r="B137" s="159"/>
      <c r="C137" s="159"/>
      <c r="D137" s="159"/>
      <c r="E137" s="159"/>
      <c r="F137" s="159"/>
      <c r="G137" s="159"/>
      <c r="H137" s="159"/>
    </row>
    <row r="138" spans="1:14" x14ac:dyDescent="0.25">
      <c r="A138" s="200" t="s">
        <v>57</v>
      </c>
      <c r="B138" s="200"/>
      <c r="C138" s="200"/>
      <c r="D138" s="200"/>
      <c r="E138" s="200"/>
      <c r="F138" s="200"/>
      <c r="G138" s="200"/>
      <c r="H138" s="200"/>
    </row>
    <row r="139" spans="1:14" ht="47.25" customHeight="1" x14ac:dyDescent="0.25">
      <c r="A139" s="96" t="s">
        <v>121</v>
      </c>
      <c r="B139" s="96" t="s">
        <v>120</v>
      </c>
      <c r="C139" s="96" t="s">
        <v>58</v>
      </c>
      <c r="D139" s="96" t="s">
        <v>59</v>
      </c>
      <c r="E139" s="148" t="s">
        <v>158</v>
      </c>
      <c r="F139" s="44" t="s">
        <v>151</v>
      </c>
      <c r="G139" s="134" t="s">
        <v>61</v>
      </c>
      <c r="H139" s="150"/>
    </row>
    <row r="140" spans="1:14" s="38" customFormat="1" x14ac:dyDescent="0.25">
      <c r="A140" s="97"/>
      <c r="B140" s="97"/>
      <c r="C140" s="97"/>
      <c r="D140" s="97"/>
      <c r="E140" s="149"/>
      <c r="F140" s="13">
        <v>0.6</v>
      </c>
      <c r="G140" s="135"/>
      <c r="H140" s="151"/>
    </row>
    <row r="141" spans="1:14" s="57" customFormat="1" x14ac:dyDescent="0.25">
      <c r="A141" s="140" t="s">
        <v>208</v>
      </c>
      <c r="B141" s="141"/>
      <c r="C141" s="141"/>
      <c r="D141" s="141"/>
      <c r="E141" s="141"/>
      <c r="F141" s="141"/>
      <c r="G141" s="141"/>
      <c r="H141" s="142"/>
    </row>
    <row r="142" spans="1:14" s="38" customFormat="1" ht="34.5" customHeight="1" x14ac:dyDescent="0.25">
      <c r="A142" s="140" t="s">
        <v>212</v>
      </c>
      <c r="B142" s="141"/>
      <c r="C142" s="141"/>
      <c r="D142" s="141"/>
      <c r="E142" s="141"/>
      <c r="F142" s="141"/>
      <c r="G142" s="141"/>
      <c r="H142" s="142"/>
      <c r="J142" s="37"/>
    </row>
    <row r="143" spans="1:14" s="38" customFormat="1" ht="15.75" customHeight="1" x14ac:dyDescent="0.25">
      <c r="A143" s="98">
        <v>1</v>
      </c>
      <c r="B143" s="99"/>
      <c r="C143" s="43" t="s">
        <v>194</v>
      </c>
      <c r="D143" s="61">
        <f>(21.12)*10.764</f>
        <v>227.33568</v>
      </c>
      <c r="E143" s="62">
        <v>0</v>
      </c>
      <c r="F143" s="43">
        <f>(D143+E143)*(($F$140)+1)</f>
        <v>363.73708800000003</v>
      </c>
      <c r="G143" s="109" t="str">
        <f>A142</f>
        <v xml:space="preserve">Ground Floor For Commercial, Residential Meter Room,Commercial Meter Room, Entrance Lobby, SubStation Room &amp; Parking </v>
      </c>
      <c r="H143" s="110"/>
      <c r="I143" s="37">
        <f>2.85*6.36+1.2*0.9+1.6*1.05</f>
        <v>20.886000000000003</v>
      </c>
      <c r="J143" s="61">
        <v>10.763999999999999</v>
      </c>
      <c r="L143" s="118"/>
      <c r="M143" s="118"/>
      <c r="N143" s="37"/>
    </row>
    <row r="144" spans="1:14" s="38" customFormat="1" ht="15.75" customHeight="1" x14ac:dyDescent="0.25">
      <c r="A144" s="98">
        <f t="shared" ref="A144:A150" si="1">A143+1</f>
        <v>2</v>
      </c>
      <c r="B144" s="99"/>
      <c r="C144" s="56" t="s">
        <v>194</v>
      </c>
      <c r="D144" s="61">
        <f>(23.71)*10.764</f>
        <v>255.21444</v>
      </c>
      <c r="E144" s="62">
        <v>0</v>
      </c>
      <c r="F144" s="43">
        <f t="shared" ref="F144:F146" si="2">(D144+E144)*(($F$140)+1)</f>
        <v>408.34310400000004</v>
      </c>
      <c r="G144" s="111"/>
      <c r="H144" s="112"/>
      <c r="I144" s="37">
        <f>3.2*6.36+1.85*1.01+1.2*0.9</f>
        <v>23.300500000000007</v>
      </c>
      <c r="L144" s="118"/>
      <c r="M144" s="118"/>
      <c r="N144" s="37"/>
    </row>
    <row r="145" spans="1:14" s="38" customFormat="1" ht="15.75" customHeight="1" x14ac:dyDescent="0.25">
      <c r="A145" s="98">
        <f t="shared" si="1"/>
        <v>3</v>
      </c>
      <c r="B145" s="99"/>
      <c r="C145" s="56" t="s">
        <v>194</v>
      </c>
      <c r="D145" s="61">
        <f>(21.12)*10.764</f>
        <v>227.33568</v>
      </c>
      <c r="E145" s="62">
        <v>0</v>
      </c>
      <c r="F145" s="43">
        <f t="shared" si="2"/>
        <v>363.73708800000003</v>
      </c>
      <c r="G145" s="111"/>
      <c r="H145" s="112"/>
      <c r="I145" s="37">
        <f>2.85*6.36+1.5*1.01+1.2*0.9</f>
        <v>20.721000000000004</v>
      </c>
      <c r="L145" s="118"/>
      <c r="M145" s="118"/>
      <c r="N145" s="37"/>
    </row>
    <row r="146" spans="1:14" s="38" customFormat="1" ht="15.75" customHeight="1" x14ac:dyDescent="0.25">
      <c r="A146" s="98">
        <f t="shared" si="1"/>
        <v>4</v>
      </c>
      <c r="B146" s="99"/>
      <c r="C146" s="56" t="s">
        <v>194</v>
      </c>
      <c r="D146" s="61">
        <f>(22.38)*10.764</f>
        <v>240.89831999999998</v>
      </c>
      <c r="E146" s="62">
        <v>0</v>
      </c>
      <c r="F146" s="43">
        <f t="shared" si="2"/>
        <v>385.43731200000002</v>
      </c>
      <c r="G146" s="111"/>
      <c r="H146" s="112"/>
      <c r="I146" s="37">
        <f>3.05*4.7+2.97*1.66+1.62*1.05+1.2*0.9</f>
        <v>22.046199999999999</v>
      </c>
      <c r="L146" s="118"/>
      <c r="M146" s="118"/>
      <c r="N146" s="37"/>
    </row>
    <row r="147" spans="1:14" s="57" customFormat="1" ht="15.75" customHeight="1" x14ac:dyDescent="0.25">
      <c r="A147" s="98">
        <f t="shared" si="1"/>
        <v>5</v>
      </c>
      <c r="B147" s="99"/>
      <c r="C147" s="56" t="s">
        <v>194</v>
      </c>
      <c r="D147" s="61">
        <f>(24.04)*10.764</f>
        <v>258.76655999999997</v>
      </c>
      <c r="E147" s="62">
        <v>0</v>
      </c>
      <c r="F147" s="56">
        <f t="shared" ref="F147" si="3">(D147+E147)*(($F$140)+1)</f>
        <v>414.02649599999995</v>
      </c>
      <c r="G147" s="111"/>
      <c r="H147" s="112"/>
      <c r="I147" s="37">
        <f>5.12*3.65+3.77*1.05+1.2*0.9</f>
        <v>23.726500000000001</v>
      </c>
      <c r="L147" s="118"/>
      <c r="M147" s="118"/>
      <c r="N147" s="37"/>
    </row>
    <row r="148" spans="1:14" s="57" customFormat="1" ht="15.75" customHeight="1" x14ac:dyDescent="0.25">
      <c r="A148" s="98">
        <f t="shared" si="1"/>
        <v>6</v>
      </c>
      <c r="B148" s="99"/>
      <c r="C148" s="56" t="s">
        <v>194</v>
      </c>
      <c r="D148" s="61">
        <f>(35.42)*10.764</f>
        <v>381.26087999999999</v>
      </c>
      <c r="E148" s="62">
        <v>0</v>
      </c>
      <c r="F148" s="56">
        <f t="shared" ref="F148:F150" si="4">(D148+E148)*(($F$140)+1)</f>
        <v>610.01740800000005</v>
      </c>
      <c r="G148" s="111"/>
      <c r="H148" s="112"/>
      <c r="I148" s="37">
        <f>3.05*4.7+2.97*5.85+1.62*1.25+1.2*1</f>
        <v>34.9345</v>
      </c>
      <c r="L148" s="118"/>
      <c r="M148" s="118"/>
      <c r="N148" s="37"/>
    </row>
    <row r="149" spans="1:14" s="57" customFormat="1" ht="15.75" customHeight="1" x14ac:dyDescent="0.25">
      <c r="A149" s="98">
        <f t="shared" si="1"/>
        <v>7</v>
      </c>
      <c r="B149" s="99"/>
      <c r="C149" s="56" t="s">
        <v>194</v>
      </c>
      <c r="D149" s="61">
        <f>(29.99)*10.764</f>
        <v>322.81235999999996</v>
      </c>
      <c r="E149" s="62">
        <v>0</v>
      </c>
      <c r="F149" s="56">
        <f t="shared" si="4"/>
        <v>516.499776</v>
      </c>
      <c r="G149" s="111"/>
      <c r="H149" s="112"/>
      <c r="I149" s="37">
        <f>2.7*10.55+1.2*1.1</f>
        <v>29.805000000000003</v>
      </c>
      <c r="L149" s="118"/>
      <c r="M149" s="118"/>
      <c r="N149" s="37"/>
    </row>
    <row r="150" spans="1:14" s="57" customFormat="1" ht="15.75" customHeight="1" x14ac:dyDescent="0.25">
      <c r="A150" s="98">
        <f t="shared" si="1"/>
        <v>8</v>
      </c>
      <c r="B150" s="99"/>
      <c r="C150" s="56" t="s">
        <v>194</v>
      </c>
      <c r="D150" s="61">
        <f>(38.94)*10.764</f>
        <v>419.15015999999997</v>
      </c>
      <c r="E150" s="62">
        <v>0</v>
      </c>
      <c r="F150" s="56">
        <f t="shared" si="4"/>
        <v>670.64025600000002</v>
      </c>
      <c r="G150" s="113"/>
      <c r="H150" s="114"/>
      <c r="I150" s="37">
        <f>3.2*11.7+1.35*1</f>
        <v>38.79</v>
      </c>
      <c r="L150" s="118"/>
      <c r="M150" s="118"/>
      <c r="N150" s="37"/>
    </row>
    <row r="151" spans="1:14" s="57" customFormat="1" ht="15.75" customHeight="1" x14ac:dyDescent="0.25">
      <c r="A151" s="98"/>
      <c r="B151" s="240"/>
      <c r="C151" s="240"/>
      <c r="D151" s="240"/>
      <c r="E151" s="240"/>
      <c r="F151" s="240"/>
      <c r="G151" s="240"/>
      <c r="H151" s="99"/>
      <c r="I151" s="37">
        <f>2.85*6.36+1.2*0.9+1.6*1.05</f>
        <v>20.886000000000003</v>
      </c>
      <c r="L151" s="118"/>
      <c r="M151" s="118"/>
      <c r="N151" s="37"/>
    </row>
    <row r="152" spans="1:14" ht="47.25" customHeight="1" x14ac:dyDescent="0.25">
      <c r="A152" s="134" t="s">
        <v>122</v>
      </c>
      <c r="B152" s="134" t="s">
        <v>123</v>
      </c>
      <c r="C152" s="96" t="s">
        <v>58</v>
      </c>
      <c r="D152" s="96" t="s">
        <v>59</v>
      </c>
      <c r="E152" s="148" t="s">
        <v>60</v>
      </c>
      <c r="F152" s="44" t="s">
        <v>151</v>
      </c>
      <c r="G152" s="134" t="s">
        <v>61</v>
      </c>
      <c r="H152" s="150"/>
      <c r="I152" s="37"/>
    </row>
    <row r="153" spans="1:14" s="38" customFormat="1" x14ac:dyDescent="0.25">
      <c r="A153" s="135"/>
      <c r="B153" s="135"/>
      <c r="C153" s="97"/>
      <c r="D153" s="97"/>
      <c r="E153" s="149"/>
      <c r="F153" s="13">
        <v>0.55000000000000004</v>
      </c>
      <c r="G153" s="135"/>
      <c r="H153" s="151"/>
      <c r="I153" s="37"/>
    </row>
    <row r="154" spans="1:14" s="57" customFormat="1" x14ac:dyDescent="0.25">
      <c r="A154" s="211" t="s">
        <v>196</v>
      </c>
      <c r="B154" s="212"/>
      <c r="C154" s="212"/>
      <c r="D154" s="212"/>
      <c r="E154" s="212"/>
      <c r="F154" s="212"/>
      <c r="G154" s="212"/>
      <c r="H154" s="213"/>
      <c r="I154" s="37"/>
    </row>
    <row r="155" spans="1:14" s="57" customFormat="1" x14ac:dyDescent="0.25">
      <c r="A155" s="140" t="s">
        <v>221</v>
      </c>
      <c r="B155" s="141"/>
      <c r="C155" s="141"/>
      <c r="D155" s="141"/>
      <c r="E155" s="141"/>
      <c r="F155" s="141"/>
      <c r="G155" s="141"/>
      <c r="H155" s="142"/>
      <c r="I155" s="37"/>
    </row>
    <row r="156" spans="1:14" s="57" customFormat="1" x14ac:dyDescent="0.25">
      <c r="A156" s="140" t="s">
        <v>222</v>
      </c>
      <c r="B156" s="141"/>
      <c r="C156" s="141"/>
      <c r="D156" s="141"/>
      <c r="E156" s="141"/>
      <c r="F156" s="141"/>
      <c r="G156" s="141"/>
      <c r="H156" s="142"/>
      <c r="I156" s="37"/>
    </row>
    <row r="157" spans="1:14" s="38" customFormat="1" x14ac:dyDescent="0.25">
      <c r="A157" s="106" t="s">
        <v>223</v>
      </c>
      <c r="B157" s="107"/>
      <c r="C157" s="107"/>
      <c r="D157" s="107"/>
      <c r="E157" s="107"/>
      <c r="F157" s="107"/>
      <c r="G157" s="107"/>
      <c r="H157" s="108"/>
      <c r="J157" s="37"/>
    </row>
    <row r="158" spans="1:14" s="38" customFormat="1" ht="15.75" customHeight="1" x14ac:dyDescent="0.25">
      <c r="A158" s="98">
        <v>1</v>
      </c>
      <c r="B158" s="99"/>
      <c r="C158" s="43" t="s">
        <v>198</v>
      </c>
      <c r="D158" s="61">
        <f>(84.35)*10.764</f>
        <v>907.94339999999988</v>
      </c>
      <c r="E158" s="62">
        <v>0</v>
      </c>
      <c r="F158" s="43">
        <f>D158*(($F$153)+1)+(IF(E158&lt;101,E158,IF(E158&lt;201,E158/2,IF(E158&lt;=301,E158/3,E158/4))))</f>
        <v>1407.3122699999999</v>
      </c>
      <c r="G158" s="109" t="str">
        <f>A157</f>
        <v>4th to 6th, 8th &amp; 9th Floor For Residential</v>
      </c>
      <c r="H158" s="110"/>
      <c r="I158" s="37">
        <f>4.25*5.2+3.55*2.3+3.2*3.8+3.05*3.5+1.35*2.75+1.2*2.45+1.57*0.9+1.13*1.05+3.47*3.85+1.5*2.75</f>
        <v>79.836499999999987</v>
      </c>
      <c r="J158" s="61">
        <v>10.763999999999999</v>
      </c>
      <c r="L158" s="118"/>
      <c r="M158" s="118"/>
      <c r="N158" s="37"/>
    </row>
    <row r="159" spans="1:14" s="38" customFormat="1" x14ac:dyDescent="0.25">
      <c r="A159" s="98">
        <f t="shared" ref="A159:A160" si="5">A158+1</f>
        <v>2</v>
      </c>
      <c r="B159" s="99"/>
      <c r="C159" s="56" t="s">
        <v>197</v>
      </c>
      <c r="D159" s="61">
        <f>(56.33)*10.764</f>
        <v>606.33611999999994</v>
      </c>
      <c r="E159" s="62">
        <v>0</v>
      </c>
      <c r="F159" s="43">
        <f>D159*(($F$153)+1)+(IF(E159&lt;101,E159,IF(E159&lt;201,E159/2,IF(E159&lt;=301,E159/3,E159/4))))</f>
        <v>939.82098599999995</v>
      </c>
      <c r="G159" s="111"/>
      <c r="H159" s="112"/>
      <c r="I159" s="37"/>
      <c r="L159" s="118"/>
      <c r="M159" s="118"/>
      <c r="N159" s="37"/>
    </row>
    <row r="160" spans="1:14" s="38" customFormat="1" x14ac:dyDescent="0.25">
      <c r="A160" s="98">
        <f t="shared" si="5"/>
        <v>3</v>
      </c>
      <c r="B160" s="99"/>
      <c r="C160" s="56" t="s">
        <v>197</v>
      </c>
      <c r="D160" s="61">
        <f>(63.18)*10.764</f>
        <v>680.06952000000001</v>
      </c>
      <c r="E160" s="62">
        <v>0</v>
      </c>
      <c r="F160" s="43">
        <f>D160*(($F$153)+1)+(IF(E160&lt;101,E160,IF(E160&lt;201,E160/2,IF(E160&lt;=301,E160/3,E160/4))))</f>
        <v>1054.1077560000001</v>
      </c>
      <c r="G160" s="111"/>
      <c r="H160" s="112"/>
      <c r="I160" s="37"/>
      <c r="L160" s="118"/>
      <c r="M160" s="118"/>
      <c r="N160" s="37"/>
    </row>
    <row r="161" spans="1:14" s="38" customFormat="1" x14ac:dyDescent="0.25">
      <c r="A161" s="98">
        <f>A160+1</f>
        <v>4</v>
      </c>
      <c r="B161" s="99"/>
      <c r="C161" s="56" t="s">
        <v>197</v>
      </c>
      <c r="D161" s="61">
        <f>(64.59)*10.764</f>
        <v>695.24675999999999</v>
      </c>
      <c r="E161" s="62">
        <v>0</v>
      </c>
      <c r="F161" s="43">
        <f>D161*(($F$153)+1)+(IF(E161&lt;101,E161,IF(E161&lt;201,E161/2,IF(E161&lt;=301,E161/3,E161/4))))</f>
        <v>1077.632478</v>
      </c>
      <c r="G161" s="113"/>
      <c r="H161" s="114"/>
      <c r="I161" s="37"/>
      <c r="J161" s="38">
        <f>17500*F161</f>
        <v>18858568.364999998</v>
      </c>
      <c r="L161" s="118"/>
      <c r="M161" s="118"/>
      <c r="N161" s="37"/>
    </row>
    <row r="162" spans="1:14" s="38" customFormat="1" x14ac:dyDescent="0.25">
      <c r="A162" s="205" t="s">
        <v>224</v>
      </c>
      <c r="B162" s="205"/>
      <c r="C162" s="205"/>
      <c r="D162" s="205"/>
      <c r="E162" s="205"/>
      <c r="F162" s="205"/>
      <c r="G162" s="205"/>
      <c r="H162" s="205"/>
      <c r="I162" s="37"/>
      <c r="L162" s="118"/>
      <c r="M162" s="118"/>
    </row>
    <row r="163" spans="1:14" s="38" customFormat="1" ht="15.75" customHeight="1" x14ac:dyDescent="0.25">
      <c r="A163" s="136">
        <v>1</v>
      </c>
      <c r="B163" s="136"/>
      <c r="C163" s="43" t="s">
        <v>225</v>
      </c>
      <c r="D163" s="61">
        <f>(75.45)*10.764</f>
        <v>812.14379999999994</v>
      </c>
      <c r="E163" s="62">
        <v>0</v>
      </c>
      <c r="F163" s="43">
        <f t="shared" ref="F163:F164" si="6">D163*(($F$153)+1)+(IF(E163&lt;101,E163,IF(E163&lt;201,E163/2,IF(E163&lt;=301,E163/3,E163/4))))</f>
        <v>1258.8228899999999</v>
      </c>
      <c r="G163" s="109" t="str">
        <f>A162</f>
        <v>7th Floor (Part Refuge Floor)</v>
      </c>
      <c r="H163" s="110"/>
      <c r="I163" s="37">
        <f>4.25*4.9+3.55*2.3+3.2*3.8+1.35*2.75+1.2*2.45+3.05*3.5+2.33*3.85+(1.13*1.05)+(1.57*0.9)</f>
        <v>70.047499999999999</v>
      </c>
      <c r="N163" s="37"/>
    </row>
    <row r="164" spans="1:14" s="38" customFormat="1" ht="15.75" customHeight="1" x14ac:dyDescent="0.25">
      <c r="A164" s="136">
        <f>A163+1</f>
        <v>2</v>
      </c>
      <c r="B164" s="136"/>
      <c r="C164" s="56" t="s">
        <v>197</v>
      </c>
      <c r="D164" s="61">
        <f>(56.33)*10.764</f>
        <v>606.33611999999994</v>
      </c>
      <c r="E164" s="62">
        <v>0</v>
      </c>
      <c r="F164" s="43">
        <f t="shared" si="6"/>
        <v>939.82098599999995</v>
      </c>
      <c r="G164" s="111"/>
      <c r="H164" s="112"/>
      <c r="I164" s="37">
        <f>4.25*4.9+2.5*2.3+3.2*3.05+3.05*3.05+1.35*2+1.2*2+1.65*0.9+1.05*1.05</f>
        <v>53.325000000000003</v>
      </c>
      <c r="N164" s="37"/>
    </row>
    <row r="165" spans="1:14" s="38" customFormat="1" ht="15.75" customHeight="1" x14ac:dyDescent="0.25">
      <c r="A165" s="136">
        <f>A164+1</f>
        <v>3</v>
      </c>
      <c r="B165" s="136"/>
      <c r="C165" s="56" t="s">
        <v>197</v>
      </c>
      <c r="D165" s="61">
        <f>(63.18)*10.764</f>
        <v>680.06952000000001</v>
      </c>
      <c r="E165" s="62">
        <v>0</v>
      </c>
      <c r="F165" s="43">
        <f>D165*(($F$153)+1)+(IF(E165&lt;101,E165,IF(E165&lt;201,E165/2,IF(E165&lt;=301,E165/3,E165/4))))</f>
        <v>1054.1077560000001</v>
      </c>
      <c r="G165" s="111"/>
      <c r="H165" s="112"/>
      <c r="I165" s="37"/>
      <c r="N165" s="37"/>
    </row>
    <row r="166" spans="1:14" s="38" customFormat="1" ht="15.75" customHeight="1" x14ac:dyDescent="0.25">
      <c r="A166" s="136">
        <f>A165+1</f>
        <v>4</v>
      </c>
      <c r="B166" s="136"/>
      <c r="C166" s="106" t="s">
        <v>199</v>
      </c>
      <c r="D166" s="107"/>
      <c r="E166" s="107"/>
      <c r="F166" s="108"/>
      <c r="G166" s="111"/>
      <c r="H166" s="112"/>
      <c r="I166" s="37"/>
      <c r="N166" s="37"/>
    </row>
    <row r="167" spans="1:14" s="38" customFormat="1" ht="15.75" customHeight="1" x14ac:dyDescent="0.25">
      <c r="A167" s="106" t="s">
        <v>200</v>
      </c>
      <c r="B167" s="107"/>
      <c r="C167" s="107"/>
      <c r="D167" s="107"/>
      <c r="E167" s="107"/>
      <c r="F167" s="107"/>
      <c r="G167" s="107"/>
      <c r="H167" s="108"/>
      <c r="I167" s="37"/>
    </row>
    <row r="168" spans="1:14" s="38" customFormat="1" ht="15.75" customHeight="1" x14ac:dyDescent="0.25">
      <c r="A168" s="98">
        <v>1</v>
      </c>
      <c r="B168" s="99"/>
      <c r="C168" s="43" t="s">
        <v>198</v>
      </c>
      <c r="D168" s="61">
        <f>(84.35)*10.764</f>
        <v>907.94339999999988</v>
      </c>
      <c r="E168" s="62">
        <v>0</v>
      </c>
      <c r="F168" s="43">
        <f>D168*(($F$153)+1)+(IF(E168&lt;101,E168,IF(E168&lt;201,E168/2,IF(E168&lt;=301,E168/3,E168/4))))</f>
        <v>1407.3122699999999</v>
      </c>
      <c r="G168" s="109" t="str">
        <f>A167</f>
        <v>10th To 13th Floor</v>
      </c>
      <c r="H168" s="110"/>
      <c r="I168" s="37">
        <f>4.25*5.2+3.47*3.85+3.05*3.5+3.2*3.8+3.55*2.3+1.35*2.75+1.2*2.45+(1.57*0.9)+(1.13*1.05)+1.5*2.75</f>
        <v>79.836499999999987</v>
      </c>
    </row>
    <row r="169" spans="1:14" s="38" customFormat="1" ht="15.75" customHeight="1" x14ac:dyDescent="0.25">
      <c r="A169" s="98">
        <v>2</v>
      </c>
      <c r="B169" s="99"/>
      <c r="C169" s="43" t="s">
        <v>197</v>
      </c>
      <c r="D169" s="61">
        <f>(65.1)*10.764</f>
        <v>700.73639999999989</v>
      </c>
      <c r="E169" s="62">
        <v>0</v>
      </c>
      <c r="F169" s="43">
        <f>D169*(($F$153)+1)+(IF(E169&lt;101,E169,IF(E169&lt;201,E169/2,IF(E169&lt;=301,E169/3,E169/4))))</f>
        <v>1086.1414199999999</v>
      </c>
      <c r="G169" s="111"/>
      <c r="H169" s="112"/>
      <c r="I169" s="37">
        <f>4.25*4.9+3.25*2.3+3.05*3.8+3.2*3.8+1.35*2.75+1.2*2.75+(1.35*2.75)+(1.2*2.75)</f>
        <v>66.074999999999989</v>
      </c>
    </row>
    <row r="170" spans="1:14" s="38" customFormat="1" ht="15.75" customHeight="1" x14ac:dyDescent="0.25">
      <c r="A170" s="98">
        <v>3</v>
      </c>
      <c r="B170" s="99"/>
      <c r="C170" s="56" t="s">
        <v>197</v>
      </c>
      <c r="D170" s="61">
        <f>(66.49)*10.764</f>
        <v>715.69835999999987</v>
      </c>
      <c r="E170" s="62">
        <v>0</v>
      </c>
      <c r="F170" s="43">
        <f>D170*(($F$153)+1)+(IF(E170&lt;101,E170,IF(E170&lt;201,E170/2,IF(E170&lt;=301,E170/3,E170/4))))</f>
        <v>1109.3324579999999</v>
      </c>
      <c r="G170" s="111"/>
      <c r="H170" s="112"/>
      <c r="I170" s="37">
        <f>4.1*4.9+2.9*3.95+3.05*3.95+3.35*2.3+1.2*2.75+1.35*1.95+(1.45*0.9)+(1.05*1.05)</f>
        <v>59.637499999999996</v>
      </c>
    </row>
    <row r="171" spans="1:14" s="38" customFormat="1" ht="15.75" customHeight="1" x14ac:dyDescent="0.25">
      <c r="A171" s="98">
        <v>4</v>
      </c>
      <c r="B171" s="99"/>
      <c r="C171" s="56" t="s">
        <v>197</v>
      </c>
      <c r="D171" s="61">
        <f>(67.9)*10.764</f>
        <v>730.87559999999996</v>
      </c>
      <c r="E171" s="62">
        <v>0</v>
      </c>
      <c r="F171" s="43">
        <f>D171*(($F$153)+1)+(IF(E171&lt;101,E171,IF(E171&lt;201,E171/2,IF(E171&lt;=301,E171/3,E171/4))))</f>
        <v>1132.85718</v>
      </c>
      <c r="G171" s="113"/>
      <c r="H171" s="114"/>
      <c r="I171" s="37">
        <f>4.1*4.9+2.9*3.95+3.2*3.95+3.35*2.3+1.5*2.75+1.35*1.95+(1.05*1.05)+(1.45*0.9)</f>
        <v>61.055</v>
      </c>
    </row>
    <row r="172" spans="1:14" s="38" customFormat="1" x14ac:dyDescent="0.25">
      <c r="A172" s="106" t="s">
        <v>226</v>
      </c>
      <c r="B172" s="107"/>
      <c r="C172" s="107"/>
      <c r="D172" s="107"/>
      <c r="E172" s="107"/>
      <c r="F172" s="107"/>
      <c r="G172" s="107"/>
      <c r="H172" s="108"/>
      <c r="I172" s="37"/>
    </row>
    <row r="173" spans="1:14" s="38" customFormat="1" x14ac:dyDescent="0.25">
      <c r="A173" s="98">
        <v>1</v>
      </c>
      <c r="B173" s="99"/>
      <c r="C173" s="43" t="s">
        <v>198</v>
      </c>
      <c r="D173" s="61">
        <f>(85.44)*10.764</f>
        <v>919.67615999999987</v>
      </c>
      <c r="E173" s="43">
        <v>0</v>
      </c>
      <c r="F173" s="43">
        <f>D173*(($F$153)+1)+(IF(E173&lt;101,E173,IF(E173&lt;201,E173/2,IF(E173&lt;=301,E173/3,E173/4))))</f>
        <v>1425.4980479999999</v>
      </c>
      <c r="G173" s="109" t="str">
        <f>A172</f>
        <v>14th Floor (Part Terace Area)</v>
      </c>
      <c r="H173" s="110"/>
      <c r="I173" s="37">
        <f>4.25*5.2+3.47*3.85+3.05*3.85+1.2*2.45+1.35*2.75+3.2*3.8+3.55*2.3+1.49*2.75+(1.13*1.05)+(1.57*0.9)</f>
        <v>80.876499999999979</v>
      </c>
    </row>
    <row r="174" spans="1:14" s="38" customFormat="1" x14ac:dyDescent="0.25">
      <c r="A174" s="98">
        <v>2</v>
      </c>
      <c r="B174" s="99"/>
      <c r="C174" s="43" t="s">
        <v>197</v>
      </c>
      <c r="D174" s="61">
        <f>(65.1)*10.764</f>
        <v>700.73639999999989</v>
      </c>
      <c r="E174" s="43">
        <v>0</v>
      </c>
      <c r="F174" s="43">
        <f>D174*(($F$153)+1)+(IF(E174&lt;101,E174,IF(E174&lt;201,E174/2,IF(E174&lt;=301,E174/3,E174/4))))</f>
        <v>1086.1414199999999</v>
      </c>
      <c r="G174" s="111"/>
      <c r="H174" s="112"/>
      <c r="I174" s="37"/>
    </row>
    <row r="175" spans="1:14" s="38" customFormat="1" x14ac:dyDescent="0.25">
      <c r="A175" s="98">
        <v>3</v>
      </c>
      <c r="B175" s="99"/>
      <c r="C175" s="43" t="s">
        <v>197</v>
      </c>
      <c r="D175" s="61">
        <f>(66.49)*10.764</f>
        <v>715.69835999999987</v>
      </c>
      <c r="E175" s="43">
        <v>0</v>
      </c>
      <c r="F175" s="43">
        <f>D175*(($F$153)+1)+(IF(E175&lt;101,E175,IF(E175&lt;201,E175/2,IF(E175&lt;=301,E175/3,E175/4))))</f>
        <v>1109.3324579999999</v>
      </c>
      <c r="G175" s="111"/>
      <c r="H175" s="112"/>
      <c r="I175" s="61">
        <v>10.763999999999999</v>
      </c>
    </row>
    <row r="176" spans="1:14" s="38" customFormat="1" ht="15.75" customHeight="1" x14ac:dyDescent="0.25">
      <c r="A176" s="98">
        <v>4</v>
      </c>
      <c r="B176" s="99"/>
      <c r="C176" s="98" t="s">
        <v>203</v>
      </c>
      <c r="D176" s="240"/>
      <c r="E176" s="240"/>
      <c r="F176" s="99"/>
      <c r="G176" s="113"/>
      <c r="H176" s="114"/>
      <c r="I176" s="37"/>
    </row>
    <row r="177" spans="1:10" s="58" customFormat="1" hidden="1" x14ac:dyDescent="0.25">
      <c r="A177" s="241" t="s">
        <v>195</v>
      </c>
      <c r="B177" s="242"/>
      <c r="C177" s="242"/>
      <c r="D177" s="242"/>
      <c r="E177" s="242"/>
      <c r="F177" s="242"/>
      <c r="G177" s="242"/>
      <c r="H177" s="243"/>
      <c r="I177" s="37"/>
    </row>
    <row r="178" spans="1:10" s="58" customFormat="1" ht="36" hidden="1" customHeight="1" x14ac:dyDescent="0.25">
      <c r="A178" s="106" t="s">
        <v>227</v>
      </c>
      <c r="B178" s="107"/>
      <c r="C178" s="107"/>
      <c r="D178" s="107"/>
      <c r="E178" s="107"/>
      <c r="F178" s="107"/>
      <c r="G178" s="107"/>
      <c r="H178" s="108"/>
      <c r="I178" s="37"/>
    </row>
    <row r="179" spans="1:10" s="38" customFormat="1" hidden="1" x14ac:dyDescent="0.25">
      <c r="A179" s="106" t="s">
        <v>228</v>
      </c>
      <c r="B179" s="107"/>
      <c r="C179" s="107"/>
      <c r="D179" s="107"/>
      <c r="E179" s="107"/>
      <c r="F179" s="107"/>
      <c r="G179" s="107"/>
      <c r="H179" s="108"/>
      <c r="I179" s="37"/>
    </row>
    <row r="180" spans="1:10" s="58" customFormat="1" hidden="1" x14ac:dyDescent="0.25">
      <c r="A180" s="106" t="s">
        <v>230</v>
      </c>
      <c r="B180" s="107"/>
      <c r="C180" s="107"/>
      <c r="D180" s="107"/>
      <c r="E180" s="107"/>
      <c r="F180" s="107"/>
      <c r="G180" s="107"/>
      <c r="H180" s="108"/>
      <c r="I180" s="37"/>
    </row>
    <row r="181" spans="1:10" s="64" customFormat="1" hidden="1" x14ac:dyDescent="0.25">
      <c r="A181" s="106" t="s">
        <v>231</v>
      </c>
      <c r="B181" s="107"/>
      <c r="C181" s="107"/>
      <c r="D181" s="107"/>
      <c r="E181" s="107"/>
      <c r="F181" s="107"/>
      <c r="G181" s="107"/>
      <c r="H181" s="108"/>
      <c r="I181" s="37"/>
    </row>
    <row r="182" spans="1:10" s="64" customFormat="1" ht="15.75" hidden="1" customHeight="1" x14ac:dyDescent="0.25">
      <c r="A182" s="98">
        <v>1</v>
      </c>
      <c r="B182" s="99"/>
      <c r="C182" s="63" t="s">
        <v>232</v>
      </c>
      <c r="D182" s="61">
        <f>(23.33)*10.764</f>
        <v>251.12411999999998</v>
      </c>
      <c r="E182" s="61">
        <v>0</v>
      </c>
      <c r="F182" s="63">
        <f>D182*(($F$153)+1)+(IF(E182&lt;101,E182,IF(E182&lt;201,E182/2,IF(E182&lt;=301,E182/3,E182/4))))</f>
        <v>389.24238599999995</v>
      </c>
      <c r="G182" s="106" t="str">
        <f>A181</f>
        <v>3rd Podium Floor for Residential &amp; Parking</v>
      </c>
      <c r="H182" s="108"/>
      <c r="I182" s="37">
        <f>2.75*4.2+2.15*3.2+2.75*3.2+2*1.2+1.85*1.2+2*1.2</f>
        <v>34.25</v>
      </c>
    </row>
    <row r="183" spans="1:10" s="58" customFormat="1" hidden="1" x14ac:dyDescent="0.25">
      <c r="A183" s="106" t="s">
        <v>233</v>
      </c>
      <c r="B183" s="107"/>
      <c r="C183" s="107"/>
      <c r="D183" s="107"/>
      <c r="E183" s="107"/>
      <c r="F183" s="107"/>
      <c r="G183" s="107"/>
      <c r="H183" s="108"/>
      <c r="I183" s="37"/>
    </row>
    <row r="184" spans="1:10" s="38" customFormat="1" ht="15.75" hidden="1" customHeight="1" x14ac:dyDescent="0.25">
      <c r="A184" s="98">
        <v>1</v>
      </c>
      <c r="B184" s="99"/>
      <c r="C184" s="43" t="s">
        <v>201</v>
      </c>
      <c r="D184" s="61">
        <f>(33.71)*10.764</f>
        <v>362.85444000000001</v>
      </c>
      <c r="E184" s="61">
        <v>0</v>
      </c>
      <c r="F184" s="43">
        <f>D184*(($F$153)+1)+(IF(E184&lt;101,E184,IF(E184&lt;201,E184/2,IF(E184&lt;=301,E184/3,E184/4))))</f>
        <v>562.42438200000004</v>
      </c>
      <c r="G184" s="109" t="str">
        <f>A183</f>
        <v>4th To 6th Floor</v>
      </c>
      <c r="H184" s="110"/>
      <c r="I184" s="37">
        <f>2.75*4.2+2.15*3.2+2.75*3.2+2*1.2+1.85*1.2+2*1.2</f>
        <v>34.25</v>
      </c>
    </row>
    <row r="185" spans="1:10" s="38" customFormat="1" ht="15.75" hidden="1" customHeight="1" x14ac:dyDescent="0.25">
      <c r="A185" s="98">
        <v>2</v>
      </c>
      <c r="B185" s="99"/>
      <c r="C185" s="43" t="s">
        <v>197</v>
      </c>
      <c r="D185" s="61">
        <f>(44.97)*10.764</f>
        <v>484.05707999999998</v>
      </c>
      <c r="E185" s="61">
        <v>0</v>
      </c>
      <c r="F185" s="43">
        <f>D185*(($F$153)+1)+(IF(E185&lt;101,E185,IF(E185&lt;201,E185/2,IF(E185&lt;=301,E185/3,E185/4))))</f>
        <v>750.28847399999995</v>
      </c>
      <c r="G185" s="111"/>
      <c r="H185" s="112"/>
      <c r="I185" s="37">
        <f>3.77*2.9+2.15*3.03+2.4*3.03+3.45*2.9+1.2*1.98+1.17*1.98+2.52*0.9</f>
        <v>41.685099999999998</v>
      </c>
      <c r="J185" s="61">
        <v>10.763999999999999</v>
      </c>
    </row>
    <row r="186" spans="1:10" s="38" customFormat="1" ht="15.75" hidden="1" customHeight="1" x14ac:dyDescent="0.25">
      <c r="A186" s="98">
        <v>3</v>
      </c>
      <c r="B186" s="99"/>
      <c r="C186" s="43" t="s">
        <v>201</v>
      </c>
      <c r="D186" s="61">
        <f>(33.7)*10.764</f>
        <v>362.74680000000001</v>
      </c>
      <c r="E186" s="61">
        <v>0</v>
      </c>
      <c r="F186" s="43">
        <f>D186*(($F$153)+1)+(IF(E186&lt;101,E186,IF(E186&lt;201,E186/2,IF(E186&lt;=301,E186/3,E186/4))))</f>
        <v>562.25754000000006</v>
      </c>
      <c r="G186" s="113"/>
      <c r="H186" s="114"/>
      <c r="I186" s="37"/>
    </row>
    <row r="187" spans="1:10" s="58" customFormat="1" ht="15.75" hidden="1" customHeight="1" x14ac:dyDescent="0.25">
      <c r="A187" s="106" t="s">
        <v>202</v>
      </c>
      <c r="B187" s="107"/>
      <c r="C187" s="107"/>
      <c r="D187" s="107"/>
      <c r="E187" s="107"/>
      <c r="F187" s="107"/>
      <c r="G187" s="107"/>
      <c r="H187" s="108"/>
      <c r="I187" s="37"/>
    </row>
    <row r="188" spans="1:10" s="58" customFormat="1" ht="15.75" hidden="1" customHeight="1" x14ac:dyDescent="0.25">
      <c r="A188" s="98">
        <v>1</v>
      </c>
      <c r="B188" s="99"/>
      <c r="C188" s="59" t="s">
        <v>201</v>
      </c>
      <c r="D188" s="61">
        <f>(33.71)*10.764</f>
        <v>362.85444000000001</v>
      </c>
      <c r="E188" s="61">
        <v>0</v>
      </c>
      <c r="F188" s="59">
        <f>D188*(($F$153)+1)+(IF(E188&lt;101,E188,IF(E188&lt;201,E188/2,IF(E188&lt;=301,E188/3,E188/4))))</f>
        <v>562.42438200000004</v>
      </c>
      <c r="G188" s="136" t="str">
        <f>A187</f>
        <v xml:space="preserve">7th Floor </v>
      </c>
      <c r="H188" s="136"/>
      <c r="I188" s="37">
        <f>2.75*4.2+2.15*3.2+2.75*3.2+1.85*1.2+2*1.2</f>
        <v>31.849999999999998</v>
      </c>
    </row>
    <row r="189" spans="1:10" s="58" customFormat="1" ht="15.75" hidden="1" customHeight="1" x14ac:dyDescent="0.25">
      <c r="A189" s="98">
        <v>2</v>
      </c>
      <c r="B189" s="99"/>
      <c r="C189" s="59" t="s">
        <v>197</v>
      </c>
      <c r="D189" s="61">
        <f>(44.97)*10.764</f>
        <v>484.05707999999998</v>
      </c>
      <c r="E189" s="61">
        <v>0</v>
      </c>
      <c r="F189" s="59">
        <f>D189*(($F$153)+1)+(IF(E189&lt;101,E189,IF(E189&lt;201,E189/2,IF(E189&lt;=301,E189/3,E189/4))))</f>
        <v>750.28847399999995</v>
      </c>
      <c r="G189" s="136" t="str">
        <f>A187</f>
        <v xml:space="preserve">7th Floor </v>
      </c>
      <c r="H189" s="98"/>
      <c r="I189" s="60">
        <f>3.77*2.9+2.15*3.03+2.4*3.03+3.45*2.9+1.2*1.98+1.17*1.98+(2.52*0.9)</f>
        <v>41.685099999999998</v>
      </c>
    </row>
    <row r="190" spans="1:10" s="58" customFormat="1" ht="15.75" hidden="1" customHeight="1" x14ac:dyDescent="0.25">
      <c r="A190" s="98">
        <v>3</v>
      </c>
      <c r="B190" s="99"/>
      <c r="C190" s="59" t="s">
        <v>201</v>
      </c>
      <c r="D190" s="61">
        <f>(33.7)*10.764</f>
        <v>362.74680000000001</v>
      </c>
      <c r="E190" s="61">
        <v>0</v>
      </c>
      <c r="F190" s="59">
        <f>D190*(($F$153)+1)+(IF(E190&lt;101,E190,IF(E190&lt;201,E190/2,IF(E190&lt;=301,E190/3,E190/4))))</f>
        <v>562.25754000000006</v>
      </c>
      <c r="G190" s="136" t="str">
        <f>A187</f>
        <v xml:space="preserve">7th Floor </v>
      </c>
      <c r="H190" s="136"/>
      <c r="I190" s="37"/>
    </row>
    <row r="191" spans="1:10" s="58" customFormat="1" ht="15.75" hidden="1" customHeight="1" x14ac:dyDescent="0.25">
      <c r="A191" s="106" t="s">
        <v>229</v>
      </c>
      <c r="B191" s="107"/>
      <c r="C191" s="107"/>
      <c r="D191" s="107"/>
      <c r="E191" s="107"/>
      <c r="F191" s="107"/>
      <c r="G191" s="107"/>
      <c r="H191" s="108"/>
      <c r="I191" s="37"/>
    </row>
    <row r="192" spans="1:10" s="58" customFormat="1" ht="15.75" hidden="1" customHeight="1" x14ac:dyDescent="0.25">
      <c r="A192" s="98">
        <v>1</v>
      </c>
      <c r="B192" s="99"/>
      <c r="C192" s="98" t="s">
        <v>203</v>
      </c>
      <c r="D192" s="240"/>
      <c r="E192" s="240"/>
      <c r="F192" s="99"/>
      <c r="G192" s="98" t="str">
        <f>C192</f>
        <v>Terrace Area</v>
      </c>
      <c r="H192" s="99"/>
      <c r="I192" s="37"/>
    </row>
    <row r="193" spans="1:9" s="58" customFormat="1" ht="15.75" hidden="1" customHeight="1" x14ac:dyDescent="0.25">
      <c r="A193" s="98">
        <v>2</v>
      </c>
      <c r="B193" s="99"/>
      <c r="C193" s="59" t="s">
        <v>197</v>
      </c>
      <c r="D193" s="61">
        <f>(44.97)*10.764</f>
        <v>484.05707999999998</v>
      </c>
      <c r="E193" s="61">
        <v>0</v>
      </c>
      <c r="F193" s="59">
        <f>D193*(($F$153)+1)+(IF(E193&lt;101,E193,IF(E193&lt;201,E193/2,IF(E193&lt;=301,E193/3,E193/4))))</f>
        <v>750.28847399999995</v>
      </c>
      <c r="G193" s="98" t="s">
        <v>204</v>
      </c>
      <c r="H193" s="99"/>
      <c r="I193" s="37"/>
    </row>
    <row r="194" spans="1:9" s="58" customFormat="1" ht="15.75" hidden="1" customHeight="1" x14ac:dyDescent="0.25">
      <c r="A194" s="98">
        <v>3</v>
      </c>
      <c r="B194" s="99"/>
      <c r="C194" s="98" t="s">
        <v>203</v>
      </c>
      <c r="D194" s="240"/>
      <c r="E194" s="240"/>
      <c r="F194" s="99"/>
      <c r="G194" s="98" t="str">
        <f>C194</f>
        <v>Terrace Area</v>
      </c>
      <c r="H194" s="99"/>
      <c r="I194" s="37"/>
    </row>
    <row r="195" spans="1:9" s="36" customFormat="1" x14ac:dyDescent="0.25">
      <c r="A195" s="133" t="s">
        <v>69</v>
      </c>
      <c r="B195" s="133"/>
      <c r="C195" s="133"/>
      <c r="D195" s="133"/>
      <c r="E195" s="133"/>
      <c r="F195" s="133"/>
      <c r="G195" s="133"/>
      <c r="H195" s="133"/>
    </row>
    <row r="196" spans="1:9" s="36" customFormat="1" x14ac:dyDescent="0.25">
      <c r="A196" s="48" t="s">
        <v>155</v>
      </c>
      <c r="B196" s="137" t="s">
        <v>244</v>
      </c>
      <c r="C196" s="138"/>
      <c r="D196" s="138"/>
      <c r="E196" s="138"/>
      <c r="F196" s="138"/>
      <c r="G196" s="138"/>
      <c r="H196" s="139"/>
    </row>
    <row r="197" spans="1:9" s="36" customFormat="1" x14ac:dyDescent="0.25">
      <c r="A197" s="48" t="s">
        <v>155</v>
      </c>
      <c r="B197" s="137" t="str">
        <f>(IF(F152="Saleable area Loading :","We have considered Saleable area of Flats as per our Calculation.","We considered Saleable area of Flat as per Builder area Sheet."))</f>
        <v>We have considered Saleable area of Flats as per our Calculation.</v>
      </c>
      <c r="C197" s="138"/>
      <c r="D197" s="138"/>
      <c r="E197" s="138"/>
      <c r="F197" s="138"/>
      <c r="G197" s="138"/>
      <c r="H197" s="139"/>
    </row>
    <row r="198" spans="1:9" s="36" customFormat="1" x14ac:dyDescent="0.25">
      <c r="A198" s="48" t="s">
        <v>155</v>
      </c>
      <c r="B198" s="137" t="str">
        <f>(IF(F139="Saleable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8" s="138"/>
      <c r="D198" s="138"/>
      <c r="E198" s="138"/>
      <c r="F198" s="138"/>
      <c r="G198" s="138"/>
      <c r="H198" s="139"/>
    </row>
    <row r="199" spans="1:9" s="36" customFormat="1" x14ac:dyDescent="0.25">
      <c r="A199" s="48" t="s">
        <v>155</v>
      </c>
      <c r="B199" s="76" t="s">
        <v>125</v>
      </c>
      <c r="C199" s="77"/>
      <c r="D199" s="77"/>
      <c r="E199" s="77"/>
      <c r="F199" s="77"/>
      <c r="G199" s="77"/>
      <c r="H199" s="78"/>
    </row>
    <row r="200" spans="1:9" s="36" customFormat="1" x14ac:dyDescent="0.25">
      <c r="A200" s="48" t="s">
        <v>155</v>
      </c>
      <c r="B200" s="76" t="s">
        <v>207</v>
      </c>
      <c r="C200" s="77"/>
      <c r="D200" s="77"/>
      <c r="E200" s="77"/>
      <c r="F200" s="77"/>
      <c r="G200" s="77"/>
      <c r="H200" s="78"/>
    </row>
    <row r="201" spans="1:9" s="36" customFormat="1" x14ac:dyDescent="0.25">
      <c r="A201" s="48" t="s">
        <v>155</v>
      </c>
      <c r="B201" s="76" t="s">
        <v>154</v>
      </c>
      <c r="C201" s="77"/>
      <c r="D201" s="77"/>
      <c r="E201" s="77"/>
      <c r="F201" s="77"/>
      <c r="G201" s="77"/>
      <c r="H201" s="78"/>
    </row>
    <row r="202" spans="1:9" s="36" customFormat="1" x14ac:dyDescent="0.25">
      <c r="A202" s="48" t="s">
        <v>155</v>
      </c>
      <c r="B202" s="76" t="s">
        <v>126</v>
      </c>
      <c r="C202" s="77"/>
      <c r="D202" s="77"/>
      <c r="E202" s="77"/>
      <c r="F202" s="77"/>
      <c r="G202" s="77"/>
      <c r="H202" s="78"/>
    </row>
    <row r="203" spans="1:9" s="36" customFormat="1" ht="34.5" customHeight="1" x14ac:dyDescent="0.25">
      <c r="A203" s="48" t="s">
        <v>155</v>
      </c>
      <c r="B203" s="76" t="s">
        <v>156</v>
      </c>
      <c r="C203" s="77"/>
      <c r="D203" s="77"/>
      <c r="E203" s="77"/>
      <c r="F203" s="77"/>
      <c r="G203" s="77"/>
      <c r="H203" s="78"/>
    </row>
    <row r="204" spans="1:9" s="36" customFormat="1" x14ac:dyDescent="0.25">
      <c r="A204" s="48" t="s">
        <v>155</v>
      </c>
      <c r="B204" s="76" t="s">
        <v>127</v>
      </c>
      <c r="C204" s="77"/>
      <c r="D204" s="77"/>
      <c r="E204" s="77"/>
      <c r="F204" s="77"/>
      <c r="G204" s="77"/>
      <c r="H204" s="78"/>
    </row>
    <row r="205" spans="1:9" s="36" customFormat="1" ht="33" customHeight="1" x14ac:dyDescent="0.25">
      <c r="A205" s="73" t="s">
        <v>155</v>
      </c>
      <c r="B205" s="76" t="s">
        <v>238</v>
      </c>
      <c r="C205" s="77"/>
      <c r="D205" s="77"/>
      <c r="E205" s="77"/>
      <c r="F205" s="77"/>
      <c r="G205" s="77"/>
      <c r="H205" s="78"/>
    </row>
    <row r="206" spans="1:9" s="36" customFormat="1" ht="33" customHeight="1" x14ac:dyDescent="0.25">
      <c r="A206" s="74" t="s">
        <v>155</v>
      </c>
      <c r="B206" s="76" t="s">
        <v>239</v>
      </c>
      <c r="C206" s="77"/>
      <c r="D206" s="77"/>
      <c r="E206" s="77"/>
      <c r="F206" s="77"/>
      <c r="G206" s="77"/>
      <c r="H206" s="78"/>
    </row>
    <row r="207" spans="1:9" s="36" customFormat="1" x14ac:dyDescent="0.25">
      <c r="A207" s="73" t="s">
        <v>155</v>
      </c>
      <c r="B207" s="76" t="s">
        <v>251</v>
      </c>
      <c r="C207" s="77"/>
      <c r="D207" s="77"/>
      <c r="E207" s="77"/>
      <c r="F207" s="77"/>
      <c r="G207" s="77"/>
      <c r="H207" s="78"/>
    </row>
    <row r="208" spans="1:9" s="36" customFormat="1" x14ac:dyDescent="0.25">
      <c r="A208" s="75" t="s">
        <v>155</v>
      </c>
      <c r="B208" s="76" t="s">
        <v>248</v>
      </c>
      <c r="C208" s="77"/>
      <c r="D208" s="77"/>
      <c r="E208" s="77"/>
      <c r="F208" s="77"/>
      <c r="G208" s="77"/>
      <c r="H208" s="78"/>
    </row>
    <row r="209" spans="1:8" x14ac:dyDescent="0.25">
      <c r="A209" s="207" t="s">
        <v>62</v>
      </c>
      <c r="B209" s="207"/>
      <c r="C209" s="207"/>
      <c r="D209" s="207"/>
      <c r="E209" s="207"/>
      <c r="F209" s="207"/>
      <c r="G209" s="207"/>
      <c r="H209" s="207"/>
    </row>
    <row r="210" spans="1:8" x14ac:dyDescent="0.25">
      <c r="A210" s="95" t="s">
        <v>63</v>
      </c>
      <c r="B210" s="95"/>
      <c r="C210" s="95"/>
      <c r="D210" s="95"/>
      <c r="E210" s="95"/>
      <c r="F210" s="95"/>
      <c r="G210" s="95"/>
      <c r="H210" s="95"/>
    </row>
    <row r="211" spans="1:8" ht="15.75" customHeight="1" x14ac:dyDescent="0.25">
      <c r="A211" s="237" t="s">
        <v>64</v>
      </c>
      <c r="B211" s="237"/>
      <c r="C211" s="237"/>
      <c r="D211" s="237"/>
      <c r="E211" s="237"/>
      <c r="F211" s="237"/>
      <c r="G211" s="237"/>
      <c r="H211" s="237"/>
    </row>
    <row r="212" spans="1:8" x14ac:dyDescent="0.25">
      <c r="A212" s="95" t="s">
        <v>65</v>
      </c>
      <c r="B212" s="95"/>
      <c r="C212" s="95"/>
      <c r="D212" s="95"/>
      <c r="E212" s="95"/>
      <c r="F212" s="95"/>
      <c r="G212" s="95"/>
      <c r="H212" s="95"/>
    </row>
    <row r="213" spans="1:8" x14ac:dyDescent="0.25">
      <c r="A213" s="95" t="s">
        <v>66</v>
      </c>
      <c r="B213" s="95"/>
      <c r="C213" s="95"/>
      <c r="D213" s="95"/>
      <c r="E213" s="95"/>
      <c r="F213" s="95"/>
      <c r="G213" s="95"/>
      <c r="H213" s="95"/>
    </row>
    <row r="214" spans="1:8" x14ac:dyDescent="0.25">
      <c r="A214" s="95" t="s">
        <v>128</v>
      </c>
      <c r="B214" s="95"/>
      <c r="C214" s="95"/>
      <c r="D214" s="95"/>
      <c r="E214" s="95"/>
      <c r="F214" s="95"/>
      <c r="G214" s="95"/>
      <c r="H214" s="95"/>
    </row>
    <row r="215" spans="1:8" x14ac:dyDescent="0.25">
      <c r="A215" s="176" t="s">
        <v>129</v>
      </c>
      <c r="B215" s="176"/>
      <c r="C215" s="176"/>
      <c r="D215" s="176"/>
      <c r="E215" s="176"/>
      <c r="F215" s="176"/>
      <c r="G215" s="176"/>
      <c r="H215" s="176"/>
    </row>
    <row r="216" spans="1:8" x14ac:dyDescent="0.25">
      <c r="A216" s="204" t="s">
        <v>79</v>
      </c>
      <c r="B216" s="204"/>
      <c r="C216" s="204" t="s">
        <v>206</v>
      </c>
      <c r="D216" s="204"/>
      <c r="E216" s="204" t="s">
        <v>107</v>
      </c>
      <c r="F216" s="204"/>
      <c r="G216" s="204" t="s">
        <v>255</v>
      </c>
      <c r="H216" s="204"/>
    </row>
    <row r="217" spans="1:8" x14ac:dyDescent="0.25">
      <c r="A217" s="203" t="s">
        <v>81</v>
      </c>
      <c r="B217" s="203"/>
      <c r="C217" s="203"/>
      <c r="D217" s="203"/>
      <c r="E217" s="203"/>
      <c r="F217" s="203"/>
      <c r="G217" s="203"/>
      <c r="H217" s="203"/>
    </row>
    <row r="218" spans="1:8" x14ac:dyDescent="0.25">
      <c r="A218" s="203"/>
      <c r="B218" s="203"/>
      <c r="C218" s="203"/>
      <c r="D218" s="203"/>
      <c r="E218" s="203"/>
      <c r="F218" s="203"/>
      <c r="G218" s="203"/>
      <c r="H218" s="203"/>
    </row>
    <row r="219" spans="1:8" x14ac:dyDescent="0.25">
      <c r="A219" s="203"/>
      <c r="B219" s="203"/>
      <c r="C219" s="203"/>
      <c r="D219" s="203"/>
      <c r="E219" s="203"/>
      <c r="F219" s="203"/>
      <c r="G219" s="203"/>
      <c r="H219" s="203"/>
    </row>
    <row r="220" spans="1:8" x14ac:dyDescent="0.25">
      <c r="A220" s="203"/>
      <c r="B220" s="203"/>
      <c r="C220" s="203"/>
      <c r="D220" s="203"/>
      <c r="E220" s="203"/>
      <c r="F220" s="203"/>
      <c r="G220" s="203"/>
      <c r="H220" s="203"/>
    </row>
    <row r="221" spans="1:8" x14ac:dyDescent="0.25">
      <c r="A221" s="39" t="s">
        <v>67</v>
      </c>
      <c r="B221" s="40"/>
      <c r="C221" s="40"/>
      <c r="D221" s="39" t="str">
        <f>E8</f>
        <v>Metro Millennium</v>
      </c>
      <c r="F221" s="40"/>
      <c r="G221" s="40"/>
      <c r="H221" s="40"/>
    </row>
    <row r="222" spans="1:8" x14ac:dyDescent="0.25">
      <c r="A222" s="40"/>
      <c r="B222" s="40"/>
      <c r="C222" s="40"/>
      <c r="D222" s="40"/>
      <c r="E222" s="40"/>
      <c r="F222" s="40"/>
      <c r="G222" s="40"/>
      <c r="H222" s="40"/>
    </row>
    <row r="223" spans="1:8" x14ac:dyDescent="0.25">
      <c r="A223" s="40"/>
      <c r="B223" s="40"/>
      <c r="C223" s="40"/>
      <c r="D223" s="40"/>
      <c r="E223" s="40"/>
      <c r="F223" s="40"/>
      <c r="G223" s="40"/>
      <c r="H223" s="40"/>
    </row>
    <row r="224" spans="1:8" ht="15" customHeight="1" x14ac:dyDescent="0.25"/>
    <row r="262" spans="1:1" x14ac:dyDescent="0.25">
      <c r="A262" s="42" t="s">
        <v>167</v>
      </c>
    </row>
    <row r="306" spans="1:1" x14ac:dyDescent="0.25">
      <c r="A306" s="42" t="s">
        <v>68</v>
      </c>
    </row>
  </sheetData>
  <mergeCells count="390">
    <mergeCell ref="B206:H206"/>
    <mergeCell ref="C50:E50"/>
    <mergeCell ref="G50:H50"/>
    <mergeCell ref="C51:E51"/>
    <mergeCell ref="G51:H51"/>
    <mergeCell ref="A52:B53"/>
    <mergeCell ref="C52:E52"/>
    <mergeCell ref="G52:H52"/>
    <mergeCell ref="C53:E53"/>
    <mergeCell ref="G53:H53"/>
    <mergeCell ref="A193:B193"/>
    <mergeCell ref="A194:B194"/>
    <mergeCell ref="C192:F192"/>
    <mergeCell ref="C194:F194"/>
    <mergeCell ref="G192:H192"/>
    <mergeCell ref="G194:H194"/>
    <mergeCell ref="G193:H193"/>
    <mergeCell ref="G189:H189"/>
    <mergeCell ref="G190:H190"/>
    <mergeCell ref="B204:H204"/>
    <mergeCell ref="B202:H202"/>
    <mergeCell ref="B198:H198"/>
    <mergeCell ref="F124:H124"/>
    <mergeCell ref="F122:H122"/>
    <mergeCell ref="L150:M150"/>
    <mergeCell ref="G143:H150"/>
    <mergeCell ref="L151:M151"/>
    <mergeCell ref="A151:H151"/>
    <mergeCell ref="C176:F176"/>
    <mergeCell ref="A177:H177"/>
    <mergeCell ref="G168:H171"/>
    <mergeCell ref="L147:M147"/>
    <mergeCell ref="A148:B148"/>
    <mergeCell ref="L148:M148"/>
    <mergeCell ref="A149:B149"/>
    <mergeCell ref="L149:M149"/>
    <mergeCell ref="A171:B171"/>
    <mergeCell ref="L158:M158"/>
    <mergeCell ref="L159:M159"/>
    <mergeCell ref="A160:B160"/>
    <mergeCell ref="L160:M160"/>
    <mergeCell ref="L146:M146"/>
    <mergeCell ref="L162:M162"/>
    <mergeCell ref="A152:A153"/>
    <mergeCell ref="A164:B164"/>
    <mergeCell ref="A165:B165"/>
    <mergeCell ref="L161:M161"/>
    <mergeCell ref="L145:M145"/>
    <mergeCell ref="E41:H41"/>
    <mergeCell ref="A41:D41"/>
    <mergeCell ref="A214:H214"/>
    <mergeCell ref="A211:H211"/>
    <mergeCell ref="A163:B163"/>
    <mergeCell ref="A133:B133"/>
    <mergeCell ref="D152:D153"/>
    <mergeCell ref="E152:E153"/>
    <mergeCell ref="G152:H153"/>
    <mergeCell ref="A93:B93"/>
    <mergeCell ref="A94:B94"/>
    <mergeCell ref="A95:B95"/>
    <mergeCell ref="A85:B85"/>
    <mergeCell ref="C85:H85"/>
    <mergeCell ref="A109:B109"/>
    <mergeCell ref="A80:B80"/>
    <mergeCell ref="F114:H114"/>
    <mergeCell ref="G129:H129"/>
    <mergeCell ref="A112:B112"/>
    <mergeCell ref="A48:B48"/>
    <mergeCell ref="G188:H188"/>
    <mergeCell ref="G173:H176"/>
    <mergeCell ref="A185:B185"/>
    <mergeCell ref="A190:B190"/>
    <mergeCell ref="C48:E48"/>
    <mergeCell ref="G48:H48"/>
    <mergeCell ref="G54:H54"/>
    <mergeCell ref="D58:H58"/>
    <mergeCell ref="C54:E54"/>
    <mergeCell ref="A61:C63"/>
    <mergeCell ref="D61:H61"/>
    <mergeCell ref="C49:E49"/>
    <mergeCell ref="A56:B56"/>
    <mergeCell ref="C56:E56"/>
    <mergeCell ref="A49:B49"/>
    <mergeCell ref="A57:H57"/>
    <mergeCell ref="A58:C58"/>
    <mergeCell ref="A59:C59"/>
    <mergeCell ref="D59:H59"/>
    <mergeCell ref="G56:H56"/>
    <mergeCell ref="D62:H63"/>
    <mergeCell ref="C55:E55"/>
    <mergeCell ref="G55:H55"/>
    <mergeCell ref="D60:H60"/>
    <mergeCell ref="A60:C60"/>
    <mergeCell ref="G49:H49"/>
    <mergeCell ref="A54:B55"/>
    <mergeCell ref="A50:B51"/>
    <mergeCell ref="A169:B169"/>
    <mergeCell ref="A138:H138"/>
    <mergeCell ref="G128:H128"/>
    <mergeCell ref="A123:E123"/>
    <mergeCell ref="C129:D129"/>
    <mergeCell ref="E129:F129"/>
    <mergeCell ref="B139:B140"/>
    <mergeCell ref="A139:A140"/>
    <mergeCell ref="C152:C153"/>
    <mergeCell ref="C135:D135"/>
    <mergeCell ref="A157:H157"/>
    <mergeCell ref="A168:B168"/>
    <mergeCell ref="F123:H123"/>
    <mergeCell ref="E128:F128"/>
    <mergeCell ref="A128:B128"/>
    <mergeCell ref="A130:B130"/>
    <mergeCell ref="A141:H141"/>
    <mergeCell ref="A147:B147"/>
    <mergeCell ref="A154:H154"/>
    <mergeCell ref="A69:C69"/>
    <mergeCell ref="D69:H69"/>
    <mergeCell ref="A75:B75"/>
    <mergeCell ref="G74:H74"/>
    <mergeCell ref="A217:H220"/>
    <mergeCell ref="A216:B216"/>
    <mergeCell ref="E216:F216"/>
    <mergeCell ref="C216:D216"/>
    <mergeCell ref="G216:H216"/>
    <mergeCell ref="A127:H127"/>
    <mergeCell ref="A125:E125"/>
    <mergeCell ref="F125:H125"/>
    <mergeCell ref="A126:E126"/>
    <mergeCell ref="F126:H126"/>
    <mergeCell ref="A162:H162"/>
    <mergeCell ref="A134:B134"/>
    <mergeCell ref="A170:B170"/>
    <mergeCell ref="A129:B129"/>
    <mergeCell ref="A212:H212"/>
    <mergeCell ref="A132:H132"/>
    <mergeCell ref="A215:H215"/>
    <mergeCell ref="A213:H213"/>
    <mergeCell ref="A209:H209"/>
    <mergeCell ref="A210:H21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98:B98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A78:B78"/>
    <mergeCell ref="E74:F74"/>
    <mergeCell ref="A67:C67"/>
    <mergeCell ref="D67:H67"/>
    <mergeCell ref="A70:C70"/>
    <mergeCell ref="A96:B96"/>
    <mergeCell ref="A97:B97"/>
    <mergeCell ref="A38:B38"/>
    <mergeCell ref="C38:H38"/>
    <mergeCell ref="A39:H39"/>
    <mergeCell ref="A64:C64"/>
    <mergeCell ref="A65:C65"/>
    <mergeCell ref="D64:H64"/>
    <mergeCell ref="E75:F84"/>
    <mergeCell ref="G75:H84"/>
    <mergeCell ref="A83:B83"/>
    <mergeCell ref="A84:B84"/>
    <mergeCell ref="D65:H65"/>
    <mergeCell ref="A42:D42"/>
    <mergeCell ref="E42:H42"/>
    <mergeCell ref="E43:H43"/>
    <mergeCell ref="E44:H44"/>
    <mergeCell ref="E45:H45"/>
    <mergeCell ref="A43:D43"/>
    <mergeCell ref="A82:B82"/>
    <mergeCell ref="A89:B89"/>
    <mergeCell ref="D70:H70"/>
    <mergeCell ref="A68:C68"/>
    <mergeCell ref="D68:H68"/>
    <mergeCell ref="A36:H36"/>
    <mergeCell ref="A35:B35"/>
    <mergeCell ref="C35:E35"/>
    <mergeCell ref="G103:H112"/>
    <mergeCell ref="A40:D40"/>
    <mergeCell ref="E40:H40"/>
    <mergeCell ref="A81:B81"/>
    <mergeCell ref="A74:B74"/>
    <mergeCell ref="A77:B77"/>
    <mergeCell ref="A73:B73"/>
    <mergeCell ref="A71:B71"/>
    <mergeCell ref="C71:H71"/>
    <mergeCell ref="A79:B79"/>
    <mergeCell ref="A66:C66"/>
    <mergeCell ref="D66:H66"/>
    <mergeCell ref="C73:H73"/>
    <mergeCell ref="A76:B76"/>
    <mergeCell ref="A37:B37"/>
    <mergeCell ref="C37:H37"/>
    <mergeCell ref="A44:D44"/>
    <mergeCell ref="F35:H35"/>
    <mergeCell ref="A45:D45"/>
    <mergeCell ref="A46:H46"/>
    <mergeCell ref="E89:F98"/>
    <mergeCell ref="A99:B99"/>
    <mergeCell ref="C99:H99"/>
    <mergeCell ref="A142:H142"/>
    <mergeCell ref="E139:E140"/>
    <mergeCell ref="G139:H140"/>
    <mergeCell ref="G102:H102"/>
    <mergeCell ref="A101:B101"/>
    <mergeCell ref="C101:H101"/>
    <mergeCell ref="A102:B102"/>
    <mergeCell ref="E102:F102"/>
    <mergeCell ref="A119:E119"/>
    <mergeCell ref="F119:H119"/>
    <mergeCell ref="A120:E120"/>
    <mergeCell ref="A122:E122"/>
    <mergeCell ref="E103:F112"/>
    <mergeCell ref="F113:H113"/>
    <mergeCell ref="A124:E124"/>
    <mergeCell ref="G135:H135"/>
    <mergeCell ref="C130:D130"/>
    <mergeCell ref="A103:B103"/>
    <mergeCell ref="E133:F133"/>
    <mergeCell ref="A137:H137"/>
    <mergeCell ref="A136:B136"/>
    <mergeCell ref="E136:F136"/>
    <mergeCell ref="B200:H200"/>
    <mergeCell ref="A195:H195"/>
    <mergeCell ref="A176:B176"/>
    <mergeCell ref="C139:C140"/>
    <mergeCell ref="B152:B153"/>
    <mergeCell ref="A172:H172"/>
    <mergeCell ref="A167:H167"/>
    <mergeCell ref="A161:B161"/>
    <mergeCell ref="A158:B158"/>
    <mergeCell ref="A146:B146"/>
    <mergeCell ref="A174:B174"/>
    <mergeCell ref="A175:B175"/>
    <mergeCell ref="A166:B166"/>
    <mergeCell ref="A145:B145"/>
    <mergeCell ref="B196:H196"/>
    <mergeCell ref="B197:H197"/>
    <mergeCell ref="A173:B173"/>
    <mergeCell ref="A155:H155"/>
    <mergeCell ref="A156:H156"/>
    <mergeCell ref="A159:B159"/>
    <mergeCell ref="A182:B182"/>
    <mergeCell ref="G182:H182"/>
    <mergeCell ref="A192:B192"/>
    <mergeCell ref="A191:H191"/>
    <mergeCell ref="L144:M144"/>
    <mergeCell ref="L143:M143"/>
    <mergeCell ref="C133:D133"/>
    <mergeCell ref="G133:H133"/>
    <mergeCell ref="E135:F135"/>
    <mergeCell ref="E130:F130"/>
    <mergeCell ref="G130:H130"/>
    <mergeCell ref="A131:B131"/>
    <mergeCell ref="C131:D131"/>
    <mergeCell ref="E131:F131"/>
    <mergeCell ref="G131:H131"/>
    <mergeCell ref="C134:D134"/>
    <mergeCell ref="G136:H136"/>
    <mergeCell ref="C136:D136"/>
    <mergeCell ref="A107:B107"/>
    <mergeCell ref="A108:B108"/>
    <mergeCell ref="A110:B110"/>
    <mergeCell ref="A111:B111"/>
    <mergeCell ref="A116:E116"/>
    <mergeCell ref="A113:E113"/>
    <mergeCell ref="F117:H117"/>
    <mergeCell ref="F121:H121"/>
    <mergeCell ref="A114:E114"/>
    <mergeCell ref="A121:E121"/>
    <mergeCell ref="F116:H116"/>
    <mergeCell ref="A106:B106"/>
    <mergeCell ref="B199:H199"/>
    <mergeCell ref="A135:B135"/>
    <mergeCell ref="F118:H118"/>
    <mergeCell ref="A118:E118"/>
    <mergeCell ref="A180:H180"/>
    <mergeCell ref="A181:H181"/>
    <mergeCell ref="A183:H183"/>
    <mergeCell ref="A178:H178"/>
    <mergeCell ref="G184:H186"/>
    <mergeCell ref="A187:H187"/>
    <mergeCell ref="A188:B188"/>
    <mergeCell ref="A189:B189"/>
    <mergeCell ref="A186:B186"/>
    <mergeCell ref="A179:H179"/>
    <mergeCell ref="A184:B184"/>
    <mergeCell ref="C128:D128"/>
    <mergeCell ref="G158:H161"/>
    <mergeCell ref="G163:H166"/>
    <mergeCell ref="C166:F166"/>
    <mergeCell ref="A150:B150"/>
    <mergeCell ref="E134:F134"/>
    <mergeCell ref="G134:H134"/>
    <mergeCell ref="F120:H120"/>
    <mergeCell ref="B208:H208"/>
    <mergeCell ref="B205:H205"/>
    <mergeCell ref="B207:H207"/>
    <mergeCell ref="B203:H203"/>
    <mergeCell ref="A47:B47"/>
    <mergeCell ref="C47:H47"/>
    <mergeCell ref="B201:H201"/>
    <mergeCell ref="A104:B104"/>
    <mergeCell ref="A105:B105"/>
    <mergeCell ref="G89:H98"/>
    <mergeCell ref="A90:B90"/>
    <mergeCell ref="A91:B91"/>
    <mergeCell ref="A92:B92"/>
    <mergeCell ref="F115:H115"/>
    <mergeCell ref="A115:E115"/>
    <mergeCell ref="D139:D140"/>
    <mergeCell ref="A117:E117"/>
    <mergeCell ref="A143:B143"/>
    <mergeCell ref="A144:B144"/>
    <mergeCell ref="A87:B87"/>
    <mergeCell ref="C87:H87"/>
    <mergeCell ref="A88:B88"/>
    <mergeCell ref="E88:F88"/>
    <mergeCell ref="G88:H88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6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20" max="16383" man="1"/>
    <brk id="261" max="16383" man="1"/>
    <brk id="305" max="16383" man="1"/>
  </rowBreaks>
  <ignoredErrors>
    <ignoredError sqref="E7" unlockedFormula="1"/>
  </ignoredError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45" t="s">
        <v>108</v>
      </c>
      <c r="C3" s="245"/>
      <c r="D3" s="245"/>
      <c r="E3" s="245"/>
      <c r="F3" s="245"/>
      <c r="G3" s="245"/>
      <c r="H3" s="245"/>
    </row>
    <row r="4" spans="1:9" x14ac:dyDescent="0.25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2025-08-19T06:52:23Z</cp:lastPrinted>
  <dcterms:created xsi:type="dcterms:W3CDTF">2019-07-16T09:29:46Z</dcterms:created>
  <dcterms:modified xsi:type="dcterms:W3CDTF">2025-08-19T06:53:40Z</dcterms:modified>
</cp:coreProperties>
</file>