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ug 25\AXIS\DUMP\"/>
    </mc:Choice>
  </mc:AlternateContent>
  <xr:revisionPtr revIDLastSave="0" documentId="13_ncr:1_{D38FF216-2D28-4344-9D5B-8E1BB30BC736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137" i="1" l="1"/>
  <c r="F137" i="1" s="1"/>
  <c r="G137" i="1"/>
  <c r="D135" i="1"/>
  <c r="E133" i="1"/>
  <c r="D133" i="1"/>
  <c r="D131" i="1"/>
  <c r="D130" i="1"/>
  <c r="D127" i="1"/>
  <c r="D128" i="1"/>
  <c r="D125" i="1"/>
  <c r="F125" i="1" s="1"/>
  <c r="G124" i="1"/>
  <c r="D124" i="1"/>
  <c r="F124" i="1" s="1"/>
  <c r="D121" i="1"/>
  <c r="F121" i="1" s="1"/>
  <c r="G120" i="1"/>
  <c r="D120" i="1"/>
  <c r="F120" i="1" s="1"/>
  <c r="D118" i="1"/>
  <c r="D117" i="1"/>
  <c r="D114" i="1"/>
  <c r="F114" i="1" s="1"/>
  <c r="P124" i="1"/>
  <c r="O124" i="1"/>
  <c r="P120" i="1"/>
  <c r="O120" i="1"/>
  <c r="C94" i="1" l="1"/>
  <c r="C95" i="1"/>
  <c r="C96" i="1" s="1"/>
  <c r="E94" i="1"/>
  <c r="E95" i="1"/>
  <c r="O125" i="1"/>
  <c r="N124" i="1"/>
  <c r="P125" i="1"/>
  <c r="O121" i="1"/>
  <c r="O122" i="1" s="1"/>
  <c r="N120" i="1"/>
  <c r="P121" i="1"/>
  <c r="P122" i="1" s="1"/>
  <c r="G133" i="1"/>
  <c r="E96" i="1" l="1"/>
  <c r="N125" i="1"/>
  <c r="N122" i="1"/>
  <c r="N121" i="1"/>
  <c r="G135" i="1"/>
  <c r="G130" i="1"/>
  <c r="G127" i="1"/>
  <c r="G117" i="1"/>
  <c r="F133" i="1"/>
  <c r="F131" i="1"/>
  <c r="F130" i="1"/>
  <c r="F128" i="1"/>
  <c r="F127" i="1"/>
  <c r="F118" i="1"/>
  <c r="F135" i="1"/>
  <c r="F117" i="1"/>
  <c r="P117" i="1"/>
  <c r="O117" i="1"/>
  <c r="G95" i="1" l="1"/>
  <c r="G94" i="1"/>
  <c r="N117" i="1"/>
  <c r="O118" i="1"/>
  <c r="P118" i="1"/>
  <c r="D57" i="1"/>
  <c r="G96" i="1" l="1"/>
  <c r="N118" i="1"/>
  <c r="C60" i="1"/>
  <c r="J71" i="1"/>
  <c r="J70" i="1"/>
  <c r="D66" i="1" l="1"/>
  <c r="D72" i="1"/>
  <c r="J64" i="1"/>
  <c r="D73" i="1"/>
  <c r="D69" i="1"/>
  <c r="J65" i="1"/>
  <c r="C64" i="1" s="1"/>
  <c r="D64" i="1" s="1"/>
  <c r="J63" i="1"/>
  <c r="D68" i="1"/>
  <c r="D71" i="1"/>
  <c r="D67" i="1"/>
  <c r="J66" i="1"/>
  <c r="D70" i="1"/>
  <c r="G47" i="1"/>
  <c r="J67" i="1" l="1"/>
  <c r="J72" i="1" s="1"/>
  <c r="J68" i="1"/>
  <c r="J69" i="1" s="1"/>
  <c r="A140" i="1"/>
  <c r="A141" i="1" s="1"/>
  <c r="A142" i="1" s="1"/>
  <c r="A143" i="1" s="1"/>
  <c r="A144" i="1" s="1"/>
  <c r="A145" i="1" s="1"/>
  <c r="A146" i="1" s="1"/>
  <c r="A147" i="1" l="1"/>
  <c r="A149" i="1" s="1"/>
  <c r="A148" i="1"/>
  <c r="J73" i="1"/>
  <c r="E64" i="1" l="1"/>
  <c r="I60" i="1" s="1"/>
  <c r="C62" i="1" s="1"/>
  <c r="D65" i="1"/>
  <c r="G64" i="1"/>
  <c r="D59" i="1" l="1"/>
  <c r="F74" i="1" s="1"/>
  <c r="E41" i="1" l="1"/>
  <c r="E42" i="1" s="1"/>
  <c r="F102" i="1" l="1"/>
  <c r="G102" i="1"/>
  <c r="G103" i="1" s="1"/>
  <c r="G104" i="1" s="1"/>
  <c r="G105" i="1" s="1"/>
  <c r="G106" i="1" s="1"/>
  <c r="G107" i="1" s="1"/>
  <c r="G108" i="1" s="1"/>
  <c r="A103" i="1"/>
  <c r="A104" i="1" s="1"/>
  <c r="A105" i="1" s="1"/>
  <c r="A106" i="1" s="1"/>
  <c r="A107" i="1" s="1"/>
  <c r="A108" i="1" s="1"/>
  <c r="F103" i="1"/>
  <c r="F104" i="1"/>
  <c r="F105" i="1"/>
  <c r="F106" i="1"/>
  <c r="F107" i="1"/>
  <c r="F108" i="1"/>
  <c r="E25" i="1" l="1"/>
  <c r="E23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163" i="1" l="1"/>
  <c r="F88" i="1"/>
  <c r="C47" i="1"/>
  <c r="D5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<sst xmlns="http://schemas.openxmlformats.org/spreadsheetml/2006/main" count="346" uniqueCount="258">
  <si>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</si>
  <si>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</si>
  <si>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</si>
  <si>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</si>
  <si>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</si>
  <si>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</si>
  <si>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</si>
  <si>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</si>
  <si>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</si>
  <si>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</si>
  <si>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</si>
  <si>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</si>
  <si>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</si>
  <si>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</si>
  <si>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</si>
  <si>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</si>
  <si>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</si>
  <si>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</si>
  <si>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</si>
  <si>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</si>
  <si>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</si>
  <si>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</si>
  <si>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</si>
  <si>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</si>
  <si>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</si>
  <si>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</si>
  <si>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</si>
  <si>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</si>
  <si>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</si>
  <si>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</si>
  <si>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</si>
  <si>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</si>
  <si>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</si>
  <si>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</si>
  <si>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</si>
  <si>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</si>
  <si>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</si>
  <si>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</si>
  <si>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</si>
  <si>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</si>
  <si>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</si>
  <si>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</si>
  <si>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</si>
  <si>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</si>
  <si>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</si>
  <si>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</si>
  <si>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</si>
  <si>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</si>
  <si>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</si>
  <si>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</si>
  <si>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</si>
  <si>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</si>
  <si>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</si>
  <si>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</si>
  <si>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</si>
  <si>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</si>
  <si>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</si>
  <si>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</si>
  <si>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</si>
  <si>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</si>
  <si>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</si>
  <si>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</si>
  <si>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</si>
  <si>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</si>
  <si>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</si>
  <si>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</si>
  <si>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</si>
  <si>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</si>
  <si>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</si>
  <si>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</si>
  <si>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</si>
  <si>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</si>
  <si>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</si>
  <si>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</si>
  <si>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</si>
  <si>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</si>
  <si>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</si>
  <si>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</si>
  <si>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</si>
  <si>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</si>
  <si>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</si>
  <si>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</si>
  <si>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</si>
  <si>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</si>
  <si>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</si>
  <si>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</si>
  <si>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</si>
  <si>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</si>
  <si>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</si>
  <si>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</si>
  <si>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</si>
  <si>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</si>
  <si>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</si>
  <si>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</si>
  <si>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</si>
  <si>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</si>
  <si>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</si>
  <si>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</si>
  <si>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</si>
  <si>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</si>
  <si>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</si>
  <si>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</si>
  <si>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</si>
  <si>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</si>
  <si>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</si>
  <si>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</si>
  <si>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</si>
  <si>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</si>
  <si>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</si>
  <si>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</si>
  <si>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</si>
  <si>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</si>
  <si>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</si>
  <si>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</si>
  <si>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</si>
  <si>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</si>
  <si>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</si>
  <si>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</si>
  <si>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</si>
  <si>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</si>
  <si>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</si>
  <si>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</si>
  <si>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</si>
  <si>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</si>
  <si>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</si>
  <si>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</si>
  <si>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</si>
  <si>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</si>
  <si>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</si>
  <si>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</si>
  <si>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</si>
  <si>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</si>
  <si>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</si>
  <si>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</si>
  <si>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</si>
  <si>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</si>
  <si>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</si>
  <si>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</si>
  <si>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</si>
  <si>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</si>
  <si>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</si>
  <si>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</si>
  <si>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</si>
  <si>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</si>
  <si>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</si>
  <si>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</si>
  <si>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</si>
  <si>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</si>
  <si>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</si>
  <si>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</si>
  <si>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</si>
  <si>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</si>
  <si>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</si>
  <si>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</si>
  <si>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</si>
  <si>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</si>
  <si>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</si>
  <si>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</si>
  <si>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</si>
  <si>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</si>
  <si>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</si>
  <si>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</si>
  <si>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</si>
  <si>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</si>
  <si>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</si>
  <si>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</si>
  <si>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</si>
  <si>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</si>
  <si>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</si>
  <si>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</si>
  <si>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</si>
  <si>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</si>
  <si>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</si>
  <si>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</si>
  <si>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</si>
  <si>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</si>
  <si>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</si>
  <si>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</si>
  <si>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</si>
  <si>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</si>
  <si>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</si>
  <si>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</si>
  <si>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</si>
  <si>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</si>
  <si>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</si>
  <si>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</si>
  <si>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</si>
  <si>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</si>
  <si>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</si>
  <si>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</si>
  <si>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M/s.Mahesh Developers Limited</t>
  </si>
  <si>
    <t>Chandrakiran CHS Ltd</t>
  </si>
  <si>
    <t xml:space="preserve">P51800029427
</t>
  </si>
  <si>
    <t>Bandra</t>
  </si>
  <si>
    <t>Village</t>
  </si>
  <si>
    <t>Mumbai</t>
  </si>
  <si>
    <t>Andheri</t>
  </si>
  <si>
    <t>CTS No</t>
  </si>
  <si>
    <t>11th Road</t>
  </si>
  <si>
    <t>Guru Gangeshwar Marg</t>
  </si>
  <si>
    <t>Aditya Building</t>
  </si>
  <si>
    <t>Bina Apartment</t>
  </si>
  <si>
    <t>Khar Road</t>
  </si>
  <si>
    <t>650m from Khar Road Railway Station</t>
  </si>
  <si>
    <t>CHE/WS/1530/H/337</t>
  </si>
  <si>
    <t>Ground Floor for Parking</t>
  </si>
  <si>
    <t>2BHK</t>
  </si>
  <si>
    <t>1st Floor For Residential (Part Fitness Area &amp; Society Office)</t>
  </si>
  <si>
    <t>Fitness Centre</t>
  </si>
  <si>
    <t>6th Floor</t>
  </si>
  <si>
    <t>5th Floor</t>
  </si>
  <si>
    <t>St + 1st to 12th Floor</t>
  </si>
  <si>
    <t>Residential</t>
  </si>
  <si>
    <t>We considered  Saleable area  as per our calculation.</t>
  </si>
  <si>
    <t>We considered Gross carpet area = Net carpet.</t>
  </si>
  <si>
    <t>Approved Plans, CC</t>
  </si>
  <si>
    <t>E/693, Plot No.217</t>
  </si>
  <si>
    <t>Proposed Redevelopment Of Chandra Kiran C.H.S, Plot Bearing CTS No. E/693,11th And 6th Road, Village Bandra, Khar (West), Mumbai.</t>
  </si>
  <si>
    <t>1 KM away</t>
  </si>
  <si>
    <t>850 M away</t>
  </si>
  <si>
    <t>800 M away</t>
  </si>
  <si>
    <t>12,00,000/-</t>
  </si>
  <si>
    <t xml:space="preserve">We have updated Approved Revised Plans (on 11/11/2021) </t>
  </si>
  <si>
    <t>1st Floor</t>
  </si>
  <si>
    <t>Rehab/ Sale</t>
  </si>
  <si>
    <t>-</t>
  </si>
  <si>
    <t>Rehab</t>
  </si>
  <si>
    <t>Sale</t>
  </si>
  <si>
    <t>2nd Floor</t>
  </si>
  <si>
    <t>3rd Floor</t>
  </si>
  <si>
    <t>1BHK</t>
  </si>
  <si>
    <t>Society office</t>
  </si>
  <si>
    <t>4th Floor</t>
  </si>
  <si>
    <t>7th Floor (Part Refuge Area)</t>
  </si>
  <si>
    <t>8th Floor</t>
  </si>
  <si>
    <t>9th to 12th Floor</t>
  </si>
  <si>
    <t xml:space="preserve">Sale </t>
  </si>
  <si>
    <t>Sale Flats - 9 &amp; Rehab Flats - 8</t>
  </si>
  <si>
    <t>We have updated latest C.C (on 18/05/2022).</t>
  </si>
  <si>
    <t xml:space="preserve">As per RERA - 31/03/2024
</t>
  </si>
  <si>
    <t>On Site, we meet Mr.Bhaven - 9769647298.</t>
  </si>
  <si>
    <t>Validity of CC is expired on 11/05/2022. Please provide revised CC.</t>
  </si>
  <si>
    <t>Valid Upto : Further C.C. up to top of 12th floor level (i.e. height up to 43.95 mt. AGL) + (LMR + OHT) i.e. total height 47.95mt. AGL as per approved plan dated 03.11.2021.</t>
  </si>
  <si>
    <t>CHE/WS/1530/H/337(NEW)/FCC/1
/Amend</t>
  </si>
  <si>
    <t>We have updated revised approved CC from MCGM site on 15/08/2023.</t>
  </si>
  <si>
    <t>32000 to 38750</t>
  </si>
  <si>
    <t>sanjay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</si>
  <si>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</si>
  <si>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Site Meet person Contact Details ( Name &amp; Contact No.)</t>
  </si>
  <si>
    <t>Location Link</t>
  </si>
  <si>
    <t>https://goo.gl/maps/Vs2C3NSojcU8VEKs8?coh=178572&amp;entry=tt</t>
  </si>
  <si>
    <t>Latitude,Longitude</t>
  </si>
  <si>
    <t>19.0685501,72.8374983</t>
  </si>
  <si>
    <t>As per RERA, completion period of project Chandrakiran CHS Ltd is expired on 31/03/2024 but still project is under construction.</t>
  </si>
  <si>
    <t>Construction work same as last visit dtd 06/02/2025 but work is in process (Very slow speed)</t>
  </si>
  <si>
    <t>Mr. Bhavin 7400258485 / 9769647258</t>
  </si>
  <si>
    <t>Gaurav Panchal</t>
  </si>
  <si>
    <t>Tushar Bhuvad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</si>
</sst>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2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0" xfId="1" applyNumberFormat="1" applyFont="1" applyAlignment="1">
      <alignment horizontal="center" vertical="center"/>
    </xf>
    <xf numFmtId="0" fontId="13" fillId="2" borderId="1" xfId="1" applyFont="1" applyFill="1" applyBorder="1" applyAlignment="1" applyProtection="1">
      <alignment vertical="top" wrapText="1"/>
      <protection locked="0"/>
    </xf>
    <xf numFmtId="0" fontId="18" fillId="0" borderId="0" xfId="0" applyFont="1" applyProtection="1">
      <protection hidden="1"/>
    </xf>
    <xf numFmtId="14" fontId="8" fillId="0" borderId="0" xfId="1" applyNumberFormat="1" applyFont="1"/>
    <xf numFmtId="1" fontId="8" fillId="0" borderId="0" xfId="1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Protection="1">
      <protection hidden="1"/>
    </xf>
    <xf numFmtId="0" fontId="8" fillId="0" borderId="11" xfId="1" applyFont="1" applyBorder="1" applyProtection="1">
      <protection hidden="1"/>
    </xf>
    <xf numFmtId="0" fontId="18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24" fillId="0" borderId="9" xfId="9" applyBorder="1" applyAlignment="1" applyProtection="1">
      <alignment horizontal="left"/>
      <protection locked="0"/>
    </xf>
    <xf numFmtId="0" fontId="8" fillId="0" borderId="24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9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25" xfId="1" applyFont="1" applyBorder="1" applyAlignment="1" applyProtection="1">
      <alignment horizontal="left" vertical="top" wrapText="1"/>
      <protection locked="0"/>
    </xf>
    <xf numFmtId="0" fontId="14" fillId="0" borderId="18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26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4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25" fillId="0" borderId="9" xfId="0" applyNumberFormat="1" applyFont="1" applyBorder="1" applyAlignment="1" applyProtection="1">
      <alignment vertical="top" wrapText="1"/>
      <protection locked="0"/>
    </xf>
    <xf numFmtId="1" fontId="25" fillId="0" borderId="24" xfId="0" applyNumberFormat="1" applyFont="1" applyBorder="1" applyAlignment="1" applyProtection="1">
      <alignment vertical="top" wrapText="1"/>
      <protection locked="0"/>
    </xf>
    <xf numFmtId="1" fontId="25" fillId="0" borderId="10" xfId="0" applyNumberFormat="1" applyFont="1" applyBorder="1" applyAlignment="1" applyProtection="1">
      <alignment vertical="top" wrapText="1"/>
      <protection locked="0"/>
    </xf>
    <xf numFmtId="0" fontId="8" fillId="0" borderId="9" xfId="1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414622</xdr:colOff>
      <xdr:row>207</xdr:row>
      <xdr:rowOff>0</xdr:rowOff>
    </xdr:from>
    <xdr:to>
      <xdr:col>7</xdr:col>
      <xdr:colOff>520719</xdr:colOff>
      <xdr:row>224</xdr:row>
      <xdr:rowOff>170999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4622" y="50056676"/>
          <a:ext cx="623571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414621</xdr:colOff>
      <xdr:row>225</xdr:row>
      <xdr:rowOff>153960</xdr:rowOff>
    </xdr:from>
    <xdr:to>
      <xdr:col>7</xdr:col>
      <xdr:colOff>520718</xdr:colOff>
      <xdr:row>243</xdr:row>
      <xdr:rowOff>123257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4621" y="53841342"/>
          <a:ext cx="623571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60960</xdr:colOff>
      <xdr:row>164</xdr:row>
      <xdr:rowOff>85090</xdr:rowOff>
    </xdr:from>
    <xdr:to>
      <xdr:col>22</xdr:col>
      <xdr:colOff>386918</xdr:colOff>
      <xdr:row>201</xdr:row>
      <xdr:rowOff>67798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519160" y="30774640"/>
          <a:ext cx="6231458" cy="7374108"/>
          <a:chOff x="190500" y="30194250"/>
          <a:chExt cx="6468948" cy="7259808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8090" y="3529405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2876" y="3529405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0399" y="301942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1032" y="33032154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301942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604" y="3303215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5818" y="3303215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0298" y="301942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405765</xdr:colOff>
      <xdr:row>162</xdr:row>
      <xdr:rowOff>85726</xdr:rowOff>
    </xdr:from>
    <xdr:to>
      <xdr:col>19</xdr:col>
      <xdr:colOff>100965</xdr:colOff>
      <xdr:row>202</xdr:row>
      <xdr:rowOff>24766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41102F8-385F-0C38-3078-7F009D1CA088}"/>
            </a:ext>
          </a:extLst>
        </xdr:cNvPr>
        <xdr:cNvGrpSpPr/>
      </xdr:nvGrpSpPr>
      <xdr:grpSpPr>
        <a:xfrm>
          <a:off x="6939915" y="30375226"/>
          <a:ext cx="5667375" cy="7930515"/>
          <a:chOff x="392246" y="153931"/>
          <a:chExt cx="5936348" cy="8417507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9B3C8D92-0592-D867-3DD9-5A6A63431D4F}"/>
              </a:ext>
            </a:extLst>
          </xdr:cNvPr>
          <xdr:cNvGrpSpPr/>
        </xdr:nvGrpSpPr>
        <xdr:grpSpPr>
          <a:xfrm>
            <a:off x="1023371" y="4215355"/>
            <a:ext cx="4674098" cy="2160000"/>
            <a:chOff x="1023371" y="4215355"/>
            <a:chExt cx="4674098" cy="216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0D42E04D-061C-103E-D279-F58B8FF56DA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79719" y="4215355"/>
              <a:ext cx="161775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9D009534-E306-C141-C8FE-25AE701317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23371" y="4215355"/>
              <a:ext cx="2876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B7A4849D-E459-0438-49FF-6DE96A5378AA}"/>
              </a:ext>
            </a:extLst>
          </xdr:cNvPr>
          <xdr:cNvGrpSpPr/>
        </xdr:nvGrpSpPr>
        <xdr:grpSpPr>
          <a:xfrm>
            <a:off x="1787308" y="6591438"/>
            <a:ext cx="3146224" cy="1980000"/>
            <a:chOff x="2416433" y="6591438"/>
            <a:chExt cx="3146224" cy="198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55FB7210-46FD-A1C8-2A97-E28A46890D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79719" y="6591438"/>
              <a:ext cx="1482938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376B401A-2B63-05B8-CDAE-E3CD06C828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16433" y="6591438"/>
              <a:ext cx="1482938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6A1F443E-85B7-7D46-E3CA-E9EF5819FDCC}"/>
              </a:ext>
            </a:extLst>
          </xdr:cNvPr>
          <xdr:cNvGrpSpPr/>
        </xdr:nvGrpSpPr>
        <xdr:grpSpPr>
          <a:xfrm>
            <a:off x="392246" y="153931"/>
            <a:ext cx="5936348" cy="3845341"/>
            <a:chOff x="392246" y="153931"/>
            <a:chExt cx="5936348" cy="3845341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A0927C79-B043-B038-6A04-A7AC5814AB6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2246" y="153931"/>
              <a:ext cx="2880000" cy="38453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03349844-F276-12D2-DB73-DCC65A4258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48594" y="153931"/>
              <a:ext cx="2880000" cy="38453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200025</xdr:colOff>
      <xdr:row>163</xdr:row>
      <xdr:rowOff>95250</xdr:rowOff>
    </xdr:from>
    <xdr:to>
      <xdr:col>7</xdr:col>
      <xdr:colOff>657225</xdr:colOff>
      <xdr:row>199</xdr:row>
      <xdr:rowOff>180966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85E31D9E-AAEB-4499-9E59-A5099D8008A0}"/>
            </a:ext>
          </a:extLst>
        </xdr:cNvPr>
        <xdr:cNvGrpSpPr/>
      </xdr:nvGrpSpPr>
      <xdr:grpSpPr>
        <a:xfrm>
          <a:off x="200025" y="30584775"/>
          <a:ext cx="6162675" cy="7277091"/>
          <a:chOff x="273392" y="355260"/>
          <a:chExt cx="6311582" cy="7467591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85A1B86E-AE49-42B3-A2C1-9828A5313A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792" y="355260"/>
            <a:ext cx="2648429" cy="30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D533CEE3-F700-4313-A00D-E6B71EA790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3864" y="355260"/>
            <a:ext cx="2648429" cy="30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1E45EA1E-A0E7-4250-A3DB-58CE42CA4F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3392" y="3568741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E637FF41-7206-47DA-8FB8-52AF0BAD17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91183" y="3568741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11C9538F-D653-4499-94BA-D1C7C1D4A1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08974" y="3549055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8628EF1-4883-4D33-A078-C93CE9396C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4345" y="5833076"/>
            <a:ext cx="148293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EB59BA0D-3336-4968-A325-CCF90B6658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3129" y="5842851"/>
            <a:ext cx="148293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14</xdr:row>
      <xdr:rowOff>0</xdr:rowOff>
    </xdr:from>
    <xdr:to>
      <xdr:col>4</xdr:col>
      <xdr:colOff>417980</xdr:colOff>
      <xdr:row>29</xdr:row>
      <xdr:rowOff>22500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4" y="2675283"/>
          <a:ext cx="5122500" cy="28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14</xdr:row>
      <xdr:rowOff>0</xdr:rowOff>
    </xdr:from>
    <xdr:to>
      <xdr:col>8</xdr:col>
      <xdr:colOff>479137</xdr:colOff>
      <xdr:row>25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46305" y="2675283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30</xdr:row>
      <xdr:rowOff>0</xdr:rowOff>
    </xdr:from>
    <xdr:to>
      <xdr:col>6</xdr:col>
      <xdr:colOff>670</xdr:colOff>
      <xdr:row>48</xdr:row>
      <xdr:rowOff>171000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9784" y="5723283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s2C3NSojcU8VEKs8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06"/>
  <sheetViews>
    <sheetView tabSelected="1" showWhiteSpace="0" view="pageBreakPreview" zoomScaleNormal="100" zoomScaleSheetLayoutView="100" zoomScalePageLayoutView="85" workbookViewId="0">
      <selection activeCell="I146" sqref="I146"/>
    </sheetView>
  </sheetViews>
  <sheetFormatPr defaultColWidth="9.28515625" defaultRowHeight="15.75" x14ac:dyDescent="0.25"/>
  <cols>
    <col min="1" max="1" width="11.42578125" style="16" customWidth="1"/>
    <col min="2" max="2" width="12" style="16" customWidth="1"/>
    <col min="3" max="3" width="12.7109375" style="16" customWidth="1"/>
    <col min="4" max="4" width="14.28515625" style="16" customWidth="1"/>
    <col min="5" max="7" width="11.7109375" style="16" customWidth="1"/>
    <col min="8" max="8" width="12.42578125" style="16" customWidth="1"/>
    <col min="9" max="9" width="17.42578125" style="8" customWidth="1"/>
    <col min="10" max="10" width="11.42578125" style="8" customWidth="1"/>
    <col min="11" max="11" width="10.5703125" style="8" bestFit="1" customWidth="1"/>
    <col min="12" max="12" width="10.5703125" style="8" customWidth="1"/>
    <col min="13" max="13" width="11.7109375" style="8" customWidth="1"/>
    <col min="14" max="14" width="12.5703125" style="8" hidden="1" customWidth="1"/>
    <col min="15" max="15" width="9.7109375" style="8" hidden="1" customWidth="1"/>
    <col min="16" max="16" width="10.42578125" style="8" hidden="1" customWidth="1"/>
    <col min="17" max="247" width="9.28515625" style="8"/>
    <col min="248" max="248" width="8.7109375" style="8" customWidth="1"/>
    <col min="249" max="249" width="9.71093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7109375" style="8" customWidth="1"/>
    <col min="256" max="256" width="11.28515625" style="8" customWidth="1"/>
    <col min="257" max="257" width="2.7109375" style="8" customWidth="1"/>
    <col min="258" max="258" width="3.5703125" style="8" customWidth="1"/>
    <col min="259" max="503" width="9.28515625" style="8"/>
    <col min="504" max="504" width="8.7109375" style="8" customWidth="1"/>
    <col min="505" max="505" width="9.71093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7109375" style="8" customWidth="1"/>
    <col min="512" max="512" width="11.28515625" style="8" customWidth="1"/>
    <col min="513" max="513" width="2.7109375" style="8" customWidth="1"/>
    <col min="514" max="514" width="3.5703125" style="8" customWidth="1"/>
    <col min="515" max="759" width="9.28515625" style="8"/>
    <col min="760" max="760" width="8.7109375" style="8" customWidth="1"/>
    <col min="761" max="761" width="9.71093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7109375" style="8" customWidth="1"/>
    <col min="768" max="768" width="11.28515625" style="8" customWidth="1"/>
    <col min="769" max="769" width="2.7109375" style="8" customWidth="1"/>
    <col min="770" max="770" width="3.5703125" style="8" customWidth="1"/>
    <col min="771" max="1015" width="9.28515625" style="8"/>
    <col min="1016" max="1016" width="8.7109375" style="8" customWidth="1"/>
    <col min="1017" max="1017" width="9.71093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7109375" style="8" customWidth="1"/>
    <col min="1024" max="1024" width="11.28515625" style="8" customWidth="1"/>
    <col min="1025" max="1025" width="2.7109375" style="8" customWidth="1"/>
    <col min="1026" max="1026" width="3.5703125" style="8" customWidth="1"/>
    <col min="1027" max="1271" width="9.28515625" style="8"/>
    <col min="1272" max="1272" width="8.7109375" style="8" customWidth="1"/>
    <col min="1273" max="1273" width="9.71093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7109375" style="8" customWidth="1"/>
    <col min="1280" max="1280" width="11.28515625" style="8" customWidth="1"/>
    <col min="1281" max="1281" width="2.7109375" style="8" customWidth="1"/>
    <col min="1282" max="1282" width="3.5703125" style="8" customWidth="1"/>
    <col min="1283" max="1527" width="9.28515625" style="8"/>
    <col min="1528" max="1528" width="8.7109375" style="8" customWidth="1"/>
    <col min="1529" max="1529" width="9.71093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7109375" style="8" customWidth="1"/>
    <col min="1536" max="1536" width="11.28515625" style="8" customWidth="1"/>
    <col min="1537" max="1537" width="2.7109375" style="8" customWidth="1"/>
    <col min="1538" max="1538" width="3.5703125" style="8" customWidth="1"/>
    <col min="1539" max="1783" width="9.28515625" style="8"/>
    <col min="1784" max="1784" width="8.7109375" style="8" customWidth="1"/>
    <col min="1785" max="1785" width="9.71093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7109375" style="8" customWidth="1"/>
    <col min="1792" max="1792" width="11.28515625" style="8" customWidth="1"/>
    <col min="1793" max="1793" width="2.7109375" style="8" customWidth="1"/>
    <col min="1794" max="1794" width="3.5703125" style="8" customWidth="1"/>
    <col min="1795" max="2039" width="9.28515625" style="8"/>
    <col min="2040" max="2040" width="8.7109375" style="8" customWidth="1"/>
    <col min="2041" max="2041" width="9.71093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7109375" style="8" customWidth="1"/>
    <col min="2048" max="2048" width="11.28515625" style="8" customWidth="1"/>
    <col min="2049" max="2049" width="2.7109375" style="8" customWidth="1"/>
    <col min="2050" max="2050" width="3.5703125" style="8" customWidth="1"/>
    <col min="2051" max="2295" width="9.28515625" style="8"/>
    <col min="2296" max="2296" width="8.7109375" style="8" customWidth="1"/>
    <col min="2297" max="2297" width="9.71093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7109375" style="8" customWidth="1"/>
    <col min="2304" max="2304" width="11.28515625" style="8" customWidth="1"/>
    <col min="2305" max="2305" width="2.7109375" style="8" customWidth="1"/>
    <col min="2306" max="2306" width="3.5703125" style="8" customWidth="1"/>
    <col min="2307" max="2551" width="9.28515625" style="8"/>
    <col min="2552" max="2552" width="8.7109375" style="8" customWidth="1"/>
    <col min="2553" max="2553" width="9.71093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7109375" style="8" customWidth="1"/>
    <col min="2560" max="2560" width="11.28515625" style="8" customWidth="1"/>
    <col min="2561" max="2561" width="2.7109375" style="8" customWidth="1"/>
    <col min="2562" max="2562" width="3.5703125" style="8" customWidth="1"/>
    <col min="2563" max="2807" width="9.28515625" style="8"/>
    <col min="2808" max="2808" width="8.7109375" style="8" customWidth="1"/>
    <col min="2809" max="2809" width="9.71093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7109375" style="8" customWidth="1"/>
    <col min="2816" max="2816" width="11.28515625" style="8" customWidth="1"/>
    <col min="2817" max="2817" width="2.7109375" style="8" customWidth="1"/>
    <col min="2818" max="2818" width="3.5703125" style="8" customWidth="1"/>
    <col min="2819" max="3063" width="9.28515625" style="8"/>
    <col min="3064" max="3064" width="8.7109375" style="8" customWidth="1"/>
    <col min="3065" max="3065" width="9.71093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7109375" style="8" customWidth="1"/>
    <col min="3072" max="3072" width="11.28515625" style="8" customWidth="1"/>
    <col min="3073" max="3073" width="2.7109375" style="8" customWidth="1"/>
    <col min="3074" max="3074" width="3.5703125" style="8" customWidth="1"/>
    <col min="3075" max="3319" width="9.28515625" style="8"/>
    <col min="3320" max="3320" width="8.7109375" style="8" customWidth="1"/>
    <col min="3321" max="3321" width="9.71093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7109375" style="8" customWidth="1"/>
    <col min="3328" max="3328" width="11.28515625" style="8" customWidth="1"/>
    <col min="3329" max="3329" width="2.7109375" style="8" customWidth="1"/>
    <col min="3330" max="3330" width="3.5703125" style="8" customWidth="1"/>
    <col min="3331" max="3575" width="9.28515625" style="8"/>
    <col min="3576" max="3576" width="8.7109375" style="8" customWidth="1"/>
    <col min="3577" max="3577" width="9.71093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7109375" style="8" customWidth="1"/>
    <col min="3584" max="3584" width="11.28515625" style="8" customWidth="1"/>
    <col min="3585" max="3585" width="2.7109375" style="8" customWidth="1"/>
    <col min="3586" max="3586" width="3.5703125" style="8" customWidth="1"/>
    <col min="3587" max="3831" width="9.28515625" style="8"/>
    <col min="3832" max="3832" width="8.7109375" style="8" customWidth="1"/>
    <col min="3833" max="3833" width="9.71093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7109375" style="8" customWidth="1"/>
    <col min="3840" max="3840" width="11.28515625" style="8" customWidth="1"/>
    <col min="3841" max="3841" width="2.7109375" style="8" customWidth="1"/>
    <col min="3842" max="3842" width="3.5703125" style="8" customWidth="1"/>
    <col min="3843" max="4087" width="9.28515625" style="8"/>
    <col min="4088" max="4088" width="8.7109375" style="8" customWidth="1"/>
    <col min="4089" max="4089" width="9.71093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7109375" style="8" customWidth="1"/>
    <col min="4096" max="4096" width="11.28515625" style="8" customWidth="1"/>
    <col min="4097" max="4097" width="2.7109375" style="8" customWidth="1"/>
    <col min="4098" max="4098" width="3.5703125" style="8" customWidth="1"/>
    <col min="4099" max="4343" width="9.28515625" style="8"/>
    <col min="4344" max="4344" width="8.7109375" style="8" customWidth="1"/>
    <col min="4345" max="4345" width="9.71093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7109375" style="8" customWidth="1"/>
    <col min="4352" max="4352" width="11.28515625" style="8" customWidth="1"/>
    <col min="4353" max="4353" width="2.7109375" style="8" customWidth="1"/>
    <col min="4354" max="4354" width="3.5703125" style="8" customWidth="1"/>
    <col min="4355" max="4599" width="9.28515625" style="8"/>
    <col min="4600" max="4600" width="8.7109375" style="8" customWidth="1"/>
    <col min="4601" max="4601" width="9.71093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7109375" style="8" customWidth="1"/>
    <col min="4608" max="4608" width="11.28515625" style="8" customWidth="1"/>
    <col min="4609" max="4609" width="2.7109375" style="8" customWidth="1"/>
    <col min="4610" max="4610" width="3.5703125" style="8" customWidth="1"/>
    <col min="4611" max="4855" width="9.28515625" style="8"/>
    <col min="4856" max="4856" width="8.7109375" style="8" customWidth="1"/>
    <col min="4857" max="4857" width="9.71093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7109375" style="8" customWidth="1"/>
    <col min="4864" max="4864" width="11.28515625" style="8" customWidth="1"/>
    <col min="4865" max="4865" width="2.7109375" style="8" customWidth="1"/>
    <col min="4866" max="4866" width="3.5703125" style="8" customWidth="1"/>
    <col min="4867" max="5111" width="9.28515625" style="8"/>
    <col min="5112" max="5112" width="8.7109375" style="8" customWidth="1"/>
    <col min="5113" max="5113" width="9.71093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7109375" style="8" customWidth="1"/>
    <col min="5120" max="5120" width="11.28515625" style="8" customWidth="1"/>
    <col min="5121" max="5121" width="2.7109375" style="8" customWidth="1"/>
    <col min="5122" max="5122" width="3.5703125" style="8" customWidth="1"/>
    <col min="5123" max="5367" width="9.28515625" style="8"/>
    <col min="5368" max="5368" width="8.7109375" style="8" customWidth="1"/>
    <col min="5369" max="5369" width="9.71093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7109375" style="8" customWidth="1"/>
    <col min="5376" max="5376" width="11.28515625" style="8" customWidth="1"/>
    <col min="5377" max="5377" width="2.7109375" style="8" customWidth="1"/>
    <col min="5378" max="5378" width="3.5703125" style="8" customWidth="1"/>
    <col min="5379" max="5623" width="9.28515625" style="8"/>
    <col min="5624" max="5624" width="8.7109375" style="8" customWidth="1"/>
    <col min="5625" max="5625" width="9.71093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7109375" style="8" customWidth="1"/>
    <col min="5632" max="5632" width="11.28515625" style="8" customWidth="1"/>
    <col min="5633" max="5633" width="2.7109375" style="8" customWidth="1"/>
    <col min="5634" max="5634" width="3.5703125" style="8" customWidth="1"/>
    <col min="5635" max="5879" width="9.28515625" style="8"/>
    <col min="5880" max="5880" width="8.7109375" style="8" customWidth="1"/>
    <col min="5881" max="5881" width="9.71093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7109375" style="8" customWidth="1"/>
    <col min="5888" max="5888" width="11.28515625" style="8" customWidth="1"/>
    <col min="5889" max="5889" width="2.7109375" style="8" customWidth="1"/>
    <col min="5890" max="5890" width="3.5703125" style="8" customWidth="1"/>
    <col min="5891" max="6135" width="9.28515625" style="8"/>
    <col min="6136" max="6136" width="8.7109375" style="8" customWidth="1"/>
    <col min="6137" max="6137" width="9.71093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7109375" style="8" customWidth="1"/>
    <col min="6144" max="6144" width="11.28515625" style="8" customWidth="1"/>
    <col min="6145" max="6145" width="2.7109375" style="8" customWidth="1"/>
    <col min="6146" max="6146" width="3.5703125" style="8" customWidth="1"/>
    <col min="6147" max="6391" width="9.28515625" style="8"/>
    <col min="6392" max="6392" width="8.7109375" style="8" customWidth="1"/>
    <col min="6393" max="6393" width="9.71093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7109375" style="8" customWidth="1"/>
    <col min="6400" max="6400" width="11.28515625" style="8" customWidth="1"/>
    <col min="6401" max="6401" width="2.7109375" style="8" customWidth="1"/>
    <col min="6402" max="6402" width="3.5703125" style="8" customWidth="1"/>
    <col min="6403" max="6647" width="9.28515625" style="8"/>
    <col min="6648" max="6648" width="8.7109375" style="8" customWidth="1"/>
    <col min="6649" max="6649" width="9.71093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7109375" style="8" customWidth="1"/>
    <col min="6656" max="6656" width="11.28515625" style="8" customWidth="1"/>
    <col min="6657" max="6657" width="2.7109375" style="8" customWidth="1"/>
    <col min="6658" max="6658" width="3.5703125" style="8" customWidth="1"/>
    <col min="6659" max="6903" width="9.28515625" style="8"/>
    <col min="6904" max="6904" width="8.7109375" style="8" customWidth="1"/>
    <col min="6905" max="6905" width="9.71093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7109375" style="8" customWidth="1"/>
    <col min="6912" max="6912" width="11.28515625" style="8" customWidth="1"/>
    <col min="6913" max="6913" width="2.7109375" style="8" customWidth="1"/>
    <col min="6914" max="6914" width="3.5703125" style="8" customWidth="1"/>
    <col min="6915" max="7159" width="9.28515625" style="8"/>
    <col min="7160" max="7160" width="8.7109375" style="8" customWidth="1"/>
    <col min="7161" max="7161" width="9.71093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7109375" style="8" customWidth="1"/>
    <col min="7168" max="7168" width="11.28515625" style="8" customWidth="1"/>
    <col min="7169" max="7169" width="2.7109375" style="8" customWidth="1"/>
    <col min="7170" max="7170" width="3.5703125" style="8" customWidth="1"/>
    <col min="7171" max="7415" width="9.28515625" style="8"/>
    <col min="7416" max="7416" width="8.7109375" style="8" customWidth="1"/>
    <col min="7417" max="7417" width="9.71093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7109375" style="8" customWidth="1"/>
    <col min="7424" max="7424" width="11.28515625" style="8" customWidth="1"/>
    <col min="7425" max="7425" width="2.7109375" style="8" customWidth="1"/>
    <col min="7426" max="7426" width="3.5703125" style="8" customWidth="1"/>
    <col min="7427" max="7671" width="9.28515625" style="8"/>
    <col min="7672" max="7672" width="8.7109375" style="8" customWidth="1"/>
    <col min="7673" max="7673" width="9.71093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7109375" style="8" customWidth="1"/>
    <col min="7680" max="7680" width="11.28515625" style="8" customWidth="1"/>
    <col min="7681" max="7681" width="2.7109375" style="8" customWidth="1"/>
    <col min="7682" max="7682" width="3.5703125" style="8" customWidth="1"/>
    <col min="7683" max="7927" width="9.28515625" style="8"/>
    <col min="7928" max="7928" width="8.7109375" style="8" customWidth="1"/>
    <col min="7929" max="7929" width="9.71093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7109375" style="8" customWidth="1"/>
    <col min="7936" max="7936" width="11.28515625" style="8" customWidth="1"/>
    <col min="7937" max="7937" width="2.7109375" style="8" customWidth="1"/>
    <col min="7938" max="7938" width="3.5703125" style="8" customWidth="1"/>
    <col min="7939" max="8183" width="9.28515625" style="8"/>
    <col min="8184" max="8184" width="8.7109375" style="8" customWidth="1"/>
    <col min="8185" max="8185" width="9.71093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7109375" style="8" customWidth="1"/>
    <col min="8192" max="8192" width="11.28515625" style="8" customWidth="1"/>
    <col min="8193" max="8193" width="2.7109375" style="8" customWidth="1"/>
    <col min="8194" max="8194" width="3.5703125" style="8" customWidth="1"/>
    <col min="8195" max="8439" width="9.28515625" style="8"/>
    <col min="8440" max="8440" width="8.7109375" style="8" customWidth="1"/>
    <col min="8441" max="8441" width="9.71093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7109375" style="8" customWidth="1"/>
    <col min="8448" max="8448" width="11.28515625" style="8" customWidth="1"/>
    <col min="8449" max="8449" width="2.7109375" style="8" customWidth="1"/>
    <col min="8450" max="8450" width="3.5703125" style="8" customWidth="1"/>
    <col min="8451" max="8695" width="9.28515625" style="8"/>
    <col min="8696" max="8696" width="8.7109375" style="8" customWidth="1"/>
    <col min="8697" max="8697" width="9.71093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7109375" style="8" customWidth="1"/>
    <col min="8704" max="8704" width="11.28515625" style="8" customWidth="1"/>
    <col min="8705" max="8705" width="2.7109375" style="8" customWidth="1"/>
    <col min="8706" max="8706" width="3.5703125" style="8" customWidth="1"/>
    <col min="8707" max="8951" width="9.28515625" style="8"/>
    <col min="8952" max="8952" width="8.7109375" style="8" customWidth="1"/>
    <col min="8953" max="8953" width="9.71093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7109375" style="8" customWidth="1"/>
    <col min="8960" max="8960" width="11.28515625" style="8" customWidth="1"/>
    <col min="8961" max="8961" width="2.7109375" style="8" customWidth="1"/>
    <col min="8962" max="8962" width="3.5703125" style="8" customWidth="1"/>
    <col min="8963" max="9207" width="9.28515625" style="8"/>
    <col min="9208" max="9208" width="8.7109375" style="8" customWidth="1"/>
    <col min="9209" max="9209" width="9.71093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7109375" style="8" customWidth="1"/>
    <col min="9216" max="9216" width="11.28515625" style="8" customWidth="1"/>
    <col min="9217" max="9217" width="2.7109375" style="8" customWidth="1"/>
    <col min="9218" max="9218" width="3.5703125" style="8" customWidth="1"/>
    <col min="9219" max="9463" width="9.28515625" style="8"/>
    <col min="9464" max="9464" width="8.7109375" style="8" customWidth="1"/>
    <col min="9465" max="9465" width="9.71093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7109375" style="8" customWidth="1"/>
    <col min="9472" max="9472" width="11.28515625" style="8" customWidth="1"/>
    <col min="9473" max="9473" width="2.7109375" style="8" customWidth="1"/>
    <col min="9474" max="9474" width="3.5703125" style="8" customWidth="1"/>
    <col min="9475" max="9719" width="9.28515625" style="8"/>
    <col min="9720" max="9720" width="8.7109375" style="8" customWidth="1"/>
    <col min="9721" max="9721" width="9.71093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7109375" style="8" customWidth="1"/>
    <col min="9728" max="9728" width="11.28515625" style="8" customWidth="1"/>
    <col min="9729" max="9729" width="2.7109375" style="8" customWidth="1"/>
    <col min="9730" max="9730" width="3.5703125" style="8" customWidth="1"/>
    <col min="9731" max="9975" width="9.28515625" style="8"/>
    <col min="9976" max="9976" width="8.7109375" style="8" customWidth="1"/>
    <col min="9977" max="9977" width="9.71093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7109375" style="8" customWidth="1"/>
    <col min="9984" max="9984" width="11.28515625" style="8" customWidth="1"/>
    <col min="9985" max="9985" width="2.7109375" style="8" customWidth="1"/>
    <col min="9986" max="9986" width="3.5703125" style="8" customWidth="1"/>
    <col min="9987" max="10231" width="9.28515625" style="8"/>
    <col min="10232" max="10232" width="8.7109375" style="8" customWidth="1"/>
    <col min="10233" max="10233" width="9.71093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7109375" style="8" customWidth="1"/>
    <col min="10240" max="10240" width="11.28515625" style="8" customWidth="1"/>
    <col min="10241" max="10241" width="2.7109375" style="8" customWidth="1"/>
    <col min="10242" max="10242" width="3.5703125" style="8" customWidth="1"/>
    <col min="10243" max="10487" width="9.28515625" style="8"/>
    <col min="10488" max="10488" width="8.7109375" style="8" customWidth="1"/>
    <col min="10489" max="10489" width="9.71093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7109375" style="8" customWidth="1"/>
    <col min="10496" max="10496" width="11.28515625" style="8" customWidth="1"/>
    <col min="10497" max="10497" width="2.7109375" style="8" customWidth="1"/>
    <col min="10498" max="10498" width="3.5703125" style="8" customWidth="1"/>
    <col min="10499" max="10743" width="9.28515625" style="8"/>
    <col min="10744" max="10744" width="8.7109375" style="8" customWidth="1"/>
    <col min="10745" max="10745" width="9.71093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7109375" style="8" customWidth="1"/>
    <col min="10752" max="10752" width="11.28515625" style="8" customWidth="1"/>
    <col min="10753" max="10753" width="2.7109375" style="8" customWidth="1"/>
    <col min="10754" max="10754" width="3.5703125" style="8" customWidth="1"/>
    <col min="10755" max="10999" width="9.28515625" style="8"/>
    <col min="11000" max="11000" width="8.7109375" style="8" customWidth="1"/>
    <col min="11001" max="11001" width="9.71093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7109375" style="8" customWidth="1"/>
    <col min="11008" max="11008" width="11.28515625" style="8" customWidth="1"/>
    <col min="11009" max="11009" width="2.7109375" style="8" customWidth="1"/>
    <col min="11010" max="11010" width="3.5703125" style="8" customWidth="1"/>
    <col min="11011" max="11255" width="9.28515625" style="8"/>
    <col min="11256" max="11256" width="8.7109375" style="8" customWidth="1"/>
    <col min="11257" max="11257" width="9.71093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7109375" style="8" customWidth="1"/>
    <col min="11264" max="11264" width="11.28515625" style="8" customWidth="1"/>
    <col min="11265" max="11265" width="2.7109375" style="8" customWidth="1"/>
    <col min="11266" max="11266" width="3.5703125" style="8" customWidth="1"/>
    <col min="11267" max="11511" width="9.28515625" style="8"/>
    <col min="11512" max="11512" width="8.7109375" style="8" customWidth="1"/>
    <col min="11513" max="11513" width="9.71093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7109375" style="8" customWidth="1"/>
    <col min="11520" max="11520" width="11.28515625" style="8" customWidth="1"/>
    <col min="11521" max="11521" width="2.7109375" style="8" customWidth="1"/>
    <col min="11522" max="11522" width="3.5703125" style="8" customWidth="1"/>
    <col min="11523" max="11767" width="9.28515625" style="8"/>
    <col min="11768" max="11768" width="8.7109375" style="8" customWidth="1"/>
    <col min="11769" max="11769" width="9.71093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7109375" style="8" customWidth="1"/>
    <col min="11776" max="11776" width="11.28515625" style="8" customWidth="1"/>
    <col min="11777" max="11777" width="2.7109375" style="8" customWidth="1"/>
    <col min="11778" max="11778" width="3.5703125" style="8" customWidth="1"/>
    <col min="11779" max="12023" width="9.28515625" style="8"/>
    <col min="12024" max="12024" width="8.7109375" style="8" customWidth="1"/>
    <col min="12025" max="12025" width="9.71093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7109375" style="8" customWidth="1"/>
    <col min="12032" max="12032" width="11.28515625" style="8" customWidth="1"/>
    <col min="12033" max="12033" width="2.7109375" style="8" customWidth="1"/>
    <col min="12034" max="12034" width="3.5703125" style="8" customWidth="1"/>
    <col min="12035" max="12279" width="9.28515625" style="8"/>
    <col min="12280" max="12280" width="8.7109375" style="8" customWidth="1"/>
    <col min="12281" max="12281" width="9.71093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7109375" style="8" customWidth="1"/>
    <col min="12288" max="12288" width="11.28515625" style="8" customWidth="1"/>
    <col min="12289" max="12289" width="2.7109375" style="8" customWidth="1"/>
    <col min="12290" max="12290" width="3.5703125" style="8" customWidth="1"/>
    <col min="12291" max="12535" width="9.28515625" style="8"/>
    <col min="12536" max="12536" width="8.7109375" style="8" customWidth="1"/>
    <col min="12537" max="12537" width="9.71093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7109375" style="8" customWidth="1"/>
    <col min="12544" max="12544" width="11.28515625" style="8" customWidth="1"/>
    <col min="12545" max="12545" width="2.7109375" style="8" customWidth="1"/>
    <col min="12546" max="12546" width="3.5703125" style="8" customWidth="1"/>
    <col min="12547" max="12791" width="9.28515625" style="8"/>
    <col min="12792" max="12792" width="8.7109375" style="8" customWidth="1"/>
    <col min="12793" max="12793" width="9.71093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7109375" style="8" customWidth="1"/>
    <col min="12800" max="12800" width="11.28515625" style="8" customWidth="1"/>
    <col min="12801" max="12801" width="2.7109375" style="8" customWidth="1"/>
    <col min="12802" max="12802" width="3.5703125" style="8" customWidth="1"/>
    <col min="12803" max="13047" width="9.28515625" style="8"/>
    <col min="13048" max="13048" width="8.7109375" style="8" customWidth="1"/>
    <col min="13049" max="13049" width="9.71093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7109375" style="8" customWidth="1"/>
    <col min="13056" max="13056" width="11.28515625" style="8" customWidth="1"/>
    <col min="13057" max="13057" width="2.7109375" style="8" customWidth="1"/>
    <col min="13058" max="13058" width="3.5703125" style="8" customWidth="1"/>
    <col min="13059" max="13303" width="9.28515625" style="8"/>
    <col min="13304" max="13304" width="8.7109375" style="8" customWidth="1"/>
    <col min="13305" max="13305" width="9.71093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7109375" style="8" customWidth="1"/>
    <col min="13312" max="13312" width="11.28515625" style="8" customWidth="1"/>
    <col min="13313" max="13313" width="2.7109375" style="8" customWidth="1"/>
    <col min="13314" max="13314" width="3.5703125" style="8" customWidth="1"/>
    <col min="13315" max="13559" width="9.28515625" style="8"/>
    <col min="13560" max="13560" width="8.7109375" style="8" customWidth="1"/>
    <col min="13561" max="13561" width="9.71093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7109375" style="8" customWidth="1"/>
    <col min="13568" max="13568" width="11.28515625" style="8" customWidth="1"/>
    <col min="13569" max="13569" width="2.7109375" style="8" customWidth="1"/>
    <col min="13570" max="13570" width="3.5703125" style="8" customWidth="1"/>
    <col min="13571" max="13815" width="9.28515625" style="8"/>
    <col min="13816" max="13816" width="8.7109375" style="8" customWidth="1"/>
    <col min="13817" max="13817" width="9.71093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7109375" style="8" customWidth="1"/>
    <col min="13824" max="13824" width="11.28515625" style="8" customWidth="1"/>
    <col min="13825" max="13825" width="2.7109375" style="8" customWidth="1"/>
    <col min="13826" max="13826" width="3.5703125" style="8" customWidth="1"/>
    <col min="13827" max="14071" width="9.28515625" style="8"/>
    <col min="14072" max="14072" width="8.7109375" style="8" customWidth="1"/>
    <col min="14073" max="14073" width="9.71093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7109375" style="8" customWidth="1"/>
    <col min="14080" max="14080" width="11.28515625" style="8" customWidth="1"/>
    <col min="14081" max="14081" width="2.7109375" style="8" customWidth="1"/>
    <col min="14082" max="14082" width="3.5703125" style="8" customWidth="1"/>
    <col min="14083" max="14327" width="9.28515625" style="8"/>
    <col min="14328" max="14328" width="8.7109375" style="8" customWidth="1"/>
    <col min="14329" max="14329" width="9.71093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7109375" style="8" customWidth="1"/>
    <col min="14336" max="14336" width="11.28515625" style="8" customWidth="1"/>
    <col min="14337" max="14337" width="2.7109375" style="8" customWidth="1"/>
    <col min="14338" max="14338" width="3.5703125" style="8" customWidth="1"/>
    <col min="14339" max="14583" width="9.28515625" style="8"/>
    <col min="14584" max="14584" width="8.7109375" style="8" customWidth="1"/>
    <col min="14585" max="14585" width="9.71093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7109375" style="8" customWidth="1"/>
    <col min="14592" max="14592" width="11.28515625" style="8" customWidth="1"/>
    <col min="14593" max="14593" width="2.7109375" style="8" customWidth="1"/>
    <col min="14594" max="14594" width="3.5703125" style="8" customWidth="1"/>
    <col min="14595" max="14839" width="9.28515625" style="8"/>
    <col min="14840" max="14840" width="8.7109375" style="8" customWidth="1"/>
    <col min="14841" max="14841" width="9.71093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7109375" style="8" customWidth="1"/>
    <col min="14848" max="14848" width="11.28515625" style="8" customWidth="1"/>
    <col min="14849" max="14849" width="2.7109375" style="8" customWidth="1"/>
    <col min="14850" max="14850" width="3.5703125" style="8" customWidth="1"/>
    <col min="14851" max="15095" width="9.28515625" style="8"/>
    <col min="15096" max="15096" width="8.7109375" style="8" customWidth="1"/>
    <col min="15097" max="15097" width="9.71093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7109375" style="8" customWidth="1"/>
    <col min="15104" max="15104" width="11.28515625" style="8" customWidth="1"/>
    <col min="15105" max="15105" width="2.7109375" style="8" customWidth="1"/>
    <col min="15106" max="15106" width="3.5703125" style="8" customWidth="1"/>
    <col min="15107" max="15351" width="9.28515625" style="8"/>
    <col min="15352" max="15352" width="8.7109375" style="8" customWidth="1"/>
    <col min="15353" max="15353" width="9.71093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7109375" style="8" customWidth="1"/>
    <col min="15360" max="15360" width="11.28515625" style="8" customWidth="1"/>
    <col min="15361" max="15361" width="2.7109375" style="8" customWidth="1"/>
    <col min="15362" max="15362" width="3.5703125" style="8" customWidth="1"/>
    <col min="15363" max="15607" width="9.28515625" style="8"/>
    <col min="15608" max="15608" width="8.7109375" style="8" customWidth="1"/>
    <col min="15609" max="15609" width="9.71093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7109375" style="8" customWidth="1"/>
    <col min="15616" max="15616" width="11.28515625" style="8" customWidth="1"/>
    <col min="15617" max="15617" width="2.7109375" style="8" customWidth="1"/>
    <col min="15618" max="15618" width="3.5703125" style="8" customWidth="1"/>
    <col min="15619" max="15863" width="9.28515625" style="8"/>
    <col min="15864" max="15864" width="8.7109375" style="8" customWidth="1"/>
    <col min="15865" max="15865" width="9.71093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7109375" style="8" customWidth="1"/>
    <col min="15872" max="15872" width="11.28515625" style="8" customWidth="1"/>
    <col min="15873" max="15873" width="2.7109375" style="8" customWidth="1"/>
    <col min="15874" max="15874" width="3.5703125" style="8" customWidth="1"/>
    <col min="15875" max="16119" width="9.28515625" style="8"/>
    <col min="16120" max="16120" width="8.7109375" style="8" customWidth="1"/>
    <col min="16121" max="16121" width="9.71093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7109375" style="8" customWidth="1"/>
    <col min="16128" max="16128" width="11.28515625" style="8" customWidth="1"/>
    <col min="16129" max="16129" width="2.7109375" style="8" customWidth="1"/>
    <col min="16130" max="16130" width="3.5703125" style="8" customWidth="1"/>
    <col min="16131" max="16384" width="9.28515625" style="8"/>
  </cols>
  <sheetData>
    <row r="1" spans="1:8" ht="46.5" customHeight="1" x14ac:dyDescent="0.25">
      <c r="A1" s="117" t="s">
        <v>247</v>
      </c>
      <c r="B1" s="117"/>
      <c r="C1" s="117"/>
      <c r="D1" s="117"/>
      <c r="E1" s="117"/>
      <c r="F1" s="117"/>
      <c r="G1" s="117"/>
      <c r="H1" s="117"/>
    </row>
    <row r="2" spans="1:8" ht="16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</row>
    <row r="3" spans="1:8" x14ac:dyDescent="0.25">
      <c r="A3" s="64" t="s">
        <v>1</v>
      </c>
      <c r="B3" s="64"/>
      <c r="C3" s="64"/>
      <c r="D3" s="64"/>
      <c r="E3" s="116" t="str">
        <f ca="1">TEXT(TODAY(),"DD/MM/YYYY")</f>
        <v>12/08/2025</v>
      </c>
      <c r="F3" s="116"/>
      <c r="G3" s="116"/>
      <c r="H3" s="116"/>
    </row>
    <row r="4" spans="1:8" ht="15" customHeight="1" x14ac:dyDescent="0.25">
      <c r="A4" s="64" t="s">
        <v>2</v>
      </c>
      <c r="B4" s="64"/>
      <c r="C4" s="64"/>
      <c r="D4" s="64"/>
      <c r="E4" s="113" t="s">
        <v>189</v>
      </c>
      <c r="F4" s="113"/>
      <c r="G4" s="113"/>
      <c r="H4" s="113"/>
    </row>
    <row r="5" spans="1:8" x14ac:dyDescent="0.25">
      <c r="A5" s="64" t="s">
        <v>3</v>
      </c>
      <c r="B5" s="64"/>
      <c r="C5" s="64"/>
      <c r="D5" s="64"/>
      <c r="E5" s="116">
        <v>45880</v>
      </c>
      <c r="F5" s="116"/>
      <c r="G5" s="116"/>
      <c r="H5" s="116"/>
    </row>
    <row r="6" spans="1:8" ht="16.5" customHeight="1" x14ac:dyDescent="0.25">
      <c r="A6" s="64" t="s">
        <v>4</v>
      </c>
      <c r="B6" s="64"/>
      <c r="C6" s="64"/>
      <c r="D6" s="64"/>
      <c r="E6" s="112" t="s">
        <v>190</v>
      </c>
      <c r="F6" s="112"/>
      <c r="G6" s="112"/>
      <c r="H6" s="112"/>
    </row>
    <row r="7" spans="1:8" ht="15" customHeight="1" x14ac:dyDescent="0.25">
      <c r="A7" s="64" t="s">
        <v>5</v>
      </c>
      <c r="B7" s="64"/>
      <c r="C7" s="64"/>
      <c r="D7" s="64"/>
      <c r="E7" s="112" t="str">
        <f>E6</f>
        <v>M/s.Mahesh Developers Limited</v>
      </c>
      <c r="F7" s="112"/>
      <c r="G7" s="112"/>
      <c r="H7" s="112"/>
    </row>
    <row r="8" spans="1:8" x14ac:dyDescent="0.25">
      <c r="A8" s="64" t="s">
        <v>6</v>
      </c>
      <c r="B8" s="64"/>
      <c r="C8" s="64"/>
      <c r="D8" s="64"/>
      <c r="E8" s="94" t="s">
        <v>191</v>
      </c>
      <c r="F8" s="94"/>
      <c r="G8" s="94"/>
      <c r="H8" s="94"/>
    </row>
    <row r="9" spans="1:8" x14ac:dyDescent="0.25">
      <c r="A9" s="64" t="s">
        <v>160</v>
      </c>
      <c r="B9" s="64"/>
      <c r="C9" s="64"/>
      <c r="D9" s="64"/>
      <c r="E9" s="64">
        <v>2226000038</v>
      </c>
      <c r="F9" s="64"/>
      <c r="G9" s="64"/>
      <c r="H9" s="64"/>
    </row>
    <row r="10" spans="1:8" x14ac:dyDescent="0.25">
      <c r="A10" s="64" t="s">
        <v>248</v>
      </c>
      <c r="B10" s="64"/>
      <c r="C10" s="64"/>
      <c r="D10" s="64"/>
      <c r="E10" s="64" t="s">
        <v>255</v>
      </c>
      <c r="F10" s="64"/>
      <c r="G10" s="64"/>
      <c r="H10" s="64"/>
    </row>
    <row r="11" spans="1:8" x14ac:dyDescent="0.25">
      <c r="A11" s="97" t="s">
        <v>7</v>
      </c>
      <c r="B11" s="97"/>
      <c r="C11" s="97"/>
      <c r="D11" s="97"/>
      <c r="E11" s="97" t="s">
        <v>161</v>
      </c>
      <c r="F11" s="97"/>
      <c r="G11" s="97"/>
      <c r="H11" s="97"/>
    </row>
    <row r="12" spans="1:8" x14ac:dyDescent="0.25">
      <c r="A12" s="64" t="s">
        <v>8</v>
      </c>
      <c r="B12" s="64"/>
      <c r="C12" s="64"/>
      <c r="D12" s="64"/>
      <c r="E12" s="111" t="s">
        <v>215</v>
      </c>
      <c r="F12" s="111"/>
      <c r="G12" s="111"/>
      <c r="H12" s="111"/>
    </row>
    <row r="13" spans="1:8" x14ac:dyDescent="0.25">
      <c r="A13" s="64" t="s">
        <v>9</v>
      </c>
      <c r="B13" s="64"/>
      <c r="C13" s="64"/>
      <c r="D13" s="64"/>
      <c r="E13" s="111" t="s">
        <v>192</v>
      </c>
      <c r="F13" s="97"/>
      <c r="G13" s="97"/>
      <c r="H13" s="97"/>
    </row>
    <row r="14" spans="1:8" ht="35.25" customHeight="1" x14ac:dyDescent="0.25">
      <c r="A14" s="112" t="s">
        <v>10</v>
      </c>
      <c r="B14" s="112"/>
      <c r="C14" s="112" t="s">
        <v>217</v>
      </c>
      <c r="D14" s="112"/>
      <c r="E14" s="112"/>
      <c r="F14" s="112"/>
      <c r="G14" s="112"/>
      <c r="H14" s="112"/>
    </row>
    <row r="15" spans="1:8" x14ac:dyDescent="0.25">
      <c r="A15" s="111" t="s">
        <v>197</v>
      </c>
      <c r="B15" s="111"/>
      <c r="C15" s="111" t="s">
        <v>216</v>
      </c>
      <c r="D15" s="111"/>
      <c r="E15" s="111"/>
      <c r="F15" s="111"/>
      <c r="G15" s="111"/>
      <c r="H15" s="111"/>
    </row>
    <row r="16" spans="1:8" ht="15.75" customHeight="1" x14ac:dyDescent="0.25">
      <c r="A16" s="112" t="s">
        <v>11</v>
      </c>
      <c r="B16" s="112"/>
      <c r="C16" s="97" t="s">
        <v>199</v>
      </c>
      <c r="D16" s="97"/>
      <c r="E16" s="112" t="s">
        <v>194</v>
      </c>
      <c r="F16" s="112"/>
      <c r="G16" s="111" t="s">
        <v>193</v>
      </c>
      <c r="H16" s="111"/>
    </row>
    <row r="17" spans="1:8" x14ac:dyDescent="0.25">
      <c r="A17" s="64" t="s">
        <v>13</v>
      </c>
      <c r="B17" s="64"/>
      <c r="C17" s="111" t="s">
        <v>202</v>
      </c>
      <c r="D17" s="111"/>
      <c r="E17" s="112" t="s">
        <v>12</v>
      </c>
      <c r="F17" s="112"/>
      <c r="G17" s="114" t="s">
        <v>195</v>
      </c>
      <c r="H17" s="114"/>
    </row>
    <row r="18" spans="1:8" x14ac:dyDescent="0.25">
      <c r="A18" s="64" t="s">
        <v>102</v>
      </c>
      <c r="B18" s="64"/>
      <c r="C18" s="111" t="s">
        <v>196</v>
      </c>
      <c r="D18" s="111"/>
      <c r="E18" s="112" t="s">
        <v>14</v>
      </c>
      <c r="F18" s="112"/>
      <c r="G18" s="111">
        <v>400052</v>
      </c>
      <c r="H18" s="111"/>
    </row>
    <row r="19" spans="1:8" ht="32.25" customHeight="1" x14ac:dyDescent="0.25">
      <c r="A19" s="64" t="s">
        <v>163</v>
      </c>
      <c r="B19" s="64"/>
      <c r="C19" s="115" t="s">
        <v>201</v>
      </c>
      <c r="D19" s="115"/>
      <c r="E19" s="112" t="s">
        <v>15</v>
      </c>
      <c r="F19" s="112"/>
      <c r="G19" s="111" t="s">
        <v>203</v>
      </c>
      <c r="H19" s="111"/>
    </row>
    <row r="20" spans="1:8" ht="15" customHeight="1" x14ac:dyDescent="0.25">
      <c r="A20" s="112" t="s">
        <v>107</v>
      </c>
      <c r="B20" s="112"/>
      <c r="C20" s="112"/>
      <c r="D20" s="112"/>
      <c r="E20" s="97" t="s">
        <v>16</v>
      </c>
      <c r="F20" s="97"/>
      <c r="G20" s="97"/>
      <c r="H20" s="97"/>
    </row>
    <row r="21" spans="1:8" ht="18.75" customHeight="1" x14ac:dyDescent="0.25">
      <c r="A21" s="112"/>
      <c r="B21" s="112"/>
      <c r="C21" s="112"/>
      <c r="D21" s="112"/>
      <c r="E21" s="97"/>
      <c r="F21" s="97"/>
      <c r="G21" s="97"/>
      <c r="H21" s="97"/>
    </row>
    <row r="22" spans="1:8" ht="15" customHeight="1" x14ac:dyDescent="0.25">
      <c r="A22" s="112" t="s">
        <v>17</v>
      </c>
      <c r="B22" s="112"/>
      <c r="C22" s="112"/>
      <c r="D22" s="112"/>
      <c r="E22" s="111" t="s">
        <v>18</v>
      </c>
      <c r="F22" s="111"/>
      <c r="G22" s="111"/>
      <c r="H22" s="111"/>
    </row>
    <row r="23" spans="1:8" ht="15" customHeight="1" x14ac:dyDescent="0.25">
      <c r="A23" s="64" t="s">
        <v>19</v>
      </c>
      <c r="B23" s="64"/>
      <c r="C23" s="64"/>
      <c r="D23" s="64"/>
      <c r="E23" s="111" t="str">
        <f>IF(AND(G17="Mumbai"),"Upper Class","Middle Class")</f>
        <v>Upper Class</v>
      </c>
      <c r="F23" s="111"/>
      <c r="G23" s="111"/>
      <c r="H23" s="111"/>
    </row>
    <row r="24" spans="1:8" x14ac:dyDescent="0.25">
      <c r="A24" s="64" t="s">
        <v>20</v>
      </c>
      <c r="B24" s="64"/>
      <c r="C24" s="64"/>
      <c r="D24" s="64"/>
      <c r="E24" s="111" t="s">
        <v>21</v>
      </c>
      <c r="F24" s="111"/>
      <c r="G24" s="111"/>
      <c r="H24" s="111"/>
    </row>
    <row r="25" spans="1:8" ht="15.75" customHeight="1" x14ac:dyDescent="0.25">
      <c r="A25" s="64" t="s">
        <v>22</v>
      </c>
      <c r="B25" s="64"/>
      <c r="C25" s="64"/>
      <c r="D25" s="64"/>
      <c r="E25" s="111" t="str">
        <f>IF(AND(G17="Mumbai"),"Developed","Developing")</f>
        <v>Developed</v>
      </c>
      <c r="F25" s="111"/>
      <c r="G25" s="111"/>
      <c r="H25" s="111"/>
    </row>
    <row r="26" spans="1:8" x14ac:dyDescent="0.25">
      <c r="A26" s="64" t="s">
        <v>23</v>
      </c>
      <c r="B26" s="64"/>
      <c r="C26" s="64"/>
      <c r="D26" s="64"/>
      <c r="E26" s="111" t="s">
        <v>24</v>
      </c>
      <c r="F26" s="111"/>
      <c r="G26" s="111"/>
      <c r="H26" s="111"/>
    </row>
    <row r="27" spans="1:8" x14ac:dyDescent="0.25">
      <c r="A27" s="64" t="s">
        <v>112</v>
      </c>
      <c r="B27" s="64"/>
      <c r="C27" s="64"/>
      <c r="D27" s="64"/>
      <c r="E27" s="111" t="s">
        <v>113</v>
      </c>
      <c r="F27" s="111"/>
      <c r="G27" s="111"/>
      <c r="H27" s="111"/>
    </row>
    <row r="28" spans="1:8" ht="15" customHeight="1" x14ac:dyDescent="0.25">
      <c r="A28" s="112" t="s">
        <v>33</v>
      </c>
      <c r="B28" s="112"/>
      <c r="C28" s="112"/>
      <c r="D28" s="112"/>
      <c r="E28" s="113" t="s">
        <v>212</v>
      </c>
      <c r="F28" s="113"/>
      <c r="G28" s="113"/>
      <c r="H28" s="113"/>
    </row>
    <row r="29" spans="1:8" x14ac:dyDescent="0.25">
      <c r="A29" s="112" t="s">
        <v>124</v>
      </c>
      <c r="B29" s="112"/>
      <c r="C29" s="112"/>
      <c r="D29" s="112"/>
      <c r="E29" s="112" t="s">
        <v>34</v>
      </c>
      <c r="F29" s="112"/>
      <c r="G29" s="112"/>
      <c r="H29" s="112"/>
    </row>
    <row r="30" spans="1:8" s="11" customFormat="1" x14ac:dyDescent="0.25">
      <c r="A30" s="96" t="s">
        <v>125</v>
      </c>
      <c r="B30" s="96"/>
      <c r="C30" s="93" t="s">
        <v>29</v>
      </c>
      <c r="D30" s="93"/>
      <c r="E30" s="93"/>
      <c r="F30" s="93" t="s">
        <v>31</v>
      </c>
      <c r="G30" s="93"/>
      <c r="H30" s="93"/>
    </row>
    <row r="31" spans="1:8" s="11" customFormat="1" x14ac:dyDescent="0.25">
      <c r="A31" s="95" t="s">
        <v>25</v>
      </c>
      <c r="B31" s="95" t="s">
        <v>30</v>
      </c>
      <c r="C31" s="92" t="s">
        <v>30</v>
      </c>
      <c r="D31" s="92"/>
      <c r="E31" s="92"/>
      <c r="F31" s="92" t="s">
        <v>198</v>
      </c>
      <c r="G31" s="92"/>
      <c r="H31" s="92"/>
    </row>
    <row r="32" spans="1:8" x14ac:dyDescent="0.25">
      <c r="A32" s="95" t="s">
        <v>26</v>
      </c>
      <c r="B32" s="95" t="s">
        <v>30</v>
      </c>
      <c r="C32" s="92" t="s">
        <v>30</v>
      </c>
      <c r="D32" s="92"/>
      <c r="E32" s="92"/>
      <c r="F32" s="92" t="s">
        <v>201</v>
      </c>
      <c r="G32" s="92"/>
      <c r="H32" s="92"/>
    </row>
    <row r="33" spans="1:8" s="11" customFormat="1" x14ac:dyDescent="0.25">
      <c r="A33" s="95" t="s">
        <v>28</v>
      </c>
      <c r="B33" s="95" t="s">
        <v>30</v>
      </c>
      <c r="C33" s="92" t="s">
        <v>30</v>
      </c>
      <c r="D33" s="92"/>
      <c r="E33" s="92"/>
      <c r="F33" s="92" t="s">
        <v>199</v>
      </c>
      <c r="G33" s="92"/>
      <c r="H33" s="92"/>
    </row>
    <row r="34" spans="1:8" x14ac:dyDescent="0.25">
      <c r="A34" s="95" t="s">
        <v>27</v>
      </c>
      <c r="B34" s="95" t="s">
        <v>30</v>
      </c>
      <c r="C34" s="92" t="s">
        <v>30</v>
      </c>
      <c r="D34" s="92"/>
      <c r="E34" s="92"/>
      <c r="F34" s="92" t="s">
        <v>200</v>
      </c>
      <c r="G34" s="92"/>
      <c r="H34" s="92"/>
    </row>
    <row r="35" spans="1:8" x14ac:dyDescent="0.25">
      <c r="A35" s="64" t="s">
        <v>32</v>
      </c>
      <c r="B35" s="64"/>
      <c r="C35" s="64"/>
      <c r="D35" s="64"/>
      <c r="E35" s="64"/>
      <c r="F35" s="64"/>
      <c r="G35" s="64"/>
      <c r="H35" s="64"/>
    </row>
    <row r="36" spans="1:8" ht="15.75" customHeight="1" x14ac:dyDescent="0.25">
      <c r="A36" s="94" t="s">
        <v>251</v>
      </c>
      <c r="B36" s="94"/>
      <c r="C36" s="166" t="s">
        <v>252</v>
      </c>
      <c r="D36" s="69"/>
      <c r="E36" s="69"/>
      <c r="F36" s="69"/>
      <c r="G36" s="69"/>
      <c r="H36" s="70"/>
    </row>
    <row r="37" spans="1:8" ht="15.75" customHeight="1" x14ac:dyDescent="0.25">
      <c r="A37" s="94" t="s">
        <v>249</v>
      </c>
      <c r="B37" s="94"/>
      <c r="C37" s="68" t="s">
        <v>250</v>
      </c>
      <c r="D37" s="69"/>
      <c r="E37" s="69"/>
      <c r="F37" s="69"/>
      <c r="G37" s="69"/>
      <c r="H37" s="70"/>
    </row>
    <row r="38" spans="1:8" x14ac:dyDescent="0.25">
      <c r="A38" s="94" t="s">
        <v>35</v>
      </c>
      <c r="B38" s="94"/>
      <c r="C38" s="94"/>
      <c r="D38" s="94"/>
      <c r="E38" s="94"/>
      <c r="F38" s="94"/>
      <c r="G38" s="94"/>
      <c r="H38" s="94"/>
    </row>
    <row r="39" spans="1:8" x14ac:dyDescent="0.25">
      <c r="A39" s="64" t="s">
        <v>36</v>
      </c>
      <c r="B39" s="64"/>
      <c r="C39" s="64"/>
      <c r="D39" s="64"/>
      <c r="E39" s="91">
        <v>494.98</v>
      </c>
      <c r="F39" s="91"/>
      <c r="G39" s="91"/>
      <c r="H39" s="91"/>
    </row>
    <row r="40" spans="1:8" x14ac:dyDescent="0.25">
      <c r="A40" s="64" t="s">
        <v>37</v>
      </c>
      <c r="B40" s="64"/>
      <c r="C40" s="64"/>
      <c r="D40" s="64"/>
      <c r="E40" s="63">
        <v>1</v>
      </c>
      <c r="F40" s="63"/>
      <c r="G40" s="63"/>
      <c r="H40" s="63"/>
    </row>
    <row r="41" spans="1:8" x14ac:dyDescent="0.25">
      <c r="A41" s="64" t="s">
        <v>38</v>
      </c>
      <c r="B41" s="64"/>
      <c r="C41" s="64"/>
      <c r="D41" s="64"/>
      <c r="E41" s="63">
        <f>E43/E39-E40</f>
        <v>0.49995959432704362</v>
      </c>
      <c r="F41" s="63"/>
      <c r="G41" s="63"/>
      <c r="H41" s="63"/>
    </row>
    <row r="42" spans="1:8" x14ac:dyDescent="0.25">
      <c r="A42" s="64" t="s">
        <v>39</v>
      </c>
      <c r="B42" s="64"/>
      <c r="C42" s="64"/>
      <c r="D42" s="64"/>
      <c r="E42" s="63">
        <f>E40+E41</f>
        <v>1.4999595943270436</v>
      </c>
      <c r="F42" s="63"/>
      <c r="G42" s="63"/>
      <c r="H42" s="63"/>
    </row>
    <row r="43" spans="1:8" x14ac:dyDescent="0.25">
      <c r="A43" s="64" t="s">
        <v>123</v>
      </c>
      <c r="B43" s="64"/>
      <c r="C43" s="64"/>
      <c r="D43" s="64"/>
      <c r="E43" s="65">
        <v>742.45</v>
      </c>
      <c r="F43" s="65"/>
      <c r="G43" s="65"/>
      <c r="H43" s="65"/>
    </row>
    <row r="44" spans="1:8" x14ac:dyDescent="0.25">
      <c r="A44" s="97" t="s">
        <v>40</v>
      </c>
      <c r="B44" s="97"/>
      <c r="C44" s="97"/>
      <c r="D44" s="97"/>
      <c r="E44" s="97" t="s">
        <v>161</v>
      </c>
      <c r="F44" s="97"/>
      <c r="G44" s="97"/>
      <c r="H44" s="97"/>
    </row>
    <row r="45" spans="1:8" x14ac:dyDescent="0.25">
      <c r="A45" s="94" t="s">
        <v>41</v>
      </c>
      <c r="B45" s="94"/>
      <c r="C45" s="94"/>
      <c r="D45" s="94"/>
      <c r="E45" s="94"/>
      <c r="F45" s="94"/>
      <c r="G45" s="94"/>
      <c r="H45" s="94"/>
    </row>
    <row r="46" spans="1:8" x14ac:dyDescent="0.25">
      <c r="A46" s="112" t="s">
        <v>42</v>
      </c>
      <c r="B46" s="112"/>
      <c r="C46" s="67" t="s">
        <v>204</v>
      </c>
      <c r="D46" s="67"/>
      <c r="E46" s="67"/>
      <c r="F46" s="51" t="s">
        <v>43</v>
      </c>
      <c r="G46" s="101">
        <v>44503</v>
      </c>
      <c r="H46" s="101"/>
    </row>
    <row r="47" spans="1:8" x14ac:dyDescent="0.25">
      <c r="A47" s="64" t="s">
        <v>44</v>
      </c>
      <c r="B47" s="64"/>
      <c r="C47" s="67" t="str">
        <f>C46</f>
        <v>CHE/WS/1530/H/337</v>
      </c>
      <c r="D47" s="67"/>
      <c r="E47" s="67"/>
      <c r="F47" s="51" t="s">
        <v>43</v>
      </c>
      <c r="G47" s="101">
        <f>G46</f>
        <v>44503</v>
      </c>
      <c r="H47" s="101"/>
    </row>
    <row r="48" spans="1:8" s="10" customFormat="1" ht="32.25" customHeight="1" x14ac:dyDescent="0.25">
      <c r="A48" s="111" t="s">
        <v>45</v>
      </c>
      <c r="B48" s="111"/>
      <c r="C48" s="155" t="s">
        <v>243</v>
      </c>
      <c r="D48" s="156"/>
      <c r="E48" s="157"/>
      <c r="F48" s="13" t="s">
        <v>43</v>
      </c>
      <c r="G48" s="101">
        <v>45085</v>
      </c>
      <c r="H48" s="101"/>
    </row>
    <row r="49" spans="1:14" s="10" customFormat="1" ht="80.25" customHeight="1" x14ac:dyDescent="0.25">
      <c r="A49" s="111"/>
      <c r="B49" s="111"/>
      <c r="C49" s="67" t="s">
        <v>242</v>
      </c>
      <c r="D49" s="79"/>
      <c r="E49" s="79"/>
      <c r="F49" s="38" t="s">
        <v>162</v>
      </c>
      <c r="G49" s="101">
        <v>45423</v>
      </c>
      <c r="H49" s="101"/>
    </row>
    <row r="50" spans="1:14" x14ac:dyDescent="0.25">
      <c r="A50" s="102" t="s">
        <v>46</v>
      </c>
      <c r="B50" s="102"/>
      <c r="C50" s="103" t="s">
        <v>140</v>
      </c>
      <c r="D50" s="104"/>
      <c r="E50" s="104" t="s">
        <v>47</v>
      </c>
      <c r="F50" s="53" t="s">
        <v>43</v>
      </c>
      <c r="G50" s="158" t="s">
        <v>30</v>
      </c>
      <c r="H50" s="158"/>
    </row>
    <row r="51" spans="1:14" x14ac:dyDescent="0.25">
      <c r="A51" s="134" t="s">
        <v>49</v>
      </c>
      <c r="B51" s="134"/>
      <c r="C51" s="134"/>
      <c r="D51" s="134"/>
      <c r="E51" s="134"/>
      <c r="F51" s="134"/>
      <c r="G51" s="134"/>
      <c r="H51" s="134"/>
    </row>
    <row r="52" spans="1:14" x14ac:dyDescent="0.25">
      <c r="A52" s="112" t="s">
        <v>122</v>
      </c>
      <c r="B52" s="112"/>
      <c r="C52" s="112"/>
      <c r="D52" s="97">
        <f>E43</f>
        <v>742.45</v>
      </c>
      <c r="E52" s="97"/>
      <c r="F52" s="97"/>
      <c r="G52" s="97"/>
      <c r="H52" s="97"/>
    </row>
    <row r="53" spans="1:14" x14ac:dyDescent="0.25">
      <c r="A53" s="111" t="s">
        <v>50</v>
      </c>
      <c r="B53" s="97"/>
      <c r="C53" s="97"/>
      <c r="D53" s="97" t="s">
        <v>237</v>
      </c>
      <c r="E53" s="97"/>
      <c r="F53" s="97"/>
      <c r="G53" s="97"/>
      <c r="H53" s="97"/>
      <c r="I53" s="41"/>
    </row>
    <row r="54" spans="1:14" ht="15.75" customHeight="1" x14ac:dyDescent="0.25">
      <c r="A54" s="148" t="s">
        <v>51</v>
      </c>
      <c r="B54" s="149"/>
      <c r="C54" s="150"/>
      <c r="D54" s="97" t="s">
        <v>211</v>
      </c>
      <c r="E54" s="97"/>
      <c r="F54" s="97"/>
      <c r="G54" s="97"/>
      <c r="H54" s="97"/>
    </row>
    <row r="55" spans="1:14" ht="15.75" customHeight="1" x14ac:dyDescent="0.25">
      <c r="A55" s="148" t="s">
        <v>120</v>
      </c>
      <c r="B55" s="149"/>
      <c r="C55" s="149"/>
      <c r="D55" s="97" t="s">
        <v>211</v>
      </c>
      <c r="E55" s="97"/>
      <c r="F55" s="97"/>
      <c r="G55" s="97"/>
      <c r="H55" s="97"/>
    </row>
    <row r="56" spans="1:14" ht="15.75" customHeight="1" x14ac:dyDescent="0.25">
      <c r="A56" s="64" t="s">
        <v>48</v>
      </c>
      <c r="B56" s="64"/>
      <c r="C56" s="64"/>
      <c r="D56" s="151" t="s">
        <v>239</v>
      </c>
      <c r="E56" s="151"/>
      <c r="F56" s="151"/>
      <c r="G56" s="151"/>
      <c r="H56" s="151"/>
      <c r="J56" s="40"/>
      <c r="K56" s="41"/>
      <c r="N56" s="41"/>
    </row>
    <row r="57" spans="1:14" ht="15.75" customHeight="1" x14ac:dyDescent="0.25">
      <c r="A57" s="64" t="s">
        <v>118</v>
      </c>
      <c r="B57" s="64"/>
      <c r="C57" s="64"/>
      <c r="D57" s="136" t="str">
        <f>(IF(G50="NA","60 Years After Completion",IF(G50&lt;&gt;"NA",""&amp;60-ROUNDDOWN((E3-G50)/360,0)&amp;" Years"," ")))</f>
        <v>60 Years After Completion</v>
      </c>
      <c r="E57" s="136"/>
      <c r="F57" s="136"/>
      <c r="G57" s="136"/>
      <c r="H57" s="136"/>
      <c r="N57" s="41"/>
    </row>
    <row r="58" spans="1:14" ht="15.75" customHeight="1" x14ac:dyDescent="0.25">
      <c r="A58" s="64" t="s">
        <v>119</v>
      </c>
      <c r="B58" s="64"/>
      <c r="C58" s="64"/>
      <c r="D58" s="112" t="s">
        <v>24</v>
      </c>
      <c r="E58" s="112"/>
      <c r="F58" s="112"/>
      <c r="G58" s="112"/>
      <c r="H58" s="112"/>
      <c r="J58" s="18"/>
      <c r="K58" s="18"/>
    </row>
    <row r="59" spans="1:14" ht="15.75" customHeight="1" thickBot="1" x14ac:dyDescent="0.3">
      <c r="A59" s="159" t="s">
        <v>117</v>
      </c>
      <c r="B59" s="159"/>
      <c r="C59" s="159"/>
      <c r="D59" s="160" t="str">
        <f>(IF(G64&gt;95%,"Nothing",IF(G64&gt;0%,"Cement, Aggregate, Steel, etc",IF(G64=0%,"Work not yet Started"))))</f>
        <v>Cement, Aggregate, Steel, etc</v>
      </c>
      <c r="E59" s="160"/>
      <c r="F59" s="160"/>
      <c r="G59" s="160"/>
      <c r="H59" s="160"/>
      <c r="J59" s="18"/>
    </row>
    <row r="60" spans="1:14" ht="15.75" customHeight="1" x14ac:dyDescent="0.25">
      <c r="A60" s="143" t="s">
        <v>181</v>
      </c>
      <c r="B60" s="144"/>
      <c r="C60" s="145" t="str">
        <f>D55</f>
        <v>St + 1st to 12th Floor</v>
      </c>
      <c r="D60" s="146"/>
      <c r="E60" s="146"/>
      <c r="F60" s="146"/>
      <c r="G60" s="146"/>
      <c r="H60" s="147"/>
      <c r="I60" s="44" t="str">
        <f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Excavation work Completed. Plinth work completed, RCC Slab, Brickwork, Internal Plaster, External Plaster, Flooring upto 10 Floor, Painting upto 10 Floor Completed</v>
      </c>
      <c r="J60" s="19"/>
    </row>
    <row r="61" spans="1:14" x14ac:dyDescent="0.25">
      <c r="A61" s="49" t="s">
        <v>183</v>
      </c>
      <c r="B61" s="52">
        <v>0</v>
      </c>
      <c r="C61" s="52" t="s">
        <v>101</v>
      </c>
      <c r="D61" s="52">
        <v>1</v>
      </c>
      <c r="E61" s="52" t="s">
        <v>100</v>
      </c>
      <c r="F61" s="52">
        <v>0</v>
      </c>
      <c r="G61" s="52" t="s">
        <v>111</v>
      </c>
      <c r="H61" s="50">
        <v>12</v>
      </c>
      <c r="I61" s="18"/>
      <c r="J61" s="20"/>
    </row>
    <row r="62" spans="1:14" ht="49.5" customHeight="1" x14ac:dyDescent="0.25">
      <c r="A62" s="141" t="s">
        <v>121</v>
      </c>
      <c r="B62" s="142"/>
      <c r="C62" s="137" t="str">
        <f>I60</f>
        <v>Excavation work Completed. Plinth work completed, RCC Slab, Brickwork, Internal Plaster, External Plaster, Flooring upto 10 Floor, Painting upto 10 Floor Completed</v>
      </c>
      <c r="D62" s="137"/>
      <c r="E62" s="137"/>
      <c r="F62" s="137"/>
      <c r="G62" s="137"/>
      <c r="H62" s="138"/>
      <c r="I62" s="18" t="s">
        <v>139</v>
      </c>
      <c r="J62" s="20"/>
    </row>
    <row r="63" spans="1:14" ht="15.75" customHeight="1" x14ac:dyDescent="0.25">
      <c r="A63" s="105" t="s">
        <v>52</v>
      </c>
      <c r="B63" s="106"/>
      <c r="C63" s="54" t="s">
        <v>180</v>
      </c>
      <c r="D63" s="54" t="s">
        <v>114</v>
      </c>
      <c r="E63" s="106" t="s">
        <v>116</v>
      </c>
      <c r="F63" s="106"/>
      <c r="G63" s="106" t="s">
        <v>115</v>
      </c>
      <c r="H63" s="140"/>
      <c r="I63" s="39" t="s">
        <v>182</v>
      </c>
      <c r="J63" s="21">
        <f>H61*25%</f>
        <v>3</v>
      </c>
    </row>
    <row r="64" spans="1:14" x14ac:dyDescent="0.25">
      <c r="A64" s="105" t="s">
        <v>169</v>
      </c>
      <c r="B64" s="106"/>
      <c r="C64" s="55">
        <f>J65</f>
        <v>12</v>
      </c>
      <c r="D64" s="56">
        <f>((100/H61)*C64)/100</f>
        <v>1</v>
      </c>
      <c r="E64" s="107">
        <f>(((C65/H61*10)+(40/(D61+F61+H61)*C66)+(7.5/(H61)*C67)+(7.5/(H61)*C68)+(10/H61*C69)+(10/H61*C70)+(5/H61*C71)+(5/H61*C72)+(5/H61*C73))/100)</f>
        <v>0.875</v>
      </c>
      <c r="F64" s="107"/>
      <c r="G64" s="107">
        <f>((((C64/H61)*20)+((C65/H61)*25)+(30/(H61+F61+D61)*C66)+(5/H61*C67)+(5/H61*C68)+(5/H61*C69)+(5/H61*C70)+(0/H61*C71)+(0/H61*C72)+(5/H61*C73))/100)</f>
        <v>0.94166666666666676</v>
      </c>
      <c r="H64" s="109"/>
      <c r="I64" s="39" t="s">
        <v>134</v>
      </c>
      <c r="J64" s="43">
        <f>H61*50%</f>
        <v>6</v>
      </c>
    </row>
    <row r="65" spans="1:12" x14ac:dyDescent="0.25">
      <c r="A65" s="105" t="s">
        <v>53</v>
      </c>
      <c r="B65" s="106"/>
      <c r="C65" s="57">
        <v>12</v>
      </c>
      <c r="D65" s="56">
        <f>((100/H61)*C65)/100</f>
        <v>1</v>
      </c>
      <c r="E65" s="107"/>
      <c r="F65" s="107"/>
      <c r="G65" s="107"/>
      <c r="H65" s="109"/>
      <c r="I65" s="39" t="s">
        <v>135</v>
      </c>
      <c r="J65" s="43">
        <f>H61</f>
        <v>12</v>
      </c>
    </row>
    <row r="66" spans="1:12" ht="15.75" customHeight="1" x14ac:dyDescent="0.25">
      <c r="A66" s="139" t="s">
        <v>170</v>
      </c>
      <c r="B66" s="92"/>
      <c r="C66" s="57">
        <v>13</v>
      </c>
      <c r="D66" s="56">
        <f>((100/(D61+F61+H61))*C66)/100</f>
        <v>1</v>
      </c>
      <c r="E66" s="107"/>
      <c r="F66" s="107"/>
      <c r="G66" s="107"/>
      <c r="H66" s="109"/>
      <c r="I66" s="39" t="s">
        <v>136</v>
      </c>
      <c r="J66" s="46">
        <f>(IF(B61&gt;1,(H61/(B61+2)),H61/4))</f>
        <v>3</v>
      </c>
    </row>
    <row r="67" spans="1:12" ht="15.75" customHeight="1" x14ac:dyDescent="0.25">
      <c r="A67" s="105" t="s">
        <v>177</v>
      </c>
      <c r="B67" s="106" t="s">
        <v>171</v>
      </c>
      <c r="C67" s="55">
        <v>12</v>
      </c>
      <c r="D67" s="56">
        <f>((100/H61)*C67)/100</f>
        <v>1</v>
      </c>
      <c r="E67" s="107"/>
      <c r="F67" s="107"/>
      <c r="G67" s="107"/>
      <c r="H67" s="109"/>
      <c r="I67" s="39" t="s">
        <v>137</v>
      </c>
      <c r="J67" s="46">
        <f>(IF(B61&gt;1,(H61/(B61+2)+J66),H61/4+J66))</f>
        <v>6</v>
      </c>
    </row>
    <row r="68" spans="1:12" ht="15.75" customHeight="1" x14ac:dyDescent="0.25">
      <c r="A68" s="105" t="s">
        <v>178</v>
      </c>
      <c r="B68" s="106" t="s">
        <v>171</v>
      </c>
      <c r="C68" s="55">
        <v>12</v>
      </c>
      <c r="D68" s="56">
        <f>((100/H61)*C68)/100</f>
        <v>1</v>
      </c>
      <c r="E68" s="107"/>
      <c r="F68" s="107"/>
      <c r="G68" s="107"/>
      <c r="H68" s="109"/>
      <c r="I68" s="39" t="s">
        <v>187</v>
      </c>
      <c r="J68" s="46">
        <f>(IF(B61&gt;1,(H61/(B61+2)+J67),0))</f>
        <v>0</v>
      </c>
    </row>
    <row r="69" spans="1:12" ht="15" customHeight="1" x14ac:dyDescent="0.25">
      <c r="A69" s="105" t="s">
        <v>176</v>
      </c>
      <c r="B69" s="106" t="s">
        <v>173</v>
      </c>
      <c r="C69" s="55">
        <v>12</v>
      </c>
      <c r="D69" s="56">
        <f>((100/(H61))*C69)/100</f>
        <v>1</v>
      </c>
      <c r="E69" s="107"/>
      <c r="F69" s="107"/>
      <c r="G69" s="107"/>
      <c r="H69" s="109"/>
      <c r="I69" s="39" t="s">
        <v>184</v>
      </c>
      <c r="J69" s="46">
        <f>(IF(B61&gt;2,(H61/(B61+2)+J68),0))</f>
        <v>0</v>
      </c>
    </row>
    <row r="70" spans="1:12" ht="15.75" customHeight="1" x14ac:dyDescent="0.25">
      <c r="A70" s="105" t="s">
        <v>172</v>
      </c>
      <c r="B70" s="106" t="s">
        <v>172</v>
      </c>
      <c r="C70" s="55">
        <v>10</v>
      </c>
      <c r="D70" s="56">
        <f>((100/H61)*C70)/100</f>
        <v>0.83333333333333348</v>
      </c>
      <c r="E70" s="107"/>
      <c r="F70" s="107"/>
      <c r="G70" s="107"/>
      <c r="H70" s="109"/>
      <c r="I70" s="39" t="s">
        <v>185</v>
      </c>
      <c r="J70" s="47">
        <f>(IF(B61&gt;3,(H61/(B61+2)+J69),0))</f>
        <v>0</v>
      </c>
    </row>
    <row r="71" spans="1:12" ht="15.75" customHeight="1" x14ac:dyDescent="0.25">
      <c r="A71" s="105" t="s">
        <v>179</v>
      </c>
      <c r="B71" s="106"/>
      <c r="C71" s="55">
        <v>10</v>
      </c>
      <c r="D71" s="56">
        <f>((100/H61)*C71)/100</f>
        <v>0.83333333333333348</v>
      </c>
      <c r="E71" s="107"/>
      <c r="F71" s="107"/>
      <c r="G71" s="107"/>
      <c r="H71" s="109"/>
      <c r="I71" s="39" t="s">
        <v>186</v>
      </c>
      <c r="J71" s="46">
        <f>(IF(B61&gt;4,(H61/(B61+2)+J70),0))</f>
        <v>0</v>
      </c>
    </row>
    <row r="72" spans="1:12" ht="15.75" customHeight="1" x14ac:dyDescent="0.25">
      <c r="A72" s="105" t="s">
        <v>174</v>
      </c>
      <c r="B72" s="106" t="s">
        <v>174</v>
      </c>
      <c r="C72" s="55">
        <v>0</v>
      </c>
      <c r="D72" s="56">
        <f>((100/(H61))*C72)/100</f>
        <v>0</v>
      </c>
      <c r="E72" s="107"/>
      <c r="F72" s="107"/>
      <c r="G72" s="107"/>
      <c r="H72" s="109"/>
      <c r="I72" s="39" t="s">
        <v>188</v>
      </c>
      <c r="J72" s="46">
        <f>(IF(B61=1,(H61/(B61+3)+J67),IF(B61=0,(H61/4+J67),IF(B61&gt;1,0))))</f>
        <v>9</v>
      </c>
    </row>
    <row r="73" spans="1:12" ht="16.5" thickBot="1" x14ac:dyDescent="0.3">
      <c r="A73" s="152" t="s">
        <v>175</v>
      </c>
      <c r="B73" s="153"/>
      <c r="C73" s="58">
        <v>0</v>
      </c>
      <c r="D73" s="59">
        <f>((100/(H61))*C73)/100</f>
        <v>0</v>
      </c>
      <c r="E73" s="108"/>
      <c r="F73" s="108"/>
      <c r="G73" s="108"/>
      <c r="H73" s="110"/>
      <c r="I73" s="45" t="s">
        <v>138</v>
      </c>
      <c r="J73" s="48">
        <f>(IF(B61&gt;1.5,(H61/(B61+2)+J67+MAX(0,J68-J67)+MAX(0,J69-J68)+MAX(0,J70-J69)+MAX(0,J71-J70)+MAX(0,J72-J71)),IF(B61=1,(H61/(B61+3)+J72),IF(B61=0,H61/4+J72))))</f>
        <v>12</v>
      </c>
    </row>
    <row r="74" spans="1:12" x14ac:dyDescent="0.25">
      <c r="A74" s="74" t="s">
        <v>154</v>
      </c>
      <c r="B74" s="75"/>
      <c r="C74" s="75"/>
      <c r="D74" s="75"/>
      <c r="E74" s="76"/>
      <c r="F74" s="74" t="str">
        <f>(IF(D59="Nothing","Yes",IF(D59="Cement, Aggregate, Steel, etc","Under Construction",IF(D59="Work not yet Started","Work not yet Started"))))</f>
        <v>Under Construction</v>
      </c>
      <c r="G74" s="75"/>
      <c r="H74" s="76"/>
    </row>
    <row r="75" spans="1:12" x14ac:dyDescent="0.25">
      <c r="A75" s="64" t="s">
        <v>54</v>
      </c>
      <c r="B75" s="64"/>
      <c r="C75" s="64"/>
      <c r="D75" s="64"/>
      <c r="E75" s="64"/>
      <c r="F75" s="64"/>
      <c r="G75" s="64"/>
      <c r="H75" s="64"/>
    </row>
    <row r="76" spans="1:12" ht="15" customHeight="1" x14ac:dyDescent="0.25">
      <c r="A76" s="142" t="s">
        <v>103</v>
      </c>
      <c r="B76" s="142"/>
      <c r="C76" s="137" t="s">
        <v>104</v>
      </c>
      <c r="D76" s="137"/>
      <c r="E76" s="137"/>
      <c r="F76" s="137"/>
      <c r="G76" s="137"/>
      <c r="H76" s="137"/>
    </row>
    <row r="77" spans="1:12" x14ac:dyDescent="0.25">
      <c r="A77" s="94" t="s">
        <v>55</v>
      </c>
      <c r="B77" s="94"/>
      <c r="C77" s="94"/>
      <c r="D77" s="94"/>
      <c r="E77" s="94"/>
      <c r="F77" s="94"/>
      <c r="G77" s="94"/>
      <c r="H77" s="94"/>
      <c r="J77" s="8" t="s">
        <v>245</v>
      </c>
      <c r="K77" s="8" t="s">
        <v>246</v>
      </c>
      <c r="L77" s="40">
        <v>45174</v>
      </c>
    </row>
    <row r="78" spans="1:12" x14ac:dyDescent="0.25">
      <c r="A78" s="64" t="s">
        <v>105</v>
      </c>
      <c r="B78" s="64"/>
      <c r="C78" s="64"/>
      <c r="D78" s="64"/>
      <c r="E78" s="64"/>
      <c r="F78" s="79">
        <v>38750</v>
      </c>
      <c r="G78" s="79"/>
      <c r="H78" s="79"/>
    </row>
    <row r="79" spans="1:12" s="12" customFormat="1" hidden="1" x14ac:dyDescent="0.25">
      <c r="A79" s="64" t="s">
        <v>126</v>
      </c>
      <c r="B79" s="64"/>
      <c r="C79" s="64"/>
      <c r="D79" s="64"/>
      <c r="E79" s="64"/>
      <c r="F79" s="79" t="s">
        <v>30</v>
      </c>
      <c r="G79" s="79"/>
      <c r="H79" s="79"/>
    </row>
    <row r="80" spans="1:12" s="12" customFormat="1" hidden="1" x14ac:dyDescent="0.25">
      <c r="A80" s="64" t="s">
        <v>127</v>
      </c>
      <c r="B80" s="64"/>
      <c r="C80" s="64"/>
      <c r="D80" s="64"/>
      <c r="E80" s="64"/>
      <c r="F80" s="79" t="s">
        <v>30</v>
      </c>
      <c r="G80" s="79"/>
      <c r="H80" s="79"/>
    </row>
    <row r="81" spans="1:8" s="12" customFormat="1" hidden="1" x14ac:dyDescent="0.25">
      <c r="A81" s="64" t="s">
        <v>128</v>
      </c>
      <c r="B81" s="64"/>
      <c r="C81" s="64"/>
      <c r="D81" s="64"/>
      <c r="E81" s="64"/>
      <c r="F81" s="79" t="s">
        <v>30</v>
      </c>
      <c r="G81" s="79"/>
      <c r="H81" s="79"/>
    </row>
    <row r="82" spans="1:8" s="12" customFormat="1" hidden="1" x14ac:dyDescent="0.25">
      <c r="A82" s="64" t="s">
        <v>129</v>
      </c>
      <c r="B82" s="64"/>
      <c r="C82" s="64"/>
      <c r="D82" s="64"/>
      <c r="E82" s="64"/>
      <c r="F82" s="79" t="s">
        <v>30</v>
      </c>
      <c r="G82" s="79"/>
      <c r="H82" s="79"/>
    </row>
    <row r="83" spans="1:8" s="12" customFormat="1" hidden="1" x14ac:dyDescent="0.25">
      <c r="A83" s="64" t="s">
        <v>130</v>
      </c>
      <c r="B83" s="64"/>
      <c r="C83" s="64"/>
      <c r="D83" s="64"/>
      <c r="E83" s="64"/>
      <c r="F83" s="79" t="s">
        <v>30</v>
      </c>
      <c r="G83" s="79"/>
      <c r="H83" s="79"/>
    </row>
    <row r="84" spans="1:8" s="12" customFormat="1" hidden="1" x14ac:dyDescent="0.25">
      <c r="A84" s="64" t="s">
        <v>131</v>
      </c>
      <c r="B84" s="64"/>
      <c r="C84" s="64"/>
      <c r="D84" s="64"/>
      <c r="E84" s="64"/>
      <c r="F84" s="79" t="s">
        <v>30</v>
      </c>
      <c r="G84" s="79"/>
      <c r="H84" s="79"/>
    </row>
    <row r="85" spans="1:8" s="12" customFormat="1" hidden="1" x14ac:dyDescent="0.25">
      <c r="A85" s="64" t="s">
        <v>132</v>
      </c>
      <c r="B85" s="64"/>
      <c r="C85" s="64"/>
      <c r="D85" s="64"/>
      <c r="E85" s="64"/>
      <c r="F85" s="79" t="s">
        <v>30</v>
      </c>
      <c r="G85" s="79"/>
      <c r="H85" s="79"/>
    </row>
    <row r="86" spans="1:8" s="12" customFormat="1" hidden="1" x14ac:dyDescent="0.25">
      <c r="A86" s="64" t="s">
        <v>133</v>
      </c>
      <c r="B86" s="64"/>
      <c r="C86" s="64"/>
      <c r="D86" s="64"/>
      <c r="E86" s="64"/>
      <c r="F86" s="79" t="s">
        <v>30</v>
      </c>
      <c r="G86" s="79"/>
      <c r="H86" s="79"/>
    </row>
    <row r="87" spans="1:8" x14ac:dyDescent="0.25">
      <c r="A87" s="64" t="s">
        <v>56</v>
      </c>
      <c r="B87" s="64"/>
      <c r="C87" s="64"/>
      <c r="D87" s="64"/>
      <c r="E87" s="64"/>
      <c r="F87" s="67" t="s">
        <v>221</v>
      </c>
      <c r="G87" s="67"/>
      <c r="H87" s="67"/>
    </row>
    <row r="88" spans="1:8" s="9" customFormat="1" x14ac:dyDescent="0.25">
      <c r="A88" s="94" t="s">
        <v>57</v>
      </c>
      <c r="B88" s="94"/>
      <c r="C88" s="94"/>
      <c r="D88" s="94"/>
      <c r="E88" s="94"/>
      <c r="F88" s="79">
        <f>F78*0.8</f>
        <v>31000</v>
      </c>
      <c r="G88" s="79"/>
      <c r="H88" s="79"/>
    </row>
    <row r="89" spans="1:8" s="1" customFormat="1" ht="15.75" hidden="1" customHeight="1" x14ac:dyDescent="0.25">
      <c r="A89" s="120" t="s">
        <v>106</v>
      </c>
      <c r="B89" s="120"/>
      <c r="C89" s="120"/>
      <c r="D89" s="120"/>
      <c r="E89" s="120"/>
      <c r="F89" s="120"/>
      <c r="G89" s="120"/>
      <c r="H89" s="120"/>
    </row>
    <row r="90" spans="1:8" s="1" customFormat="1" ht="15.75" hidden="1" customHeight="1" x14ac:dyDescent="0.25">
      <c r="A90" s="78" t="s">
        <v>58</v>
      </c>
      <c r="B90" s="78"/>
      <c r="C90" s="80" t="s">
        <v>109</v>
      </c>
      <c r="D90" s="80"/>
      <c r="E90" s="66" t="s">
        <v>59</v>
      </c>
      <c r="F90" s="66"/>
      <c r="G90" s="78" t="s">
        <v>60</v>
      </c>
      <c r="H90" s="78"/>
    </row>
    <row r="91" spans="1:8" s="1" customFormat="1" hidden="1" x14ac:dyDescent="0.25">
      <c r="A91" s="122"/>
      <c r="B91" s="122"/>
      <c r="C91" s="81"/>
      <c r="D91" s="81"/>
      <c r="E91" s="98"/>
      <c r="F91" s="98"/>
      <c r="G91" s="154"/>
      <c r="H91" s="154"/>
    </row>
    <row r="92" spans="1:8" s="1" customFormat="1" x14ac:dyDescent="0.25">
      <c r="A92" s="120" t="s">
        <v>99</v>
      </c>
      <c r="B92" s="120"/>
      <c r="C92" s="120"/>
      <c r="D92" s="120"/>
      <c r="E92" s="120"/>
      <c r="F92" s="120"/>
      <c r="G92" s="120"/>
      <c r="H92" s="120"/>
    </row>
    <row r="93" spans="1:8" s="1" customFormat="1" ht="15.75" customHeight="1" x14ac:dyDescent="0.25">
      <c r="A93" s="78" t="s">
        <v>58</v>
      </c>
      <c r="B93" s="78"/>
      <c r="C93" s="80" t="s">
        <v>109</v>
      </c>
      <c r="D93" s="80"/>
      <c r="E93" s="66" t="s">
        <v>59</v>
      </c>
      <c r="F93" s="66"/>
      <c r="G93" s="78" t="s">
        <v>60</v>
      </c>
      <c r="H93" s="78"/>
    </row>
    <row r="94" spans="1:8" s="1" customFormat="1" x14ac:dyDescent="0.25">
      <c r="A94" s="122" t="s">
        <v>236</v>
      </c>
      <c r="B94" s="122"/>
      <c r="C94" s="81">
        <f>COUNT(D118,D125,D127:D128,D133)+COUNT(D137)*4</f>
        <v>9</v>
      </c>
      <c r="D94" s="81"/>
      <c r="E94" s="135">
        <f>SUM(D118,D125,D127:D128,D133)+SUM(D137)*4</f>
        <v>8523.7963199999995</v>
      </c>
      <c r="F94" s="135"/>
      <c r="G94" s="135">
        <f>SUM(F118,F125,F127:F128,F133)+SUM(F137)*4</f>
        <v>13699.052172</v>
      </c>
      <c r="H94" s="135"/>
    </row>
    <row r="95" spans="1:8" s="1" customFormat="1" x14ac:dyDescent="0.25">
      <c r="A95" s="122" t="s">
        <v>226</v>
      </c>
      <c r="B95" s="122"/>
      <c r="C95" s="167">
        <f>COUNT(D114,D117,D120:D121,D124,D130:D131,D135)</f>
        <v>8</v>
      </c>
      <c r="D95" s="81"/>
      <c r="E95" s="135">
        <f>SUM(D114,D117,D120:D121,D124,D130:D131,D135)</f>
        <v>5794.4764800000003</v>
      </c>
      <c r="F95" s="135"/>
      <c r="G95" s="135">
        <f>SUM(F114,F117,F120:F121,F124,F130:F131,F135)</f>
        <v>9271.1623679999993</v>
      </c>
      <c r="H95" s="135"/>
    </row>
    <row r="96" spans="1:8" s="62" customFormat="1" x14ac:dyDescent="0.25">
      <c r="A96" s="120" t="s">
        <v>62</v>
      </c>
      <c r="B96" s="120"/>
      <c r="C96" s="80">
        <f>SUM(C94:C95)</f>
        <v>17</v>
      </c>
      <c r="D96" s="80"/>
      <c r="E96" s="168">
        <f>SUM(E94:E95)</f>
        <v>14318.272799999999</v>
      </c>
      <c r="F96" s="168"/>
      <c r="G96" s="78">
        <f>SUM(G94:G95)</f>
        <v>22970.214540000001</v>
      </c>
      <c r="H96" s="78"/>
    </row>
    <row r="97" spans="1:14" s="9" customFormat="1" x14ac:dyDescent="0.25">
      <c r="A97" s="77" t="s">
        <v>63</v>
      </c>
      <c r="B97" s="77"/>
      <c r="C97" s="77"/>
      <c r="D97" s="77"/>
      <c r="E97" s="77"/>
      <c r="F97" s="77"/>
      <c r="G97" s="77"/>
      <c r="H97" s="77"/>
    </row>
    <row r="98" spans="1:14" x14ac:dyDescent="0.25">
      <c r="A98" s="77" t="s">
        <v>64</v>
      </c>
      <c r="B98" s="77"/>
      <c r="C98" s="77"/>
      <c r="D98" s="77"/>
      <c r="E98" s="77"/>
      <c r="F98" s="77"/>
      <c r="G98" s="77"/>
      <c r="H98" s="77"/>
    </row>
    <row r="99" spans="1:14" ht="47.25" hidden="1" customHeight="1" x14ac:dyDescent="0.25">
      <c r="A99" s="99" t="s">
        <v>158</v>
      </c>
      <c r="B99" s="99" t="s">
        <v>157</v>
      </c>
      <c r="C99" s="99" t="s">
        <v>65</v>
      </c>
      <c r="D99" s="99" t="s">
        <v>66</v>
      </c>
      <c r="E99" s="85" t="s">
        <v>67</v>
      </c>
      <c r="F99" s="34" t="s">
        <v>155</v>
      </c>
      <c r="G99" s="87" t="s">
        <v>68</v>
      </c>
      <c r="H99" s="88"/>
    </row>
    <row r="100" spans="1:14" s="2" customFormat="1" hidden="1" x14ac:dyDescent="0.25">
      <c r="A100" s="100"/>
      <c r="B100" s="100"/>
      <c r="C100" s="100"/>
      <c r="D100" s="100"/>
      <c r="E100" s="86"/>
      <c r="F100" s="35">
        <v>0.6</v>
      </c>
      <c r="G100" s="89"/>
      <c r="H100" s="90"/>
    </row>
    <row r="101" spans="1:14" s="2" customFormat="1" hidden="1" x14ac:dyDescent="0.25">
      <c r="A101" s="82" t="s">
        <v>156</v>
      </c>
      <c r="B101" s="83"/>
      <c r="C101" s="83"/>
      <c r="D101" s="83"/>
      <c r="E101" s="83"/>
      <c r="F101" s="83"/>
      <c r="G101" s="83"/>
      <c r="H101" s="84"/>
    </row>
    <row r="102" spans="1:14" s="2" customFormat="1" hidden="1" x14ac:dyDescent="0.25">
      <c r="A102" s="125">
        <v>1</v>
      </c>
      <c r="B102" s="127"/>
      <c r="C102" s="36"/>
      <c r="D102" s="36"/>
      <c r="E102" s="36">
        <v>0</v>
      </c>
      <c r="F102" s="36">
        <f>D102*(($F$100)+1)+E102</f>
        <v>0</v>
      </c>
      <c r="G102" s="125" t="str">
        <f>A101</f>
        <v>Ground Floor</v>
      </c>
      <c r="H102" s="127"/>
      <c r="I102" s="37"/>
      <c r="L102" s="161"/>
      <c r="M102" s="161"/>
      <c r="N102" s="37"/>
    </row>
    <row r="103" spans="1:14" s="2" customFormat="1" hidden="1" x14ac:dyDescent="0.25">
      <c r="A103" s="125">
        <f>A102+1</f>
        <v>2</v>
      </c>
      <c r="B103" s="127"/>
      <c r="C103" s="36"/>
      <c r="D103" s="36"/>
      <c r="E103" s="36">
        <v>0</v>
      </c>
      <c r="F103" s="36">
        <f t="shared" ref="F103:F104" si="0">D103*(($F$100)+1)+E103</f>
        <v>0</v>
      </c>
      <c r="G103" s="125" t="str">
        <f t="shared" ref="G103:G108" si="1">G102</f>
        <v>Ground Floor</v>
      </c>
      <c r="H103" s="127"/>
      <c r="I103" s="37"/>
      <c r="L103" s="161"/>
      <c r="M103" s="161"/>
      <c r="N103" s="37"/>
    </row>
    <row r="104" spans="1:14" s="2" customFormat="1" hidden="1" x14ac:dyDescent="0.25">
      <c r="A104" s="125">
        <f t="shared" ref="A104:A106" si="2">A103+1</f>
        <v>3</v>
      </c>
      <c r="B104" s="127"/>
      <c r="C104" s="36"/>
      <c r="D104" s="36"/>
      <c r="E104" s="36">
        <v>0</v>
      </c>
      <c r="F104" s="36">
        <f t="shared" si="0"/>
        <v>0</v>
      </c>
      <c r="G104" s="125" t="str">
        <f t="shared" si="1"/>
        <v>Ground Floor</v>
      </c>
      <c r="H104" s="127"/>
      <c r="I104" s="37"/>
      <c r="L104" s="161"/>
      <c r="M104" s="161"/>
      <c r="N104" s="37"/>
    </row>
    <row r="105" spans="1:14" s="2" customFormat="1" hidden="1" x14ac:dyDescent="0.25">
      <c r="A105" s="125">
        <f t="shared" si="2"/>
        <v>4</v>
      </c>
      <c r="B105" s="127"/>
      <c r="C105" s="36"/>
      <c r="D105" s="36"/>
      <c r="E105" s="36">
        <v>0</v>
      </c>
      <c r="F105" s="36">
        <f t="shared" ref="F105:F106" si="3">D105*(($F$100)+1)+E105</f>
        <v>0</v>
      </c>
      <c r="G105" s="125" t="str">
        <f t="shared" si="1"/>
        <v>Ground Floor</v>
      </c>
      <c r="H105" s="127"/>
      <c r="I105" s="37"/>
      <c r="L105" s="161"/>
      <c r="M105" s="161"/>
      <c r="N105" s="37"/>
    </row>
    <row r="106" spans="1:14" s="2" customFormat="1" hidden="1" x14ac:dyDescent="0.25">
      <c r="A106" s="125">
        <f t="shared" si="2"/>
        <v>5</v>
      </c>
      <c r="B106" s="127"/>
      <c r="C106" s="36"/>
      <c r="D106" s="36"/>
      <c r="E106" s="36">
        <v>0</v>
      </c>
      <c r="F106" s="36">
        <f t="shared" si="3"/>
        <v>0</v>
      </c>
      <c r="G106" s="125" t="str">
        <f t="shared" si="1"/>
        <v>Ground Floor</v>
      </c>
      <c r="H106" s="127"/>
      <c r="I106" s="37"/>
      <c r="L106" s="161"/>
      <c r="M106" s="161"/>
      <c r="N106" s="37"/>
    </row>
    <row r="107" spans="1:14" s="2" customFormat="1" hidden="1" x14ac:dyDescent="0.25">
      <c r="A107" s="125">
        <f t="shared" ref="A107:A108" si="4">A106+1</f>
        <v>6</v>
      </c>
      <c r="B107" s="127"/>
      <c r="C107" s="36"/>
      <c r="D107" s="36"/>
      <c r="E107" s="36">
        <v>0</v>
      </c>
      <c r="F107" s="36">
        <f t="shared" ref="F107:F108" si="5">D107*(($F$100)+1)+E107</f>
        <v>0</v>
      </c>
      <c r="G107" s="125" t="str">
        <f t="shared" si="1"/>
        <v>Ground Floor</v>
      </c>
      <c r="H107" s="127"/>
      <c r="I107" s="37"/>
      <c r="L107" s="161"/>
      <c r="M107" s="161"/>
      <c r="N107" s="37"/>
    </row>
    <row r="108" spans="1:14" s="2" customFormat="1" hidden="1" x14ac:dyDescent="0.25">
      <c r="A108" s="125">
        <f t="shared" si="4"/>
        <v>7</v>
      </c>
      <c r="B108" s="127"/>
      <c r="C108" s="36"/>
      <c r="D108" s="36"/>
      <c r="E108" s="36">
        <v>0</v>
      </c>
      <c r="F108" s="36">
        <f t="shared" si="5"/>
        <v>0</v>
      </c>
      <c r="G108" s="125" t="str">
        <f t="shared" si="1"/>
        <v>Ground Floor</v>
      </c>
      <c r="H108" s="127"/>
      <c r="I108" s="37"/>
      <c r="L108" s="161"/>
      <c r="M108" s="161"/>
      <c r="N108" s="37"/>
    </row>
    <row r="109" spans="1:14" s="2" customFormat="1" hidden="1" x14ac:dyDescent="0.25">
      <c r="A109" s="125"/>
      <c r="B109" s="126"/>
      <c r="C109" s="126"/>
      <c r="D109" s="126"/>
      <c r="E109" s="126"/>
      <c r="F109" s="126"/>
      <c r="G109" s="126"/>
      <c r="H109" s="127"/>
      <c r="I109" s="37"/>
      <c r="N109" s="37"/>
    </row>
    <row r="110" spans="1:14" ht="47.25" customHeight="1" x14ac:dyDescent="0.25">
      <c r="A110" s="87" t="s">
        <v>159</v>
      </c>
      <c r="B110" s="87" t="s">
        <v>224</v>
      </c>
      <c r="C110" s="99" t="s">
        <v>65</v>
      </c>
      <c r="D110" s="99" t="s">
        <v>66</v>
      </c>
      <c r="E110" s="85" t="s">
        <v>67</v>
      </c>
      <c r="F110" s="34" t="s">
        <v>155</v>
      </c>
      <c r="G110" s="87" t="s">
        <v>68</v>
      </c>
      <c r="H110" s="88"/>
      <c r="I110" s="37"/>
    </row>
    <row r="111" spans="1:14" s="2" customFormat="1" x14ac:dyDescent="0.25">
      <c r="A111" s="89"/>
      <c r="B111" s="89"/>
      <c r="C111" s="100"/>
      <c r="D111" s="100"/>
      <c r="E111" s="86"/>
      <c r="F111" s="35">
        <v>0.6</v>
      </c>
      <c r="G111" s="89"/>
      <c r="H111" s="90"/>
      <c r="I111" s="37"/>
    </row>
    <row r="112" spans="1:14" s="2" customFormat="1" x14ac:dyDescent="0.25">
      <c r="A112" s="121" t="s">
        <v>205</v>
      </c>
      <c r="B112" s="121"/>
      <c r="C112" s="121"/>
      <c r="D112" s="121"/>
      <c r="E112" s="121"/>
      <c r="F112" s="121"/>
      <c r="G112" s="121"/>
      <c r="H112" s="121"/>
      <c r="I112" s="37"/>
      <c r="L112" s="161"/>
      <c r="M112" s="161"/>
    </row>
    <row r="113" spans="1:16" s="2" customFormat="1" x14ac:dyDescent="0.25">
      <c r="A113" s="121" t="s">
        <v>207</v>
      </c>
      <c r="B113" s="121"/>
      <c r="C113" s="121"/>
      <c r="D113" s="121"/>
      <c r="E113" s="121"/>
      <c r="F113" s="121"/>
      <c r="G113" s="121"/>
      <c r="H113" s="121"/>
      <c r="I113" s="37"/>
      <c r="L113" s="161"/>
      <c r="M113" s="161"/>
    </row>
    <row r="114" spans="1:16" s="2" customFormat="1" ht="15.75" customHeight="1" x14ac:dyDescent="0.25">
      <c r="A114" s="36">
        <v>1</v>
      </c>
      <c r="B114" s="36" t="s">
        <v>226</v>
      </c>
      <c r="C114" s="36" t="s">
        <v>206</v>
      </c>
      <c r="D114" s="36">
        <f>69.63*10.764</f>
        <v>749.49731999999995</v>
      </c>
      <c r="E114" s="36">
        <v>0</v>
      </c>
      <c r="F114" s="36">
        <f>D114*(($F$111)+1)+E114</f>
        <v>1199.195712</v>
      </c>
      <c r="G114" s="128" t="s">
        <v>223</v>
      </c>
      <c r="H114" s="129"/>
      <c r="I114" s="37"/>
      <c r="N114" s="37"/>
    </row>
    <row r="115" spans="1:16" s="2" customFormat="1" x14ac:dyDescent="0.25">
      <c r="A115" s="36">
        <v>2</v>
      </c>
      <c r="B115" s="36" t="s">
        <v>225</v>
      </c>
      <c r="C115" s="125" t="s">
        <v>208</v>
      </c>
      <c r="D115" s="126"/>
      <c r="E115" s="126"/>
      <c r="F115" s="127"/>
      <c r="G115" s="130"/>
      <c r="H115" s="131"/>
      <c r="I115" s="37"/>
      <c r="N115" s="37"/>
    </row>
    <row r="116" spans="1:16" s="2" customFormat="1" x14ac:dyDescent="0.25">
      <c r="A116" s="82" t="s">
        <v>228</v>
      </c>
      <c r="B116" s="83"/>
      <c r="C116" s="83"/>
      <c r="D116" s="83"/>
      <c r="E116" s="83"/>
      <c r="F116" s="83"/>
      <c r="G116" s="83"/>
      <c r="H116" s="84"/>
      <c r="I116" s="37"/>
    </row>
    <row r="117" spans="1:16" s="2" customFormat="1" ht="15.75" customHeight="1" x14ac:dyDescent="0.25">
      <c r="A117" s="36">
        <v>1</v>
      </c>
      <c r="B117" s="36" t="s">
        <v>226</v>
      </c>
      <c r="C117" s="36" t="s">
        <v>206</v>
      </c>
      <c r="D117" s="36">
        <f>65.54*10.764</f>
        <v>705.47256000000004</v>
      </c>
      <c r="E117" s="36">
        <v>0</v>
      </c>
      <c r="F117" s="36">
        <f t="shared" ref="F117:F118" si="6">D117*(($F$111)+1)+E117</f>
        <v>1128.7560960000001</v>
      </c>
      <c r="G117" s="128" t="str">
        <f>A116</f>
        <v>2nd Floor</v>
      </c>
      <c r="H117" s="129"/>
      <c r="I117" s="37"/>
      <c r="N117" s="2" t="str">
        <f ca="1">O117&amp;""&amp;" to "&amp;""&amp;P117</f>
        <v>201 to 201</v>
      </c>
      <c r="O117" s="2">
        <f ca="1">(SUMPRODUCT(MID(0&amp;(LEFT(A116,SUM(LEN(A116)-LEN(SUBSTITUTE(A116,{"0","1","2"},""))))), LARGE(INDEX(ISNUMBER(--MID((LEFT(A116,SUM(LEN(A116)-LEN(SUBSTITUTE(A116,{"0","1","2"},""))))), ROW(INDIRECT("1:"&amp;LEN((LEFT(A116,SUM(LEN(A116)-LEN(SUBSTITUTE(A116,{"0","1","2"},"")))))))), 1)) * ROW(INDIRECT("1:"&amp;LEN((LEFT(A116,SUM(LEN(A116)-LEN(SUBSTITUTE(A116,{"0","1","2"},"")))))))), 0), ROW(INDIRECT("1:"&amp;LEN((LEFT(A116,SUM(LEN(A116)-LEN(SUBSTITUTE(A116,{"0","1","2"},"")))))))))+1, 1) * 10^ROW(INDIRECT("1:"&amp;LEN((LEFT(A116,SUM(LEN(A116)-LEN(SUBSTITUTE(A116,{"0","1","2"},""))))))))/10))*100+1</f>
        <v>201</v>
      </c>
      <c r="P117" s="2">
        <f ca="1">(SUMPRODUCT(MID(0&amp;(--TRIM(RIGHT(SUBSTITUTE(LEFT(A116,_xlfn.AGGREGATE(16,6,FIND({0,1,2,3,4,5,6,7,8,9},A116,ROW(INDIRECT("1:"&amp;LEN(A116)))),1))," ",REPT(" ",LEN(A116))),LEN(A116)))), LARGE(INDEX(ISNUMBER(--MID((--TRIM(RIGHT(SUBSTITUTE(LEFT(A116,_xlfn.AGGREGATE(16,6,FIND({0,1,2,3,4,5,6,7,8,9},A116,ROW(INDIRECT("1:"&amp;LEN(A116)))),1))," ",REPT(" ",LEN(A116))),LEN(A116)))), ROW(INDIRECT("1:"&amp;LEN((--TRIM(RIGHT(SUBSTITUTE(LEFT(A116,_xlfn.AGGREGATE(16,6,FIND({0,1,2,3,4,5,6,7,8,9},A116,ROW(INDIRECT("1:"&amp;LEN(A116)))),1))," ",REPT(" ",LEN(A116))),LEN(A116))))))), 1)) * ROW(INDIRECT("1:"&amp;LEN((--TRIM(RIGHT(SUBSTITUTE(LEFT(A116,_xlfn.AGGREGATE(16,6,FIND({0,1,2,3,4,5,6,7,8,9},A116,ROW(INDIRECT("1:"&amp;LEN(A116)))),1))," ",REPT(" ",LEN(A116))),LEN(A116))))))), 0), ROW(INDIRECT("1:"&amp;LEN((--TRIM(RIGHT(SUBSTITUTE(LEFT(A116,_xlfn.AGGREGATE(16,6,FIND({0,1,2,3,4,5,6,7,8,9},A116,ROW(INDIRECT("1:"&amp;LEN(A116)))),1))," ",REPT(" ",LEN(A116))),LEN(A116))))))))+1, 1) * 10^ROW(INDIRECT("1:"&amp;LEN((--TRIM(RIGHT(SUBSTITUTE(LEFT(A116,_xlfn.AGGREGATE(16,6,FIND({0,1,2,3,4,5,6,7,8,9},A116,ROW(INDIRECT("1:"&amp;LEN(A116)))),1))," ",REPT(" ",LEN(A116))),LEN(A116)))))))/10))*100+1</f>
        <v>201</v>
      </c>
    </row>
    <row r="118" spans="1:16" s="2" customFormat="1" ht="15.75" customHeight="1" x14ac:dyDescent="0.25">
      <c r="A118" s="36">
        <v>2</v>
      </c>
      <c r="B118" s="36" t="s">
        <v>227</v>
      </c>
      <c r="C118" s="36" t="s">
        <v>206</v>
      </c>
      <c r="D118" s="36">
        <f>53.4*10.764</f>
        <v>574.79759999999999</v>
      </c>
      <c r="E118" s="36">
        <v>0</v>
      </c>
      <c r="F118" s="36">
        <f t="shared" si="6"/>
        <v>919.67615999999998</v>
      </c>
      <c r="G118" s="132"/>
      <c r="H118" s="133"/>
      <c r="I118" s="37"/>
      <c r="N118" s="2" t="str">
        <f ca="1">O118&amp;""&amp;" to "&amp;""&amp;P118</f>
        <v>202 to 202</v>
      </c>
      <c r="O118" s="2">
        <f t="shared" ref="O118:P118" ca="1" si="7">O117+1</f>
        <v>202</v>
      </c>
      <c r="P118" s="2">
        <f t="shared" ca="1" si="7"/>
        <v>202</v>
      </c>
    </row>
    <row r="119" spans="1:16" s="2" customFormat="1" x14ac:dyDescent="0.25">
      <c r="A119" s="82" t="s">
        <v>229</v>
      </c>
      <c r="B119" s="83"/>
      <c r="C119" s="83"/>
      <c r="D119" s="83"/>
      <c r="E119" s="83"/>
      <c r="F119" s="83"/>
      <c r="G119" s="83"/>
      <c r="H119" s="84"/>
      <c r="I119" s="37"/>
    </row>
    <row r="120" spans="1:16" s="2" customFormat="1" ht="15.75" customHeight="1" x14ac:dyDescent="0.25">
      <c r="A120" s="36">
        <v>1</v>
      </c>
      <c r="B120" s="36" t="s">
        <v>226</v>
      </c>
      <c r="C120" s="36" t="s">
        <v>206</v>
      </c>
      <c r="D120" s="36">
        <f>65.54*10.764</f>
        <v>705.47256000000004</v>
      </c>
      <c r="E120" s="36">
        <v>0</v>
      </c>
      <c r="F120" s="36">
        <f t="shared" ref="F120:F121" si="8">D120*(($F$111)+1)+E120</f>
        <v>1128.7560960000001</v>
      </c>
      <c r="G120" s="128" t="str">
        <f>A119</f>
        <v>3rd Floor</v>
      </c>
      <c r="H120" s="129"/>
      <c r="I120" s="37"/>
      <c r="N120" s="2" t="e">
        <f ca="1">O120&amp;""&amp;" to "&amp;""&amp;P120</f>
        <v>#REF!</v>
      </c>
      <c r="O120" s="2" t="e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10^ROW(INDIRECT("1:"&amp;LEN((LEFT(A119,SUM(LEN(A119)-LEN(SUBSTITUTE(A119,{"0","1","2"},""))))))))/10))*100+1</f>
        <v>#REF!</v>
      </c>
      <c r="P120" s="2">
        <f ca="1">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",LEN(A119))),LEN(A119)))))))/10))*100+1</f>
        <v>301</v>
      </c>
    </row>
    <row r="121" spans="1:16" s="2" customFormat="1" ht="15.75" customHeight="1" x14ac:dyDescent="0.25">
      <c r="A121" s="36">
        <v>2</v>
      </c>
      <c r="B121" s="36" t="s">
        <v>226</v>
      </c>
      <c r="C121" s="36" t="s">
        <v>230</v>
      </c>
      <c r="D121" s="36">
        <f>35.18*10.764</f>
        <v>378.67751999999996</v>
      </c>
      <c r="E121" s="36">
        <v>0</v>
      </c>
      <c r="F121" s="36">
        <f t="shared" si="8"/>
        <v>605.88403199999993</v>
      </c>
      <c r="G121" s="130"/>
      <c r="H121" s="131"/>
      <c r="I121" s="37"/>
      <c r="N121" s="2" t="e">
        <f ca="1">O121&amp;""&amp;" to "&amp;""&amp;P121</f>
        <v>#REF!</v>
      </c>
      <c r="O121" s="2" t="e">
        <f t="shared" ref="O121:P122" ca="1" si="9">O120+1</f>
        <v>#REF!</v>
      </c>
      <c r="P121" s="2">
        <f t="shared" ca="1" si="9"/>
        <v>302</v>
      </c>
    </row>
    <row r="122" spans="1:16" s="2" customFormat="1" ht="15.75" customHeight="1" x14ac:dyDescent="0.25">
      <c r="A122" s="36">
        <v>3</v>
      </c>
      <c r="B122" s="36" t="s">
        <v>225</v>
      </c>
      <c r="C122" s="125" t="s">
        <v>231</v>
      </c>
      <c r="D122" s="126"/>
      <c r="E122" s="126"/>
      <c r="F122" s="127"/>
      <c r="G122" s="132"/>
      <c r="H122" s="133"/>
      <c r="I122" s="37"/>
      <c r="N122" s="2" t="e">
        <f ca="1">O122&amp;""&amp;" to "&amp;""&amp;P122</f>
        <v>#REF!</v>
      </c>
      <c r="O122" s="2" t="e">
        <f t="shared" ca="1" si="9"/>
        <v>#REF!</v>
      </c>
      <c r="P122" s="2">
        <f t="shared" ca="1" si="9"/>
        <v>303</v>
      </c>
    </row>
    <row r="123" spans="1:16" s="2" customFormat="1" x14ac:dyDescent="0.25">
      <c r="A123" s="82" t="s">
        <v>232</v>
      </c>
      <c r="B123" s="83"/>
      <c r="C123" s="83"/>
      <c r="D123" s="83"/>
      <c r="E123" s="83"/>
      <c r="F123" s="83"/>
      <c r="G123" s="83"/>
      <c r="H123" s="84"/>
      <c r="I123" s="37"/>
    </row>
    <row r="124" spans="1:16" s="2" customFormat="1" ht="15.75" customHeight="1" x14ac:dyDescent="0.25">
      <c r="A124" s="36">
        <v>1</v>
      </c>
      <c r="B124" s="36" t="s">
        <v>226</v>
      </c>
      <c r="C124" s="36" t="s">
        <v>206</v>
      </c>
      <c r="D124" s="36">
        <f>65.54*10.764</f>
        <v>705.47256000000004</v>
      </c>
      <c r="E124" s="36">
        <v>0</v>
      </c>
      <c r="F124" s="36">
        <f t="shared" ref="F124:F125" si="10">D124*(($F$111)+1)+E124</f>
        <v>1128.7560960000001</v>
      </c>
      <c r="G124" s="128" t="str">
        <f>A123</f>
        <v>4th Floor</v>
      </c>
      <c r="H124" s="129"/>
      <c r="I124" s="37"/>
      <c r="N124" s="2" t="e">
        <f ca="1">O124&amp;""&amp;" to "&amp;""&amp;P124</f>
        <v>#REF!</v>
      </c>
      <c r="O124" s="2" t="e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10^ROW(INDIRECT("1:"&amp;LEN((LEFT(A123,SUM(LEN(A123)-LEN(SUBSTITUTE(A123,{"0","1","2"},""))))))))/10))*100+1</f>
        <v>#REF!</v>
      </c>
      <c r="P124" s="2">
        <f ca="1">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",LEN(A123))),LEN(A123)))))))/10))*100+1</f>
        <v>401</v>
      </c>
    </row>
    <row r="125" spans="1:16" s="2" customFormat="1" ht="15.75" customHeight="1" x14ac:dyDescent="0.25">
      <c r="A125" s="36">
        <v>2</v>
      </c>
      <c r="B125" s="36" t="s">
        <v>227</v>
      </c>
      <c r="C125" s="36" t="s">
        <v>206</v>
      </c>
      <c r="D125" s="36">
        <f>53.4*10.764</f>
        <v>574.79759999999999</v>
      </c>
      <c r="E125" s="36">
        <v>0</v>
      </c>
      <c r="F125" s="36">
        <f t="shared" si="10"/>
        <v>919.67615999999998</v>
      </c>
      <c r="G125" s="132"/>
      <c r="H125" s="133"/>
      <c r="I125" s="37"/>
      <c r="N125" s="2" t="e">
        <f ca="1">O125&amp;""&amp;" to "&amp;""&amp;P125</f>
        <v>#REF!</v>
      </c>
      <c r="O125" s="2" t="e">
        <f t="shared" ref="O125:P125" ca="1" si="11">O124+1</f>
        <v>#REF!</v>
      </c>
      <c r="P125" s="2">
        <f t="shared" ca="1" si="11"/>
        <v>402</v>
      </c>
    </row>
    <row r="126" spans="1:16" s="2" customFormat="1" x14ac:dyDescent="0.25">
      <c r="A126" s="121" t="s">
        <v>210</v>
      </c>
      <c r="B126" s="121"/>
      <c r="C126" s="121"/>
      <c r="D126" s="121"/>
      <c r="E126" s="121"/>
      <c r="F126" s="121"/>
      <c r="G126" s="121"/>
      <c r="H126" s="121"/>
      <c r="I126" s="37"/>
      <c r="L126" s="161"/>
      <c r="M126" s="161"/>
    </row>
    <row r="127" spans="1:16" s="2" customFormat="1" ht="15.75" customHeight="1" x14ac:dyDescent="0.25">
      <c r="A127" s="36">
        <v>1</v>
      </c>
      <c r="B127" s="36" t="s">
        <v>227</v>
      </c>
      <c r="C127" s="36" t="s">
        <v>206</v>
      </c>
      <c r="D127" s="36">
        <f>70.49*10.764</f>
        <v>758.75435999999991</v>
      </c>
      <c r="E127" s="36">
        <v>0</v>
      </c>
      <c r="F127" s="36">
        <f t="shared" ref="F127:F128" si="12">D127*(($F$111)+1)+E127</f>
        <v>1214.0069759999999</v>
      </c>
      <c r="G127" s="128" t="str">
        <f>A126</f>
        <v>5th Floor</v>
      </c>
      <c r="H127" s="129"/>
      <c r="I127" s="37"/>
      <c r="N127" s="37"/>
    </row>
    <row r="128" spans="1:16" s="2" customFormat="1" ht="15.75" customHeight="1" x14ac:dyDescent="0.25">
      <c r="A128" s="36">
        <v>2</v>
      </c>
      <c r="B128" s="36" t="s">
        <v>227</v>
      </c>
      <c r="C128" s="36" t="s">
        <v>206</v>
      </c>
      <c r="D128" s="36">
        <f>65.54*10.764</f>
        <v>705.47256000000004</v>
      </c>
      <c r="E128" s="36">
        <v>0</v>
      </c>
      <c r="F128" s="36">
        <f t="shared" si="12"/>
        <v>1128.7560960000001</v>
      </c>
      <c r="G128" s="132"/>
      <c r="H128" s="133"/>
      <c r="I128" s="37"/>
      <c r="N128" s="37"/>
    </row>
    <row r="129" spans="1:14" s="2" customFormat="1" x14ac:dyDescent="0.25">
      <c r="A129" s="121" t="s">
        <v>209</v>
      </c>
      <c r="B129" s="121"/>
      <c r="C129" s="121"/>
      <c r="D129" s="121"/>
      <c r="E129" s="121"/>
      <c r="F129" s="121"/>
      <c r="G129" s="121"/>
      <c r="H129" s="121"/>
      <c r="I129" s="37"/>
      <c r="L129" s="161"/>
      <c r="M129" s="161"/>
    </row>
    <row r="130" spans="1:14" s="2" customFormat="1" ht="15.75" customHeight="1" x14ac:dyDescent="0.25">
      <c r="A130" s="36">
        <v>1</v>
      </c>
      <c r="B130" s="36" t="s">
        <v>226</v>
      </c>
      <c r="C130" s="36" t="s">
        <v>206</v>
      </c>
      <c r="D130" s="36">
        <f>70.49*10.764</f>
        <v>758.75435999999991</v>
      </c>
      <c r="E130" s="36">
        <v>0</v>
      </c>
      <c r="F130" s="36">
        <f t="shared" ref="F130:F131" si="13">D130*(($F$111)+1)+E130</f>
        <v>1214.0069759999999</v>
      </c>
      <c r="G130" s="128" t="str">
        <f>A129</f>
        <v>6th Floor</v>
      </c>
      <c r="H130" s="129"/>
      <c r="I130" s="37"/>
      <c r="N130" s="37"/>
    </row>
    <row r="131" spans="1:14" s="2" customFormat="1" ht="15.75" customHeight="1" x14ac:dyDescent="0.25">
      <c r="A131" s="36">
        <v>2</v>
      </c>
      <c r="B131" s="36" t="s">
        <v>226</v>
      </c>
      <c r="C131" s="36" t="s">
        <v>206</v>
      </c>
      <c r="D131" s="36">
        <f>65.54*10.764</f>
        <v>705.47256000000004</v>
      </c>
      <c r="E131" s="36">
        <v>0</v>
      </c>
      <c r="F131" s="36">
        <f t="shared" si="13"/>
        <v>1128.7560960000001</v>
      </c>
      <c r="G131" s="132"/>
      <c r="H131" s="133"/>
      <c r="I131" s="37"/>
      <c r="N131" s="37"/>
    </row>
    <row r="132" spans="1:14" s="2" customFormat="1" x14ac:dyDescent="0.25">
      <c r="A132" s="121" t="s">
        <v>233</v>
      </c>
      <c r="B132" s="121"/>
      <c r="C132" s="121"/>
      <c r="D132" s="121"/>
      <c r="E132" s="121"/>
      <c r="F132" s="121"/>
      <c r="G132" s="121"/>
      <c r="H132" s="121"/>
      <c r="I132" s="37"/>
      <c r="L132" s="161"/>
      <c r="M132" s="161"/>
    </row>
    <row r="133" spans="1:14" s="2" customFormat="1" ht="15.75" customHeight="1" x14ac:dyDescent="0.25">
      <c r="A133" s="36">
        <v>1</v>
      </c>
      <c r="B133" s="36" t="s">
        <v>227</v>
      </c>
      <c r="C133" s="36" t="s">
        <v>148</v>
      </c>
      <c r="D133" s="36">
        <f>(102.93)*10.764</f>
        <v>1107.9385199999999</v>
      </c>
      <c r="E133" s="36">
        <f>11.33*10.764</f>
        <v>121.95612</v>
      </c>
      <c r="F133" s="36">
        <f>D133*(($F$111)+1)+E133/2</f>
        <v>1833.6796919999999</v>
      </c>
      <c r="G133" s="162" t="str">
        <f>A132</f>
        <v>7th Floor (Part Refuge Area)</v>
      </c>
      <c r="H133" s="162"/>
      <c r="I133" s="37"/>
      <c r="N133" s="37"/>
    </row>
    <row r="134" spans="1:14" s="2" customFormat="1" x14ac:dyDescent="0.25">
      <c r="A134" s="121" t="s">
        <v>234</v>
      </c>
      <c r="B134" s="121"/>
      <c r="C134" s="121"/>
      <c r="D134" s="121"/>
      <c r="E134" s="121"/>
      <c r="F134" s="121"/>
      <c r="G134" s="121"/>
      <c r="H134" s="121"/>
      <c r="I134" s="37"/>
      <c r="L134" s="161"/>
      <c r="M134" s="161"/>
    </row>
    <row r="135" spans="1:14" s="2" customFormat="1" x14ac:dyDescent="0.25">
      <c r="A135" s="36">
        <v>1</v>
      </c>
      <c r="B135" s="36" t="s">
        <v>226</v>
      </c>
      <c r="C135" s="36" t="s">
        <v>148</v>
      </c>
      <c r="D135" s="36">
        <f>100.86*10.764</f>
        <v>1085.6570399999998</v>
      </c>
      <c r="E135" s="36">
        <v>0</v>
      </c>
      <c r="F135" s="36">
        <f>D135*(($F$111)+1)+E135</f>
        <v>1737.0512639999997</v>
      </c>
      <c r="G135" s="162" t="str">
        <f>A134</f>
        <v>8th Floor</v>
      </c>
      <c r="H135" s="162"/>
      <c r="I135" s="37"/>
      <c r="N135" s="37"/>
    </row>
    <row r="136" spans="1:14" s="2" customFormat="1" x14ac:dyDescent="0.25">
      <c r="A136" s="121" t="s">
        <v>235</v>
      </c>
      <c r="B136" s="121"/>
      <c r="C136" s="121"/>
      <c r="D136" s="121"/>
      <c r="E136" s="121"/>
      <c r="F136" s="121"/>
      <c r="G136" s="121"/>
      <c r="H136" s="121"/>
      <c r="I136" s="37"/>
      <c r="L136" s="161"/>
      <c r="M136" s="161"/>
    </row>
    <row r="137" spans="1:14" s="2" customFormat="1" x14ac:dyDescent="0.25">
      <c r="A137" s="36">
        <v>1</v>
      </c>
      <c r="B137" s="36" t="s">
        <v>227</v>
      </c>
      <c r="C137" s="36" t="s">
        <v>148</v>
      </c>
      <c r="D137" s="36">
        <f>111.53*10.764</f>
        <v>1200.50892</v>
      </c>
      <c r="E137" s="36">
        <v>0</v>
      </c>
      <c r="F137" s="36">
        <f>D137*(($F$111)+1)+E137</f>
        <v>1920.8142720000001</v>
      </c>
      <c r="G137" s="162" t="str">
        <f>A136</f>
        <v>9th to 12th Floor</v>
      </c>
      <c r="H137" s="162"/>
      <c r="I137" s="37"/>
      <c r="N137" s="37"/>
    </row>
    <row r="138" spans="1:14" s="1" customFormat="1" x14ac:dyDescent="0.25">
      <c r="A138" s="123" t="s">
        <v>76</v>
      </c>
      <c r="B138" s="123"/>
      <c r="C138" s="123"/>
      <c r="D138" s="123"/>
      <c r="E138" s="123"/>
      <c r="F138" s="123"/>
      <c r="G138" s="123"/>
      <c r="H138" s="123"/>
    </row>
    <row r="139" spans="1:14" s="1" customFormat="1" x14ac:dyDescent="0.25">
      <c r="A139" s="42">
        <v>1</v>
      </c>
      <c r="B139" s="71" t="s">
        <v>254</v>
      </c>
      <c r="C139" s="72"/>
      <c r="D139" s="72"/>
      <c r="E139" s="72"/>
      <c r="F139" s="72"/>
      <c r="G139" s="72"/>
      <c r="H139" s="73"/>
    </row>
    <row r="140" spans="1:14" s="1" customFormat="1" x14ac:dyDescent="0.25">
      <c r="A140" s="42">
        <f>A139+1</f>
        <v>2</v>
      </c>
      <c r="B140" s="71" t="s">
        <v>213</v>
      </c>
      <c r="C140" s="72"/>
      <c r="D140" s="72"/>
      <c r="E140" s="72"/>
      <c r="F140" s="72"/>
      <c r="G140" s="72"/>
      <c r="H140" s="73"/>
    </row>
    <row r="141" spans="1:14" s="1" customFormat="1" x14ac:dyDescent="0.25">
      <c r="A141" s="42">
        <f t="shared" ref="A141:A147" si="14">A140+1</f>
        <v>3</v>
      </c>
      <c r="B141" s="71" t="s">
        <v>164</v>
      </c>
      <c r="C141" s="72"/>
      <c r="D141" s="72"/>
      <c r="E141" s="72"/>
      <c r="F141" s="72"/>
      <c r="G141" s="72"/>
      <c r="H141" s="73"/>
    </row>
    <row r="142" spans="1:14" s="1" customFormat="1" x14ac:dyDescent="0.25">
      <c r="A142" s="42">
        <f t="shared" si="14"/>
        <v>4</v>
      </c>
      <c r="B142" s="71" t="s">
        <v>214</v>
      </c>
      <c r="C142" s="72"/>
      <c r="D142" s="72"/>
      <c r="E142" s="72"/>
      <c r="F142" s="72"/>
      <c r="G142" s="72"/>
      <c r="H142" s="73"/>
    </row>
    <row r="143" spans="1:14" s="1" customFormat="1" x14ac:dyDescent="0.25">
      <c r="A143" s="42">
        <f t="shared" si="14"/>
        <v>5</v>
      </c>
      <c r="B143" s="71" t="s">
        <v>165</v>
      </c>
      <c r="C143" s="72"/>
      <c r="D143" s="72"/>
      <c r="E143" s="72"/>
      <c r="F143" s="72"/>
      <c r="G143" s="72"/>
      <c r="H143" s="73"/>
    </row>
    <row r="144" spans="1:14" s="1" customFormat="1" x14ac:dyDescent="0.25">
      <c r="A144" s="42">
        <f t="shared" si="14"/>
        <v>6</v>
      </c>
      <c r="B144" s="71" t="s">
        <v>166</v>
      </c>
      <c r="C144" s="72"/>
      <c r="D144" s="72"/>
      <c r="E144" s="72"/>
      <c r="F144" s="72"/>
      <c r="G144" s="72"/>
      <c r="H144" s="73"/>
    </row>
    <row r="145" spans="1:8" s="1" customFormat="1" hidden="1" x14ac:dyDescent="0.25">
      <c r="A145" s="42">
        <f t="shared" si="14"/>
        <v>7</v>
      </c>
      <c r="B145" s="71" t="s">
        <v>240</v>
      </c>
      <c r="C145" s="72"/>
      <c r="D145" s="72"/>
      <c r="E145" s="72"/>
      <c r="F145" s="72"/>
      <c r="G145" s="72"/>
      <c r="H145" s="73"/>
    </row>
    <row r="146" spans="1:8" s="1" customFormat="1" x14ac:dyDescent="0.25">
      <c r="A146" s="42">
        <f t="shared" si="14"/>
        <v>8</v>
      </c>
      <c r="B146" s="71" t="s">
        <v>222</v>
      </c>
      <c r="C146" s="72"/>
      <c r="D146" s="72"/>
      <c r="E146" s="72"/>
      <c r="F146" s="72"/>
      <c r="G146" s="72"/>
      <c r="H146" s="73"/>
    </row>
    <row r="147" spans="1:8" s="1" customFormat="1" x14ac:dyDescent="0.25">
      <c r="A147" s="42">
        <f t="shared" si="14"/>
        <v>9</v>
      </c>
      <c r="B147" s="71" t="s">
        <v>238</v>
      </c>
      <c r="C147" s="72"/>
      <c r="D147" s="72"/>
      <c r="E147" s="72"/>
      <c r="F147" s="72"/>
      <c r="G147" s="72"/>
      <c r="H147" s="73"/>
    </row>
    <row r="148" spans="1:8" s="1" customFormat="1" hidden="1" x14ac:dyDescent="0.25">
      <c r="A148" s="42">
        <f>A146+1</f>
        <v>9</v>
      </c>
      <c r="B148" s="71" t="s">
        <v>241</v>
      </c>
      <c r="C148" s="72"/>
      <c r="D148" s="72"/>
      <c r="E148" s="72"/>
      <c r="F148" s="72"/>
      <c r="G148" s="72"/>
      <c r="H148" s="73"/>
    </row>
    <row r="149" spans="1:8" s="1" customFormat="1" x14ac:dyDescent="0.25">
      <c r="A149" s="42">
        <f>A147+1</f>
        <v>10</v>
      </c>
      <c r="B149" s="71" t="s">
        <v>244</v>
      </c>
      <c r="C149" s="72"/>
      <c r="D149" s="72"/>
      <c r="E149" s="72"/>
      <c r="F149" s="72"/>
      <c r="G149" s="72"/>
      <c r="H149" s="73"/>
    </row>
    <row r="150" spans="1:8" s="1" customFormat="1" ht="31.15" customHeight="1" x14ac:dyDescent="0.25">
      <c r="A150" s="42">
        <v>11</v>
      </c>
      <c r="B150" s="163" t="s">
        <v>253</v>
      </c>
      <c r="C150" s="164"/>
      <c r="D150" s="164"/>
      <c r="E150" s="164"/>
      <c r="F150" s="164"/>
      <c r="G150" s="164"/>
      <c r="H150" s="165"/>
    </row>
    <row r="151" spans="1:8" x14ac:dyDescent="0.25">
      <c r="A151" s="134" t="s">
        <v>69</v>
      </c>
      <c r="B151" s="134"/>
      <c r="C151" s="134"/>
      <c r="D151" s="134"/>
      <c r="E151" s="134"/>
      <c r="F151" s="134"/>
      <c r="G151" s="134"/>
      <c r="H151" s="134"/>
    </row>
    <row r="152" spans="1:8" x14ac:dyDescent="0.25">
      <c r="A152" s="64" t="s">
        <v>70</v>
      </c>
      <c r="B152" s="64"/>
      <c r="C152" s="64"/>
      <c r="D152" s="64"/>
      <c r="E152" s="64"/>
      <c r="F152" s="64"/>
      <c r="G152" s="64"/>
      <c r="H152" s="64"/>
    </row>
    <row r="153" spans="1:8" ht="15.75" customHeight="1" x14ac:dyDescent="0.25">
      <c r="A153" s="124" t="s">
        <v>71</v>
      </c>
      <c r="B153" s="124"/>
      <c r="C153" s="124"/>
      <c r="D153" s="124"/>
      <c r="E153" s="124"/>
      <c r="F153" s="124"/>
      <c r="G153" s="124"/>
      <c r="H153" s="124"/>
    </row>
    <row r="154" spans="1:8" x14ac:dyDescent="0.25">
      <c r="A154" s="64" t="s">
        <v>72</v>
      </c>
      <c r="B154" s="64"/>
      <c r="C154" s="64"/>
      <c r="D154" s="64"/>
      <c r="E154" s="64"/>
      <c r="F154" s="64"/>
      <c r="G154" s="64"/>
      <c r="H154" s="64"/>
    </row>
    <row r="155" spans="1:8" x14ac:dyDescent="0.25">
      <c r="A155" s="64" t="s">
        <v>73</v>
      </c>
      <c r="B155" s="64"/>
      <c r="C155" s="64"/>
      <c r="D155" s="64"/>
      <c r="E155" s="64"/>
      <c r="F155" s="64"/>
      <c r="G155" s="64"/>
      <c r="H155" s="64"/>
    </row>
    <row r="156" spans="1:8" x14ac:dyDescent="0.25">
      <c r="A156" s="64" t="s">
        <v>167</v>
      </c>
      <c r="B156" s="64"/>
      <c r="C156" s="64"/>
      <c r="D156" s="64"/>
      <c r="E156" s="64"/>
      <c r="F156" s="64"/>
      <c r="G156" s="64"/>
      <c r="H156" s="64"/>
    </row>
    <row r="157" spans="1:8" hidden="1" x14ac:dyDescent="0.25">
      <c r="A157" s="112" t="s">
        <v>168</v>
      </c>
      <c r="B157" s="112"/>
      <c r="C157" s="112"/>
      <c r="D157" s="112"/>
      <c r="E157" s="112"/>
      <c r="F157" s="112"/>
      <c r="G157" s="112"/>
      <c r="H157" s="112"/>
    </row>
    <row r="158" spans="1:8" x14ac:dyDescent="0.25">
      <c r="A158" s="119" t="s">
        <v>108</v>
      </c>
      <c r="B158" s="119"/>
      <c r="C158" s="119" t="s">
        <v>257</v>
      </c>
      <c r="D158" s="119"/>
      <c r="E158" s="119" t="s">
        <v>141</v>
      </c>
      <c r="F158" s="119"/>
      <c r="G158" s="119" t="s">
        <v>256</v>
      </c>
      <c r="H158" s="119"/>
    </row>
    <row r="159" spans="1:8" x14ac:dyDescent="0.25">
      <c r="A159" s="118" t="s">
        <v>110</v>
      </c>
      <c r="B159" s="118"/>
      <c r="C159" s="118"/>
      <c r="D159" s="118"/>
      <c r="E159" s="118"/>
      <c r="F159" s="118"/>
      <c r="G159" s="118"/>
      <c r="H159" s="118"/>
    </row>
    <row r="160" spans="1:8" x14ac:dyDescent="0.25">
      <c r="A160" s="118"/>
      <c r="B160" s="118"/>
      <c r="C160" s="118"/>
      <c r="D160" s="118"/>
      <c r="E160" s="118"/>
      <c r="F160" s="118"/>
      <c r="G160" s="118"/>
      <c r="H160" s="118"/>
    </row>
    <row r="161" spans="1:8" x14ac:dyDescent="0.25">
      <c r="A161" s="118"/>
      <c r="B161" s="118"/>
      <c r="C161" s="118"/>
      <c r="D161" s="118"/>
      <c r="E161" s="118"/>
      <c r="F161" s="118"/>
      <c r="G161" s="118"/>
      <c r="H161" s="118"/>
    </row>
    <row r="162" spans="1:8" x14ac:dyDescent="0.25">
      <c r="A162" s="118"/>
      <c r="B162" s="118"/>
      <c r="C162" s="118"/>
      <c r="D162" s="118"/>
      <c r="E162" s="118"/>
      <c r="F162" s="118"/>
      <c r="G162" s="118"/>
      <c r="H162" s="118"/>
    </row>
    <row r="163" spans="1:8" x14ac:dyDescent="0.25">
      <c r="A163" s="14" t="s">
        <v>74</v>
      </c>
      <c r="B163" s="15"/>
      <c r="C163" s="15"/>
      <c r="D163" s="14" t="str">
        <f>E8</f>
        <v>Chandrakiran CHS Ltd</v>
      </c>
      <c r="F163" s="15"/>
      <c r="G163" s="15"/>
      <c r="H163" s="15"/>
    </row>
    <row r="164" spans="1:8" x14ac:dyDescent="0.25">
      <c r="A164" s="15"/>
      <c r="B164" s="15"/>
      <c r="C164" s="15"/>
      <c r="D164" s="15"/>
      <c r="E164" s="15"/>
      <c r="F164" s="15"/>
      <c r="G164" s="15"/>
      <c r="H164" s="15"/>
    </row>
    <row r="165" spans="1:8" x14ac:dyDescent="0.25">
      <c r="A165" s="15"/>
      <c r="B165" s="15"/>
      <c r="C165" s="15"/>
      <c r="D165" s="15"/>
      <c r="E165" s="15"/>
      <c r="F165" s="15"/>
      <c r="G165" s="15"/>
      <c r="H165" s="15"/>
    </row>
    <row r="166" spans="1:8" ht="15" customHeight="1" x14ac:dyDescent="0.25"/>
    <row r="206" spans="1:1" x14ac:dyDescent="0.25">
      <c r="A206" s="17" t="s">
        <v>75</v>
      </c>
    </row>
  </sheetData>
  <mergeCells count="290">
    <mergeCell ref="B150:H150"/>
    <mergeCell ref="C36:H36"/>
    <mergeCell ref="L113:M113"/>
    <mergeCell ref="A103:B103"/>
    <mergeCell ref="A104:B104"/>
    <mergeCell ref="A105:B105"/>
    <mergeCell ref="A106:B106"/>
    <mergeCell ref="A112:H112"/>
    <mergeCell ref="A95:B95"/>
    <mergeCell ref="C95:D95"/>
    <mergeCell ref="E95:F95"/>
    <mergeCell ref="G95:H95"/>
    <mergeCell ref="A96:B96"/>
    <mergeCell ref="C96:D96"/>
    <mergeCell ref="E96:F96"/>
    <mergeCell ref="G96:H96"/>
    <mergeCell ref="L112:M112"/>
    <mergeCell ref="L108:M108"/>
    <mergeCell ref="L107:M107"/>
    <mergeCell ref="L106:M106"/>
    <mergeCell ref="L105:M105"/>
    <mergeCell ref="L104:M104"/>
    <mergeCell ref="L103:M103"/>
    <mergeCell ref="L102:M102"/>
    <mergeCell ref="F78:H78"/>
    <mergeCell ref="L132:M132"/>
    <mergeCell ref="L134:M134"/>
    <mergeCell ref="G135:H135"/>
    <mergeCell ref="L126:M126"/>
    <mergeCell ref="A129:H129"/>
    <mergeCell ref="L129:M129"/>
    <mergeCell ref="A126:H126"/>
    <mergeCell ref="G137:H137"/>
    <mergeCell ref="G127:H128"/>
    <mergeCell ref="G130:H131"/>
    <mergeCell ref="A132:H132"/>
    <mergeCell ref="G133:H133"/>
    <mergeCell ref="A134:H134"/>
    <mergeCell ref="L136:M136"/>
    <mergeCell ref="F80:H80"/>
    <mergeCell ref="F85:H85"/>
    <mergeCell ref="C93:D93"/>
    <mergeCell ref="G93:H93"/>
    <mergeCell ref="A80:E80"/>
    <mergeCell ref="A76:B76"/>
    <mergeCell ref="A77:H77"/>
    <mergeCell ref="G91:H91"/>
    <mergeCell ref="A46:B46"/>
    <mergeCell ref="C46:E46"/>
    <mergeCell ref="C49:E49"/>
    <mergeCell ref="G49:H49"/>
    <mergeCell ref="G46:H46"/>
    <mergeCell ref="G48:H48"/>
    <mergeCell ref="D52:H52"/>
    <mergeCell ref="C48:E48"/>
    <mergeCell ref="A55:C55"/>
    <mergeCell ref="C76:H76"/>
    <mergeCell ref="A86:E86"/>
    <mergeCell ref="D55:H55"/>
    <mergeCell ref="A51:H51"/>
    <mergeCell ref="A52:C52"/>
    <mergeCell ref="A53:C53"/>
    <mergeCell ref="D53:H53"/>
    <mergeCell ref="G50:H50"/>
    <mergeCell ref="A59:C59"/>
    <mergeCell ref="D59:H59"/>
    <mergeCell ref="A64:B64"/>
    <mergeCell ref="D54:H54"/>
    <mergeCell ref="A54:C54"/>
    <mergeCell ref="E63:F63"/>
    <mergeCell ref="A56:C56"/>
    <mergeCell ref="A57:C57"/>
    <mergeCell ref="D56:H56"/>
    <mergeCell ref="B146:H146"/>
    <mergeCell ref="G117:H118"/>
    <mergeCell ref="A99:A100"/>
    <mergeCell ref="C110:C111"/>
    <mergeCell ref="G114:H115"/>
    <mergeCell ref="A123:H123"/>
    <mergeCell ref="G124:H125"/>
    <mergeCell ref="A136:H136"/>
    <mergeCell ref="C115:F115"/>
    <mergeCell ref="A116:H116"/>
    <mergeCell ref="C99:C100"/>
    <mergeCell ref="G102:H102"/>
    <mergeCell ref="G108:H108"/>
    <mergeCell ref="G107:H107"/>
    <mergeCell ref="G103:H103"/>
    <mergeCell ref="G106:H106"/>
    <mergeCell ref="G105:H105"/>
    <mergeCell ref="A75:H75"/>
    <mergeCell ref="A73:B73"/>
    <mergeCell ref="D57:H57"/>
    <mergeCell ref="A71:B71"/>
    <mergeCell ref="A68:B68"/>
    <mergeCell ref="A58:C58"/>
    <mergeCell ref="D58:H58"/>
    <mergeCell ref="C62:H62"/>
    <mergeCell ref="A65:B65"/>
    <mergeCell ref="A67:B67"/>
    <mergeCell ref="A66:B66"/>
    <mergeCell ref="G63:H63"/>
    <mergeCell ref="A62:B62"/>
    <mergeCell ref="A60:B60"/>
    <mergeCell ref="C60:H60"/>
    <mergeCell ref="B147:H147"/>
    <mergeCell ref="A119:H119"/>
    <mergeCell ref="C122:F122"/>
    <mergeCell ref="G120:H122"/>
    <mergeCell ref="G110:H111"/>
    <mergeCell ref="A151:H151"/>
    <mergeCell ref="A152:H152"/>
    <mergeCell ref="E93:F93"/>
    <mergeCell ref="B144:H144"/>
    <mergeCell ref="B145:H145"/>
    <mergeCell ref="B139:H139"/>
    <mergeCell ref="B140:H140"/>
    <mergeCell ref="B141:H141"/>
    <mergeCell ref="B110:B111"/>
    <mergeCell ref="E94:F94"/>
    <mergeCell ref="G94:H94"/>
    <mergeCell ref="A109:H109"/>
    <mergeCell ref="A110:A111"/>
    <mergeCell ref="G104:H104"/>
    <mergeCell ref="B142:H142"/>
    <mergeCell ref="B143:H143"/>
    <mergeCell ref="A107:B107"/>
    <mergeCell ref="A108:B108"/>
    <mergeCell ref="A102:B102"/>
    <mergeCell ref="A159:H162"/>
    <mergeCell ref="A158:B158"/>
    <mergeCell ref="E158:F158"/>
    <mergeCell ref="C158:D158"/>
    <mergeCell ref="G158:H158"/>
    <mergeCell ref="A89:H89"/>
    <mergeCell ref="A87:E87"/>
    <mergeCell ref="F87:H87"/>
    <mergeCell ref="A88:E88"/>
    <mergeCell ref="F88:H88"/>
    <mergeCell ref="A113:H113"/>
    <mergeCell ref="A94:B94"/>
    <mergeCell ref="A91:B91"/>
    <mergeCell ref="A154:H154"/>
    <mergeCell ref="A92:H92"/>
    <mergeCell ref="A157:H157"/>
    <mergeCell ref="A155:H155"/>
    <mergeCell ref="A138:H138"/>
    <mergeCell ref="A156:H156"/>
    <mergeCell ref="A153:H153"/>
    <mergeCell ref="A93:B93"/>
    <mergeCell ref="D110:D111"/>
    <mergeCell ref="E110:E111"/>
    <mergeCell ref="D99:D10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2:D22"/>
    <mergeCell ref="E22:H22"/>
    <mergeCell ref="A48:B49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41:D41"/>
    <mergeCell ref="E41:H41"/>
    <mergeCell ref="A43:D43"/>
    <mergeCell ref="A44:D44"/>
    <mergeCell ref="A45:H45"/>
    <mergeCell ref="E44:H44"/>
    <mergeCell ref="A42:D42"/>
    <mergeCell ref="E91:F91"/>
    <mergeCell ref="B99:B100"/>
    <mergeCell ref="G47:H47"/>
    <mergeCell ref="A79:E79"/>
    <mergeCell ref="A81:E81"/>
    <mergeCell ref="F81:H81"/>
    <mergeCell ref="A82:E82"/>
    <mergeCell ref="A84:E84"/>
    <mergeCell ref="F84:H84"/>
    <mergeCell ref="A98:H98"/>
    <mergeCell ref="G90:H90"/>
    <mergeCell ref="A85:E85"/>
    <mergeCell ref="C91:D91"/>
    <mergeCell ref="A50:B50"/>
    <mergeCell ref="C50:E50"/>
    <mergeCell ref="A47:B47"/>
    <mergeCell ref="A70:B70"/>
    <mergeCell ref="A63:B63"/>
    <mergeCell ref="E64:F73"/>
    <mergeCell ref="A69:B69"/>
    <mergeCell ref="G64:H73"/>
    <mergeCell ref="A72:B72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E40:H40"/>
    <mergeCell ref="A40:D40"/>
    <mergeCell ref="E42:H42"/>
    <mergeCell ref="E43:H43"/>
    <mergeCell ref="E90:F90"/>
    <mergeCell ref="C47:E47"/>
    <mergeCell ref="C37:H37"/>
    <mergeCell ref="B148:H148"/>
    <mergeCell ref="B149:H149"/>
    <mergeCell ref="A74:E74"/>
    <mergeCell ref="F74:H74"/>
    <mergeCell ref="A97:H97"/>
    <mergeCell ref="A90:B90"/>
    <mergeCell ref="F83:H83"/>
    <mergeCell ref="C90:D90"/>
    <mergeCell ref="F79:H79"/>
    <mergeCell ref="F86:H86"/>
    <mergeCell ref="A83:E83"/>
    <mergeCell ref="C94:D94"/>
    <mergeCell ref="F82:H82"/>
    <mergeCell ref="A78:E78"/>
    <mergeCell ref="A101:H101"/>
    <mergeCell ref="E99:E100"/>
    <mergeCell ref="G99:H100"/>
  </mergeCells>
  <hyperlinks>
    <hyperlink ref="C37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&amp;P</oddFooter>
  </headerFooter>
  <rowBreaks count="4" manualBreakCount="4">
    <brk id="37" max="16383" man="1"/>
    <brk id="137" max="16383" man="1"/>
    <brk id="162" max="16383" man="1"/>
    <brk id="20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22" workbookViewId="0">
      <selection activeCell="C6" sqref="C6:D32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77</v>
      </c>
      <c r="C2" s="169"/>
      <c r="D2" s="169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78</v>
      </c>
      <c r="B4" s="5" t="s">
        <v>79</v>
      </c>
      <c r="C4" s="170" t="s">
        <v>80</v>
      </c>
      <c r="D4" s="170"/>
      <c r="E4" s="170"/>
      <c r="F4" s="6"/>
      <c r="G4" s="170" t="s">
        <v>81</v>
      </c>
      <c r="H4" s="170"/>
      <c r="I4" s="170"/>
      <c r="J4" s="170" t="s">
        <v>82</v>
      </c>
      <c r="K4" s="170"/>
      <c r="L4" s="170"/>
    </row>
    <row r="5" spans="1:12" x14ac:dyDescent="0.2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2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H8" sqref="H8"/>
    </sheetView>
  </sheetViews>
  <sheetFormatPr defaultColWidth="8.7109375" defaultRowHeight="15" x14ac:dyDescent="0.25"/>
  <cols>
    <col min="1" max="1" width="8.7109375" style="22"/>
    <col min="2" max="2" width="22.28515625" style="22" customWidth="1"/>
    <col min="3" max="3" width="37" style="22" customWidth="1"/>
    <col min="4" max="5" width="11.42578125" style="22" customWidth="1"/>
    <col min="6" max="6" width="14" style="22" customWidth="1"/>
    <col min="7" max="7" width="20" style="22" customWidth="1"/>
    <col min="8" max="8" width="16.42578125" style="22" customWidth="1"/>
    <col min="9" max="16384" width="8.7109375" style="22"/>
  </cols>
  <sheetData>
    <row r="1" spans="1:9" ht="15" customHeight="1" x14ac:dyDescent="0.25"/>
    <row r="2" spans="1:9" ht="15" customHeight="1" x14ac:dyDescent="0.25">
      <c r="A2" s="23"/>
      <c r="B2" s="23"/>
      <c r="C2" s="23"/>
      <c r="D2" s="23"/>
      <c r="E2" s="23"/>
      <c r="F2" s="23"/>
      <c r="G2" s="23"/>
      <c r="H2" s="23"/>
    </row>
    <row r="3" spans="1:9" ht="15.75" customHeight="1" x14ac:dyDescent="0.25">
      <c r="A3" s="23"/>
      <c r="B3" s="171" t="s">
        <v>142</v>
      </c>
      <c r="C3" s="171"/>
      <c r="D3" s="171"/>
      <c r="E3" s="171"/>
      <c r="F3" s="171"/>
      <c r="G3" s="171"/>
      <c r="H3" s="171"/>
    </row>
    <row r="4" spans="1:9" x14ac:dyDescent="0.25">
      <c r="A4" s="23"/>
      <c r="B4" s="24" t="s">
        <v>143</v>
      </c>
      <c r="C4" s="24" t="s">
        <v>144</v>
      </c>
      <c r="D4" s="24" t="s">
        <v>78</v>
      </c>
      <c r="E4" s="24" t="s">
        <v>145</v>
      </c>
      <c r="F4" s="24" t="s">
        <v>152</v>
      </c>
      <c r="G4" s="24" t="s">
        <v>153</v>
      </c>
      <c r="H4" s="24" t="s">
        <v>146</v>
      </c>
    </row>
    <row r="5" spans="1:9" ht="15" customHeight="1" x14ac:dyDescent="0.25">
      <c r="A5" s="23"/>
      <c r="B5" s="26" t="s">
        <v>149</v>
      </c>
      <c r="C5" s="60" t="s">
        <v>220</v>
      </c>
      <c r="D5" s="61" t="s">
        <v>206</v>
      </c>
      <c r="E5" s="26">
        <v>750</v>
      </c>
      <c r="F5" s="28">
        <f>E5*1.6</f>
        <v>1200</v>
      </c>
      <c r="G5" s="28">
        <f>H5/F5</f>
        <v>33333.333333333336</v>
      </c>
      <c r="H5" s="29">
        <v>40000000</v>
      </c>
    </row>
    <row r="6" spans="1:9" x14ac:dyDescent="0.25">
      <c r="A6" s="23"/>
      <c r="B6" s="26" t="s">
        <v>147</v>
      </c>
      <c r="C6" s="60" t="s">
        <v>218</v>
      </c>
      <c r="D6" s="61" t="s">
        <v>206</v>
      </c>
      <c r="E6" s="26">
        <v>775</v>
      </c>
      <c r="F6" s="28">
        <f t="shared" ref="F6:F11" si="0">E6*1.6</f>
        <v>1240</v>
      </c>
      <c r="G6" s="28">
        <f t="shared" ref="G6:G11" si="1">H6/F6</f>
        <v>29032.258064516129</v>
      </c>
      <c r="H6" s="29">
        <v>36000000</v>
      </c>
    </row>
    <row r="7" spans="1:9" ht="15" customHeight="1" x14ac:dyDescent="0.25">
      <c r="A7" s="23"/>
      <c r="B7" s="26" t="s">
        <v>147</v>
      </c>
      <c r="C7" s="60" t="s">
        <v>219</v>
      </c>
      <c r="D7" s="61" t="s">
        <v>206</v>
      </c>
      <c r="E7" s="26">
        <v>774</v>
      </c>
      <c r="F7" s="28">
        <f t="shared" si="0"/>
        <v>1238.4000000000001</v>
      </c>
      <c r="G7" s="28">
        <f t="shared" si="1"/>
        <v>31895.994832041342</v>
      </c>
      <c r="H7" s="29">
        <v>39500000</v>
      </c>
    </row>
    <row r="8" spans="1:9" x14ac:dyDescent="0.25">
      <c r="A8" s="23"/>
      <c r="B8" s="26" t="s">
        <v>147</v>
      </c>
      <c r="C8" s="30"/>
      <c r="D8" s="26"/>
      <c r="E8" s="26"/>
      <c r="F8" s="28">
        <f t="shared" si="0"/>
        <v>0</v>
      </c>
      <c r="G8" s="28" t="e">
        <f t="shared" si="1"/>
        <v>#DIV/0!</v>
      </c>
      <c r="H8" s="29"/>
    </row>
    <row r="9" spans="1:9" ht="15" customHeight="1" x14ac:dyDescent="0.25">
      <c r="A9" s="23"/>
      <c r="B9" s="26" t="s">
        <v>147</v>
      </c>
      <c r="C9" s="30"/>
      <c r="D9" s="26"/>
      <c r="E9" s="26"/>
      <c r="F9" s="28">
        <f t="shared" si="0"/>
        <v>0</v>
      </c>
      <c r="G9" s="28" t="e">
        <f t="shared" si="1"/>
        <v>#DIV/0!</v>
      </c>
      <c r="H9" s="29"/>
    </row>
    <row r="10" spans="1:9" ht="15" customHeight="1" x14ac:dyDescent="0.25">
      <c r="A10" s="23"/>
      <c r="B10" s="26" t="s">
        <v>149</v>
      </c>
      <c r="C10" s="27"/>
      <c r="D10" s="26"/>
      <c r="E10" s="26"/>
      <c r="F10" s="28">
        <f t="shared" si="0"/>
        <v>0</v>
      </c>
      <c r="G10" s="28" t="e">
        <f t="shared" si="1"/>
        <v>#DIV/0!</v>
      </c>
      <c r="H10" s="29"/>
    </row>
    <row r="11" spans="1:9" ht="15" customHeight="1" x14ac:dyDescent="0.25">
      <c r="A11" s="23"/>
      <c r="B11" s="26" t="s">
        <v>149</v>
      </c>
      <c r="C11" s="27"/>
      <c r="D11" s="26"/>
      <c r="E11" s="26"/>
      <c r="F11" s="28">
        <f t="shared" si="0"/>
        <v>0</v>
      </c>
      <c r="G11" s="28" t="e">
        <f t="shared" si="1"/>
        <v>#DIV/0!</v>
      </c>
      <c r="H11" s="29"/>
    </row>
    <row r="12" spans="1:9" ht="15" customHeight="1" x14ac:dyDescent="0.25">
      <c r="A12" s="23"/>
      <c r="B12" s="31" t="s">
        <v>150</v>
      </c>
      <c r="C12" s="26"/>
      <c r="D12" s="26"/>
      <c r="E12" s="26"/>
      <c r="F12" s="26"/>
      <c r="G12" s="32" t="e">
        <f>AVERAGE(G5:G11)</f>
        <v>#DIV/0!</v>
      </c>
      <c r="H12" s="26"/>
    </row>
    <row r="13" spans="1:9" ht="15" customHeight="1" x14ac:dyDescent="0.25">
      <c r="B13" s="31" t="s">
        <v>151</v>
      </c>
      <c r="C13" s="26"/>
      <c r="D13" s="26"/>
      <c r="E13" s="26"/>
      <c r="F13" s="33"/>
      <c r="G13" s="31"/>
      <c r="H13" s="31"/>
      <c r="I13" s="25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2025-08-12T09:17:27Z</cp:lastPrinted>
  <dcterms:created xsi:type="dcterms:W3CDTF">2019-07-16T09:29:46Z</dcterms:created>
  <dcterms:modified xsi:type="dcterms:W3CDTF">2025-08-12T09:19:20Z</dcterms:modified>
</cp:coreProperties>
</file>