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bookViews>
  <sheets>
    <sheet name="Sheet1" sheetId="1" r:id="rId1"/>
    <sheet name="A &amp; B" sheetId="14" r:id="rId2"/>
    <sheet name="C" sheetId="15" r:id="rId3"/>
    <sheet name="Wing A" sheetId="11" r:id="rId4"/>
    <sheet name="Wing B" sheetId="12" r:id="rId5"/>
    <sheet name="Wing C" sheetId="13" r:id="rId6"/>
    <sheet name="VALUATION" sheetId="16" r:id="rId7"/>
  </sheets>
  <definedNames>
    <definedName name="_xlnm.Print_Area" localSheetId="0">Sheet1!$A$1:$J$336</definedName>
  </definedNames>
  <calcPr calcId="152511"/>
</workbook>
</file>

<file path=xl/calcChain.xml><?xml version="1.0" encoding="utf-8"?>
<calcChain xmlns="http://schemas.openxmlformats.org/spreadsheetml/2006/main">
  <c r="F39" i="1" l="1"/>
  <c r="F40" i="1" s="1"/>
  <c r="AC42" i="13" l="1"/>
  <c r="Z42" i="13"/>
  <c r="V42" i="13"/>
  <c r="AC41" i="13"/>
  <c r="Z41" i="13"/>
  <c r="V41" i="13"/>
  <c r="AC40" i="13"/>
  <c r="Z40" i="13"/>
  <c r="V40" i="13"/>
  <c r="AC39" i="13"/>
  <c r="Z39" i="13"/>
  <c r="V39" i="13"/>
  <c r="AC38" i="13"/>
  <c r="Z38" i="13"/>
  <c r="V38" i="13"/>
  <c r="AC37" i="13"/>
  <c r="Z37" i="13"/>
  <c r="V37" i="13"/>
  <c r="AC36" i="13"/>
  <c r="Z36" i="13"/>
  <c r="V36" i="13"/>
  <c r="AC35" i="13"/>
  <c r="Z35" i="13"/>
  <c r="V35" i="13"/>
  <c r="AC34" i="13"/>
  <c r="Z34" i="13"/>
  <c r="V34" i="13"/>
  <c r="AC33" i="13"/>
  <c r="Z33" i="13"/>
  <c r="V33" i="13"/>
  <c r="AC32" i="13"/>
  <c r="Z32" i="13"/>
  <c r="V32" i="13"/>
  <c r="AC31" i="13"/>
  <c r="Z31" i="13"/>
  <c r="V31" i="13"/>
  <c r="AC30" i="13"/>
  <c r="Z30" i="13"/>
  <c r="V30" i="13"/>
  <c r="AC29" i="13"/>
  <c r="Z29" i="13"/>
  <c r="V29" i="13"/>
  <c r="AC28" i="13"/>
  <c r="Z28" i="13"/>
  <c r="V28" i="13"/>
  <c r="AC27" i="13"/>
  <c r="Z27" i="13"/>
  <c r="V27" i="13"/>
  <c r="AC26" i="13"/>
  <c r="Z26" i="13"/>
  <c r="V26" i="13"/>
  <c r="AC25" i="13"/>
  <c r="Z25" i="13"/>
  <c r="V25" i="13"/>
  <c r="AC24" i="13"/>
  <c r="Z24" i="13"/>
  <c r="V24" i="13"/>
  <c r="AC23" i="13"/>
  <c r="Z23" i="13"/>
  <c r="V23" i="13"/>
  <c r="AC22" i="13"/>
  <c r="Z22" i="13"/>
  <c r="V22" i="13"/>
  <c r="AC21" i="13"/>
  <c r="Z21" i="13"/>
  <c r="V21" i="13"/>
  <c r="AC20" i="13"/>
  <c r="Z20" i="13"/>
  <c r="V20" i="13"/>
  <c r="AC19" i="13"/>
  <c r="Z19" i="13"/>
  <c r="V19" i="13"/>
  <c r="AC18" i="13"/>
  <c r="Z18" i="13"/>
  <c r="V18" i="13"/>
  <c r="AC17" i="13"/>
  <c r="Z17" i="13"/>
  <c r="V17" i="13"/>
  <c r="AC16" i="13"/>
  <c r="Z16" i="13"/>
  <c r="V16" i="13"/>
  <c r="AC15" i="13"/>
  <c r="Z15" i="13"/>
  <c r="V15" i="13"/>
  <c r="AC14" i="13"/>
  <c r="Z14" i="13"/>
  <c r="V14" i="13"/>
  <c r="AC13" i="13"/>
  <c r="Z13" i="13"/>
  <c r="V13" i="13"/>
  <c r="AC12" i="13"/>
  <c r="Z12" i="13"/>
  <c r="V12" i="13"/>
  <c r="AC11" i="13"/>
  <c r="Z11" i="13"/>
  <c r="V11" i="13"/>
  <c r="AC10" i="13"/>
  <c r="Z10" i="13"/>
  <c r="V10" i="13"/>
  <c r="AC9" i="13"/>
  <c r="Z9" i="13"/>
  <c r="V9" i="13"/>
  <c r="AC8" i="13"/>
  <c r="Z8" i="13"/>
  <c r="V8" i="13"/>
  <c r="AC7" i="13"/>
  <c r="Z7" i="13"/>
  <c r="V7" i="13"/>
  <c r="D212" i="1"/>
  <c r="G212" i="1" s="1"/>
  <c r="D211" i="1"/>
  <c r="G211" i="1" s="1"/>
  <c r="D210" i="1"/>
  <c r="G210" i="1" s="1"/>
  <c r="I209" i="1"/>
  <c r="T3" i="13" s="1"/>
  <c r="Z43" i="13" l="1"/>
  <c r="Y43" i="13" s="1"/>
  <c r="AC43" i="13"/>
  <c r="AB43" i="13" s="1"/>
  <c r="V43" i="13"/>
  <c r="U43" i="13" s="1"/>
  <c r="AE43" i="13" s="1"/>
  <c r="D209" i="1" s="1"/>
  <c r="G209" i="1" s="1"/>
  <c r="D207" i="1"/>
  <c r="D206" i="1"/>
  <c r="D205" i="1"/>
  <c r="N42" i="13"/>
  <c r="K42" i="13"/>
  <c r="G42" i="13"/>
  <c r="N41" i="13"/>
  <c r="K41" i="13"/>
  <c r="G41" i="13"/>
  <c r="N40" i="13"/>
  <c r="K40" i="13"/>
  <c r="G40" i="13"/>
  <c r="N39" i="13"/>
  <c r="K39" i="13"/>
  <c r="G39" i="13"/>
  <c r="N38" i="13"/>
  <c r="K38" i="13"/>
  <c r="G38" i="13"/>
  <c r="N37" i="13"/>
  <c r="K37" i="13"/>
  <c r="G37" i="13"/>
  <c r="N36" i="13"/>
  <c r="K36" i="13"/>
  <c r="G36" i="13"/>
  <c r="N35" i="13"/>
  <c r="K35" i="13"/>
  <c r="G35" i="13"/>
  <c r="N76" i="13"/>
  <c r="K76" i="13"/>
  <c r="G76" i="13"/>
  <c r="N75" i="13"/>
  <c r="K75" i="13"/>
  <c r="G75" i="13"/>
  <c r="N74" i="13"/>
  <c r="K74" i="13"/>
  <c r="G74" i="13"/>
  <c r="N73" i="13"/>
  <c r="K73" i="13"/>
  <c r="G73" i="13"/>
  <c r="N72" i="13"/>
  <c r="K72" i="13"/>
  <c r="G72" i="13"/>
  <c r="N71" i="13"/>
  <c r="K71" i="13"/>
  <c r="G71" i="13"/>
  <c r="N70" i="13"/>
  <c r="K70" i="13"/>
  <c r="G70" i="13"/>
  <c r="N69" i="13"/>
  <c r="K69" i="13"/>
  <c r="G69" i="13"/>
  <c r="N68" i="13"/>
  <c r="K68" i="13"/>
  <c r="G68" i="13"/>
  <c r="N67" i="13"/>
  <c r="K67" i="13"/>
  <c r="G67" i="13"/>
  <c r="N66" i="13"/>
  <c r="K66" i="13"/>
  <c r="G66" i="13"/>
  <c r="N65" i="13"/>
  <c r="K65" i="13"/>
  <c r="G65" i="13"/>
  <c r="N64" i="13"/>
  <c r="K64" i="13"/>
  <c r="G64" i="13"/>
  <c r="N63" i="13"/>
  <c r="K63" i="13"/>
  <c r="G63" i="13"/>
  <c r="N62" i="13"/>
  <c r="K62" i="13"/>
  <c r="G62" i="13"/>
  <c r="N61" i="13"/>
  <c r="K61" i="13"/>
  <c r="G61" i="13"/>
  <c r="N60" i="13"/>
  <c r="K60" i="13"/>
  <c r="G60" i="13"/>
  <c r="N59" i="13"/>
  <c r="K59" i="13"/>
  <c r="G59" i="13"/>
  <c r="N58" i="13"/>
  <c r="K58" i="13"/>
  <c r="G58" i="13"/>
  <c r="N57" i="13"/>
  <c r="K57" i="13"/>
  <c r="G57" i="13"/>
  <c r="N56" i="13"/>
  <c r="K56" i="13"/>
  <c r="G56" i="13"/>
  <c r="N55" i="13"/>
  <c r="K55" i="13"/>
  <c r="G55" i="13"/>
  <c r="N54" i="13"/>
  <c r="K54" i="13"/>
  <c r="G54" i="13"/>
  <c r="N53" i="13"/>
  <c r="K53" i="13"/>
  <c r="G53" i="13"/>
  <c r="N52" i="13"/>
  <c r="K52" i="13"/>
  <c r="G52" i="13"/>
  <c r="N51" i="13"/>
  <c r="K51" i="13"/>
  <c r="G51" i="13"/>
  <c r="N50" i="13"/>
  <c r="K50" i="13"/>
  <c r="G50" i="13"/>
  <c r="N49" i="13"/>
  <c r="K49" i="13"/>
  <c r="G49" i="13"/>
  <c r="H49" i="1"/>
  <c r="C49" i="1"/>
  <c r="N77" i="13" l="1"/>
  <c r="M77" i="13" s="1"/>
  <c r="K77" i="13"/>
  <c r="J77" i="13" s="1"/>
  <c r="G77" i="13"/>
  <c r="C89" i="1"/>
  <c r="F77" i="13" l="1"/>
  <c r="P77" i="13" s="1"/>
  <c r="F78" i="13"/>
  <c r="O74" i="1"/>
  <c r="K213" i="1" l="1"/>
  <c r="K165" i="1"/>
  <c r="K127" i="1"/>
  <c r="I232" i="1" l="1"/>
  <c r="I227" i="1"/>
  <c r="I222" i="1"/>
  <c r="I214" i="1"/>
  <c r="I204" i="1"/>
  <c r="I197" i="1"/>
  <c r="I191" i="1"/>
  <c r="I185" i="1"/>
  <c r="I179" i="1"/>
  <c r="I172" i="1"/>
  <c r="I166" i="1"/>
  <c r="I154" i="1"/>
  <c r="I149" i="1"/>
  <c r="I144" i="1"/>
  <c r="I139" i="1"/>
  <c r="I133" i="1"/>
  <c r="I128" i="1"/>
  <c r="I123" i="1"/>
  <c r="D157" i="1"/>
  <c r="G157" i="1" s="1"/>
  <c r="D156" i="1"/>
  <c r="G156" i="1" s="1"/>
  <c r="D155" i="1"/>
  <c r="G155" i="1" s="1"/>
  <c r="D154" i="1"/>
  <c r="G154" i="1" s="1"/>
  <c r="D152" i="1"/>
  <c r="G152" i="1" s="1"/>
  <c r="D151" i="1"/>
  <c r="G151" i="1" s="1"/>
  <c r="D150" i="1"/>
  <c r="G150" i="1" s="1"/>
  <c r="D149" i="1"/>
  <c r="G149" i="1" s="1"/>
  <c r="D147" i="1"/>
  <c r="G147" i="1" s="1"/>
  <c r="D146" i="1"/>
  <c r="G146" i="1" s="1"/>
  <c r="D145" i="1"/>
  <c r="G145" i="1" s="1"/>
  <c r="D144" i="1"/>
  <c r="G144" i="1" s="1"/>
  <c r="D142" i="1"/>
  <c r="G142" i="1" s="1"/>
  <c r="D141" i="1"/>
  <c r="G141" i="1" s="1"/>
  <c r="D139" i="1"/>
  <c r="G139" i="1" s="1"/>
  <c r="D136" i="1"/>
  <c r="G136" i="1" s="1"/>
  <c r="D135" i="1"/>
  <c r="G135" i="1" s="1"/>
  <c r="D133" i="1"/>
  <c r="G133" i="1" s="1"/>
  <c r="D131" i="1"/>
  <c r="G131" i="1" s="1"/>
  <c r="D130" i="1"/>
  <c r="G130" i="1" s="1"/>
  <c r="D129" i="1"/>
  <c r="G129" i="1" s="1"/>
  <c r="D128" i="1"/>
  <c r="G128" i="1" s="1"/>
  <c r="D201" i="1" l="1"/>
  <c r="D200" i="1"/>
  <c r="D199" i="1"/>
  <c r="D198" i="1"/>
  <c r="D197" i="1"/>
  <c r="G197" i="1" s="1"/>
  <c r="N199" i="1"/>
  <c r="M199" i="1"/>
  <c r="N198" i="1"/>
  <c r="M198" i="1"/>
  <c r="N197" i="1"/>
  <c r="M197" i="1"/>
  <c r="O197" i="1" l="1"/>
  <c r="O198" i="1"/>
  <c r="O199" i="1"/>
  <c r="G201" i="1"/>
  <c r="G200" i="1"/>
  <c r="G199" i="1"/>
  <c r="G198" i="1"/>
  <c r="C75" i="1" l="1"/>
  <c r="F3" i="1" l="1"/>
  <c r="L100" i="1" l="1"/>
  <c r="L94" i="1" l="1"/>
  <c r="L93" i="1"/>
  <c r="L92" i="1"/>
  <c r="L79" i="1"/>
  <c r="L78" i="1"/>
  <c r="I69" i="1"/>
  <c r="I83" i="1"/>
  <c r="D74" i="1" l="1"/>
  <c r="L87" i="1"/>
  <c r="C86" i="1" s="1"/>
  <c r="L85" i="1"/>
  <c r="D90" i="1"/>
  <c r="L86" i="1"/>
  <c r="D95" i="1"/>
  <c r="D93" i="1"/>
  <c r="D91" i="1"/>
  <c r="D89" i="1"/>
  <c r="L88" i="1"/>
  <c r="L89" i="1" s="1"/>
  <c r="D94" i="1"/>
  <c r="D92" i="1"/>
  <c r="D88" i="1"/>
  <c r="L72" i="1"/>
  <c r="D81" i="1"/>
  <c r="D79" i="1"/>
  <c r="D77" i="1"/>
  <c r="D75" i="1"/>
  <c r="L73" i="1"/>
  <c r="C72" i="1" s="1"/>
  <c r="D72" i="1" s="1"/>
  <c r="L71" i="1"/>
  <c r="L74" i="1"/>
  <c r="L75" i="1" s="1"/>
  <c r="L80" i="1" s="1"/>
  <c r="D80" i="1"/>
  <c r="D76" i="1"/>
  <c r="D78" i="1"/>
  <c r="G6" i="16"/>
  <c r="G7" i="16"/>
  <c r="G8" i="16" s="1"/>
  <c r="G5" i="16"/>
  <c r="F6" i="16"/>
  <c r="F7" i="16"/>
  <c r="F5" i="16"/>
  <c r="E251" i="1"/>
  <c r="B16" i="15"/>
  <c r="E10" i="15" s="1"/>
  <c r="B14" i="15"/>
  <c r="N7" i="15" s="1"/>
  <c r="H18" i="15" s="1"/>
  <c r="N6" i="15"/>
  <c r="G18" i="15" s="1"/>
  <c r="B12" i="15"/>
  <c r="E8" i="15" s="1"/>
  <c r="B10" i="15"/>
  <c r="L7" i="15" s="1"/>
  <c r="H16" i="15" s="1"/>
  <c r="B8" i="15"/>
  <c r="E6" i="15" s="1"/>
  <c r="M7" i="15"/>
  <c r="H17" i="15" s="1"/>
  <c r="M6" i="15"/>
  <c r="G17" i="15" s="1"/>
  <c r="I6" i="15"/>
  <c r="G13" i="15" s="1"/>
  <c r="B6" i="15"/>
  <c r="J7" i="15" s="1"/>
  <c r="H14" i="15" s="1"/>
  <c r="E4" i="15"/>
  <c r="B16" i="14"/>
  <c r="O6" i="14" s="1"/>
  <c r="G19" i="14" s="1"/>
  <c r="B14" i="14"/>
  <c r="N6" i="14" s="1"/>
  <c r="G18" i="14" s="1"/>
  <c r="B12" i="14"/>
  <c r="M6" i="14" s="1"/>
  <c r="G17" i="14" s="1"/>
  <c r="B10" i="14"/>
  <c r="E7" i="14" s="1"/>
  <c r="B8" i="14"/>
  <c r="K7" i="14" s="1"/>
  <c r="H15" i="14" s="1"/>
  <c r="I6" i="14"/>
  <c r="I7" i="14" s="1"/>
  <c r="H13" i="14" s="1"/>
  <c r="B6" i="14"/>
  <c r="J7" i="14" s="1"/>
  <c r="H14" i="14" s="1"/>
  <c r="E4" i="14"/>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C45" i="1"/>
  <c r="H45" i="1"/>
  <c r="D60" i="1"/>
  <c r="D56" i="1"/>
  <c r="G108" i="1"/>
  <c r="D123" i="1"/>
  <c r="D124" i="1"/>
  <c r="G124" i="1" s="1"/>
  <c r="D125" i="1"/>
  <c r="G125" i="1" s="1"/>
  <c r="D126" i="1"/>
  <c r="G126" i="1" s="1"/>
  <c r="D162" i="1"/>
  <c r="D163" i="1"/>
  <c r="G163" i="1" s="1"/>
  <c r="D164" i="1"/>
  <c r="G164" i="1" s="1"/>
  <c r="D166" i="1"/>
  <c r="G166" i="1" s="1"/>
  <c r="D167" i="1"/>
  <c r="G167" i="1" s="1"/>
  <c r="D168" i="1"/>
  <c r="G168" i="1" s="1"/>
  <c r="D169" i="1"/>
  <c r="G169" i="1" s="1"/>
  <c r="D170" i="1"/>
  <c r="G170" i="1" s="1"/>
  <c r="D173" i="1"/>
  <c r="G173" i="1" s="1"/>
  <c r="D174" i="1"/>
  <c r="G174" i="1" s="1"/>
  <c r="D175" i="1"/>
  <c r="G175" i="1" s="1"/>
  <c r="D176" i="1"/>
  <c r="G176" i="1" s="1"/>
  <c r="D180" i="1"/>
  <c r="G180" i="1" s="1"/>
  <c r="D181" i="1"/>
  <c r="G181" i="1" s="1"/>
  <c r="D182" i="1"/>
  <c r="G182" i="1" s="1"/>
  <c r="D183" i="1"/>
  <c r="G183" i="1" s="1"/>
  <c r="D185" i="1"/>
  <c r="G185" i="1" s="1"/>
  <c r="D186" i="1"/>
  <c r="G186" i="1" s="1"/>
  <c r="D187" i="1"/>
  <c r="G187" i="1" s="1"/>
  <c r="D188" i="1"/>
  <c r="G188" i="1" s="1"/>
  <c r="D189" i="1"/>
  <c r="G189" i="1" s="1"/>
  <c r="D191" i="1"/>
  <c r="G191" i="1" s="1"/>
  <c r="D192" i="1"/>
  <c r="G192" i="1" s="1"/>
  <c r="D193" i="1"/>
  <c r="G193" i="1" s="1"/>
  <c r="D194" i="1"/>
  <c r="G194" i="1" s="1"/>
  <c r="D195" i="1"/>
  <c r="G195" i="1" s="1"/>
  <c r="G205" i="1"/>
  <c r="G206" i="1"/>
  <c r="G207" i="1"/>
  <c r="D214" i="1"/>
  <c r="G214" i="1" s="1"/>
  <c r="D215" i="1"/>
  <c r="G215" i="1" s="1"/>
  <c r="D216" i="1"/>
  <c r="D217" i="1"/>
  <c r="G217" i="1" s="1"/>
  <c r="D218" i="1"/>
  <c r="G218" i="1" s="1"/>
  <c r="D219" i="1"/>
  <c r="G219" i="1" s="1"/>
  <c r="D220" i="1"/>
  <c r="G220" i="1" s="1"/>
  <c r="D222" i="1"/>
  <c r="G222" i="1" s="1"/>
  <c r="D223" i="1"/>
  <c r="G223" i="1" s="1"/>
  <c r="D225" i="1"/>
  <c r="G225" i="1" s="1"/>
  <c r="D227" i="1"/>
  <c r="G227" i="1" s="1"/>
  <c r="D228" i="1"/>
  <c r="G228" i="1" s="1"/>
  <c r="D230" i="1"/>
  <c r="G230" i="1" s="1"/>
  <c r="D232" i="1"/>
  <c r="G232" i="1" s="1"/>
  <c r="D233" i="1"/>
  <c r="G233" i="1" s="1"/>
  <c r="D234" i="1"/>
  <c r="G234" i="1" s="1"/>
  <c r="D235" i="1"/>
  <c r="G235" i="1" s="1"/>
  <c r="E9" i="15"/>
  <c r="E5" i="14"/>
  <c r="M7" i="14"/>
  <c r="H17" i="14" s="1"/>
  <c r="I7" i="15" l="1"/>
  <c r="H13" i="15" s="1"/>
  <c r="K6" i="15"/>
  <c r="G15" i="15" s="1"/>
  <c r="K43" i="13"/>
  <c r="J43" i="13" s="1"/>
  <c r="G13" i="14"/>
  <c r="G43" i="13"/>
  <c r="F43" i="13" s="1"/>
  <c r="P43" i="13" s="1"/>
  <c r="D204" i="1" s="1"/>
  <c r="N7" i="14"/>
  <c r="H18" i="14" s="1"/>
  <c r="E9" i="14"/>
  <c r="K7" i="15"/>
  <c r="H15" i="15" s="1"/>
  <c r="L6" i="15"/>
  <c r="G16" i="15" s="1"/>
  <c r="G123" i="1"/>
  <c r="H111" i="1" s="1"/>
  <c r="C111" i="1"/>
  <c r="E111" i="1"/>
  <c r="G216" i="1"/>
  <c r="E112" i="1"/>
  <c r="G162" i="1"/>
  <c r="H112" i="1" s="1"/>
  <c r="C112" i="1"/>
  <c r="E10" i="14"/>
  <c r="F34" i="11"/>
  <c r="E34" i="11" s="1"/>
  <c r="F35" i="12"/>
  <c r="E35" i="12" s="1"/>
  <c r="E7" i="15"/>
  <c r="J34" i="11"/>
  <c r="I34" i="11" s="1"/>
  <c r="M34" i="11"/>
  <c r="L34" i="11" s="1"/>
  <c r="J35" i="12"/>
  <c r="I35" i="12" s="1"/>
  <c r="M35" i="12"/>
  <c r="L35" i="12" s="1"/>
  <c r="N43" i="13"/>
  <c r="M43" i="13" s="1"/>
  <c r="L90" i="1"/>
  <c r="L91" i="1" s="1"/>
  <c r="D86" i="1"/>
  <c r="L76" i="1"/>
  <c r="L77" i="1" s="1"/>
  <c r="E5" i="15"/>
  <c r="K6" i="14"/>
  <c r="G15" i="14" s="1"/>
  <c r="L7" i="14"/>
  <c r="H16" i="14" s="1"/>
  <c r="O7" i="14"/>
  <c r="H19" i="14" s="1"/>
  <c r="O6" i="15"/>
  <c r="G19" i="15" s="1"/>
  <c r="J6" i="15"/>
  <c r="G14" i="15" s="1"/>
  <c r="G20" i="15" s="1"/>
  <c r="J6" i="14"/>
  <c r="G14" i="14" s="1"/>
  <c r="E6" i="14"/>
  <c r="L6" i="14"/>
  <c r="G16" i="14" s="1"/>
  <c r="O7" i="15"/>
  <c r="H19" i="15" s="1"/>
  <c r="E8" i="14"/>
  <c r="H20" i="15" l="1"/>
  <c r="G204" i="1"/>
  <c r="H113" i="1" s="1"/>
  <c r="H114" i="1" s="1"/>
  <c r="C113" i="1"/>
  <c r="C114" i="1" s="1"/>
  <c r="E113" i="1"/>
  <c r="E114" i="1" s="1"/>
  <c r="H20" i="14"/>
  <c r="G20" i="14"/>
  <c r="L95" i="1"/>
  <c r="C87" i="1" s="1"/>
  <c r="L81" i="1"/>
  <c r="C73" i="1" s="1"/>
  <c r="F86" i="1" l="1"/>
  <c r="K82" i="1" s="1"/>
  <c r="C84" i="1" s="1"/>
  <c r="D87" i="1"/>
  <c r="H86" i="1"/>
  <c r="F72" i="1"/>
  <c r="K68" i="1" s="1"/>
  <c r="C70" i="1" s="1"/>
  <c r="D73" i="1"/>
  <c r="H72" i="1"/>
</calcChain>
</file>

<file path=xl/sharedStrings.xml><?xml version="1.0" encoding="utf-8"?>
<sst xmlns="http://schemas.openxmlformats.org/spreadsheetml/2006/main" count="789" uniqueCount="305">
  <si>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</si>
  <si>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</si>
  <si>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</si>
  <si>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</si>
  <si>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</si>
  <si>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</si>
  <si>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</si>
  <si>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</si>
  <si>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</si>
  <si>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</si>
  <si>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</si>
  <si>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</si>
  <si>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</si>
  <si>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</si>
  <si>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</si>
  <si>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</si>
  <si>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</si>
  <si>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</si>
  <si>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</si>
  <si>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</si>
  <si>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</si>
  <si>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</si>
  <si>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</si>
  <si>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</si>
  <si>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</si>
  <si>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</si>
  <si>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</si>
  <si>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</si>
  <si>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</si>
  <si>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</si>
  <si>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</si>
  <si>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</si>
  <si>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</si>
  <si>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</si>
  <si>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</si>
  <si>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</si>
  <si>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</si>
  <si>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</si>
  <si>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</si>
  <si>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</si>
  <si>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</si>
  <si>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</si>
  <si>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</si>
  <si>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</si>
  <si>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</si>
  <si>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</si>
  <si>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</si>
  <si>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</si>
  <si>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</si>
  <si>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date:NA</t>
  </si>
  <si>
    <t>NA</t>
  </si>
  <si>
    <t>South</t>
  </si>
  <si>
    <t xml:space="preserve">Distance from city centre: </t>
  </si>
  <si>
    <t>Plane</t>
  </si>
  <si>
    <t>Expiry date: NA</t>
  </si>
  <si>
    <t xml:space="preserve">4)  The saleable area is as per Our Calculation.  </t>
  </si>
  <si>
    <t>Does the boundaries at site match, as mentioned in the Docoumentation: NA</t>
  </si>
  <si>
    <t>all available at  1 to 2 km.</t>
  </si>
  <si>
    <t>Dated</t>
  </si>
  <si>
    <t xml:space="preserve">Project location details       </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</si>
  <si>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</si>
  <si>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</si>
  <si>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</si>
  <si>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</si>
  <si>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</si>
  <si>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</si>
  <si>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</si>
  <si>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</si>
  <si>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</si>
  <si>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</si>
  <si>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</si>
  <si>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</si>
  <si>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Floor rise rate  Per Sq. Ft.</t>
  </si>
  <si>
    <t>Development charges Per Sq. Ft.</t>
  </si>
  <si>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</si>
  <si>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</si>
  <si>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</si>
  <si>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</si>
  <si>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</si>
  <si>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</si>
  <si>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</si>
  <si>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</si>
  <si>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</si>
  <si>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</si>
  <si>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</si>
  <si>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</si>
  <si>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</si>
  <si>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</si>
  <si>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</si>
  <si>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</si>
  <si>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</si>
  <si>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</si>
  <si>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</si>
  <si>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</si>
  <si>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</si>
  <si>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</si>
  <si>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</si>
  <si>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</si>
  <si>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</si>
  <si>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</si>
  <si>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</si>
  <si>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</si>
  <si>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</si>
  <si>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</si>
  <si>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Name / no of the Building</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</si>
  <si>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</si>
  <si>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</si>
  <si>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</si>
  <si>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</si>
  <si>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</si>
  <si>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</si>
  <si>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</si>
  <si>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</si>
  <si>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</si>
  <si>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</si>
  <si>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</si>
  <si>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</si>
  <si>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</si>
  <si>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</si>
  <si>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</si>
  <si>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</si>
  <si>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</si>
  <si>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</si>
  <si>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</si>
  <si>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</si>
  <si>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</si>
  <si>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</si>
  <si>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</si>
  <si>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</si>
  <si>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</si>
  <si>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Stilt Floor For Parking</t>
  </si>
  <si>
    <t>03 Wings</t>
  </si>
  <si>
    <t>1st to 3rd Basement For Parking</t>
  </si>
  <si>
    <t>1st Floor</t>
  </si>
  <si>
    <t>3BHK</t>
  </si>
  <si>
    <t>2BHK</t>
  </si>
  <si>
    <t>A Wing</t>
  </si>
  <si>
    <t>B Wing</t>
  </si>
  <si>
    <t>DG Room</t>
  </si>
  <si>
    <t>Substation</t>
  </si>
  <si>
    <t>2nd to 7th, 9th to 14th, 16th to 21st &amp; 23rd to 27th Floor</t>
  </si>
  <si>
    <t>4BHK</t>
  </si>
  <si>
    <t>8th &amp; 15th Floor</t>
  </si>
  <si>
    <t>Refuge Area</t>
  </si>
  <si>
    <t>22nd Floor</t>
  </si>
  <si>
    <t>28th Floor</t>
  </si>
  <si>
    <t>29th Floor</t>
  </si>
  <si>
    <t>30th Floor</t>
  </si>
  <si>
    <t>Fire Check Floor Above 22nd Floor</t>
  </si>
  <si>
    <t>C Wing</t>
  </si>
  <si>
    <t>5BHK</t>
  </si>
  <si>
    <t>2nd to 7th, 9th, 10th, 12th to 14th, 16th, 18th to 21st Floor</t>
  </si>
  <si>
    <t>4.5BHK</t>
  </si>
  <si>
    <t>MP Room</t>
  </si>
  <si>
    <t>1RK</t>
  </si>
  <si>
    <t>8th Floor</t>
  </si>
  <si>
    <t>15th Floor</t>
  </si>
  <si>
    <t>11th, 17th &amp; 22nd Floor</t>
  </si>
  <si>
    <t xml:space="preserve">Approved usage of the Property: Residential
(Restrictive Covenants in regard to Land Use, if any)                                                                                                                                                </t>
  </si>
  <si>
    <t>M/s. Kalpataru Properties Pvt. Ltd.</t>
  </si>
  <si>
    <t>Axis Goregaon</t>
  </si>
  <si>
    <t>Kalpataru Magnus</t>
  </si>
  <si>
    <t>Mr.Krishna(9833226152)</t>
  </si>
  <si>
    <t>Kalpataru Magnus/03 Wings</t>
  </si>
  <si>
    <t>629(pt)</t>
  </si>
  <si>
    <t>MHADA Bldg</t>
  </si>
  <si>
    <t>Helmak Bldg</t>
  </si>
  <si>
    <t>Guru Nanak Hospital</t>
  </si>
  <si>
    <t>Developed</t>
  </si>
  <si>
    <t>Middle Class</t>
  </si>
  <si>
    <t>Type of Structure : RCC</t>
  </si>
  <si>
    <t>Opp. Guru Nanak Hospital</t>
  </si>
  <si>
    <t>Guru Nanak Road</t>
  </si>
  <si>
    <t>Bandra</t>
  </si>
  <si>
    <t>Mumbai.</t>
  </si>
  <si>
    <t>About 3 Km from Bandra    Railway Station</t>
  </si>
  <si>
    <t>Recommended rate of the flat Per Sq. Ft. ( on Carpet area)</t>
  </si>
  <si>
    <t xml:space="preserve">PHOTOGRAPHS OF PROPERTY  : </t>
  </si>
  <si>
    <t>Google Map :</t>
  </si>
  <si>
    <t>Approved Layout, Approved Building Plan, CC</t>
  </si>
  <si>
    <t>Saleable area</t>
  </si>
  <si>
    <t>Market Research Data</t>
  </si>
  <si>
    <t>Source</t>
  </si>
  <si>
    <t>Distance from proposed property</t>
  </si>
  <si>
    <t>Net Carpet</t>
  </si>
  <si>
    <t>Saleable Area</t>
  </si>
  <si>
    <t>Rate on Saleable</t>
  </si>
  <si>
    <t>Market Value</t>
  </si>
  <si>
    <t>99 Acres</t>
  </si>
  <si>
    <t>Average</t>
  </si>
  <si>
    <t xml:space="preserve">Valuation Adopted </t>
  </si>
  <si>
    <t>Accessibility to the Project from the City:
(Proximity to civic amenities like school, hospital, market)</t>
  </si>
  <si>
    <t>Rera No.</t>
  </si>
  <si>
    <t>P51800004029</t>
  </si>
  <si>
    <t>94/075/Planing Cell/GM/MHADA</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</si>
  <si>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</si>
  <si>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</si>
  <si>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</si>
  <si>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</si>
  <si>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</si>
  <si>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</si>
  <si>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</si>
  <si>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</si>
  <si>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</si>
  <si>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</si>
  <si>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</si>
  <si>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</si>
  <si>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</si>
  <si>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</si>
  <si>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</si>
  <si>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</si>
  <si>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</si>
  <si>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</si>
  <si>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</si>
  <si>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</si>
  <si>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</si>
  <si>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</si>
  <si>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</si>
  <si>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</si>
  <si>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</si>
  <si>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</si>
  <si>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</si>
  <si>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</si>
  <si>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</si>
  <si>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</si>
  <si>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</si>
  <si>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</si>
  <si>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</si>
  <si>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15,00,000/-</t>
  </si>
  <si>
    <t>Sanket Jagdale,</t>
  </si>
  <si>
    <t>Cost sheet</t>
  </si>
  <si>
    <t>Rate From 42255 to 54500</t>
  </si>
  <si>
    <t>Corpus Fund</t>
  </si>
  <si>
    <t>Share Money</t>
  </si>
  <si>
    <t>Legal Documentation Charges</t>
  </si>
  <si>
    <t>Electric Supply &amp; Connection Charges</t>
  </si>
  <si>
    <t>Water Supply &amp; Gas Pipeline Connection Charges</t>
  </si>
  <si>
    <t>Infrastructure Development charges</t>
  </si>
  <si>
    <t>Commencement Certificate No.</t>
  </si>
  <si>
    <t>Valid Upto:</t>
  </si>
  <si>
    <t xml:space="preserve">Site Person - Contact Details ( Name &amp; Contact No.)
</t>
  </si>
  <si>
    <t>Office No. 1031, Wing J, Akshar Business Park, Plot No. 03 Sector 25, Near APMC Market, Vashi, 
Navi Mumbai, Maharashtra 400703 TEL: 022-46090378/79/80                                                                       
E mail : vsjcapf@gmail.com. Web site : www.vsjadon.com</t>
  </si>
  <si>
    <t>MH/EE/(B.P.)/GM/MHADA-94/075/2023</t>
  </si>
  <si>
    <t>This CC is further extended for building comprising of 3 level basement + Stilt + 1st to 30th upper floor + LMR + OHT for wing A (i.e.Height = 97.800 mt.) &amp; for Wing B basement + Stilt + 1st to 29th upper floor + staircase core upto 30th floor + LMR + OHT (i.e.Height = 97.800 mt.) &amp; 3 level Basement + 1st to 20th upper floor for wing C (i.e. Height = 64.32m) as per approved plans dtd. 05.07.2023.</t>
  </si>
  <si>
    <t>Location Link</t>
  </si>
  <si>
    <t>Contact Details ( Name &amp; Contact No.)</t>
  </si>
  <si>
    <t>Kalpataru Magnus, CTS No.629(pt), Gandhi Nagar, Opp. Guru Nanak Hospital, Bandra(E), Mumbai 400051</t>
  </si>
  <si>
    <t>19.0596524,72.849583</t>
  </si>
  <si>
    <t xml:space="preserve">Building plan approval No For Wing B    </t>
  </si>
  <si>
    <t>Mhada-94/075/2023</t>
  </si>
  <si>
    <t>Residential Area Details</t>
  </si>
  <si>
    <t>Building &amp; Wing</t>
  </si>
  <si>
    <t>Total Carpet Area</t>
  </si>
  <si>
    <t>Total Saleable Area</t>
  </si>
  <si>
    <t>No. of Units</t>
  </si>
  <si>
    <t>Wing A</t>
  </si>
  <si>
    <t>Wing B</t>
  </si>
  <si>
    <t>Wing C</t>
  </si>
  <si>
    <t xml:space="preserve">Inspected By : </t>
  </si>
  <si>
    <t xml:space="preserve">Report By : </t>
  </si>
  <si>
    <t xml:space="preserve">Quality of construction: </t>
  </si>
  <si>
    <t xml:space="preserve">Projected life of the structure: </t>
  </si>
  <si>
    <t>60 Years After Completion</t>
  </si>
  <si>
    <t>Bricks, Cement &amp; Steel etc.</t>
  </si>
  <si>
    <t>Material laying at Site:</t>
  </si>
  <si>
    <t xml:space="preserve">Violations Observed if any : </t>
  </si>
  <si>
    <r>
      <t xml:space="preserve">Proposed Amenities                                                                                                                                                                                                                                   </t>
    </r>
    <r>
      <rPr>
        <sz val="11"/>
        <rFont val="Times New Roman"/>
        <family val="1"/>
      </rPr>
      <t/>
    </r>
  </si>
  <si>
    <t xml:space="preserve">1.  Vitrified tiles flooring 2. Granite Kitchen Platform  3. Decorative Enternace  etc.                                                  </t>
  </si>
  <si>
    <t xml:space="preserve">Wheather the construction is as per approved Building plan : </t>
  </si>
  <si>
    <t>Under Construction</t>
  </si>
  <si>
    <t>Village</t>
  </si>
  <si>
    <t>Bandra East</t>
  </si>
  <si>
    <t>CTS No.</t>
  </si>
  <si>
    <t>This Further C.C. is extended for building compressing of 3 Level basement + Stile 1 to 30th upper floor LMR+ OHT for wing A(i.e. Height 97.800 mt) and for wing B basement + Stilt + 1 to 30th upper floor +LMR+ OHT (ie. Height 97.800 mt) and 3 level basement + 1 to 24th upper floor for wing C (i.e. Height 76.40 m) with club house, Swimming pool at ground level and Parking Tower of heigh 69.95 mt. as per approved plans dt-05.07.2023.</t>
  </si>
  <si>
    <t>MH/EE/(B.P.)/GM/MHADA-94/075/2024</t>
  </si>
  <si>
    <t>Proposed no of Floors</t>
  </si>
  <si>
    <t>Miss. Prachi : 9321890218</t>
  </si>
  <si>
    <t>For Wing C</t>
  </si>
  <si>
    <t>Dining</t>
  </si>
  <si>
    <t>Bed3</t>
  </si>
  <si>
    <t>dresser</t>
  </si>
  <si>
    <t>toilet4</t>
  </si>
  <si>
    <t>toilet5</t>
  </si>
  <si>
    <t>Servants</t>
  </si>
  <si>
    <t>Passage</t>
  </si>
  <si>
    <t>Utility</t>
  </si>
  <si>
    <t>Deck</t>
  </si>
  <si>
    <t>M Bed3</t>
  </si>
  <si>
    <t>2nd to 7th, 9th to 14th, 16th to 21st, 23rd to 26th Floor</t>
  </si>
  <si>
    <t>bed1</t>
  </si>
  <si>
    <t>M Bed4</t>
  </si>
  <si>
    <t>Flats - 354</t>
  </si>
  <si>
    <t>Wing A + B</t>
  </si>
  <si>
    <t>A &amp; B Wing = 3B + S + 1st to 30th Floor
C Wing = 3B + S + 1st to 26th Floor</t>
  </si>
  <si>
    <t>A &amp; B Wing = 3B + S + 1st to 30th Floor</t>
  </si>
  <si>
    <t>C Wing = 3B + S + 1st to 26th Floor</t>
  </si>
  <si>
    <t>Mr Bonny Thakkar Sales 7977764372</t>
  </si>
  <si>
    <t>Gaurav Panchal</t>
  </si>
  <si>
    <t>Tushar Bhuwad</t>
  </si>
  <si>
    <t>19.060167, 72.851433</t>
  </si>
  <si>
    <t>https://maps.app.goo.gl/BMhi9aj8QXeTQpMa9</t>
  </si>
  <si>
    <t>Changed on 13/08/2025</t>
  </si>
  <si>
    <t>200/- from 1st floor</t>
  </si>
  <si>
    <t>Remarks:  
1. Construction work is in process at the time of Visit.
2. We considered saleable area as per our calculation.
3. We have considered rate by verifying it from market inquire.
4. Car parking is subjected to authentic documentation.
5. We have updated latest CC from Rera (On 18/08/2023).
6. We have updated 30th Floor of Wing B (On 12/03/2024).
7. We have updated revised approved CC from RERA site on 09/08/2024.
8. We have considered proposed No. of Floor for Stage Calculation.
9. We have updated latest approved floor plans for wing C (On 21/12/2024).
10. We refer latest layout plan from Rera.
11. We have received the latest approved floor plan for Wing C, i.e. sheet no.16 (Consists of 1st, 2nd to 7th, 9th to 14th, 16th to 21st, 23rd to 26th floor).
Please provide remaining sheets of the latest approved floor plans (dtd. 05/07/2023) (i.e. 3B + Ground floor, 8th, 15th &amp; 22nd Floor).
12. Recommended Rates/Other Charges of the Property have been revised on 14/08/2025.
12. Stage construction of Wing C is reduced due to revision in proposed structure as per plan dtd 05/07/2023.
5. On site, we meet Mr. Reballo - 8657522106.</t>
  </si>
  <si>
    <t>rate 4000+ FR 200 akash mote ICICI HDFC Competition, Flat No 194- B wing Loan Amount - 8.2 Cr LTV-75 %
Car parking - 3 Agreement value - 8.95 Cr on 14/08/2025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</si>
</sst>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_(* \(#,##0\);_(* &quot;-&quot;??_);_(@_)"/>
    <numFmt numFmtId="166" formatCode="0.000"/>
    <numFmt numFmtId="167" formatCode="0.0000"/>
    <numFmt numFmtId="168" formatCode="0.0"/>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9"/>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3" fillId="0" borderId="0"/>
    <xf numFmtId="0" fontId="13" fillId="0" borderId="0"/>
    <xf numFmtId="0" fontId="23" fillId="0" borderId="0" applyNumberFormat="0" applyFill="0" applyBorder="0" applyAlignment="0" applyProtection="0"/>
  </cellStyleXfs>
  <cellXfs count="166">
    <xf numFmtId="0" fontId="0" fillId="0" borderId="0" xfId="0"/>
    <xf numFmtId="0" fontId="0" fillId="0" borderId="1" xfId="0" applyBorder="1"/>
    <xf numFmtId="0" fontId="14" fillId="0" borderId="1" xfId="0" applyFont="1" applyBorder="1"/>
    <xf numFmtId="0" fontId="0" fillId="0" borderId="2" xfId="0" applyBorder="1"/>
    <xf numFmtId="0" fontId="0" fillId="2" borderId="1" xfId="0" applyFill="1" applyBorder="1"/>
    <xf numFmtId="0" fontId="14" fillId="0" borderId="1" xfId="0" applyFont="1" applyBorder="1" applyAlignment="1">
      <alignment horizontal="center"/>
    </xf>
    <xf numFmtId="1" fontId="11" fillId="0" borderId="1" xfId="0" applyNumberFormat="1" applyFont="1" applyBorder="1" applyAlignment="1">
      <alignment horizontal="center" vertical="top" wrapText="1"/>
    </xf>
    <xf numFmtId="0" fontId="14" fillId="2" borderId="1" xfId="0" applyFont="1" applyFill="1" applyBorder="1"/>
    <xf numFmtId="0" fontId="0" fillId="0" borderId="3" xfId="0" applyBorder="1"/>
    <xf numFmtId="0" fontId="0" fillId="0" borderId="0" xfId="0" applyAlignment="1">
      <alignment wrapText="1"/>
    </xf>
    <xf numFmtId="0" fontId="0" fillId="0" borderId="1" xfId="0" applyBorder="1" applyAlignment="1">
      <alignment wrapText="1"/>
    </xf>
    <xf numFmtId="0" fontId="1" fillId="0" borderId="0" xfId="3"/>
    <xf numFmtId="0" fontId="13" fillId="0" borderId="0" xfId="4"/>
    <xf numFmtId="0" fontId="14" fillId="0" borderId="1" xfId="4" applyFont="1" applyBorder="1" applyAlignment="1">
      <alignment horizontal="center" vertical="top" wrapText="1"/>
    </xf>
    <xf numFmtId="0" fontId="13" fillId="0" borderId="1" xfId="4" applyBorder="1" applyAlignment="1">
      <alignment horizontal="center" vertical="center"/>
    </xf>
    <xf numFmtId="1" fontId="13" fillId="0" borderId="1" xfId="4" applyNumberFormat="1" applyBorder="1" applyAlignment="1">
      <alignment horizontal="center" vertical="center"/>
    </xf>
    <xf numFmtId="165" fontId="13" fillId="0" borderId="1" xfId="1" applyNumberFormat="1" applyFont="1" applyBorder="1" applyAlignment="1">
      <alignment horizontal="right" vertical="center"/>
    </xf>
    <xf numFmtId="0" fontId="14" fillId="0" borderId="1" xfId="4" applyFont="1" applyBorder="1" applyAlignment="1">
      <alignment horizontal="center" vertical="center"/>
    </xf>
    <xf numFmtId="1" fontId="15" fillId="0" borderId="1" xfId="4" applyNumberFormat="1" applyFont="1" applyBorder="1" applyAlignment="1">
      <alignment horizontal="center" vertical="center"/>
    </xf>
    <xf numFmtId="0" fontId="1" fillId="0" borderId="1" xfId="3" applyBorder="1" applyAlignment="1">
      <alignment horizontal="center" vertical="center"/>
    </xf>
    <xf numFmtId="0" fontId="18" fillId="0" borderId="0" xfId="3" applyFont="1"/>
    <xf numFmtId="0" fontId="13" fillId="0" borderId="1" xfId="4" applyBorder="1" applyAlignment="1">
      <alignment horizontal="left" vertical="center"/>
    </xf>
    <xf numFmtId="0" fontId="19" fillId="0" borderId="4" xfId="5" applyFont="1" applyBorder="1" applyProtection="1">
      <protection hidden="1"/>
    </xf>
    <xf numFmtId="0" fontId="19" fillId="0" borderId="0" xfId="5" applyFont="1" applyProtection="1">
      <protection hidden="1"/>
    </xf>
    <xf numFmtId="0" fontId="22" fillId="0" borderId="0" xfId="0" applyFont="1" applyProtection="1">
      <protection hidden="1"/>
    </xf>
    <xf numFmtId="0" fontId="22" fillId="0" borderId="7" xfId="0" applyFont="1" applyBorder="1" applyProtection="1">
      <protection hidden="1"/>
    </xf>
    <xf numFmtId="0" fontId="20" fillId="0" borderId="1" xfId="5" applyFont="1" applyBorder="1" applyAlignment="1" applyProtection="1">
      <alignment horizontal="center" vertical="top" wrapText="1"/>
      <protection locked="0"/>
    </xf>
    <xf numFmtId="0" fontId="20" fillId="0" borderId="1" xfId="5" applyFont="1" applyBorder="1" applyAlignment="1" applyProtection="1">
      <alignment horizontal="center" vertical="top"/>
      <protection locked="0"/>
    </xf>
    <xf numFmtId="0" fontId="4" fillId="0" borderId="1" xfId="0" applyFont="1" applyBorder="1" applyAlignment="1">
      <alignment vertical="top"/>
    </xf>
    <xf numFmtId="1" fontId="6" fillId="0" borderId="1"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0" fontId="19" fillId="0" borderId="5" xfId="5" applyFont="1" applyBorder="1" applyProtection="1">
      <protection hidden="1"/>
    </xf>
    <xf numFmtId="0" fontId="19" fillId="0" borderId="6" xfId="5" applyFont="1" applyBorder="1" applyProtection="1">
      <protection hidden="1"/>
    </xf>
    <xf numFmtId="0" fontId="19" fillId="0" borderId="6" xfId="5" applyFont="1" applyBorder="1"/>
    <xf numFmtId="0" fontId="20" fillId="0" borderId="1" xfId="5" applyFont="1" applyBorder="1" applyAlignment="1" applyProtection="1">
      <alignment horizontal="center" wrapText="1"/>
      <protection locked="0"/>
    </xf>
    <xf numFmtId="0" fontId="22" fillId="0" borderId="6" xfId="0" applyFont="1" applyBorder="1" applyProtection="1">
      <protection hidden="1"/>
    </xf>
    <xf numFmtId="1" fontId="20" fillId="0" borderId="1" xfId="5" applyNumberFormat="1" applyFont="1" applyBorder="1" applyAlignment="1" applyProtection="1">
      <alignment horizontal="center" wrapText="1"/>
      <protection locked="0"/>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2" fillId="0" borderId="0" xfId="2"/>
    <xf numFmtId="0" fontId="17" fillId="0" borderId="0" xfId="0" applyFont="1"/>
    <xf numFmtId="0" fontId="16" fillId="0" borderId="0" xfId="0" applyFont="1"/>
    <xf numFmtId="0" fontId="0" fillId="2" borderId="0" xfId="0" applyFill="1"/>
    <xf numFmtId="14" fontId="0" fillId="2" borderId="0" xfId="0" applyNumberFormat="1" applyFill="1"/>
    <xf numFmtId="0" fontId="4" fillId="0" borderId="1" xfId="0" applyFont="1" applyBorder="1" applyAlignment="1">
      <alignment horizontal="left" vertical="top"/>
    </xf>
    <xf numFmtId="3" fontId="0" fillId="0" borderId="0" xfId="0" applyNumberFormat="1"/>
    <xf numFmtId="2" fontId="0" fillId="0" borderId="0" xfId="0" applyNumberFormat="1"/>
    <xf numFmtId="1" fontId="0" fillId="0" borderId="0" xfId="0" applyNumberFormat="1"/>
    <xf numFmtId="0" fontId="3" fillId="0" borderId="1" xfId="0" applyFont="1" applyBorder="1" applyAlignment="1">
      <alignment vertical="top"/>
    </xf>
    <xf numFmtId="0" fontId="14" fillId="0" borderId="0" xfId="0" applyFont="1"/>
    <xf numFmtId="166" fontId="0" fillId="0" borderId="1" xfId="0" applyNumberFormat="1" applyBorder="1"/>
    <xf numFmtId="2" fontId="0" fillId="0" borderId="1" xfId="0" applyNumberFormat="1" applyBorder="1"/>
    <xf numFmtId="167" fontId="0" fillId="0" borderId="1" xfId="0" applyNumberFormat="1" applyBorder="1"/>
    <xf numFmtId="2" fontId="14" fillId="0" borderId="1" xfId="0" applyNumberFormat="1" applyFont="1" applyBorder="1"/>
    <xf numFmtId="167" fontId="0" fillId="0" borderId="0" xfId="0" applyNumberFormat="1"/>
    <xf numFmtId="1" fontId="0" fillId="2" borderId="1" xfId="0" applyNumberFormat="1" applyFill="1" applyBorder="1" applyAlignment="1">
      <alignment horizontal="left"/>
    </xf>
    <xf numFmtId="0" fontId="0" fillId="2" borderId="1" xfId="0" applyFill="1" applyBorder="1" applyAlignment="1">
      <alignment horizontal="center" vertical="center"/>
    </xf>
    <xf numFmtId="0" fontId="20" fillId="0" borderId="3" xfId="5" applyFont="1" applyBorder="1" applyAlignment="1" applyProtection="1">
      <alignment horizontal="center" wrapText="1"/>
      <protection locked="0"/>
    </xf>
    <xf numFmtId="0" fontId="20" fillId="0" borderId="16" xfId="5" applyFont="1" applyBorder="1" applyAlignment="1" applyProtection="1">
      <alignment horizontal="center" vertical="top"/>
      <protection locked="0"/>
    </xf>
    <xf numFmtId="0" fontId="20" fillId="0" borderId="19" xfId="5" applyFont="1" applyBorder="1" applyAlignment="1" applyProtection="1">
      <alignment horizontal="center" wrapText="1"/>
      <protection locked="0"/>
    </xf>
    <xf numFmtId="1" fontId="20" fillId="0" borderId="1" xfId="0" applyNumberFormat="1" applyFont="1" applyBorder="1" applyAlignment="1">
      <alignment horizontal="center" vertical="center" wrapText="1"/>
    </xf>
    <xf numFmtId="0" fontId="15" fillId="0" borderId="0" xfId="0" applyFont="1"/>
    <xf numFmtId="0" fontId="24" fillId="0" borderId="9"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0" fontId="4" fillId="0" borderId="1" xfId="0" applyFont="1" applyBorder="1" applyAlignment="1">
      <alignment horizontal="left" vertical="top" wrapText="1"/>
    </xf>
    <xf numFmtId="1" fontId="6"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3" fontId="4" fillId="0" borderId="1" xfId="0" applyNumberFormat="1" applyFont="1" applyBorder="1" applyAlignment="1">
      <alignment horizontal="left" vertical="top" wrapText="1"/>
    </xf>
    <xf numFmtId="0" fontId="20" fillId="0" borderId="16" xfId="5" applyFont="1" applyBorder="1" applyAlignment="1" applyProtection="1">
      <alignment horizontal="center" vertical="top" wrapText="1"/>
      <protection locked="0"/>
    </xf>
    <xf numFmtId="0" fontId="20" fillId="0" borderId="1" xfId="5" applyFont="1" applyBorder="1" applyAlignment="1" applyProtection="1">
      <alignment horizontal="center" vertical="top" wrapText="1"/>
      <protection locked="0"/>
    </xf>
    <xf numFmtId="9" fontId="20" fillId="0" borderId="1" xfId="5" applyNumberFormat="1" applyFont="1" applyBorder="1" applyAlignment="1" applyProtection="1">
      <alignment horizontal="center" vertical="center" wrapText="1"/>
      <protection hidden="1"/>
    </xf>
    <xf numFmtId="9" fontId="20" fillId="0" borderId="19" xfId="5" applyNumberFormat="1" applyFont="1" applyBorder="1" applyAlignment="1" applyProtection="1">
      <alignment horizontal="center" vertical="center" wrapText="1"/>
      <protection hidden="1"/>
    </xf>
    <xf numFmtId="9" fontId="20" fillId="0" borderId="17" xfId="5" applyNumberFormat="1" applyFont="1" applyBorder="1" applyAlignment="1" applyProtection="1">
      <alignment horizontal="center" vertical="center" wrapText="1"/>
      <protection hidden="1"/>
    </xf>
    <xf numFmtId="9" fontId="20" fillId="0" borderId="20" xfId="5" applyNumberFormat="1" applyFont="1" applyBorder="1" applyAlignment="1" applyProtection="1">
      <alignment horizontal="center" vertical="center" wrapText="1"/>
      <protection hidden="1"/>
    </xf>
    <xf numFmtId="0" fontId="20" fillId="0" borderId="16" xfId="5" applyFont="1" applyBorder="1" applyAlignment="1" applyProtection="1">
      <alignment horizontal="center" vertical="top"/>
      <protection locked="0"/>
    </xf>
    <xf numFmtId="0" fontId="20" fillId="0" borderId="1" xfId="5" applyFont="1" applyBorder="1" applyAlignment="1" applyProtection="1">
      <alignment horizontal="center" vertical="top"/>
      <protection locked="0"/>
    </xf>
    <xf numFmtId="0" fontId="20" fillId="0" borderId="18" xfId="5" applyFont="1" applyBorder="1" applyAlignment="1" applyProtection="1">
      <alignment horizontal="center" vertical="top" wrapText="1"/>
      <protection locked="0"/>
    </xf>
    <xf numFmtId="0" fontId="20" fillId="0" borderId="19" xfId="5" applyFont="1" applyBorder="1" applyAlignment="1" applyProtection="1">
      <alignment horizontal="center" vertical="top" wrapText="1"/>
      <protection locked="0"/>
    </xf>
    <xf numFmtId="0" fontId="21" fillId="0" borderId="1" xfId="5" applyFont="1" applyBorder="1" applyAlignment="1" applyProtection="1">
      <alignment horizontal="left" vertical="top"/>
      <protection locked="0"/>
    </xf>
    <xf numFmtId="0" fontId="3" fillId="0" borderId="1" xfId="0" applyFont="1" applyBorder="1" applyAlignment="1">
      <alignment horizontal="left" vertical="top" wrapText="1"/>
    </xf>
    <xf numFmtId="0" fontId="3" fillId="0" borderId="1" xfId="0" applyFont="1" applyBorder="1" applyAlignment="1">
      <alignment horizontal="center" vertical="top"/>
    </xf>
    <xf numFmtId="14" fontId="4" fillId="0" borderId="9" xfId="0" applyNumberFormat="1" applyFont="1" applyBorder="1" applyAlignment="1">
      <alignment horizontal="left" vertical="top"/>
    </xf>
    <xf numFmtId="14" fontId="4" fillId="0" borderId="10" xfId="0" applyNumberFormat="1" applyFont="1" applyBorder="1" applyAlignment="1">
      <alignment horizontal="left" vertical="top"/>
    </xf>
    <xf numFmtId="14" fontId="4" fillId="0" borderId="11" xfId="0" applyNumberFormat="1" applyFont="1" applyBorder="1" applyAlignment="1">
      <alignment horizontal="left" vertical="top"/>
    </xf>
    <xf numFmtId="0" fontId="20" fillId="0" borderId="17" xfId="5" applyFont="1" applyBorder="1" applyAlignment="1" applyProtection="1">
      <alignment horizontal="center" vertical="top" wrapText="1"/>
      <protection locked="0"/>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9" fontId="20" fillId="0" borderId="3" xfId="5" applyNumberFormat="1" applyFont="1" applyBorder="1" applyAlignment="1" applyProtection="1">
      <alignment horizontal="center" vertical="center" wrapText="1"/>
      <protection hidden="1"/>
    </xf>
    <xf numFmtId="0" fontId="20" fillId="0" borderId="3" xfId="5" applyFont="1" applyBorder="1" applyAlignment="1" applyProtection="1">
      <alignment horizontal="center" vertical="top" wrapText="1"/>
      <protection locked="0"/>
    </xf>
    <xf numFmtId="0" fontId="21" fillId="0" borderId="1" xfId="5" applyFont="1" applyBorder="1" applyAlignment="1" applyProtection="1">
      <alignment horizontal="center" vertical="top" wrapText="1"/>
      <protection locked="0"/>
    </xf>
    <xf numFmtId="0" fontId="21" fillId="0" borderId="1" xfId="5" applyFont="1" applyBorder="1" applyAlignment="1" applyProtection="1">
      <alignment horizontal="left" vertical="top" wrapText="1"/>
      <protection locked="0"/>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3" fillId="0" borderId="1" xfId="0" applyFont="1" applyBorder="1" applyAlignment="1">
      <alignment horizontal="left" vertical="top"/>
    </xf>
    <xf numFmtId="0" fontId="20" fillId="0" borderId="17" xfId="5" applyFont="1" applyBorder="1" applyAlignment="1" applyProtection="1">
      <alignment horizontal="center" vertical="top"/>
      <protection locked="0"/>
    </xf>
    <xf numFmtId="0" fontId="21" fillId="0" borderId="16" xfId="5" applyFont="1" applyBorder="1" applyAlignment="1" applyProtection="1">
      <alignment horizontal="left" vertical="top"/>
      <protection locked="0"/>
    </xf>
    <xf numFmtId="0" fontId="21" fillId="0" borderId="17" xfId="5" applyFont="1" applyBorder="1" applyAlignment="1" applyProtection="1">
      <alignment horizontal="left" vertical="top" wrapText="1"/>
      <protection locked="0"/>
    </xf>
    <xf numFmtId="0" fontId="5" fillId="0" borderId="1" xfId="0" applyFont="1" applyBorder="1" applyAlignment="1">
      <alignment horizontal="left" vertical="top"/>
    </xf>
    <xf numFmtId="0" fontId="7" fillId="0" borderId="12" xfId="0" applyFont="1" applyBorder="1" applyAlignment="1">
      <alignment horizontal="left" vertical="top"/>
    </xf>
    <xf numFmtId="0" fontId="21" fillId="0" borderId="13" xfId="5" applyFont="1" applyBorder="1" applyAlignment="1" applyProtection="1">
      <alignment horizontal="center" vertical="top" wrapText="1"/>
      <protection locked="0"/>
    </xf>
    <xf numFmtId="0" fontId="21" fillId="0" borderId="14" xfId="5" applyFont="1" applyBorder="1" applyAlignment="1" applyProtection="1">
      <alignment horizontal="center" vertical="top" wrapText="1"/>
      <protection locked="0"/>
    </xf>
    <xf numFmtId="0" fontId="21" fillId="0" borderId="14" xfId="5" applyFont="1" applyBorder="1" applyAlignment="1" applyProtection="1">
      <alignment horizontal="left" vertical="top" wrapText="1"/>
      <protection locked="0"/>
    </xf>
    <xf numFmtId="0" fontId="21" fillId="0" borderId="15" xfId="5" applyFont="1" applyBorder="1" applyAlignment="1" applyProtection="1">
      <alignment horizontal="left" vertical="top" wrapText="1"/>
      <protection locked="0"/>
    </xf>
    <xf numFmtId="0" fontId="4" fillId="0" borderId="1" xfId="0" applyFont="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0" fontId="4" fillId="0" borderId="1" xfId="0" applyFont="1" applyBorder="1" applyAlignment="1">
      <alignment vertical="top" wrapText="1"/>
    </xf>
    <xf numFmtId="168" fontId="8" fillId="0" borderId="1" xfId="0" applyNumberFormat="1" applyFont="1" applyBorder="1" applyAlignment="1">
      <alignment horizontal="left" vertical="top"/>
    </xf>
    <xf numFmtId="0" fontId="23" fillId="0" borderId="9" xfId="6" applyFill="1" applyBorder="1" applyAlignment="1">
      <alignment horizontal="left" vertical="top"/>
    </xf>
    <xf numFmtId="0" fontId="12" fillId="0" borderId="1" xfId="0" applyFont="1" applyBorder="1" applyAlignment="1">
      <alignment horizontal="center" vertical="top"/>
    </xf>
    <xf numFmtId="0" fontId="4" fillId="0" borderId="1" xfId="0" applyFont="1" applyBorder="1" applyAlignment="1">
      <alignment horizontal="center" vertical="top"/>
    </xf>
    <xf numFmtId="0" fontId="3" fillId="0" borderId="1" xfId="0" applyFont="1" applyBorder="1" applyAlignment="1">
      <alignment horizontal="center" vertical="top" wrapText="1"/>
    </xf>
    <xf numFmtId="0" fontId="7" fillId="0" borderId="1" xfId="0" applyFont="1" applyBorder="1" applyAlignment="1">
      <alignment horizontal="left" vertical="top"/>
    </xf>
    <xf numFmtId="0" fontId="10" fillId="0" borderId="1" xfId="0" applyFont="1" applyBorder="1" applyAlignment="1">
      <alignment horizontal="center" vertical="top"/>
    </xf>
    <xf numFmtId="0" fontId="8" fillId="0" borderId="1" xfId="0" applyFont="1" applyBorder="1" applyAlignment="1">
      <alignment horizontal="left" vertical="top" wrapText="1"/>
    </xf>
    <xf numFmtId="1" fontId="6" fillId="0" borderId="1" xfId="0" applyNumberFormat="1" applyFont="1" applyBorder="1" applyAlignment="1">
      <alignment horizontal="center" vertical="top" wrapText="1"/>
    </xf>
    <xf numFmtId="0" fontId="3" fillId="0" borderId="1" xfId="2" applyFont="1" applyBorder="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68" fontId="4" fillId="0" borderId="1" xfId="0" applyNumberFormat="1" applyFont="1" applyBorder="1" applyAlignment="1">
      <alignment horizontal="left" vertical="top"/>
    </xf>
    <xf numFmtId="0" fontId="3" fillId="0" borderId="1" xfId="0" applyFont="1" applyBorder="1" applyAlignment="1">
      <alignment vertical="top"/>
    </xf>
    <xf numFmtId="0" fontId="4" fillId="0" borderId="1" xfId="0" applyFont="1" applyBorder="1" applyAlignment="1">
      <alignment horizontal="left" vertical="center"/>
    </xf>
    <xf numFmtId="14" fontId="4" fillId="0" borderId="9" xfId="0" applyNumberFormat="1" applyFont="1" applyBorder="1" applyAlignment="1">
      <alignment horizontal="left" vertical="center"/>
    </xf>
    <xf numFmtId="14" fontId="4" fillId="0" borderId="10" xfId="0" applyNumberFormat="1" applyFont="1" applyBorder="1" applyAlignment="1">
      <alignment horizontal="left" vertical="center"/>
    </xf>
    <xf numFmtId="14" fontId="4" fillId="0" borderId="11" xfId="0" applyNumberFormat="1" applyFont="1" applyBorder="1" applyAlignment="1">
      <alignment horizontal="left" vertical="center"/>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3" fillId="3" borderId="1" xfId="0" applyFont="1" applyFill="1" applyBorder="1" applyAlignment="1">
      <alignment horizontal="left" vertical="top"/>
    </xf>
    <xf numFmtId="1" fontId="3" fillId="0" borderId="1" xfId="0" applyNumberFormat="1" applyFont="1" applyBorder="1" applyAlignment="1">
      <alignment horizontal="center" vertical="top"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1" fontId="4" fillId="0" borderId="11" xfId="0" applyNumberFormat="1" applyFont="1" applyBorder="1" applyAlignment="1">
      <alignment horizontal="center" vertical="center"/>
    </xf>
    <xf numFmtId="1" fontId="6" fillId="3" borderId="1" xfId="0" applyNumberFormat="1" applyFont="1" applyFill="1" applyBorder="1" applyAlignment="1">
      <alignment horizontal="center" vertical="top" wrapText="1"/>
    </xf>
    <xf numFmtId="1" fontId="6" fillId="3"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 fontId="6" fillId="2" borderId="1" xfId="0" applyNumberFormat="1" applyFont="1" applyFill="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3" fillId="0" borderId="9" xfId="0" applyNumberFormat="1" applyFont="1" applyBorder="1" applyAlignment="1">
      <alignment horizontal="center" vertical="center"/>
    </xf>
    <xf numFmtId="1" fontId="20" fillId="0" borderId="1" xfId="0" applyNumberFormat="1" applyFont="1" applyBorder="1" applyAlignment="1">
      <alignment horizontal="center" vertical="center" wrapText="1"/>
    </xf>
    <xf numFmtId="14" fontId="4" fillId="0" borderId="9" xfId="0" applyNumberFormat="1"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vertical="center"/>
    </xf>
    <xf numFmtId="0" fontId="0" fillId="2" borderId="1" xfId="0" applyFill="1" applyBorder="1" applyAlignment="1">
      <alignment horizontal="center" wrapText="1"/>
    </xf>
    <xf numFmtId="0" fontId="14" fillId="0" borderId="1" xfId="0" applyFont="1" applyBorder="1" applyAlignment="1">
      <alignment horizontal="center"/>
    </xf>
    <xf numFmtId="1"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14" fillId="0" borderId="1" xfId="4" applyFont="1" applyBorder="1" applyAlignment="1">
      <alignment horizontal="left"/>
    </xf>
    <xf numFmtId="0" fontId="0" fillId="0" borderId="0" xfId="0" applyAlignment="1">
      <alignment horizontal="center"/>
    </xf>
    <xf numFmtId="0" fontId="0" fillId="0" borderId="21" xfId="0" applyBorder="1" applyAlignment="1">
      <alignment horizontal="center" wrapText="1"/>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jp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566437</xdr:colOff>
      <xdr:row>298</xdr:row>
      <xdr:rowOff>184150</xdr:rowOff>
    </xdr:from>
    <xdr:to>
      <xdr:col>8</xdr:col>
      <xdr:colOff>419750</xdr:colOff>
      <xdr:row>315</xdr:row>
      <xdr:rowOff>47558</xdr:rowOff>
    </xdr:to>
    <xdr:pic>
      <xdr:nvPicPr>
        <xdr:cNvPr id="1670" name="Picture 4">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6437" y="57888155"/>
          <a:ext cx="5665507" cy="31680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561581</xdr:colOff>
      <xdr:row>315</xdr:row>
      <xdr:rowOff>187512</xdr:rowOff>
    </xdr:from>
    <xdr:to>
      <xdr:col>8</xdr:col>
      <xdr:colOff>404699</xdr:colOff>
      <xdr:row>332</xdr:row>
      <xdr:rowOff>22411</xdr:rowOff>
    </xdr:to>
    <xdr:pic>
      <xdr:nvPicPr>
        <xdr:cNvPr id="1671" name="Picture 5">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61581" y="61196109"/>
          <a:ext cx="5655312" cy="3139492"/>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503252</xdr:colOff>
      <xdr:row>250</xdr:row>
      <xdr:rowOff>74876</xdr:rowOff>
    </xdr:from>
    <xdr:to>
      <xdr:col>21</xdr:col>
      <xdr:colOff>525780</xdr:colOff>
      <xdr:row>294</xdr:row>
      <xdr:rowOff>82496</xdr:rowOff>
    </xdr:to>
    <xdr:grpSp>
      <xdr:nvGrpSpPr>
        <xdr:cNvPr id="21" name="Group 20">
          <a:extLst>
            <a:ext uri="{FF2B5EF4-FFF2-40B4-BE49-F238E27FC236}">
              <a16:creationId xmlns:a16="http://schemas.microsoft.com/office/drawing/2014/main" xmlns="" id="{00000000-0008-0000-0000-000015000000}"/>
            </a:ext>
          </a:extLst>
        </xdr:cNvPr>
        <xdr:cNvGrpSpPr/>
      </xdr:nvGrpSpPr>
      <xdr:grpSpPr>
        <a:xfrm>
          <a:off x="7637477" y="51652751"/>
          <a:ext cx="6775753" cy="8399145"/>
          <a:chOff x="111442" y="147000"/>
          <a:chExt cx="6002175" cy="7327680"/>
        </a:xfrm>
      </xdr:grpSpPr>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94786" y="5674680"/>
            <a:ext cx="2396666" cy="1800000"/>
          </a:xfrm>
          <a:prstGeom prst="rect">
            <a:avLst/>
          </a:prstGeom>
          <a:ln>
            <a:solidFill>
              <a:schemeClr val="tx1"/>
            </a:solidFill>
          </a:ln>
        </xdr:spPr>
      </xdr:pic>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2962737" y="5674680"/>
            <a:ext cx="1348125" cy="1800000"/>
          </a:xfrm>
          <a:prstGeom prst="rect">
            <a:avLst/>
          </a:prstGeom>
          <a:ln>
            <a:solidFill>
              <a:schemeClr val="tx1"/>
            </a:solidFill>
          </a:ln>
        </xdr:spPr>
      </xdr:pic>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4482147" y="5674680"/>
            <a:ext cx="1348125" cy="1800000"/>
          </a:xfrm>
          <a:prstGeom prst="rect">
            <a:avLst/>
          </a:prstGeom>
          <a:ln>
            <a:solidFill>
              <a:schemeClr val="tx1"/>
            </a:solidFill>
          </a:ln>
        </xdr:spPr>
      </xdr:pic>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140141" y="2910840"/>
            <a:ext cx="1887375" cy="2520000"/>
          </a:xfrm>
          <a:prstGeom prst="rect">
            <a:avLst/>
          </a:prstGeom>
          <a:ln>
            <a:solidFill>
              <a:schemeClr val="tx1"/>
            </a:solidFill>
          </a:ln>
        </xdr:spPr>
      </xdr:pic>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3197542" y="2910840"/>
            <a:ext cx="1887375" cy="2520000"/>
          </a:xfrm>
          <a:prstGeom prst="rect">
            <a:avLst/>
          </a:prstGeom>
          <a:ln>
            <a:solidFill>
              <a:schemeClr val="tx1"/>
            </a:solidFill>
          </a:ln>
        </xdr:spPr>
      </xdr:pic>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226242" y="147000"/>
            <a:ext cx="1887375" cy="2520000"/>
          </a:xfrm>
          <a:prstGeom prst="rect">
            <a:avLst/>
          </a:prstGeom>
          <a:ln>
            <a:solidFill>
              <a:schemeClr val="tx1"/>
            </a:solidFill>
          </a:ln>
        </xdr:spPr>
      </xdr:pic>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111442" y="147000"/>
            <a:ext cx="1887375" cy="2520000"/>
          </a:xfrm>
          <a:prstGeom prst="rect">
            <a:avLst/>
          </a:prstGeom>
          <a:ln>
            <a:solidFill>
              <a:schemeClr val="tx1"/>
            </a:solidFill>
          </a:ln>
        </xdr:spPr>
      </xdr:pic>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2168842" y="147000"/>
            <a:ext cx="1887375" cy="2520000"/>
          </a:xfrm>
          <a:prstGeom prst="rect">
            <a:avLst/>
          </a:prstGeom>
          <a:ln>
            <a:solidFill>
              <a:schemeClr val="tx1"/>
            </a:solidFill>
          </a:ln>
        </xdr:spPr>
      </xdr:pic>
    </xdr:grpSp>
    <xdr:clientData/>
  </xdr:twoCellAnchor>
  <xdr:twoCellAnchor>
    <xdr:from>
      <xdr:col>12</xdr:col>
      <xdr:colOff>377687</xdr:colOff>
      <xdr:row>251</xdr:row>
      <xdr:rowOff>36029</xdr:rowOff>
    </xdr:from>
    <xdr:to>
      <xdr:col>20</xdr:col>
      <xdr:colOff>612940</xdr:colOff>
      <xdr:row>295</xdr:row>
      <xdr:rowOff>9993</xdr:rowOff>
    </xdr:to>
    <xdr:grpSp>
      <xdr:nvGrpSpPr>
        <xdr:cNvPr id="2" name="Group 1">
          <a:extLst>
            <a:ext uri="{FF2B5EF4-FFF2-40B4-BE49-F238E27FC236}">
              <a16:creationId xmlns:a16="http://schemas.microsoft.com/office/drawing/2014/main" xmlns="" id="{42089B0F-C3B6-105B-149D-E6374A92278A}"/>
            </a:ext>
          </a:extLst>
        </xdr:cNvPr>
        <xdr:cNvGrpSpPr/>
      </xdr:nvGrpSpPr>
      <xdr:grpSpPr>
        <a:xfrm>
          <a:off x="8131037" y="51804404"/>
          <a:ext cx="5750228" cy="8365489"/>
          <a:chOff x="272700" y="241052"/>
          <a:chExt cx="5912567" cy="8137303"/>
        </a:xfrm>
      </xdr:grpSpPr>
      <xdr:pic>
        <xdr:nvPicPr>
          <xdr:cNvPr id="3" name="Picture 2">
            <a:extLst>
              <a:ext uri="{FF2B5EF4-FFF2-40B4-BE49-F238E27FC236}">
                <a16:creationId xmlns:a16="http://schemas.microsoft.com/office/drawing/2014/main" xmlns="" id="{5FDEDFA0-5585-68F2-508C-2F70C684F8D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3305267" y="241052"/>
            <a:ext cx="2880000" cy="3845341"/>
          </a:xfrm>
          <a:prstGeom prst="rect">
            <a:avLst/>
          </a:prstGeom>
          <a:ln>
            <a:solidFill>
              <a:schemeClr val="tx1"/>
            </a:solidFill>
          </a:ln>
        </xdr:spPr>
      </xdr:pic>
      <xdr:pic>
        <xdr:nvPicPr>
          <xdr:cNvPr id="4" name="Picture 3">
            <a:extLst>
              <a:ext uri="{FF2B5EF4-FFF2-40B4-BE49-F238E27FC236}">
                <a16:creationId xmlns:a16="http://schemas.microsoft.com/office/drawing/2014/main" xmlns="" id="{3491C653-AA64-4BE1-EC08-ADF133AA75E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272700" y="241052"/>
            <a:ext cx="2880000" cy="3845341"/>
          </a:xfrm>
          <a:prstGeom prst="rect">
            <a:avLst/>
          </a:prstGeom>
          <a:ln>
            <a:solidFill>
              <a:schemeClr val="tx1"/>
            </a:solidFill>
          </a:ln>
        </xdr:spPr>
      </xdr:pic>
      <xdr:pic>
        <xdr:nvPicPr>
          <xdr:cNvPr id="5" name="Picture 4">
            <a:extLst>
              <a:ext uri="{FF2B5EF4-FFF2-40B4-BE49-F238E27FC236}">
                <a16:creationId xmlns:a16="http://schemas.microsoft.com/office/drawing/2014/main" xmlns="" id="{B5B8AC77-31A7-F51A-A191-FDD1BFF51BED}"/>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2678142" y="4252374"/>
            <a:ext cx="2876000" cy="2160000"/>
          </a:xfrm>
          <a:prstGeom prst="rect">
            <a:avLst/>
          </a:prstGeom>
          <a:ln>
            <a:solidFill>
              <a:schemeClr val="tx1"/>
            </a:solidFill>
          </a:ln>
        </xdr:spPr>
      </xdr:pic>
      <xdr:pic>
        <xdr:nvPicPr>
          <xdr:cNvPr id="6" name="Picture 5">
            <a:extLst>
              <a:ext uri="{FF2B5EF4-FFF2-40B4-BE49-F238E27FC236}">
                <a16:creationId xmlns:a16="http://schemas.microsoft.com/office/drawing/2014/main" xmlns="" id="{BA7E44B4-8DC4-40CD-8EF3-0E470008CBC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903825" y="4252374"/>
            <a:ext cx="1617750" cy="2160000"/>
          </a:xfrm>
          <a:prstGeom prst="rect">
            <a:avLst/>
          </a:prstGeom>
          <a:ln>
            <a:solidFill>
              <a:schemeClr val="tx1"/>
            </a:solidFill>
          </a:ln>
        </xdr:spPr>
      </xdr:pic>
      <xdr:pic>
        <xdr:nvPicPr>
          <xdr:cNvPr id="7" name="Picture 6">
            <a:extLst>
              <a:ext uri="{FF2B5EF4-FFF2-40B4-BE49-F238E27FC236}">
                <a16:creationId xmlns:a16="http://schemas.microsoft.com/office/drawing/2014/main" xmlns="" id="{04361104-BD6B-6714-719C-BCA9EE0E0234}"/>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3079191" y="6578355"/>
            <a:ext cx="1348125" cy="1800000"/>
          </a:xfrm>
          <a:prstGeom prst="rect">
            <a:avLst/>
          </a:prstGeom>
          <a:ln>
            <a:solidFill>
              <a:schemeClr val="tx1"/>
            </a:solidFill>
          </a:ln>
        </xdr:spPr>
      </xdr:pic>
      <xdr:pic>
        <xdr:nvPicPr>
          <xdr:cNvPr id="8" name="Picture 7">
            <a:extLst>
              <a:ext uri="{FF2B5EF4-FFF2-40B4-BE49-F238E27FC236}">
                <a16:creationId xmlns:a16="http://schemas.microsoft.com/office/drawing/2014/main" xmlns="" id="{3C1A1F9B-7B6A-F373-F502-429EB4B351C8}"/>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4578096" y="6578355"/>
            <a:ext cx="1348125" cy="1800000"/>
          </a:xfrm>
          <a:prstGeom prst="rect">
            <a:avLst/>
          </a:prstGeom>
          <a:ln>
            <a:solidFill>
              <a:schemeClr val="tx1"/>
            </a:solidFill>
          </a:ln>
        </xdr:spPr>
      </xdr:pic>
      <xdr:pic>
        <xdr:nvPicPr>
          <xdr:cNvPr id="9" name="Picture 8">
            <a:extLst>
              <a:ext uri="{FF2B5EF4-FFF2-40B4-BE49-F238E27FC236}">
                <a16:creationId xmlns:a16="http://schemas.microsoft.com/office/drawing/2014/main" xmlns="" id="{77667534-18A1-4E30-B0DF-E5D9647D7885}"/>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531745" y="6578355"/>
            <a:ext cx="2396666" cy="1800000"/>
          </a:xfrm>
          <a:prstGeom prst="rect">
            <a:avLst/>
          </a:prstGeom>
          <a:ln>
            <a:solidFill>
              <a:schemeClr val="tx1"/>
            </a:solidFill>
          </a:ln>
        </xdr:spPr>
      </xdr:pic>
      <xdr:sp macro="" textlink="">
        <xdr:nvSpPr>
          <xdr:cNvPr id="10" name="TextBox 20">
            <a:extLst>
              <a:ext uri="{FF2B5EF4-FFF2-40B4-BE49-F238E27FC236}">
                <a16:creationId xmlns:a16="http://schemas.microsoft.com/office/drawing/2014/main" xmlns="" id="{CD4594AB-78D3-6371-69DB-1D9030B041B9}"/>
              </a:ext>
            </a:extLst>
          </xdr:cNvPr>
          <xdr:cNvSpPr txBox="1"/>
        </xdr:nvSpPr>
        <xdr:spPr>
          <a:xfrm>
            <a:off x="4103188" y="396313"/>
            <a:ext cx="306494"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C</a:t>
            </a:r>
          </a:p>
        </xdr:txBody>
      </xdr:sp>
      <xdr:sp macro="" textlink="">
        <xdr:nvSpPr>
          <xdr:cNvPr id="11" name="TextBox 21">
            <a:extLst>
              <a:ext uri="{FF2B5EF4-FFF2-40B4-BE49-F238E27FC236}">
                <a16:creationId xmlns:a16="http://schemas.microsoft.com/office/drawing/2014/main" xmlns="" id="{7C19C72C-DA44-4072-A74A-680DC79F737F}"/>
              </a:ext>
            </a:extLst>
          </xdr:cNvPr>
          <xdr:cNvSpPr txBox="1"/>
        </xdr:nvSpPr>
        <xdr:spPr>
          <a:xfrm>
            <a:off x="510669" y="396313"/>
            <a:ext cx="324128"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a:t>
            </a:r>
          </a:p>
        </xdr:txBody>
      </xdr:sp>
      <xdr:sp macro="" textlink="">
        <xdr:nvSpPr>
          <xdr:cNvPr id="12" name="TextBox 22">
            <a:extLst>
              <a:ext uri="{FF2B5EF4-FFF2-40B4-BE49-F238E27FC236}">
                <a16:creationId xmlns:a16="http://schemas.microsoft.com/office/drawing/2014/main" xmlns="" id="{93F63B76-C94B-481E-539E-C3FFCCA813E2}"/>
              </a:ext>
            </a:extLst>
          </xdr:cNvPr>
          <xdr:cNvSpPr txBox="1"/>
        </xdr:nvSpPr>
        <xdr:spPr>
          <a:xfrm>
            <a:off x="2678142" y="1186934"/>
            <a:ext cx="324128"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A</a:t>
            </a:r>
          </a:p>
        </xdr:txBody>
      </xdr:sp>
    </xdr:grpSp>
    <xdr:clientData/>
  </xdr:twoCellAnchor>
  <xdr:twoCellAnchor>
    <xdr:from>
      <xdr:col>1</xdr:col>
      <xdr:colOff>209550</xdr:colOff>
      <xdr:row>252</xdr:row>
      <xdr:rowOff>76200</xdr:rowOff>
    </xdr:from>
    <xdr:to>
      <xdr:col>8</xdr:col>
      <xdr:colOff>454950</xdr:colOff>
      <xdr:row>281</xdr:row>
      <xdr:rowOff>139950</xdr:rowOff>
    </xdr:to>
    <xdr:grpSp>
      <xdr:nvGrpSpPr>
        <xdr:cNvPr id="30" name="Group 29">
          <a:extLst>
            <a:ext uri="{FF2B5EF4-FFF2-40B4-BE49-F238E27FC236}">
              <a16:creationId xmlns:a16="http://schemas.microsoft.com/office/drawing/2014/main" xmlns="" id="{B6CFDCA6-52BC-4B6D-A67F-34D92A361D4B}"/>
            </a:ext>
          </a:extLst>
        </xdr:cNvPr>
        <xdr:cNvGrpSpPr/>
      </xdr:nvGrpSpPr>
      <xdr:grpSpPr>
        <a:xfrm>
          <a:off x="790575" y="52035075"/>
          <a:ext cx="5036475" cy="5588250"/>
          <a:chOff x="819150" y="362700"/>
          <a:chExt cx="5036475" cy="5588250"/>
        </a:xfrm>
      </xdr:grpSpPr>
      <xdr:grpSp>
        <xdr:nvGrpSpPr>
          <xdr:cNvPr id="31" name="Group 30">
            <a:extLst>
              <a:ext uri="{FF2B5EF4-FFF2-40B4-BE49-F238E27FC236}">
                <a16:creationId xmlns:a16="http://schemas.microsoft.com/office/drawing/2014/main" xmlns="" id="{7048C2FC-6D31-4B2F-95FB-424F238AED41}"/>
              </a:ext>
            </a:extLst>
          </xdr:cNvPr>
          <xdr:cNvGrpSpPr/>
        </xdr:nvGrpSpPr>
        <xdr:grpSpPr>
          <a:xfrm>
            <a:off x="819150" y="362700"/>
            <a:ext cx="5036475" cy="5588250"/>
            <a:chOff x="819150" y="362700"/>
            <a:chExt cx="5036475" cy="5588250"/>
          </a:xfrm>
        </xdr:grpSpPr>
        <xdr:pic>
          <xdr:nvPicPr>
            <xdr:cNvPr id="34" name="Picture 33">
              <a:extLst>
                <a:ext uri="{FF2B5EF4-FFF2-40B4-BE49-F238E27FC236}">
                  <a16:creationId xmlns:a16="http://schemas.microsoft.com/office/drawing/2014/main" xmlns="" id="{5D7B41EA-BE8D-4C97-8B6E-E8037B772D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819150" y="362700"/>
              <a:ext cx="2426625" cy="3240000"/>
            </a:xfrm>
            <a:prstGeom prst="rect">
              <a:avLst/>
            </a:prstGeom>
            <a:ln>
              <a:solidFill>
                <a:schemeClr val="tx1"/>
              </a:solidFill>
            </a:ln>
          </xdr:spPr>
        </xdr:pic>
        <xdr:pic>
          <xdr:nvPicPr>
            <xdr:cNvPr id="35" name="Picture 34">
              <a:extLst>
                <a:ext uri="{FF2B5EF4-FFF2-40B4-BE49-F238E27FC236}">
                  <a16:creationId xmlns:a16="http://schemas.microsoft.com/office/drawing/2014/main" xmlns="" id="{9A841695-D91E-4201-9892-6960FC14FC7D}"/>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429000" y="362700"/>
              <a:ext cx="2426625" cy="3240000"/>
            </a:xfrm>
            <a:prstGeom prst="rect">
              <a:avLst/>
            </a:prstGeom>
            <a:ln>
              <a:solidFill>
                <a:schemeClr val="tx1"/>
              </a:solidFill>
            </a:ln>
          </xdr:spPr>
        </xdr:pic>
        <xdr:pic>
          <xdr:nvPicPr>
            <xdr:cNvPr id="36" name="Picture 35">
              <a:extLst>
                <a:ext uri="{FF2B5EF4-FFF2-40B4-BE49-F238E27FC236}">
                  <a16:creationId xmlns:a16="http://schemas.microsoft.com/office/drawing/2014/main" xmlns="" id="{99E2B7F3-BEBF-4D29-B4DA-663FBC00BF9D}"/>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628025" y="3790950"/>
              <a:ext cx="1617750" cy="2160000"/>
            </a:xfrm>
            <a:prstGeom prst="rect">
              <a:avLst/>
            </a:prstGeom>
            <a:ln>
              <a:solidFill>
                <a:schemeClr val="tx1"/>
              </a:solidFill>
            </a:ln>
          </xdr:spPr>
        </xdr:pic>
        <xdr:pic>
          <xdr:nvPicPr>
            <xdr:cNvPr id="37" name="Picture 36">
              <a:extLst>
                <a:ext uri="{FF2B5EF4-FFF2-40B4-BE49-F238E27FC236}">
                  <a16:creationId xmlns:a16="http://schemas.microsoft.com/office/drawing/2014/main" xmlns="" id="{5333EEA2-3803-45DD-B853-F1E3DA8B7778}"/>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429000" y="3790950"/>
              <a:ext cx="1617750" cy="2160000"/>
            </a:xfrm>
            <a:prstGeom prst="rect">
              <a:avLst/>
            </a:prstGeom>
            <a:ln>
              <a:solidFill>
                <a:schemeClr val="tx1"/>
              </a:solidFill>
            </a:ln>
          </xdr:spPr>
        </xdr:pic>
      </xdr:grpSp>
      <xdr:sp macro="" textlink="">
        <xdr:nvSpPr>
          <xdr:cNvPr id="32" name="TextBox 80">
            <a:extLst>
              <a:ext uri="{FF2B5EF4-FFF2-40B4-BE49-F238E27FC236}">
                <a16:creationId xmlns:a16="http://schemas.microsoft.com/office/drawing/2014/main" xmlns="" id="{1E56A1DC-EBBB-473A-A433-B999BF1D912D}"/>
              </a:ext>
            </a:extLst>
          </xdr:cNvPr>
          <xdr:cNvSpPr txBox="1"/>
        </xdr:nvSpPr>
        <xdr:spPr>
          <a:xfrm>
            <a:off x="2436900" y="459450"/>
            <a:ext cx="705642"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A &amp; B</a:t>
            </a:r>
            <a:endParaRPr lang="en-IN"/>
          </a:p>
        </xdr:txBody>
      </xdr:sp>
      <xdr:sp macro="" textlink="">
        <xdr:nvSpPr>
          <xdr:cNvPr id="33" name="TextBox 146">
            <a:extLst>
              <a:ext uri="{FF2B5EF4-FFF2-40B4-BE49-F238E27FC236}">
                <a16:creationId xmlns:a16="http://schemas.microsoft.com/office/drawing/2014/main" xmlns="" id="{6CADE9EF-666C-4523-8F37-1B962E4694AB}"/>
              </a:ext>
            </a:extLst>
          </xdr:cNvPr>
          <xdr:cNvSpPr txBox="1"/>
        </xdr:nvSpPr>
        <xdr:spPr>
          <a:xfrm>
            <a:off x="4237875" y="362700"/>
            <a:ext cx="308098"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C</a:t>
            </a:r>
            <a:endParaRPr lang="en-IN"/>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368300</xdr:colOff>
      <xdr:row>28</xdr:row>
      <xdr:rowOff>165100</xdr:rowOff>
    </xdr:to>
    <xdr:pic>
      <xdr:nvPicPr>
        <xdr:cNvPr id="4187" name="Picture 1">
          <a:extLst>
            <a:ext uri="{FF2B5EF4-FFF2-40B4-BE49-F238E27FC236}">
              <a16:creationId xmlns:a16="http://schemas.microsoft.com/office/drawing/2014/main" xmlns="" id="{00000000-0008-0000-0600-00005B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898650"/>
          <a:ext cx="7080250" cy="3492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95250</xdr:rowOff>
    </xdr:from>
    <xdr:to>
      <xdr:col>6</xdr:col>
      <xdr:colOff>368300</xdr:colOff>
      <xdr:row>48</xdr:row>
      <xdr:rowOff>76200</xdr:rowOff>
    </xdr:to>
    <xdr:pic>
      <xdr:nvPicPr>
        <xdr:cNvPr id="4188" name="Picture 2">
          <a:extLst>
            <a:ext uri="{FF2B5EF4-FFF2-40B4-BE49-F238E27FC236}">
              <a16:creationId xmlns:a16="http://schemas.microsoft.com/office/drawing/2014/main" xmlns="" id="{00000000-0008-0000-0600-00005C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5505450"/>
          <a:ext cx="70802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501650</xdr:colOff>
      <xdr:row>10</xdr:row>
      <xdr:rowOff>0</xdr:rowOff>
    </xdr:from>
    <xdr:to>
      <xdr:col>16</xdr:col>
      <xdr:colOff>152400</xdr:colOff>
      <xdr:row>28</xdr:row>
      <xdr:rowOff>165100</xdr:rowOff>
    </xdr:to>
    <xdr:pic>
      <xdr:nvPicPr>
        <xdr:cNvPr id="4189" name="Picture 3">
          <a:extLst>
            <a:ext uri="{FF2B5EF4-FFF2-40B4-BE49-F238E27FC236}">
              <a16:creationId xmlns:a16="http://schemas.microsoft.com/office/drawing/2014/main" xmlns="" id="{00000000-0008-0000-0600-00005D1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23200" y="1898650"/>
          <a:ext cx="7073900" cy="3492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Mhi9aj8QXeTQpMa9" TargetMode="Externa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8"/>
  <sheetViews>
    <sheetView tabSelected="1" view="pageBreakPreview" topLeftCell="A91" zoomScaleNormal="100" zoomScaleSheetLayoutView="100" zoomScalePageLayoutView="98" workbookViewId="0">
      <selection activeCell="M109" sqref="M109"/>
    </sheetView>
  </sheetViews>
  <sheetFormatPr defaultColWidth="9.28515625" defaultRowHeight="15" x14ac:dyDescent="0.25"/>
  <cols>
    <col min="1" max="1" width="8.7109375" customWidth="1"/>
    <col min="2" max="2" width="14.7109375" customWidth="1"/>
    <col min="3" max="3" width="14.42578125" customWidth="1"/>
    <col min="4" max="4" width="7.28515625" customWidth="1"/>
    <col min="5" max="5" width="5.5703125" customWidth="1"/>
    <col min="6" max="6" width="10.42578125" customWidth="1"/>
    <col min="7" max="8" width="9.7109375" customWidth="1"/>
    <col min="9" max="9" width="9.28515625" customWidth="1"/>
    <col min="10" max="10" width="13.5703125" customWidth="1"/>
    <col min="11" max="11" width="3.5703125" customWidth="1"/>
    <col min="17" max="17" width="17.7109375" customWidth="1"/>
  </cols>
  <sheetData>
    <row r="1" spans="1:16" ht="43.9" customHeight="1" x14ac:dyDescent="0.25">
      <c r="A1" s="121" t="s">
        <v>241</v>
      </c>
      <c r="B1" s="121"/>
      <c r="C1" s="121"/>
      <c r="D1" s="121"/>
      <c r="E1" s="121"/>
      <c r="F1" s="121"/>
      <c r="G1" s="121"/>
      <c r="H1" s="121"/>
      <c r="I1" s="121"/>
      <c r="J1" s="121"/>
    </row>
    <row r="2" spans="1:16" x14ac:dyDescent="0.25">
      <c r="A2" s="87" t="s">
        <v>46</v>
      </c>
      <c r="B2" s="87"/>
      <c r="C2" s="87"/>
      <c r="D2" s="87"/>
      <c r="E2" s="87"/>
      <c r="F2" s="87"/>
      <c r="G2" s="87"/>
      <c r="H2" s="87"/>
      <c r="I2" s="87"/>
      <c r="J2" s="87"/>
    </row>
    <row r="3" spans="1:16" x14ac:dyDescent="0.25">
      <c r="A3" s="106" t="s">
        <v>0</v>
      </c>
      <c r="B3" s="106"/>
      <c r="C3" s="106"/>
      <c r="D3" s="106"/>
      <c r="E3" s="106"/>
      <c r="F3" s="67" t="str">
        <f ca="1">TEXT(TODAY(),"DD/MM/YYYY")</f>
        <v>14/08/2025</v>
      </c>
      <c r="G3" s="67"/>
      <c r="H3" s="67"/>
      <c r="I3" s="67"/>
      <c r="J3" s="67"/>
    </row>
    <row r="4" spans="1:16" x14ac:dyDescent="0.25">
      <c r="A4" s="106" t="s">
        <v>1</v>
      </c>
      <c r="B4" s="106"/>
      <c r="C4" s="106"/>
      <c r="D4" s="106"/>
      <c r="E4" s="106"/>
      <c r="F4" s="66" t="s">
        <v>160</v>
      </c>
      <c r="G4" s="66"/>
      <c r="H4" s="66"/>
      <c r="I4" s="66"/>
      <c r="J4" s="66"/>
    </row>
    <row r="5" spans="1:16" x14ac:dyDescent="0.25">
      <c r="A5" s="106" t="s">
        <v>2</v>
      </c>
      <c r="B5" s="106"/>
      <c r="C5" s="106"/>
      <c r="D5" s="106"/>
      <c r="E5" s="106"/>
      <c r="F5" s="67">
        <v>45880</v>
      </c>
      <c r="G5" s="67"/>
      <c r="H5" s="67"/>
      <c r="I5" s="67"/>
      <c r="J5" s="67"/>
    </row>
    <row r="6" spans="1:16" ht="16.5" customHeight="1" x14ac:dyDescent="0.25">
      <c r="A6" s="106" t="s">
        <v>3</v>
      </c>
      <c r="B6" s="106"/>
      <c r="C6" s="106"/>
      <c r="D6" s="106"/>
      <c r="E6" s="106"/>
      <c r="F6" s="68" t="s">
        <v>159</v>
      </c>
      <c r="G6" s="68"/>
      <c r="H6" s="68"/>
      <c r="I6" s="68"/>
      <c r="J6" s="68"/>
    </row>
    <row r="7" spans="1:16" ht="15" customHeight="1" x14ac:dyDescent="0.25">
      <c r="A7" s="106" t="s">
        <v>4</v>
      </c>
      <c r="B7" s="106"/>
      <c r="C7" s="106"/>
      <c r="D7" s="106"/>
      <c r="E7" s="106"/>
      <c r="F7" s="68" t="s">
        <v>159</v>
      </c>
      <c r="G7" s="68"/>
      <c r="H7" s="68"/>
      <c r="I7" s="68"/>
      <c r="J7" s="68"/>
    </row>
    <row r="8" spans="1:16" x14ac:dyDescent="0.25">
      <c r="A8" s="106" t="s">
        <v>5</v>
      </c>
      <c r="B8" s="106"/>
      <c r="C8" s="106"/>
      <c r="D8" s="106"/>
      <c r="E8" s="106"/>
      <c r="F8" s="102" t="s">
        <v>161</v>
      </c>
      <c r="G8" s="102"/>
      <c r="H8" s="102"/>
      <c r="I8" s="102"/>
      <c r="J8" s="102"/>
    </row>
    <row r="9" spans="1:16" x14ac:dyDescent="0.25">
      <c r="A9" s="66" t="s">
        <v>245</v>
      </c>
      <c r="B9" s="106"/>
      <c r="C9" s="106"/>
      <c r="D9" s="106"/>
      <c r="E9" s="106"/>
      <c r="F9" s="66" t="s">
        <v>162</v>
      </c>
      <c r="G9" s="66"/>
      <c r="H9" s="66"/>
      <c r="I9" s="66"/>
      <c r="J9" s="66"/>
    </row>
    <row r="10" spans="1:16" x14ac:dyDescent="0.25">
      <c r="A10" s="68" t="s">
        <v>240</v>
      </c>
      <c r="B10" s="106"/>
      <c r="C10" s="106"/>
      <c r="D10" s="106"/>
      <c r="E10" s="106"/>
      <c r="F10" s="66" t="s">
        <v>296</v>
      </c>
      <c r="G10" s="66"/>
      <c r="H10" s="66"/>
      <c r="I10" s="66"/>
      <c r="J10" s="66"/>
      <c r="L10" s="66" t="s">
        <v>276</v>
      </c>
      <c r="M10" s="66"/>
      <c r="N10" s="66"/>
      <c r="O10" s="66"/>
      <c r="P10" s="66"/>
    </row>
    <row r="11" spans="1:16" x14ac:dyDescent="0.25">
      <c r="A11" s="66" t="s">
        <v>104</v>
      </c>
      <c r="B11" s="66"/>
      <c r="C11" s="66"/>
      <c r="D11" s="66"/>
      <c r="E11" s="66"/>
      <c r="F11" s="66" t="s">
        <v>163</v>
      </c>
      <c r="G11" s="66"/>
      <c r="H11" s="66"/>
      <c r="I11" s="66"/>
      <c r="J11" s="66"/>
    </row>
    <row r="12" spans="1:16" x14ac:dyDescent="0.25">
      <c r="A12" s="106" t="s">
        <v>6</v>
      </c>
      <c r="B12" s="106"/>
      <c r="C12" s="106"/>
      <c r="D12" s="106"/>
      <c r="E12" s="106"/>
      <c r="F12" s="68" t="s">
        <v>179</v>
      </c>
      <c r="G12" s="68"/>
      <c r="H12" s="68"/>
      <c r="I12" s="68"/>
      <c r="J12" s="68"/>
    </row>
    <row r="13" spans="1:16" x14ac:dyDescent="0.25">
      <c r="A13" s="66" t="s">
        <v>192</v>
      </c>
      <c r="B13" s="106"/>
      <c r="C13" s="106"/>
      <c r="D13" s="106"/>
      <c r="E13" s="106"/>
      <c r="F13" s="68" t="s">
        <v>193</v>
      </c>
      <c r="G13" s="68"/>
      <c r="H13" s="68"/>
      <c r="I13" s="68"/>
      <c r="J13" s="68"/>
    </row>
    <row r="14" spans="1:16" ht="31.5" customHeight="1" x14ac:dyDescent="0.25">
      <c r="A14" s="66" t="s">
        <v>59</v>
      </c>
      <c r="B14" s="66"/>
      <c r="C14" s="68" t="s">
        <v>246</v>
      </c>
      <c r="D14" s="68"/>
      <c r="E14" s="68"/>
      <c r="F14" s="68"/>
      <c r="G14" s="68"/>
      <c r="H14" s="68"/>
      <c r="I14" s="68"/>
      <c r="J14" s="68"/>
    </row>
    <row r="15" spans="1:16" x14ac:dyDescent="0.25">
      <c r="A15" s="156" t="s">
        <v>272</v>
      </c>
      <c r="B15" s="156"/>
      <c r="C15" s="132" t="s">
        <v>164</v>
      </c>
      <c r="D15" s="132"/>
      <c r="E15" s="132"/>
      <c r="F15" s="132" t="s">
        <v>270</v>
      </c>
      <c r="G15" s="132"/>
      <c r="H15" s="157" t="s">
        <v>173</v>
      </c>
      <c r="I15" s="157"/>
      <c r="J15" s="157"/>
      <c r="O15" s="50"/>
      <c r="P15" s="50"/>
    </row>
    <row r="16" spans="1:16" x14ac:dyDescent="0.25">
      <c r="A16" s="158" t="s">
        <v>7</v>
      </c>
      <c r="B16" s="158"/>
      <c r="C16" s="132" t="s">
        <v>172</v>
      </c>
      <c r="D16" s="132"/>
      <c r="E16" s="132"/>
      <c r="F16" s="132" t="s">
        <v>60</v>
      </c>
      <c r="G16" s="132"/>
      <c r="H16" s="157" t="s">
        <v>174</v>
      </c>
      <c r="I16" s="157"/>
      <c r="J16" s="157"/>
    </row>
    <row r="17" spans="1:19" x14ac:dyDescent="0.25">
      <c r="A17" s="158" t="s">
        <v>8</v>
      </c>
      <c r="B17" s="158"/>
      <c r="C17" s="132" t="s">
        <v>271</v>
      </c>
      <c r="D17" s="132"/>
      <c r="E17" s="132"/>
      <c r="F17" s="132" t="s">
        <v>61</v>
      </c>
      <c r="G17" s="132"/>
      <c r="H17" s="157">
        <v>400051</v>
      </c>
      <c r="I17" s="157"/>
      <c r="J17" s="157"/>
    </row>
    <row r="18" spans="1:19" ht="33" customHeight="1" x14ac:dyDescent="0.25">
      <c r="A18" s="66" t="s">
        <v>62</v>
      </c>
      <c r="B18" s="66"/>
      <c r="C18" s="66" t="s">
        <v>171</v>
      </c>
      <c r="D18" s="66"/>
      <c r="E18" s="66"/>
      <c r="F18" s="68" t="s">
        <v>52</v>
      </c>
      <c r="G18" s="68"/>
      <c r="H18" s="68" t="s">
        <v>175</v>
      </c>
      <c r="I18" s="68"/>
      <c r="J18" s="68"/>
    </row>
    <row r="19" spans="1:19" ht="15" customHeight="1" x14ac:dyDescent="0.25">
      <c r="A19" s="68" t="s">
        <v>191</v>
      </c>
      <c r="B19" s="68"/>
      <c r="C19" s="68"/>
      <c r="D19" s="68"/>
      <c r="E19" s="68"/>
      <c r="F19" s="66" t="s">
        <v>57</v>
      </c>
      <c r="G19" s="66"/>
      <c r="H19" s="66"/>
      <c r="I19" s="66"/>
      <c r="J19" s="66"/>
    </row>
    <row r="20" spans="1:19" x14ac:dyDescent="0.25">
      <c r="A20" s="68"/>
      <c r="B20" s="68"/>
      <c r="C20" s="68"/>
      <c r="D20" s="68"/>
      <c r="E20" s="68"/>
      <c r="F20" s="66"/>
      <c r="G20" s="66"/>
      <c r="H20" s="66"/>
      <c r="I20" s="66"/>
      <c r="J20" s="66"/>
    </row>
    <row r="21" spans="1:19" ht="15" customHeight="1" x14ac:dyDescent="0.25">
      <c r="A21" s="68" t="s">
        <v>105</v>
      </c>
      <c r="B21" s="115"/>
      <c r="C21" s="115"/>
      <c r="D21" s="115"/>
      <c r="E21" s="115"/>
      <c r="F21" s="68" t="s">
        <v>48</v>
      </c>
      <c r="G21" s="68"/>
      <c r="H21" s="68"/>
      <c r="I21" s="68"/>
      <c r="J21" s="68"/>
    </row>
    <row r="22" spans="1:19" x14ac:dyDescent="0.25">
      <c r="A22" s="115"/>
      <c r="B22" s="115"/>
      <c r="C22" s="115"/>
      <c r="D22" s="115"/>
      <c r="E22" s="115"/>
      <c r="F22" s="68"/>
      <c r="G22" s="68"/>
      <c r="H22" s="68"/>
      <c r="I22" s="68"/>
      <c r="J22" s="68"/>
    </row>
    <row r="23" spans="1:19" ht="15.75" customHeight="1" x14ac:dyDescent="0.25">
      <c r="A23" s="106" t="s">
        <v>9</v>
      </c>
      <c r="B23" s="106"/>
      <c r="C23" s="106"/>
      <c r="D23" s="106"/>
      <c r="E23" s="106"/>
      <c r="F23" s="116" t="s">
        <v>169</v>
      </c>
      <c r="G23" s="116"/>
      <c r="H23" s="116"/>
      <c r="I23" s="116"/>
      <c r="J23" s="116"/>
    </row>
    <row r="24" spans="1:19" x14ac:dyDescent="0.25">
      <c r="A24" s="106" t="s">
        <v>10</v>
      </c>
      <c r="B24" s="106"/>
      <c r="C24" s="106"/>
      <c r="D24" s="106"/>
      <c r="E24" s="106"/>
      <c r="F24" s="112" t="s">
        <v>53</v>
      </c>
      <c r="G24" s="112"/>
      <c r="H24" s="112"/>
      <c r="I24" s="112"/>
      <c r="J24" s="112"/>
    </row>
    <row r="25" spans="1:19" ht="20.25" customHeight="1" x14ac:dyDescent="0.25">
      <c r="A25" s="106" t="s">
        <v>11</v>
      </c>
      <c r="B25" s="106"/>
      <c r="C25" s="106"/>
      <c r="D25" s="106"/>
      <c r="E25" s="106"/>
      <c r="F25" s="116" t="s">
        <v>168</v>
      </c>
      <c r="G25" s="116"/>
      <c r="H25" s="116"/>
      <c r="I25" s="116"/>
      <c r="J25" s="116"/>
    </row>
    <row r="26" spans="1:19" x14ac:dyDescent="0.25">
      <c r="A26" s="106" t="s">
        <v>29</v>
      </c>
      <c r="B26" s="106"/>
      <c r="C26" s="106"/>
      <c r="D26" s="106"/>
      <c r="E26" s="106"/>
      <c r="F26" s="112" t="s">
        <v>63</v>
      </c>
      <c r="G26" s="114"/>
      <c r="H26" s="114"/>
      <c r="I26" s="114"/>
      <c r="J26" s="114"/>
    </row>
    <row r="27" spans="1:19" x14ac:dyDescent="0.25">
      <c r="A27" s="113" t="s">
        <v>12</v>
      </c>
      <c r="B27" s="113"/>
      <c r="C27" s="113" t="s">
        <v>13</v>
      </c>
      <c r="D27" s="113"/>
      <c r="E27" s="120" t="s">
        <v>14</v>
      </c>
      <c r="F27" s="113"/>
      <c r="G27" s="120" t="s">
        <v>51</v>
      </c>
      <c r="H27" s="120"/>
      <c r="I27" s="113" t="s">
        <v>15</v>
      </c>
      <c r="J27" s="113"/>
    </row>
    <row r="28" spans="1:19" x14ac:dyDescent="0.25">
      <c r="A28" s="120" t="s">
        <v>16</v>
      </c>
      <c r="B28" s="120"/>
      <c r="C28" s="120" t="s">
        <v>50</v>
      </c>
      <c r="D28" s="120"/>
      <c r="E28" s="120" t="s">
        <v>50</v>
      </c>
      <c r="F28" s="120"/>
      <c r="G28" s="120" t="s">
        <v>50</v>
      </c>
      <c r="H28" s="120"/>
      <c r="I28" s="120" t="s">
        <v>50</v>
      </c>
      <c r="J28" s="120"/>
    </row>
    <row r="29" spans="1:19" x14ac:dyDescent="0.25">
      <c r="A29" s="113" t="s">
        <v>17</v>
      </c>
      <c r="B29" s="113"/>
      <c r="C29" s="120" t="s">
        <v>7</v>
      </c>
      <c r="D29" s="120"/>
      <c r="E29" s="119" t="s">
        <v>167</v>
      </c>
      <c r="F29" s="119"/>
      <c r="G29" s="120" t="s">
        <v>165</v>
      </c>
      <c r="H29" s="120"/>
      <c r="I29" s="120" t="s">
        <v>166</v>
      </c>
      <c r="J29" s="120"/>
    </row>
    <row r="30" spans="1:19" x14ac:dyDescent="0.25">
      <c r="A30" s="66" t="s">
        <v>56</v>
      </c>
      <c r="B30" s="66"/>
      <c r="C30" s="66"/>
      <c r="D30" s="66"/>
      <c r="E30" s="66"/>
      <c r="F30" s="66"/>
      <c r="G30" s="66"/>
      <c r="H30" s="66"/>
      <c r="I30" s="66"/>
      <c r="J30" s="66"/>
    </row>
    <row r="31" spans="1:19" x14ac:dyDescent="0.25">
      <c r="A31" s="66" t="s">
        <v>170</v>
      </c>
      <c r="B31" s="66"/>
      <c r="C31" s="66"/>
      <c r="D31" s="66"/>
      <c r="E31" s="66"/>
      <c r="F31" s="66"/>
      <c r="G31" s="66"/>
      <c r="H31" s="66"/>
      <c r="I31" s="66"/>
      <c r="J31" s="66"/>
      <c r="L31" s="62" t="s">
        <v>301</v>
      </c>
    </row>
    <row r="32" spans="1:19" x14ac:dyDescent="0.25">
      <c r="A32" s="102" t="s">
        <v>43</v>
      </c>
      <c r="B32" s="102"/>
      <c r="C32" s="99" t="s">
        <v>299</v>
      </c>
      <c r="D32" s="100"/>
      <c r="E32" s="100"/>
      <c r="F32" s="100"/>
      <c r="G32" s="100"/>
      <c r="H32" s="100"/>
      <c r="I32" s="100"/>
      <c r="J32" s="101"/>
      <c r="L32" s="63" t="s">
        <v>247</v>
      </c>
      <c r="M32" s="64"/>
      <c r="N32" s="64"/>
      <c r="O32" s="64"/>
      <c r="P32" s="64"/>
      <c r="Q32" s="64"/>
      <c r="R32" s="64"/>
      <c r="S32" s="65"/>
    </row>
    <row r="33" spans="1:10" x14ac:dyDescent="0.25">
      <c r="A33" s="102" t="s">
        <v>244</v>
      </c>
      <c r="B33" s="102"/>
      <c r="C33" s="118" t="s">
        <v>300</v>
      </c>
      <c r="D33" s="100"/>
      <c r="E33" s="100"/>
      <c r="F33" s="100"/>
      <c r="G33" s="100"/>
      <c r="H33" s="100"/>
      <c r="I33" s="100"/>
      <c r="J33" s="101"/>
    </row>
    <row r="34" spans="1:10" x14ac:dyDescent="0.25">
      <c r="A34" s="102" t="s">
        <v>18</v>
      </c>
      <c r="B34" s="102"/>
      <c r="C34" s="102"/>
      <c r="D34" s="102"/>
      <c r="E34" s="102"/>
      <c r="F34" s="102"/>
      <c r="G34" s="102"/>
      <c r="H34" s="102"/>
      <c r="I34" s="102"/>
      <c r="J34" s="102"/>
    </row>
    <row r="35" spans="1:10" ht="15" customHeight="1" x14ac:dyDescent="0.25">
      <c r="A35" s="68" t="s">
        <v>158</v>
      </c>
      <c r="B35" s="68"/>
      <c r="C35" s="68"/>
      <c r="D35" s="68"/>
      <c r="E35" s="68"/>
      <c r="F35" s="68"/>
      <c r="G35" s="68"/>
      <c r="H35" s="68"/>
      <c r="I35" s="68"/>
      <c r="J35" s="68"/>
    </row>
    <row r="36" spans="1:10" x14ac:dyDescent="0.25">
      <c r="A36" s="68"/>
      <c r="B36" s="68"/>
      <c r="C36" s="68"/>
      <c r="D36" s="68"/>
      <c r="E36" s="68"/>
      <c r="F36" s="68"/>
      <c r="G36" s="68"/>
      <c r="H36" s="68"/>
      <c r="I36" s="68"/>
      <c r="J36" s="68"/>
    </row>
    <row r="37" spans="1:10" ht="16.5" customHeight="1" x14ac:dyDescent="0.25">
      <c r="A37" s="66" t="s">
        <v>64</v>
      </c>
      <c r="B37" s="106"/>
      <c r="C37" s="106"/>
      <c r="D37" s="106"/>
      <c r="E37" s="106"/>
      <c r="F37" s="68">
        <v>7459.28</v>
      </c>
      <c r="G37" s="68"/>
      <c r="H37" s="68"/>
      <c r="I37" s="68"/>
      <c r="J37" s="68"/>
    </row>
    <row r="38" spans="1:10" x14ac:dyDescent="0.25">
      <c r="A38" s="106" t="s">
        <v>19</v>
      </c>
      <c r="B38" s="106"/>
      <c r="C38" s="106"/>
      <c r="D38" s="106"/>
      <c r="E38" s="106"/>
      <c r="F38" s="66">
        <v>2.5</v>
      </c>
      <c r="G38" s="66"/>
      <c r="H38" s="66"/>
      <c r="I38" s="66"/>
      <c r="J38" s="66"/>
    </row>
    <row r="39" spans="1:10" x14ac:dyDescent="0.25">
      <c r="A39" s="106" t="s">
        <v>20</v>
      </c>
      <c r="B39" s="106"/>
      <c r="C39" s="106"/>
      <c r="D39" s="106"/>
      <c r="E39" s="106"/>
      <c r="F39" s="130">
        <f>F41/F37-F38</f>
        <v>4.1021377398354808</v>
      </c>
      <c r="G39" s="130"/>
      <c r="H39" s="130"/>
      <c r="I39" s="130"/>
      <c r="J39" s="130"/>
    </row>
    <row r="40" spans="1:10" x14ac:dyDescent="0.25">
      <c r="A40" s="106" t="s">
        <v>21</v>
      </c>
      <c r="B40" s="106"/>
      <c r="C40" s="106"/>
      <c r="D40" s="106"/>
      <c r="E40" s="106"/>
      <c r="F40" s="117">
        <f>F38+F39</f>
        <v>6.6021377398354808</v>
      </c>
      <c r="G40" s="117"/>
      <c r="H40" s="117"/>
      <c r="I40" s="117"/>
      <c r="J40" s="117"/>
    </row>
    <row r="41" spans="1:10" x14ac:dyDescent="0.25">
      <c r="A41" s="66" t="s">
        <v>65</v>
      </c>
      <c r="B41" s="106"/>
      <c r="C41" s="106"/>
      <c r="D41" s="106"/>
      <c r="E41" s="106"/>
      <c r="F41" s="66">
        <v>49247.194000000003</v>
      </c>
      <c r="G41" s="66"/>
      <c r="H41" s="66"/>
      <c r="I41" s="66"/>
      <c r="J41" s="66"/>
    </row>
    <row r="42" spans="1:10" x14ac:dyDescent="0.25">
      <c r="A42" s="106" t="s">
        <v>22</v>
      </c>
      <c r="B42" s="106"/>
      <c r="C42" s="106"/>
      <c r="D42" s="106"/>
      <c r="E42" s="106"/>
      <c r="F42" s="66" t="s">
        <v>131</v>
      </c>
      <c r="G42" s="66"/>
      <c r="H42" s="66"/>
      <c r="I42" s="66"/>
      <c r="J42" s="66"/>
    </row>
    <row r="43" spans="1:10" x14ac:dyDescent="0.25">
      <c r="A43" s="102" t="s">
        <v>67</v>
      </c>
      <c r="B43" s="102"/>
      <c r="C43" s="102"/>
      <c r="D43" s="102"/>
      <c r="E43" s="102"/>
      <c r="F43" s="102"/>
      <c r="G43" s="102"/>
      <c r="H43" s="102"/>
      <c r="I43" s="102"/>
      <c r="J43" s="102"/>
    </row>
    <row r="44" spans="1:10" ht="16.5" customHeight="1" x14ac:dyDescent="0.25">
      <c r="A44" s="68" t="s">
        <v>66</v>
      </c>
      <c r="B44" s="68"/>
      <c r="C44" s="66" t="s">
        <v>194</v>
      </c>
      <c r="D44" s="66"/>
      <c r="E44" s="66"/>
      <c r="F44" s="66"/>
      <c r="G44" s="28" t="s">
        <v>58</v>
      </c>
      <c r="H44" s="67">
        <v>43343</v>
      </c>
      <c r="I44" s="66"/>
      <c r="J44" s="66"/>
    </row>
    <row r="45" spans="1:10" x14ac:dyDescent="0.25">
      <c r="A45" s="68" t="s">
        <v>68</v>
      </c>
      <c r="B45" s="68"/>
      <c r="C45" s="66" t="str">
        <f>C44</f>
        <v>94/075/Planing Cell/GM/MHADA</v>
      </c>
      <c r="D45" s="66"/>
      <c r="E45" s="66"/>
      <c r="F45" s="66"/>
      <c r="G45" s="28" t="s">
        <v>58</v>
      </c>
      <c r="H45" s="67">
        <f>H44</f>
        <v>43343</v>
      </c>
      <c r="I45" s="66" t="s">
        <v>49</v>
      </c>
      <c r="J45" s="66"/>
    </row>
    <row r="46" spans="1:10" ht="30.75" customHeight="1" x14ac:dyDescent="0.25">
      <c r="A46" s="68" t="s">
        <v>248</v>
      </c>
      <c r="B46" s="68"/>
      <c r="C46" s="66" t="s">
        <v>249</v>
      </c>
      <c r="D46" s="66"/>
      <c r="E46" s="66"/>
      <c r="F46" s="66"/>
      <c r="G46" s="28" t="s">
        <v>58</v>
      </c>
      <c r="H46" s="67">
        <v>45112</v>
      </c>
      <c r="I46" s="66" t="s">
        <v>49</v>
      </c>
      <c r="J46" s="66"/>
    </row>
    <row r="47" spans="1:10" x14ac:dyDescent="0.25">
      <c r="A47" s="139" t="s">
        <v>277</v>
      </c>
      <c r="B47" s="139"/>
      <c r="C47" s="139"/>
      <c r="D47" s="139"/>
      <c r="E47" s="139"/>
      <c r="F47" s="139"/>
      <c r="G47" s="139"/>
      <c r="H47" s="139"/>
      <c r="I47" s="139"/>
      <c r="J47" s="139"/>
    </row>
    <row r="48" spans="1:10" ht="16.5" customHeight="1" x14ac:dyDescent="0.25">
      <c r="A48" s="68" t="s">
        <v>66</v>
      </c>
      <c r="B48" s="68"/>
      <c r="C48" s="66" t="s">
        <v>249</v>
      </c>
      <c r="D48" s="66"/>
      <c r="E48" s="66"/>
      <c r="F48" s="66"/>
      <c r="G48" s="28" t="s">
        <v>58</v>
      </c>
      <c r="H48" s="67">
        <v>45112</v>
      </c>
      <c r="I48" s="66"/>
      <c r="J48" s="66"/>
    </row>
    <row r="49" spans="1:14" x14ac:dyDescent="0.25">
      <c r="A49" s="68" t="s">
        <v>68</v>
      </c>
      <c r="B49" s="68"/>
      <c r="C49" s="66" t="str">
        <f>C48</f>
        <v>Mhada-94/075/2023</v>
      </c>
      <c r="D49" s="66"/>
      <c r="E49" s="66"/>
      <c r="F49" s="66"/>
      <c r="G49" s="28" t="s">
        <v>58</v>
      </c>
      <c r="H49" s="67">
        <f>H48</f>
        <v>45112</v>
      </c>
      <c r="I49" s="66" t="s">
        <v>49</v>
      </c>
      <c r="J49" s="66"/>
    </row>
    <row r="50" spans="1:14" ht="31.5" customHeight="1" x14ac:dyDescent="0.25">
      <c r="A50" s="68" t="s">
        <v>238</v>
      </c>
      <c r="B50" s="68"/>
      <c r="C50" s="68" t="s">
        <v>242</v>
      </c>
      <c r="D50" s="68"/>
      <c r="E50" s="68"/>
      <c r="F50" s="68"/>
      <c r="G50" s="45" t="s">
        <v>58</v>
      </c>
      <c r="H50" s="88">
        <v>45119</v>
      </c>
      <c r="I50" s="89"/>
      <c r="J50" s="90"/>
    </row>
    <row r="51" spans="1:14" ht="77.25" customHeight="1" x14ac:dyDescent="0.25">
      <c r="A51" s="68" t="s">
        <v>239</v>
      </c>
      <c r="B51" s="68"/>
      <c r="C51" s="92" t="s">
        <v>243</v>
      </c>
      <c r="D51" s="93"/>
      <c r="E51" s="93"/>
      <c r="F51" s="93"/>
      <c r="G51" s="93"/>
      <c r="H51" s="93"/>
      <c r="I51" s="93"/>
      <c r="J51" s="94"/>
    </row>
    <row r="52" spans="1:14" ht="31.5" customHeight="1" x14ac:dyDescent="0.25">
      <c r="A52" s="68" t="s">
        <v>238</v>
      </c>
      <c r="B52" s="68"/>
      <c r="C52" s="68" t="s">
        <v>274</v>
      </c>
      <c r="D52" s="68"/>
      <c r="E52" s="68"/>
      <c r="F52" s="68"/>
      <c r="G52" s="45" t="s">
        <v>58</v>
      </c>
      <c r="H52" s="88">
        <v>45300</v>
      </c>
      <c r="I52" s="89"/>
      <c r="J52" s="90"/>
    </row>
    <row r="53" spans="1:14" ht="77.25" customHeight="1" x14ac:dyDescent="0.25">
      <c r="A53" s="68" t="s">
        <v>239</v>
      </c>
      <c r="B53" s="68"/>
      <c r="C53" s="92" t="s">
        <v>273</v>
      </c>
      <c r="D53" s="93"/>
      <c r="E53" s="93"/>
      <c r="F53" s="93"/>
      <c r="G53" s="93"/>
      <c r="H53" s="93"/>
      <c r="I53" s="93"/>
      <c r="J53" s="94"/>
    </row>
    <row r="54" spans="1:14" x14ac:dyDescent="0.25">
      <c r="A54" s="86" t="s">
        <v>102</v>
      </c>
      <c r="B54" s="86"/>
      <c r="C54" s="86" t="s">
        <v>50</v>
      </c>
      <c r="D54" s="86"/>
      <c r="E54" s="86"/>
      <c r="F54" s="86" t="s">
        <v>103</v>
      </c>
      <c r="G54" s="49" t="s">
        <v>58</v>
      </c>
      <c r="H54" s="87" t="s">
        <v>50</v>
      </c>
      <c r="I54" s="87" t="s">
        <v>54</v>
      </c>
      <c r="J54" s="87"/>
    </row>
    <row r="55" spans="1:14" x14ac:dyDescent="0.25">
      <c r="A55" s="131" t="s">
        <v>23</v>
      </c>
      <c r="B55" s="131"/>
      <c r="C55" s="131"/>
      <c r="D55" s="131"/>
      <c r="E55" s="131"/>
      <c r="F55" s="131"/>
      <c r="G55" s="131"/>
      <c r="H55" s="131"/>
      <c r="I55" s="131"/>
      <c r="J55" s="131"/>
    </row>
    <row r="56" spans="1:14" ht="17.25" customHeight="1" x14ac:dyDescent="0.25">
      <c r="A56" s="66" t="s">
        <v>101</v>
      </c>
      <c r="B56" s="66"/>
      <c r="C56" s="66"/>
      <c r="D56" s="99">
        <f>F41</f>
        <v>49247.194000000003</v>
      </c>
      <c r="E56" s="100"/>
      <c r="F56" s="100"/>
      <c r="G56" s="100"/>
      <c r="H56" s="100"/>
      <c r="I56" s="100"/>
      <c r="J56" s="101"/>
      <c r="N56" s="9"/>
    </row>
    <row r="57" spans="1:14" ht="17.25" customHeight="1" x14ac:dyDescent="0.25">
      <c r="A57" s="66" t="s">
        <v>70</v>
      </c>
      <c r="B57" s="66"/>
      <c r="C57" s="66"/>
      <c r="D57" s="136" t="s">
        <v>291</v>
      </c>
      <c r="E57" s="137"/>
      <c r="F57" s="137"/>
      <c r="G57" s="137"/>
      <c r="H57" s="137"/>
      <c r="I57" s="137"/>
      <c r="J57" s="138"/>
    </row>
    <row r="58" spans="1:14" ht="33.75" customHeight="1" x14ac:dyDescent="0.25">
      <c r="A58" s="99" t="s">
        <v>71</v>
      </c>
      <c r="B58" s="100"/>
      <c r="C58" s="100"/>
      <c r="D58" s="92" t="s">
        <v>293</v>
      </c>
      <c r="E58" s="100"/>
      <c r="F58" s="100"/>
      <c r="G58" s="100"/>
      <c r="H58" s="100"/>
      <c r="I58" s="100"/>
      <c r="J58" s="101"/>
    </row>
    <row r="59" spans="1:14" ht="33.75" customHeight="1" x14ac:dyDescent="0.25">
      <c r="A59" s="99" t="s">
        <v>275</v>
      </c>
      <c r="B59" s="100"/>
      <c r="C59" s="100"/>
      <c r="D59" s="92" t="s">
        <v>293</v>
      </c>
      <c r="E59" s="100"/>
      <c r="F59" s="100"/>
      <c r="G59" s="100"/>
      <c r="H59" s="100"/>
      <c r="I59" s="100"/>
      <c r="J59" s="101"/>
    </row>
    <row r="60" spans="1:14" x14ac:dyDescent="0.25">
      <c r="A60" s="132" t="s">
        <v>74</v>
      </c>
      <c r="B60" s="132"/>
      <c r="C60" s="132"/>
      <c r="D60" s="133">
        <f>H50</f>
        <v>45119</v>
      </c>
      <c r="E60" s="134"/>
      <c r="F60" s="134"/>
      <c r="G60" s="134"/>
      <c r="H60" s="134"/>
      <c r="I60" s="134"/>
      <c r="J60" s="135"/>
    </row>
    <row r="61" spans="1:14" x14ac:dyDescent="0.25">
      <c r="A61" s="132" t="s">
        <v>69</v>
      </c>
      <c r="B61" s="132"/>
      <c r="C61" s="132"/>
      <c r="D61" s="155">
        <v>46112</v>
      </c>
      <c r="E61" s="134"/>
      <c r="F61" s="134"/>
      <c r="G61" s="134"/>
      <c r="H61" s="134"/>
      <c r="I61" s="134"/>
      <c r="J61" s="135"/>
    </row>
    <row r="62" spans="1:14" x14ac:dyDescent="0.25">
      <c r="A62" s="99" t="s">
        <v>260</v>
      </c>
      <c r="B62" s="100"/>
      <c r="C62" s="100"/>
      <c r="D62" s="92" t="s">
        <v>63</v>
      </c>
      <c r="E62" s="100"/>
      <c r="F62" s="100"/>
      <c r="G62" s="100"/>
      <c r="H62" s="100"/>
      <c r="I62" s="100"/>
      <c r="J62" s="101"/>
    </row>
    <row r="63" spans="1:14" ht="30.6" customHeight="1" x14ac:dyDescent="0.25">
      <c r="A63" s="99" t="s">
        <v>266</v>
      </c>
      <c r="B63" s="100"/>
      <c r="C63" s="100"/>
      <c r="D63" s="92" t="s">
        <v>267</v>
      </c>
      <c r="E63" s="100"/>
      <c r="F63" s="100"/>
      <c r="G63" s="100"/>
      <c r="H63" s="100"/>
      <c r="I63" s="100"/>
      <c r="J63" s="101"/>
    </row>
    <row r="64" spans="1:14" x14ac:dyDescent="0.25">
      <c r="A64" s="99" t="s">
        <v>261</v>
      </c>
      <c r="B64" s="100"/>
      <c r="C64" s="100"/>
      <c r="D64" s="92" t="s">
        <v>262</v>
      </c>
      <c r="E64" s="100"/>
      <c r="F64" s="100"/>
      <c r="G64" s="100"/>
      <c r="H64" s="100"/>
      <c r="I64" s="100"/>
      <c r="J64" s="101"/>
    </row>
    <row r="65" spans="1:15" x14ac:dyDescent="0.25">
      <c r="A65" s="99" t="s">
        <v>264</v>
      </c>
      <c r="B65" s="100"/>
      <c r="C65" s="100"/>
      <c r="D65" s="92" t="s">
        <v>263</v>
      </c>
      <c r="E65" s="100"/>
      <c r="F65" s="100"/>
      <c r="G65" s="100"/>
      <c r="H65" s="100"/>
      <c r="I65" s="100"/>
      <c r="J65" s="101"/>
    </row>
    <row r="66" spans="1:15" x14ac:dyDescent="0.25">
      <c r="A66" s="99" t="s">
        <v>265</v>
      </c>
      <c r="B66" s="100"/>
      <c r="C66" s="100"/>
      <c r="D66" s="92" t="s">
        <v>50</v>
      </c>
      <c r="E66" s="100"/>
      <c r="F66" s="100"/>
      <c r="G66" s="100"/>
      <c r="H66" s="100"/>
      <c r="I66" s="100"/>
      <c r="J66" s="101"/>
    </row>
    <row r="67" spans="1:15" ht="32.25" customHeight="1" thickBot="1" x14ac:dyDescent="0.3">
      <c r="A67" s="92" t="s">
        <v>268</v>
      </c>
      <c r="B67" s="93"/>
      <c r="C67" s="93"/>
      <c r="D67" s="92" t="s">
        <v>269</v>
      </c>
      <c r="E67" s="100"/>
      <c r="F67" s="100"/>
      <c r="G67" s="100"/>
      <c r="H67" s="100"/>
      <c r="I67" s="100"/>
      <c r="J67" s="101"/>
    </row>
    <row r="68" spans="1:15" ht="15" customHeight="1" x14ac:dyDescent="0.25">
      <c r="A68" s="97" t="s">
        <v>195</v>
      </c>
      <c r="B68" s="97"/>
      <c r="C68" s="98" t="s">
        <v>294</v>
      </c>
      <c r="D68" s="98"/>
      <c r="E68" s="98"/>
      <c r="F68" s="98"/>
      <c r="G68" s="98"/>
      <c r="H68" s="98"/>
      <c r="I68" s="98"/>
      <c r="J68" s="98"/>
      <c r="K68" s="22"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Excavation work Completed. Plinth work completed, RCC Slab, Brickwork, Internal Plaster, External Plaster, Flooring upto 28 Floor, Painting upto 26 Floor Completed</v>
      </c>
      <c r="L68" s="31"/>
    </row>
    <row r="69" spans="1:15" ht="15.75" x14ac:dyDescent="0.25">
      <c r="A69" s="27" t="s">
        <v>196</v>
      </c>
      <c r="B69" s="27">
        <v>3</v>
      </c>
      <c r="C69" s="27" t="s">
        <v>197</v>
      </c>
      <c r="D69" s="27">
        <v>1</v>
      </c>
      <c r="E69" s="82" t="s">
        <v>198</v>
      </c>
      <c r="F69" s="82"/>
      <c r="G69" s="27">
        <v>0</v>
      </c>
      <c r="H69" s="27" t="s">
        <v>199</v>
      </c>
      <c r="I69" s="82">
        <f ca="1">--TRIM(RIGHT(SUBSTITUTE(LEFT(C68,_xlfn.AGGREGATE(16,6,FIND({0,1,2,3,4,5,6,7,8,9},C68,ROW(INDIRECT("1:"&amp;LEN(C68)))),1))," ",REPT(" ",LEN(C68))),LEN(C68)))</f>
        <v>30</v>
      </c>
      <c r="J69" s="82"/>
      <c r="K69" s="23"/>
      <c r="L69" s="32"/>
    </row>
    <row r="70" spans="1:15" ht="50.25" customHeight="1" x14ac:dyDescent="0.25">
      <c r="A70" s="85" t="s">
        <v>200</v>
      </c>
      <c r="B70" s="85"/>
      <c r="C70" s="98" t="str">
        <f ca="1">K68</f>
        <v>Excavation work Completed. Plinth work completed, RCC Slab, Brickwork, Internal Plaster, External Plaster, Flooring upto 28 Floor, Painting upto 26 Floor Completed</v>
      </c>
      <c r="D70" s="98"/>
      <c r="E70" s="98"/>
      <c r="F70" s="98"/>
      <c r="G70" s="98"/>
      <c r="H70" s="98"/>
      <c r="I70" s="98"/>
      <c r="J70" s="98"/>
      <c r="K70" s="23" t="s">
        <v>201</v>
      </c>
      <c r="L70" s="32"/>
    </row>
    <row r="71" spans="1:15" ht="15.75" customHeight="1" x14ac:dyDescent="0.25">
      <c r="A71" s="76" t="s">
        <v>35</v>
      </c>
      <c r="B71" s="76"/>
      <c r="C71" s="26" t="s">
        <v>202</v>
      </c>
      <c r="D71" s="76" t="s">
        <v>203</v>
      </c>
      <c r="E71" s="76"/>
      <c r="F71" s="76" t="s">
        <v>204</v>
      </c>
      <c r="G71" s="76"/>
      <c r="H71" s="76" t="s">
        <v>205</v>
      </c>
      <c r="I71" s="76"/>
      <c r="J71" s="76"/>
      <c r="K71" s="24" t="s">
        <v>206</v>
      </c>
      <c r="L71" s="33">
        <f ca="1">I69*25%</f>
        <v>7.5</v>
      </c>
    </row>
    <row r="72" spans="1:15" ht="15.75" customHeight="1" x14ac:dyDescent="0.25">
      <c r="A72" s="76" t="s">
        <v>207</v>
      </c>
      <c r="B72" s="76"/>
      <c r="C72" s="34">
        <f ca="1">L73</f>
        <v>30</v>
      </c>
      <c r="D72" s="77">
        <f ca="1">((100/I69)*C72)/100</f>
        <v>1</v>
      </c>
      <c r="E72" s="77"/>
      <c r="F72" s="77">
        <f ca="1">(((C73/I69*10)+(40/(D69+G69+I69)*C74)+(7.5/(I69)*C75)+(7.5/(I69)*C76)+(10/I69*C77)+(10/I69*C78)+(5/I69*C79)+(5/I69*C80)+(5/I69*C81))/100)</f>
        <v>0.8866666666666666</v>
      </c>
      <c r="G72" s="77"/>
      <c r="H72" s="77">
        <f ca="1">((((C72/I69)*20)+((C73/I69)*25)+(30/(I69+G69+D69)*C74)+(5/I69*C75)+(5/I69*C76)+(5/I69*C77)+(5/I69*C78)+(0/I69*C79)+(0/I69*C80)+(5/I69*C81))/100)</f>
        <v>0.94666666666666677</v>
      </c>
      <c r="I72" s="77"/>
      <c r="J72" s="77"/>
      <c r="K72" s="24" t="s">
        <v>208</v>
      </c>
      <c r="L72" s="35">
        <f ca="1">I69*50%</f>
        <v>15</v>
      </c>
    </row>
    <row r="73" spans="1:15" ht="15.75" x14ac:dyDescent="0.25">
      <c r="A73" s="76" t="s">
        <v>36</v>
      </c>
      <c r="B73" s="76"/>
      <c r="C73" s="36">
        <f ca="1">L81</f>
        <v>30</v>
      </c>
      <c r="D73" s="77">
        <f ca="1">((100/I69)*C73)/100</f>
        <v>1</v>
      </c>
      <c r="E73" s="77"/>
      <c r="F73" s="77"/>
      <c r="G73" s="77"/>
      <c r="H73" s="77"/>
      <c r="I73" s="77"/>
      <c r="J73" s="77"/>
      <c r="K73" s="24" t="s">
        <v>209</v>
      </c>
      <c r="L73" s="35">
        <f ca="1">I69</f>
        <v>30</v>
      </c>
    </row>
    <row r="74" spans="1:15" ht="15.75" x14ac:dyDescent="0.25">
      <c r="A74" s="82" t="s">
        <v>210</v>
      </c>
      <c r="B74" s="82"/>
      <c r="C74" s="36">
        <v>31</v>
      </c>
      <c r="D74" s="77">
        <f ca="1">((100/(D69+G69+I69))*C74)/100</f>
        <v>1</v>
      </c>
      <c r="E74" s="77"/>
      <c r="F74" s="77"/>
      <c r="G74" s="77"/>
      <c r="H74" s="77"/>
      <c r="I74" s="77"/>
      <c r="J74" s="77"/>
      <c r="K74" s="24" t="s">
        <v>211</v>
      </c>
      <c r="L74" s="37">
        <f ca="1">(IF(B69&gt;1,(I69/(B69+2)),I69/4))</f>
        <v>6</v>
      </c>
      <c r="O74">
        <f>32*0.88</f>
        <v>28.16</v>
      </c>
    </row>
    <row r="75" spans="1:15" ht="15.75" customHeight="1" x14ac:dyDescent="0.25">
      <c r="A75" s="82" t="s">
        <v>212</v>
      </c>
      <c r="B75" s="82" t="s">
        <v>213</v>
      </c>
      <c r="C75" s="36">
        <f>C74-D69-G69</f>
        <v>30</v>
      </c>
      <c r="D75" s="77">
        <f ca="1">((100/I69)*C75)/100</f>
        <v>1</v>
      </c>
      <c r="E75" s="77"/>
      <c r="F75" s="77"/>
      <c r="G75" s="77"/>
      <c r="H75" s="77"/>
      <c r="I75" s="77"/>
      <c r="J75" s="77"/>
      <c r="K75" s="24" t="s">
        <v>214</v>
      </c>
      <c r="L75" s="37">
        <f ca="1">(IF(B69&gt;1,(I69/(B69+2)+L74),I69/4+L74))</f>
        <v>12</v>
      </c>
    </row>
    <row r="76" spans="1:15" ht="15" customHeight="1" x14ac:dyDescent="0.25">
      <c r="A76" s="82" t="s">
        <v>215</v>
      </c>
      <c r="B76" s="82" t="s">
        <v>213</v>
      </c>
      <c r="C76" s="36">
        <v>30</v>
      </c>
      <c r="D76" s="77">
        <f ca="1">((100/I69)*C76)/100</f>
        <v>1</v>
      </c>
      <c r="E76" s="77"/>
      <c r="F76" s="77"/>
      <c r="G76" s="77"/>
      <c r="H76" s="77"/>
      <c r="I76" s="77"/>
      <c r="J76" s="77"/>
      <c r="K76" s="24" t="s">
        <v>216</v>
      </c>
      <c r="L76" s="37">
        <f ca="1">(IF(B69&gt;1,(I69/(B69+2)+L75),0))</f>
        <v>18</v>
      </c>
    </row>
    <row r="77" spans="1:15" ht="15.75" customHeight="1" x14ac:dyDescent="0.25">
      <c r="A77" s="82" t="s">
        <v>217</v>
      </c>
      <c r="B77" s="82" t="s">
        <v>218</v>
      </c>
      <c r="C77" s="36">
        <v>30</v>
      </c>
      <c r="D77" s="77">
        <f ca="1">((100/(I69))*C77)/100</f>
        <v>1</v>
      </c>
      <c r="E77" s="77"/>
      <c r="F77" s="77"/>
      <c r="G77" s="77"/>
      <c r="H77" s="77"/>
      <c r="I77" s="77"/>
      <c r="J77" s="77"/>
      <c r="K77" s="24" t="s">
        <v>219</v>
      </c>
      <c r="L77" s="37">
        <f ca="1">(IF(B69&gt;2,(I69/(B69+2)+L76),0))</f>
        <v>24</v>
      </c>
    </row>
    <row r="78" spans="1:15" ht="15.75" customHeight="1" x14ac:dyDescent="0.25">
      <c r="A78" s="82" t="s">
        <v>220</v>
      </c>
      <c r="B78" s="82" t="s">
        <v>220</v>
      </c>
      <c r="C78" s="34">
        <v>28</v>
      </c>
      <c r="D78" s="77">
        <f ca="1">((100/I69)*C78)/100</f>
        <v>0.93333333333333346</v>
      </c>
      <c r="E78" s="77"/>
      <c r="F78" s="77"/>
      <c r="G78" s="77"/>
      <c r="H78" s="77"/>
      <c r="I78" s="77"/>
      <c r="J78" s="77"/>
      <c r="K78" s="24" t="s">
        <v>221</v>
      </c>
      <c r="L78" s="38">
        <f>(IF(B69&gt;3,(I69/(B69+2)+L77),0))</f>
        <v>0</v>
      </c>
    </row>
    <row r="79" spans="1:15" ht="15" customHeight="1" x14ac:dyDescent="0.25">
      <c r="A79" s="82" t="s">
        <v>222</v>
      </c>
      <c r="B79" s="82"/>
      <c r="C79" s="34">
        <v>26</v>
      </c>
      <c r="D79" s="77">
        <f ca="1">((100/I69)*C79)/100</f>
        <v>0.8666666666666667</v>
      </c>
      <c r="E79" s="77"/>
      <c r="F79" s="77"/>
      <c r="G79" s="77"/>
      <c r="H79" s="77"/>
      <c r="I79" s="77"/>
      <c r="J79" s="77"/>
      <c r="K79" s="24" t="s">
        <v>223</v>
      </c>
      <c r="L79" s="37">
        <f>(IF(B69&gt;4,(I69/(B69+2)+L78),0))</f>
        <v>0</v>
      </c>
    </row>
    <row r="80" spans="1:15" ht="15.75" customHeight="1" x14ac:dyDescent="0.25">
      <c r="A80" s="82" t="s">
        <v>224</v>
      </c>
      <c r="B80" s="82" t="s">
        <v>224</v>
      </c>
      <c r="C80" s="34">
        <v>0</v>
      </c>
      <c r="D80" s="77">
        <f ca="1">((100/(I69))*C80)/100</f>
        <v>0</v>
      </c>
      <c r="E80" s="77"/>
      <c r="F80" s="77"/>
      <c r="G80" s="77"/>
      <c r="H80" s="77"/>
      <c r="I80" s="77"/>
      <c r="J80" s="77"/>
      <c r="K80" s="24" t="s">
        <v>225</v>
      </c>
      <c r="L80" s="37">
        <f>(IF(B69=1,(I69/(B69+3)+L75),IF(B69=0,(I69/4+L75),IF(B69&gt;1,0))))</f>
        <v>0</v>
      </c>
    </row>
    <row r="81" spans="1:12" ht="16.5" customHeight="1" thickBot="1" x14ac:dyDescent="0.3">
      <c r="A81" s="96" t="s">
        <v>226</v>
      </c>
      <c r="B81" s="96"/>
      <c r="C81" s="58">
        <v>0</v>
      </c>
      <c r="D81" s="95">
        <f ca="1">((100/(I69))*C81)/100</f>
        <v>0</v>
      </c>
      <c r="E81" s="95"/>
      <c r="F81" s="95"/>
      <c r="G81" s="95"/>
      <c r="H81" s="95"/>
      <c r="I81" s="95"/>
      <c r="J81" s="95"/>
      <c r="K81" s="25" t="s">
        <v>227</v>
      </c>
      <c r="L81" s="39">
        <f ca="1">(IF(B69&gt;1.5,(I69/(B69+2)+L75+MAX(0,L76-L75)+MAX(0,L77-L76)+MAX(0,L78-L77)+MAX(0,L79-L78)+MAX(0,L80-L79)),IF(B69=1,(I69/(B69+3)+L80),IF(B69=0,I69/4+L80))))</f>
        <v>30</v>
      </c>
    </row>
    <row r="82" spans="1:12" ht="15" customHeight="1" x14ac:dyDescent="0.25">
      <c r="A82" s="108" t="s">
        <v>195</v>
      </c>
      <c r="B82" s="109"/>
      <c r="C82" s="110" t="s">
        <v>295</v>
      </c>
      <c r="D82" s="110"/>
      <c r="E82" s="110"/>
      <c r="F82" s="110"/>
      <c r="G82" s="110"/>
      <c r="H82" s="110"/>
      <c r="I82" s="110"/>
      <c r="J82" s="111"/>
      <c r="K82" s="22" t="str">
        <f ca="1">(IF(F86&gt;99%,"All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Excavation work Completed. Plinth work completed, RCC Slab, Brickwork, Internal Plaster, External Plaster, Flooring upto 22 Floor, Painting upto 20 Floor Completed</v>
      </c>
      <c r="L82" s="31"/>
    </row>
    <row r="83" spans="1:12" ht="15.75" x14ac:dyDescent="0.25">
      <c r="A83" s="59" t="s">
        <v>196</v>
      </c>
      <c r="B83" s="27">
        <v>3</v>
      </c>
      <c r="C83" s="27" t="s">
        <v>197</v>
      </c>
      <c r="D83" s="27">
        <v>1</v>
      </c>
      <c r="E83" s="82" t="s">
        <v>198</v>
      </c>
      <c r="F83" s="82"/>
      <c r="G83" s="27">
        <v>0</v>
      </c>
      <c r="H83" s="27" t="s">
        <v>199</v>
      </c>
      <c r="I83" s="82">
        <f ca="1">--TRIM(RIGHT(SUBSTITUTE(LEFT(C82,_xlfn.AGGREGATE(16,6,FIND({0,1,2,3,4,5,6,7,8,9},C82,ROW(INDIRECT("1:"&amp;LEN(C82)))),1))," ",REPT(" ",LEN(C82))),LEN(C82)))</f>
        <v>26</v>
      </c>
      <c r="J83" s="103"/>
      <c r="K83" s="23"/>
      <c r="L83" s="32"/>
    </row>
    <row r="84" spans="1:12" ht="48.75" customHeight="1" x14ac:dyDescent="0.25">
      <c r="A84" s="104" t="s">
        <v>200</v>
      </c>
      <c r="B84" s="85"/>
      <c r="C84" s="98" t="str">
        <f ca="1">K82</f>
        <v>Excavation work Completed. Plinth work completed, RCC Slab, Brickwork, Internal Plaster, External Plaster, Flooring upto 22 Floor, Painting upto 20 Floor Completed</v>
      </c>
      <c r="D84" s="98"/>
      <c r="E84" s="98"/>
      <c r="F84" s="98"/>
      <c r="G84" s="98"/>
      <c r="H84" s="98"/>
      <c r="I84" s="98"/>
      <c r="J84" s="105"/>
      <c r="K84" s="23" t="s">
        <v>201</v>
      </c>
      <c r="L84" s="32"/>
    </row>
    <row r="85" spans="1:12" ht="15.75" customHeight="1" x14ac:dyDescent="0.25">
      <c r="A85" s="75" t="s">
        <v>35</v>
      </c>
      <c r="B85" s="76"/>
      <c r="C85" s="26" t="s">
        <v>202</v>
      </c>
      <c r="D85" s="76" t="s">
        <v>203</v>
      </c>
      <c r="E85" s="76"/>
      <c r="F85" s="76" t="s">
        <v>204</v>
      </c>
      <c r="G85" s="76"/>
      <c r="H85" s="76" t="s">
        <v>205</v>
      </c>
      <c r="I85" s="76"/>
      <c r="J85" s="91"/>
      <c r="K85" s="24" t="s">
        <v>206</v>
      </c>
      <c r="L85" s="33">
        <f ca="1">I83*25%</f>
        <v>6.5</v>
      </c>
    </row>
    <row r="86" spans="1:12" ht="15.75" customHeight="1" x14ac:dyDescent="0.25">
      <c r="A86" s="75" t="s">
        <v>207</v>
      </c>
      <c r="B86" s="76"/>
      <c r="C86" s="34">
        <f ca="1">L87</f>
        <v>26</v>
      </c>
      <c r="D86" s="77">
        <f ca="1">((100/I83)*C86)/100</f>
        <v>1</v>
      </c>
      <c r="E86" s="77"/>
      <c r="F86" s="77">
        <f ca="1">(((C87/I83*10)+(40/(D83+G83+I83)*C88)+(7.5/(I83)*C89)+(7.5/(I83)*C90)+(10/I83*C91)+(10/I83*C92)+(5/I83*C93)+(5/I83*C94)+(5/I83*C95))/100)</f>
        <v>0.87307692307692308</v>
      </c>
      <c r="G86" s="77"/>
      <c r="H86" s="77">
        <f ca="1">((((C86/I83)*20)+((C87/I83)*25)+(30/(I83+G83+D83)*C88)+(5/I83*C89)+(5/I83*C90)+(5/I83*C91)+(5/I83*C92)+(0/I83*C93)+(0/I83*C94)+(5/I83*C95))/100)</f>
        <v>0.94230769230769229</v>
      </c>
      <c r="I86" s="77"/>
      <c r="J86" s="79"/>
      <c r="K86" s="24" t="s">
        <v>208</v>
      </c>
      <c r="L86" s="35">
        <f ca="1">I83*50%</f>
        <v>13</v>
      </c>
    </row>
    <row r="87" spans="1:12" ht="15.75" x14ac:dyDescent="0.25">
      <c r="A87" s="75" t="s">
        <v>36</v>
      </c>
      <c r="B87" s="76"/>
      <c r="C87" s="36">
        <f ca="1">L95</f>
        <v>26.000000000000004</v>
      </c>
      <c r="D87" s="77">
        <f ca="1">((100/I83)*C87)/100</f>
        <v>1.0000000000000002</v>
      </c>
      <c r="E87" s="77"/>
      <c r="F87" s="77"/>
      <c r="G87" s="77"/>
      <c r="H87" s="77"/>
      <c r="I87" s="77"/>
      <c r="J87" s="79"/>
      <c r="K87" s="24" t="s">
        <v>209</v>
      </c>
      <c r="L87" s="35">
        <f ca="1">I83</f>
        <v>26</v>
      </c>
    </row>
    <row r="88" spans="1:12" ht="15.75" x14ac:dyDescent="0.25">
      <c r="A88" s="81" t="s">
        <v>210</v>
      </c>
      <c r="B88" s="82"/>
      <c r="C88" s="36">
        <v>27</v>
      </c>
      <c r="D88" s="77">
        <f ca="1">((100/(D83+G83+I83))*C88)/100</f>
        <v>1</v>
      </c>
      <c r="E88" s="77"/>
      <c r="F88" s="77"/>
      <c r="G88" s="77"/>
      <c r="H88" s="77"/>
      <c r="I88" s="77"/>
      <c r="J88" s="79"/>
      <c r="K88" s="24" t="s">
        <v>211</v>
      </c>
      <c r="L88" s="37">
        <f ca="1">(IF(B83&gt;1,(I83/(B83+2)),I83/4))</f>
        <v>5.2</v>
      </c>
    </row>
    <row r="89" spans="1:12" ht="15.75" customHeight="1" x14ac:dyDescent="0.25">
      <c r="A89" s="81" t="s">
        <v>212</v>
      </c>
      <c r="B89" s="82" t="s">
        <v>213</v>
      </c>
      <c r="C89" s="36">
        <f>C88-1</f>
        <v>26</v>
      </c>
      <c r="D89" s="77">
        <f ca="1">((100/I83)*C89)/100</f>
        <v>1</v>
      </c>
      <c r="E89" s="77"/>
      <c r="F89" s="77"/>
      <c r="G89" s="77"/>
      <c r="H89" s="77"/>
      <c r="I89" s="77"/>
      <c r="J89" s="79"/>
      <c r="K89" s="24" t="s">
        <v>214</v>
      </c>
      <c r="L89" s="37">
        <f ca="1">(IF(B83&gt;1,(I83/(B83+2)+L88),I83/4+L88))</f>
        <v>10.4</v>
      </c>
    </row>
    <row r="90" spans="1:12" ht="15" customHeight="1" x14ac:dyDescent="0.25">
      <c r="A90" s="81" t="s">
        <v>215</v>
      </c>
      <c r="B90" s="82" t="s">
        <v>213</v>
      </c>
      <c r="C90" s="36">
        <v>26</v>
      </c>
      <c r="D90" s="77">
        <f ca="1">((100/I83)*C90)/100</f>
        <v>1</v>
      </c>
      <c r="E90" s="77"/>
      <c r="F90" s="77"/>
      <c r="G90" s="77"/>
      <c r="H90" s="77"/>
      <c r="I90" s="77"/>
      <c r="J90" s="79"/>
      <c r="K90" s="24" t="s">
        <v>216</v>
      </c>
      <c r="L90" s="37">
        <f ca="1">(IF(B83&gt;1,(I83/(B83+2)+L89),0))</f>
        <v>15.600000000000001</v>
      </c>
    </row>
    <row r="91" spans="1:12" ht="15.75" customHeight="1" x14ac:dyDescent="0.25">
      <c r="A91" s="81" t="s">
        <v>217</v>
      </c>
      <c r="B91" s="82" t="s">
        <v>218</v>
      </c>
      <c r="C91" s="36">
        <v>26</v>
      </c>
      <c r="D91" s="77">
        <f ca="1">((100/(I83))*C91)/100</f>
        <v>1</v>
      </c>
      <c r="E91" s="77"/>
      <c r="F91" s="77"/>
      <c r="G91" s="77"/>
      <c r="H91" s="77"/>
      <c r="I91" s="77"/>
      <c r="J91" s="79"/>
      <c r="K91" s="24" t="s">
        <v>219</v>
      </c>
      <c r="L91" s="37">
        <f ca="1">(IF(B83&gt;2,(I83/(B83+2)+L90),0))</f>
        <v>20.8</v>
      </c>
    </row>
    <row r="92" spans="1:12" ht="15.75" customHeight="1" x14ac:dyDescent="0.25">
      <c r="A92" s="81" t="s">
        <v>220</v>
      </c>
      <c r="B92" s="82" t="s">
        <v>220</v>
      </c>
      <c r="C92" s="34">
        <v>22</v>
      </c>
      <c r="D92" s="77">
        <f ca="1">((100/I83)*C92)/100</f>
        <v>0.84615384615384615</v>
      </c>
      <c r="E92" s="77"/>
      <c r="F92" s="77"/>
      <c r="G92" s="77"/>
      <c r="H92" s="77"/>
      <c r="I92" s="77"/>
      <c r="J92" s="79"/>
      <c r="K92" s="24" t="s">
        <v>221</v>
      </c>
      <c r="L92" s="38">
        <f>(IF(B83&gt;3,(I83/(B83+2)+L91),0))</f>
        <v>0</v>
      </c>
    </row>
    <row r="93" spans="1:12" ht="15" customHeight="1" x14ac:dyDescent="0.25">
      <c r="A93" s="81" t="s">
        <v>222</v>
      </c>
      <c r="B93" s="82"/>
      <c r="C93" s="34">
        <v>20</v>
      </c>
      <c r="D93" s="77">
        <f ca="1">((100/I83)*C93)/100</f>
        <v>0.76923076923076916</v>
      </c>
      <c r="E93" s="77"/>
      <c r="F93" s="77"/>
      <c r="G93" s="77"/>
      <c r="H93" s="77"/>
      <c r="I93" s="77"/>
      <c r="J93" s="79"/>
      <c r="K93" s="24" t="s">
        <v>223</v>
      </c>
      <c r="L93" s="37">
        <f>(IF(B83&gt;4,(I83/(B83+2)+L92),0))</f>
        <v>0</v>
      </c>
    </row>
    <row r="94" spans="1:12" ht="15.75" customHeight="1" x14ac:dyDescent="0.25">
      <c r="A94" s="81" t="s">
        <v>224</v>
      </c>
      <c r="B94" s="82" t="s">
        <v>224</v>
      </c>
      <c r="C94" s="34">
        <v>0</v>
      </c>
      <c r="D94" s="77">
        <f ca="1">((100/(I83))*C94)/100</f>
        <v>0</v>
      </c>
      <c r="E94" s="77"/>
      <c r="F94" s="77"/>
      <c r="G94" s="77"/>
      <c r="H94" s="77"/>
      <c r="I94" s="77"/>
      <c r="J94" s="79"/>
      <c r="K94" s="24" t="s">
        <v>225</v>
      </c>
      <c r="L94" s="37">
        <f>(IF(B83=1,(I83/(B83+3)+L89),IF(B83=0,(I83/4+L89),IF(B83&gt;1,0))))</f>
        <v>0</v>
      </c>
    </row>
    <row r="95" spans="1:12" ht="16.5" customHeight="1" thickBot="1" x14ac:dyDescent="0.3">
      <c r="A95" s="83" t="s">
        <v>226</v>
      </c>
      <c r="B95" s="84"/>
      <c r="C95" s="60">
        <v>0</v>
      </c>
      <c r="D95" s="78">
        <f ca="1">((100/(I83))*C95)/100</f>
        <v>0</v>
      </c>
      <c r="E95" s="78"/>
      <c r="F95" s="78"/>
      <c r="G95" s="78"/>
      <c r="H95" s="78"/>
      <c r="I95" s="78"/>
      <c r="J95" s="80"/>
      <c r="K95" s="25" t="s">
        <v>227</v>
      </c>
      <c r="L95" s="39">
        <f ca="1">(IF(B83&gt;1.5,(I83/(B83+2)+L89+MAX(0,L90-L89)+MAX(0,L91-L90)+MAX(0,L92-L91)+MAX(0,L93-L92)+MAX(0,L94-L93)),IF(B83=1,(I83/(B83+3)+L94),IF(B83=0,I83/4+L94))))</f>
        <v>26.000000000000004</v>
      </c>
    </row>
    <row r="96" spans="1:12" x14ac:dyDescent="0.25">
      <c r="A96" s="107" t="s">
        <v>24</v>
      </c>
      <c r="B96" s="107"/>
      <c r="C96" s="107"/>
      <c r="D96" s="107"/>
      <c r="E96" s="107"/>
      <c r="F96" s="107"/>
      <c r="G96" s="107"/>
      <c r="H96" s="107"/>
      <c r="I96" s="107"/>
      <c r="J96" s="107"/>
    </row>
    <row r="97" spans="1:19" x14ac:dyDescent="0.25">
      <c r="A97" s="66" t="s">
        <v>176</v>
      </c>
      <c r="B97" s="106"/>
      <c r="C97" s="106"/>
      <c r="D97" s="106"/>
      <c r="E97" s="106"/>
      <c r="F97" s="106"/>
      <c r="G97" s="102">
        <v>58500</v>
      </c>
      <c r="H97" s="102"/>
      <c r="I97" s="102"/>
      <c r="J97" s="102"/>
      <c r="K97" s="165" t="s">
        <v>304</v>
      </c>
      <c r="L97" s="164"/>
      <c r="M97" s="164"/>
      <c r="N97" s="164"/>
      <c r="O97" s="164"/>
      <c r="P97" s="164"/>
      <c r="Q97" s="164"/>
      <c r="R97" s="164"/>
      <c r="S97" s="164"/>
    </row>
    <row r="98" spans="1:19" x14ac:dyDescent="0.25">
      <c r="A98" s="66" t="s">
        <v>72</v>
      </c>
      <c r="B98" s="106"/>
      <c r="C98" s="106"/>
      <c r="D98" s="106"/>
      <c r="E98" s="106"/>
      <c r="F98" s="106"/>
      <c r="G98" s="68" t="s">
        <v>302</v>
      </c>
      <c r="H98" s="68"/>
      <c r="I98" s="68"/>
      <c r="J98" s="68"/>
      <c r="N98" s="43" t="s">
        <v>231</v>
      </c>
      <c r="O98" s="43" t="s">
        <v>230</v>
      </c>
      <c r="P98" s="43" t="s">
        <v>229</v>
      </c>
      <c r="Q98" s="44">
        <v>44802</v>
      </c>
    </row>
    <row r="99" spans="1:19" x14ac:dyDescent="0.25">
      <c r="A99" s="66" t="s">
        <v>232</v>
      </c>
      <c r="B99" s="66"/>
      <c r="C99" s="66"/>
      <c r="D99" s="66"/>
      <c r="E99" s="66"/>
      <c r="F99" s="66"/>
      <c r="G99" s="74">
        <v>2242000</v>
      </c>
      <c r="H99" s="68"/>
      <c r="I99" s="68"/>
      <c r="J99" s="68"/>
    </row>
    <row r="100" spans="1:19" x14ac:dyDescent="0.25">
      <c r="A100" s="66" t="s">
        <v>233</v>
      </c>
      <c r="B100" s="66"/>
      <c r="C100" s="66"/>
      <c r="D100" s="66"/>
      <c r="E100" s="66"/>
      <c r="F100" s="66"/>
      <c r="G100" s="68">
        <v>600</v>
      </c>
      <c r="H100" s="68"/>
      <c r="I100" s="68"/>
      <c r="J100" s="68"/>
      <c r="L100" s="46">
        <f>G99+G100+G101+G102+G103+G104</f>
        <v>2780100</v>
      </c>
    </row>
    <row r="101" spans="1:19" hidden="1" x14ac:dyDescent="0.25">
      <c r="A101" s="68" t="s">
        <v>234</v>
      </c>
      <c r="B101" s="68"/>
      <c r="C101" s="68"/>
      <c r="D101" s="68"/>
      <c r="E101" s="68"/>
      <c r="F101" s="68"/>
      <c r="G101" s="74">
        <v>30000</v>
      </c>
      <c r="H101" s="68"/>
      <c r="I101" s="68"/>
      <c r="J101" s="68"/>
    </row>
    <row r="102" spans="1:19" x14ac:dyDescent="0.25">
      <c r="A102" s="66" t="s">
        <v>235</v>
      </c>
      <c r="B102" s="66"/>
      <c r="C102" s="66"/>
      <c r="D102" s="66"/>
      <c r="E102" s="66"/>
      <c r="F102" s="66"/>
      <c r="G102" s="74">
        <v>25000</v>
      </c>
      <c r="H102" s="68"/>
      <c r="I102" s="68"/>
      <c r="J102" s="68"/>
    </row>
    <row r="103" spans="1:19" x14ac:dyDescent="0.25">
      <c r="A103" s="68" t="s">
        <v>236</v>
      </c>
      <c r="B103" s="68"/>
      <c r="C103" s="68"/>
      <c r="D103" s="68"/>
      <c r="E103" s="68"/>
      <c r="F103" s="68"/>
      <c r="G103" s="74">
        <v>20000</v>
      </c>
      <c r="H103" s="68"/>
      <c r="I103" s="68"/>
      <c r="J103" s="68"/>
    </row>
    <row r="104" spans="1:19" x14ac:dyDescent="0.25">
      <c r="A104" s="66" t="s">
        <v>237</v>
      </c>
      <c r="B104" s="66"/>
      <c r="C104" s="66"/>
      <c r="D104" s="66"/>
      <c r="E104" s="66"/>
      <c r="F104" s="66"/>
      <c r="G104" s="74">
        <v>462500</v>
      </c>
      <c r="H104" s="68"/>
      <c r="I104" s="68"/>
      <c r="J104" s="68"/>
    </row>
    <row r="105" spans="1:19" x14ac:dyDescent="0.25">
      <c r="A105" s="66" t="s">
        <v>97</v>
      </c>
      <c r="B105" s="106"/>
      <c r="C105" s="106"/>
      <c r="D105" s="106"/>
      <c r="E105" s="106"/>
      <c r="F105" s="106"/>
      <c r="G105" s="68" t="s">
        <v>228</v>
      </c>
      <c r="H105" s="68"/>
      <c r="I105" s="68"/>
      <c r="J105" s="68"/>
    </row>
    <row r="106" spans="1:19" ht="15" hidden="1" customHeight="1" x14ac:dyDescent="0.25">
      <c r="A106" s="66" t="s">
        <v>73</v>
      </c>
      <c r="B106" s="66"/>
      <c r="C106" s="66"/>
      <c r="D106" s="66"/>
      <c r="E106" s="66"/>
      <c r="F106" s="66"/>
      <c r="G106" s="68" t="s">
        <v>50</v>
      </c>
      <c r="H106" s="68"/>
      <c r="I106" s="68"/>
      <c r="J106" s="68"/>
    </row>
    <row r="107" spans="1:19" hidden="1" x14ac:dyDescent="0.25">
      <c r="A107" s="66" t="s">
        <v>25</v>
      </c>
      <c r="B107" s="66"/>
      <c r="C107" s="66"/>
      <c r="D107" s="66"/>
      <c r="E107" s="66"/>
      <c r="F107" s="66"/>
      <c r="G107" s="68" t="s">
        <v>50</v>
      </c>
      <c r="H107" s="68"/>
      <c r="I107" s="68"/>
      <c r="J107" s="68"/>
    </row>
    <row r="108" spans="1:19" s="40" customFormat="1" ht="14.65" customHeight="1" x14ac:dyDescent="0.25">
      <c r="A108" s="102" t="s">
        <v>106</v>
      </c>
      <c r="B108" s="122"/>
      <c r="C108" s="122"/>
      <c r="D108" s="122"/>
      <c r="E108" s="122"/>
      <c r="F108" s="122"/>
      <c r="G108" s="66">
        <f>G97*0.8</f>
        <v>46800</v>
      </c>
      <c r="H108" s="66"/>
      <c r="I108" s="66"/>
      <c r="J108" s="66"/>
    </row>
    <row r="109" spans="1:19" s="40" customFormat="1" x14ac:dyDescent="0.25">
      <c r="A109" s="127" t="s">
        <v>250</v>
      </c>
      <c r="B109" s="128"/>
      <c r="C109" s="128"/>
      <c r="D109" s="128"/>
      <c r="E109" s="128"/>
      <c r="F109" s="128"/>
      <c r="G109" s="128"/>
      <c r="H109" s="128"/>
      <c r="I109" s="128"/>
      <c r="J109" s="129"/>
    </row>
    <row r="110" spans="1:19" s="40" customFormat="1" ht="18.75" customHeight="1" x14ac:dyDescent="0.25">
      <c r="A110" s="127" t="s">
        <v>251</v>
      </c>
      <c r="B110" s="129"/>
      <c r="C110" s="127" t="s">
        <v>254</v>
      </c>
      <c r="D110" s="129"/>
      <c r="E110" s="127" t="s">
        <v>252</v>
      </c>
      <c r="F110" s="128"/>
      <c r="G110" s="129"/>
      <c r="H110" s="127" t="s">
        <v>253</v>
      </c>
      <c r="I110" s="128"/>
      <c r="J110" s="129"/>
    </row>
    <row r="111" spans="1:19" s="40" customFormat="1" ht="18.75" customHeight="1" x14ac:dyDescent="0.25">
      <c r="A111" s="141" t="s">
        <v>255</v>
      </c>
      <c r="B111" s="142"/>
      <c r="C111" s="141">
        <f>COUNT(D123:E126)+COUNT(D128:E131)*23+COUNT(D133,D135:E136)*2+COUNT(D139,D141:E142)*1+COUNT(D144:E147)*1+COUNT(D149:E152)*1+COUNT(D154:E157)*1</f>
        <v>117</v>
      </c>
      <c r="D111" s="142"/>
      <c r="E111" s="143">
        <f>SUM(D123:E126)+SUM(D128:E131)*23+SUM(D133,D135:E136)*2+SUM(D139,D141:E142)*1+SUM(D144:E147)*1+SUM(D149:E152)*1+SUM(D154:E157)*1</f>
        <v>122249.65427999996</v>
      </c>
      <c r="F111" s="144"/>
      <c r="G111" s="145"/>
      <c r="H111" s="143">
        <f>SUM(G123:G126)+SUM(G128:G131)*23+SUM(G133,G135:G136)*2+SUM(G139,G141:G142)*1+SUM(G144:G147)*1+SUM(G149:G152)*1+SUM(G154:G157)*1</f>
        <v>177261.99870599998</v>
      </c>
      <c r="I111" s="144"/>
      <c r="J111" s="145"/>
    </row>
    <row r="112" spans="1:19" s="40" customFormat="1" ht="18.75" customHeight="1" x14ac:dyDescent="0.25">
      <c r="A112" s="141" t="s">
        <v>256</v>
      </c>
      <c r="B112" s="142"/>
      <c r="C112" s="141">
        <f>COUNT(D162:E164)+COUNT(D166:E170)*23+COUNT(D173:E176)*2+COUNT(D180:E183)+COUNT(D185:E189)+COUNT(D191:E195)+COUNT(D197:E201)</f>
        <v>145</v>
      </c>
      <c r="D112" s="142"/>
      <c r="E112" s="143">
        <f>SUM(D162:E164)+SUM(D166:E170)*23+SUM(D173:E176)*2+SUM(D180:E183)+SUM(D185:E189)+SUM(D191:E195)+SUM(D197:E201)</f>
        <v>172480.708386324</v>
      </c>
      <c r="F112" s="144"/>
      <c r="G112" s="145"/>
      <c r="H112" s="143">
        <f>SUM(G162:G164)+SUM(G166:G170)*23+SUM(G173:G176)*2+SUM(G180:G183)+SUM(G185:G189)+SUM(G191:G195)+SUM(G197:G201)</f>
        <v>250097.02716016976</v>
      </c>
      <c r="I112" s="144"/>
      <c r="J112" s="145"/>
    </row>
    <row r="113" spans="1:11" s="40" customFormat="1" ht="18.75" customHeight="1" x14ac:dyDescent="0.25">
      <c r="A113" s="141" t="s">
        <v>257</v>
      </c>
      <c r="B113" s="142"/>
      <c r="C113" s="141">
        <f>COUNT(D204:E207)+COUNT(D209:E212)*22</f>
        <v>92</v>
      </c>
      <c r="D113" s="142"/>
      <c r="E113" s="143">
        <f>SUM(D204:E207)+SUM(D209:E212)*22</f>
        <v>148587.44854355996</v>
      </c>
      <c r="F113" s="144"/>
      <c r="G113" s="145"/>
      <c r="H113" s="143">
        <f>SUM(G204:G207)+SUM(G209:G212)*22</f>
        <v>215451.80038816197</v>
      </c>
      <c r="I113" s="144"/>
      <c r="J113" s="145"/>
    </row>
    <row r="114" spans="1:11" s="40" customFormat="1" ht="18.75" customHeight="1" x14ac:dyDescent="0.25">
      <c r="A114" s="127" t="s">
        <v>94</v>
      </c>
      <c r="B114" s="129"/>
      <c r="C114" s="127">
        <f>SUM(C111:D113)</f>
        <v>354</v>
      </c>
      <c r="D114" s="129"/>
      <c r="E114" s="153">
        <f>SUM(E111:G113)</f>
        <v>443317.81120988389</v>
      </c>
      <c r="F114" s="128"/>
      <c r="G114" s="129"/>
      <c r="H114" s="153">
        <f>SUM(H111:J113)</f>
        <v>642810.82625433174</v>
      </c>
      <c r="I114" s="128"/>
      <c r="J114" s="129"/>
    </row>
    <row r="115" spans="1:11" s="40" customFormat="1" ht="21" customHeight="1" x14ac:dyDescent="0.25">
      <c r="A115" s="123" t="s">
        <v>107</v>
      </c>
      <c r="B115" s="123"/>
      <c r="C115" s="123"/>
      <c r="D115" s="123"/>
      <c r="E115" s="123"/>
      <c r="F115" s="123"/>
      <c r="G115" s="123"/>
      <c r="H115" s="123"/>
      <c r="I115" s="123"/>
      <c r="J115" s="123"/>
    </row>
    <row r="116" spans="1:11" x14ac:dyDescent="0.25">
      <c r="A116" s="87" t="s">
        <v>47</v>
      </c>
      <c r="B116" s="87"/>
      <c r="C116" s="87"/>
      <c r="D116" s="87"/>
      <c r="E116" s="87"/>
      <c r="F116" s="87"/>
      <c r="G116" s="87"/>
      <c r="H116" s="87"/>
      <c r="I116" s="87"/>
      <c r="J116" s="87"/>
    </row>
    <row r="117" spans="1:11" ht="38.25" x14ac:dyDescent="0.25">
      <c r="A117" s="125" t="s">
        <v>33</v>
      </c>
      <c r="B117" s="125"/>
      <c r="C117" s="29" t="s">
        <v>30</v>
      </c>
      <c r="D117" s="140" t="s">
        <v>75</v>
      </c>
      <c r="E117" s="140"/>
      <c r="F117" s="6" t="s">
        <v>31</v>
      </c>
      <c r="G117" s="29" t="s">
        <v>180</v>
      </c>
      <c r="H117" s="29" t="s">
        <v>32</v>
      </c>
      <c r="I117" s="125" t="s">
        <v>108</v>
      </c>
      <c r="J117" s="125"/>
    </row>
    <row r="118" spans="1:11" ht="15.75" x14ac:dyDescent="0.25">
      <c r="A118" s="146" t="s">
        <v>292</v>
      </c>
      <c r="B118" s="146"/>
      <c r="C118" s="146"/>
      <c r="D118" s="146"/>
      <c r="E118" s="146"/>
      <c r="F118" s="146"/>
      <c r="G118" s="146"/>
      <c r="H118" s="146"/>
      <c r="I118" s="146"/>
      <c r="J118" s="146"/>
    </row>
    <row r="119" spans="1:11" ht="15.75" x14ac:dyDescent="0.25">
      <c r="A119" s="125" t="s">
        <v>132</v>
      </c>
      <c r="B119" s="125"/>
      <c r="C119" s="125"/>
      <c r="D119" s="125"/>
      <c r="E119" s="125"/>
      <c r="F119" s="125"/>
      <c r="G119" s="125"/>
      <c r="H119" s="125"/>
      <c r="I119" s="125"/>
      <c r="J119" s="125"/>
    </row>
    <row r="120" spans="1:11" ht="15.75" x14ac:dyDescent="0.25">
      <c r="A120" s="69" t="s">
        <v>130</v>
      </c>
      <c r="B120" s="69"/>
      <c r="C120" s="69"/>
      <c r="D120" s="69"/>
      <c r="E120" s="69"/>
      <c r="F120" s="69"/>
      <c r="G120" s="69"/>
      <c r="H120" s="69"/>
      <c r="I120" s="69"/>
      <c r="J120" s="69"/>
    </row>
    <row r="121" spans="1:11" ht="15.75" x14ac:dyDescent="0.25">
      <c r="A121" s="147" t="s">
        <v>136</v>
      </c>
      <c r="B121" s="147"/>
      <c r="C121" s="147"/>
      <c r="D121" s="147"/>
      <c r="E121" s="147"/>
      <c r="F121" s="147"/>
      <c r="G121" s="147"/>
      <c r="H121" s="147"/>
      <c r="I121" s="147"/>
      <c r="J121" s="147"/>
    </row>
    <row r="122" spans="1:11" ht="15.75" x14ac:dyDescent="0.25">
      <c r="A122" s="69" t="s">
        <v>133</v>
      </c>
      <c r="B122" s="69"/>
      <c r="C122" s="69"/>
      <c r="D122" s="69"/>
      <c r="E122" s="69"/>
      <c r="F122" s="69"/>
      <c r="G122" s="69"/>
      <c r="H122" s="69"/>
      <c r="I122" s="69"/>
      <c r="J122" s="69"/>
      <c r="K122">
        <v>1</v>
      </c>
    </row>
    <row r="123" spans="1:11" ht="15.75" x14ac:dyDescent="0.25">
      <c r="A123" s="70">
        <v>1</v>
      </c>
      <c r="B123" s="70"/>
      <c r="C123" s="30" t="s">
        <v>134</v>
      </c>
      <c r="D123" s="70">
        <f>100.898*10.764</f>
        <v>1086.0660719999998</v>
      </c>
      <c r="E123" s="70"/>
      <c r="F123" s="30">
        <v>0</v>
      </c>
      <c r="G123" s="30">
        <f>D123*1.45+F123</f>
        <v>1574.7958043999997</v>
      </c>
      <c r="H123" s="30" t="s">
        <v>50</v>
      </c>
      <c r="I123" s="70" t="str">
        <f>A122</f>
        <v>1st Floor</v>
      </c>
      <c r="J123" s="70"/>
    </row>
    <row r="124" spans="1:11" ht="15.75" x14ac:dyDescent="0.25">
      <c r="A124" s="70">
        <v>2</v>
      </c>
      <c r="B124" s="70"/>
      <c r="C124" s="30" t="s">
        <v>134</v>
      </c>
      <c r="D124" s="70">
        <f>94.39*10.764</f>
        <v>1016.01396</v>
      </c>
      <c r="E124" s="70"/>
      <c r="F124" s="30">
        <v>0</v>
      </c>
      <c r="G124" s="30">
        <f>D124*1.45+F124</f>
        <v>1473.2202419999999</v>
      </c>
      <c r="H124" s="30" t="s">
        <v>50</v>
      </c>
      <c r="I124" s="70"/>
      <c r="J124" s="70"/>
    </row>
    <row r="125" spans="1:11" ht="15.75" x14ac:dyDescent="0.25">
      <c r="A125" s="70">
        <v>3</v>
      </c>
      <c r="B125" s="70"/>
      <c r="C125" s="30" t="s">
        <v>135</v>
      </c>
      <c r="D125" s="70">
        <f>97.776*10.764</f>
        <v>1052.4608639999999</v>
      </c>
      <c r="E125" s="70"/>
      <c r="F125" s="30">
        <v>0</v>
      </c>
      <c r="G125" s="30">
        <f>D125*1.45+F125</f>
        <v>1526.0682527999998</v>
      </c>
      <c r="H125" s="30" t="s">
        <v>50</v>
      </c>
      <c r="I125" s="70"/>
      <c r="J125" s="70"/>
    </row>
    <row r="126" spans="1:11" ht="15.75" x14ac:dyDescent="0.25">
      <c r="A126" s="70">
        <v>4</v>
      </c>
      <c r="B126" s="70"/>
      <c r="C126" s="30" t="s">
        <v>135</v>
      </c>
      <c r="D126" s="70">
        <f>81.205*10.764</f>
        <v>874.09061999999994</v>
      </c>
      <c r="E126" s="70"/>
      <c r="F126" s="30">
        <v>0</v>
      </c>
      <c r="G126" s="30">
        <f>D126*1.45+F126</f>
        <v>1267.4313989999998</v>
      </c>
      <c r="H126" s="30" t="s">
        <v>50</v>
      </c>
      <c r="I126" s="70"/>
      <c r="J126" s="70"/>
    </row>
    <row r="127" spans="1:11" ht="15.75" x14ac:dyDescent="0.25">
      <c r="A127" s="69" t="s">
        <v>140</v>
      </c>
      <c r="B127" s="69"/>
      <c r="C127" s="69"/>
      <c r="D127" s="69"/>
      <c r="E127" s="69"/>
      <c r="F127" s="69"/>
      <c r="G127" s="69"/>
      <c r="H127" s="69"/>
      <c r="I127" s="69"/>
      <c r="J127" s="69"/>
      <c r="K127">
        <f>6+6+6+5</f>
        <v>23</v>
      </c>
    </row>
    <row r="128" spans="1:11" ht="15.75" customHeight="1" x14ac:dyDescent="0.25">
      <c r="A128" s="70">
        <v>1</v>
      </c>
      <c r="B128" s="70"/>
      <c r="C128" s="30" t="s">
        <v>134</v>
      </c>
      <c r="D128" s="70">
        <f>97.625*10.764</f>
        <v>1050.8354999999999</v>
      </c>
      <c r="E128" s="70"/>
      <c r="F128" s="30">
        <v>0</v>
      </c>
      <c r="G128" s="30">
        <f>D128*1.45+F128</f>
        <v>1523.7114749999998</v>
      </c>
      <c r="H128" s="30" t="s">
        <v>50</v>
      </c>
      <c r="I128" s="70" t="str">
        <f>A127</f>
        <v>2nd to 7th, 9th to 14th, 16th to 21st &amp; 23rd to 27th Floor</v>
      </c>
      <c r="J128" s="70"/>
    </row>
    <row r="129" spans="1:11" ht="15.75" x14ac:dyDescent="0.25">
      <c r="A129" s="70">
        <v>2</v>
      </c>
      <c r="B129" s="70"/>
      <c r="C129" s="30" t="s">
        <v>134</v>
      </c>
      <c r="D129" s="70">
        <f>97.776*10.764</f>
        <v>1052.4608639999999</v>
      </c>
      <c r="E129" s="70"/>
      <c r="F129" s="30">
        <v>0</v>
      </c>
      <c r="G129" s="30">
        <f>D129*1.45+F129</f>
        <v>1526.0682527999998</v>
      </c>
      <c r="H129" s="30" t="s">
        <v>50</v>
      </c>
      <c r="I129" s="70"/>
      <c r="J129" s="70"/>
    </row>
    <row r="130" spans="1:11" ht="15.75" x14ac:dyDescent="0.25">
      <c r="A130" s="70">
        <v>3</v>
      </c>
      <c r="B130" s="70"/>
      <c r="C130" s="30" t="s">
        <v>134</v>
      </c>
      <c r="D130" s="70">
        <f>97.776*10.764</f>
        <v>1052.4608639999999</v>
      </c>
      <c r="E130" s="70"/>
      <c r="F130" s="30">
        <v>0</v>
      </c>
      <c r="G130" s="30">
        <f>D130*1.45+F130</f>
        <v>1526.0682527999998</v>
      </c>
      <c r="H130" s="30" t="s">
        <v>50</v>
      </c>
      <c r="I130" s="70"/>
      <c r="J130" s="70"/>
    </row>
    <row r="131" spans="1:11" ht="15.75" x14ac:dyDescent="0.25">
      <c r="A131" s="70">
        <v>4</v>
      </c>
      <c r="B131" s="70"/>
      <c r="C131" s="30" t="s">
        <v>134</v>
      </c>
      <c r="D131" s="70">
        <f>97.625*10.764</f>
        <v>1050.8354999999999</v>
      </c>
      <c r="E131" s="70"/>
      <c r="F131" s="30">
        <v>0</v>
      </c>
      <c r="G131" s="30">
        <f>D131*1.45+F131</f>
        <v>1523.7114749999998</v>
      </c>
      <c r="H131" s="30" t="s">
        <v>50</v>
      </c>
      <c r="I131" s="70"/>
      <c r="J131" s="70"/>
    </row>
    <row r="132" spans="1:11" ht="15.75" x14ac:dyDescent="0.25">
      <c r="A132" s="69" t="s">
        <v>142</v>
      </c>
      <c r="B132" s="69"/>
      <c r="C132" s="69"/>
      <c r="D132" s="69"/>
      <c r="E132" s="69"/>
      <c r="F132" s="69"/>
      <c r="G132" s="69"/>
      <c r="H132" s="69"/>
      <c r="I132" s="69"/>
      <c r="J132" s="69"/>
      <c r="K132">
        <v>2</v>
      </c>
    </row>
    <row r="133" spans="1:11" ht="15.75" customHeight="1" x14ac:dyDescent="0.25">
      <c r="A133" s="70">
        <v>1</v>
      </c>
      <c r="B133" s="70"/>
      <c r="C133" s="30" t="s">
        <v>135</v>
      </c>
      <c r="D133" s="70">
        <f>81.205*10.764</f>
        <v>874.09061999999994</v>
      </c>
      <c r="E133" s="70"/>
      <c r="F133" s="30">
        <v>0</v>
      </c>
      <c r="G133" s="30">
        <f>D133*1.45+F133</f>
        <v>1267.4313989999998</v>
      </c>
      <c r="H133" s="30" t="s">
        <v>50</v>
      </c>
      <c r="I133" s="70" t="str">
        <f>A132</f>
        <v>8th &amp; 15th Floor</v>
      </c>
      <c r="J133" s="70"/>
    </row>
    <row r="134" spans="1:11" ht="15.75" x14ac:dyDescent="0.25">
      <c r="A134" s="70">
        <v>2</v>
      </c>
      <c r="B134" s="70"/>
      <c r="C134" s="69" t="s">
        <v>143</v>
      </c>
      <c r="D134" s="69"/>
      <c r="E134" s="69"/>
      <c r="F134" s="69"/>
      <c r="G134" s="69"/>
      <c r="H134" s="69"/>
      <c r="I134" s="70"/>
      <c r="J134" s="70"/>
    </row>
    <row r="135" spans="1:11" ht="15.75" x14ac:dyDescent="0.25">
      <c r="A135" s="70">
        <v>3</v>
      </c>
      <c r="B135" s="70"/>
      <c r="C135" s="30" t="s">
        <v>134</v>
      </c>
      <c r="D135" s="70">
        <f>97.776*10.764</f>
        <v>1052.4608639999999</v>
      </c>
      <c r="E135" s="70"/>
      <c r="F135" s="30">
        <v>0</v>
      </c>
      <c r="G135" s="30">
        <f>D135*1.45+F135</f>
        <v>1526.0682527999998</v>
      </c>
      <c r="H135" s="30" t="s">
        <v>50</v>
      </c>
      <c r="I135" s="70"/>
      <c r="J135" s="70"/>
    </row>
    <row r="136" spans="1:11" ht="15.75" x14ac:dyDescent="0.25">
      <c r="A136" s="70">
        <v>4</v>
      </c>
      <c r="B136" s="70"/>
      <c r="C136" s="30" t="s">
        <v>134</v>
      </c>
      <c r="D136" s="70">
        <f>97.625*10.764</f>
        <v>1050.8354999999999</v>
      </c>
      <c r="E136" s="70"/>
      <c r="F136" s="30">
        <v>0</v>
      </c>
      <c r="G136" s="30">
        <f>D136*1.45+F136</f>
        <v>1523.7114749999998</v>
      </c>
      <c r="H136" s="30" t="s">
        <v>50</v>
      </c>
      <c r="I136" s="70"/>
      <c r="J136" s="70"/>
    </row>
    <row r="137" spans="1:11" ht="15.75" x14ac:dyDescent="0.25">
      <c r="A137" s="69" t="s">
        <v>148</v>
      </c>
      <c r="B137" s="69"/>
      <c r="C137" s="69"/>
      <c r="D137" s="69"/>
      <c r="E137" s="69"/>
      <c r="F137" s="69"/>
      <c r="G137" s="69"/>
      <c r="H137" s="69"/>
      <c r="I137" s="69"/>
      <c r="J137" s="69"/>
    </row>
    <row r="138" spans="1:11" ht="15.75" x14ac:dyDescent="0.25">
      <c r="A138" s="69" t="s">
        <v>144</v>
      </c>
      <c r="B138" s="69"/>
      <c r="C138" s="69"/>
      <c r="D138" s="69"/>
      <c r="E138" s="69"/>
      <c r="F138" s="69"/>
      <c r="G138" s="69"/>
      <c r="H138" s="69"/>
      <c r="I138" s="69"/>
      <c r="J138" s="69"/>
      <c r="K138">
        <v>1</v>
      </c>
    </row>
    <row r="139" spans="1:11" ht="15.75" x14ac:dyDescent="0.25">
      <c r="A139" s="70">
        <v>1</v>
      </c>
      <c r="B139" s="70"/>
      <c r="C139" s="30" t="s">
        <v>135</v>
      </c>
      <c r="D139" s="70">
        <f>81.205*10.764</f>
        <v>874.09061999999994</v>
      </c>
      <c r="E139" s="70"/>
      <c r="F139" s="30">
        <v>0</v>
      </c>
      <c r="G139" s="30">
        <f>D139*1.45+F139</f>
        <v>1267.4313989999998</v>
      </c>
      <c r="H139" s="30" t="s">
        <v>50</v>
      </c>
      <c r="I139" s="70" t="str">
        <f>A138</f>
        <v>22nd Floor</v>
      </c>
      <c r="J139" s="70"/>
    </row>
    <row r="140" spans="1:11" ht="15.75" x14ac:dyDescent="0.25">
      <c r="A140" s="70">
        <v>2</v>
      </c>
      <c r="B140" s="70"/>
      <c r="C140" s="69" t="s">
        <v>143</v>
      </c>
      <c r="D140" s="69"/>
      <c r="E140" s="69"/>
      <c r="F140" s="69"/>
      <c r="G140" s="69"/>
      <c r="H140" s="69"/>
      <c r="I140" s="70"/>
      <c r="J140" s="70"/>
    </row>
    <row r="141" spans="1:11" ht="15.75" x14ac:dyDescent="0.25">
      <c r="A141" s="70">
        <v>3</v>
      </c>
      <c r="B141" s="70"/>
      <c r="C141" s="30" t="s">
        <v>134</v>
      </c>
      <c r="D141" s="70">
        <f>97.776*10.764</f>
        <v>1052.4608639999999</v>
      </c>
      <c r="E141" s="70"/>
      <c r="F141" s="30">
        <v>0</v>
      </c>
      <c r="G141" s="30">
        <f>D141*1.45+F141</f>
        <v>1526.0682527999998</v>
      </c>
      <c r="H141" s="30" t="s">
        <v>50</v>
      </c>
      <c r="I141" s="70"/>
      <c r="J141" s="70"/>
    </row>
    <row r="142" spans="1:11" ht="15.75" x14ac:dyDescent="0.25">
      <c r="A142" s="70">
        <v>4</v>
      </c>
      <c r="B142" s="70"/>
      <c r="C142" s="30" t="s">
        <v>134</v>
      </c>
      <c r="D142" s="70">
        <f>97.625*10.764</f>
        <v>1050.8354999999999</v>
      </c>
      <c r="E142" s="70"/>
      <c r="F142" s="30">
        <v>0</v>
      </c>
      <c r="G142" s="30">
        <f>D142*1.45+F142</f>
        <v>1523.7114749999998</v>
      </c>
      <c r="H142" s="30" t="s">
        <v>50</v>
      </c>
      <c r="I142" s="70"/>
      <c r="J142" s="70"/>
    </row>
    <row r="143" spans="1:11" ht="15.75" x14ac:dyDescent="0.25">
      <c r="A143" s="69" t="s">
        <v>145</v>
      </c>
      <c r="B143" s="69"/>
      <c r="C143" s="69"/>
      <c r="D143" s="69"/>
      <c r="E143" s="69"/>
      <c r="F143" s="69"/>
      <c r="G143" s="69"/>
      <c r="H143" s="69"/>
      <c r="I143" s="69"/>
      <c r="J143" s="69"/>
      <c r="K143">
        <v>1</v>
      </c>
    </row>
    <row r="144" spans="1:11" ht="15.75" x14ac:dyDescent="0.25">
      <c r="A144" s="70">
        <v>1</v>
      </c>
      <c r="B144" s="70"/>
      <c r="C144" s="30" t="s">
        <v>134</v>
      </c>
      <c r="D144" s="70">
        <f>100.243*10.764</f>
        <v>1079.0156519999998</v>
      </c>
      <c r="E144" s="70"/>
      <c r="F144" s="30">
        <v>0</v>
      </c>
      <c r="G144" s="30">
        <f>D144*1.45+F144</f>
        <v>1564.5726953999997</v>
      </c>
      <c r="H144" s="30" t="s">
        <v>50</v>
      </c>
      <c r="I144" s="70" t="str">
        <f>A143</f>
        <v>28th Floor</v>
      </c>
      <c r="J144" s="70"/>
    </row>
    <row r="145" spans="1:18" ht="15.75" x14ac:dyDescent="0.25">
      <c r="A145" s="70">
        <v>2</v>
      </c>
      <c r="B145" s="70"/>
      <c r="C145" s="30" t="s">
        <v>134</v>
      </c>
      <c r="D145" s="70">
        <f>100.394*10.764</f>
        <v>1080.641016</v>
      </c>
      <c r="E145" s="70"/>
      <c r="F145" s="30">
        <v>0</v>
      </c>
      <c r="G145" s="30">
        <f>D145*1.45+F145</f>
        <v>1566.9294732000001</v>
      </c>
      <c r="H145" s="30" t="s">
        <v>50</v>
      </c>
      <c r="I145" s="70"/>
      <c r="J145" s="70"/>
    </row>
    <row r="146" spans="1:18" ht="15.75" x14ac:dyDescent="0.25">
      <c r="A146" s="70">
        <v>3</v>
      </c>
      <c r="B146" s="70"/>
      <c r="C146" s="30" t="s">
        <v>134</v>
      </c>
      <c r="D146" s="70">
        <f>100.394*10.764</f>
        <v>1080.641016</v>
      </c>
      <c r="E146" s="70"/>
      <c r="F146" s="30">
        <v>0</v>
      </c>
      <c r="G146" s="30">
        <f>D146*1.45+F146</f>
        <v>1566.9294732000001</v>
      </c>
      <c r="H146" s="30" t="s">
        <v>50</v>
      </c>
      <c r="I146" s="70"/>
      <c r="J146" s="70"/>
    </row>
    <row r="147" spans="1:18" ht="15.75" x14ac:dyDescent="0.25">
      <c r="A147" s="70">
        <v>4</v>
      </c>
      <c r="B147" s="70"/>
      <c r="C147" s="30" t="s">
        <v>134</v>
      </c>
      <c r="D147" s="70">
        <f>100.243*10.764</f>
        <v>1079.0156519999998</v>
      </c>
      <c r="E147" s="70"/>
      <c r="F147" s="30">
        <v>0</v>
      </c>
      <c r="G147" s="30">
        <f>D147*1.45+F147</f>
        <v>1564.5726953999997</v>
      </c>
      <c r="H147" s="30" t="s">
        <v>50</v>
      </c>
      <c r="I147" s="70"/>
      <c r="J147" s="70"/>
    </row>
    <row r="148" spans="1:18" ht="15.75" x14ac:dyDescent="0.25">
      <c r="A148" s="69" t="s">
        <v>146</v>
      </c>
      <c r="B148" s="69"/>
      <c r="C148" s="69"/>
      <c r="D148" s="69"/>
      <c r="E148" s="69"/>
      <c r="F148" s="69"/>
      <c r="G148" s="69"/>
      <c r="H148" s="69"/>
      <c r="I148" s="69"/>
      <c r="J148" s="69"/>
      <c r="K148">
        <v>1</v>
      </c>
    </row>
    <row r="149" spans="1:18" ht="15.75" x14ac:dyDescent="0.25">
      <c r="A149" s="70">
        <v>1</v>
      </c>
      <c r="B149" s="70"/>
      <c r="C149" s="30" t="s">
        <v>134</v>
      </c>
      <c r="D149" s="70">
        <f>100.243*10.764</f>
        <v>1079.0156519999998</v>
      </c>
      <c r="E149" s="70"/>
      <c r="F149" s="30">
        <v>0</v>
      </c>
      <c r="G149" s="30">
        <f>D149*1.45+F149</f>
        <v>1564.5726953999997</v>
      </c>
      <c r="H149" s="30" t="s">
        <v>50</v>
      </c>
      <c r="I149" s="70" t="str">
        <f>A148</f>
        <v>29th Floor</v>
      </c>
      <c r="J149" s="70"/>
    </row>
    <row r="150" spans="1:18" ht="15.75" x14ac:dyDescent="0.25">
      <c r="A150" s="70">
        <v>2</v>
      </c>
      <c r="B150" s="70"/>
      <c r="C150" s="30" t="s">
        <v>135</v>
      </c>
      <c r="D150" s="70">
        <f>80.776*10.764</f>
        <v>869.47286399999996</v>
      </c>
      <c r="E150" s="70"/>
      <c r="F150" s="30">
        <v>0</v>
      </c>
      <c r="G150" s="30">
        <f>D150*1.45+F150</f>
        <v>1260.7356527999998</v>
      </c>
      <c r="H150" s="30" t="s">
        <v>50</v>
      </c>
      <c r="I150" s="70"/>
      <c r="J150" s="70"/>
    </row>
    <row r="151" spans="1:18" ht="15.75" x14ac:dyDescent="0.25">
      <c r="A151" s="70">
        <v>3</v>
      </c>
      <c r="B151" s="70"/>
      <c r="C151" s="30" t="s">
        <v>134</v>
      </c>
      <c r="D151" s="70">
        <f>100.394*10.764</f>
        <v>1080.641016</v>
      </c>
      <c r="E151" s="70"/>
      <c r="F151" s="30">
        <v>0</v>
      </c>
      <c r="G151" s="30">
        <f>D151*1.45+F151</f>
        <v>1566.9294732000001</v>
      </c>
      <c r="H151" s="30" t="s">
        <v>50</v>
      </c>
      <c r="I151" s="70"/>
      <c r="J151" s="70"/>
    </row>
    <row r="152" spans="1:18" ht="15.75" x14ac:dyDescent="0.25">
      <c r="A152" s="70">
        <v>4</v>
      </c>
      <c r="B152" s="70"/>
      <c r="C152" s="30" t="s">
        <v>134</v>
      </c>
      <c r="D152" s="70">
        <f>100.243*10.764</f>
        <v>1079.0156519999998</v>
      </c>
      <c r="E152" s="70"/>
      <c r="F152" s="30">
        <v>0</v>
      </c>
      <c r="G152" s="30">
        <f>D152*1.45+F152</f>
        <v>1564.5726953999997</v>
      </c>
      <c r="H152" s="30" t="s">
        <v>50</v>
      </c>
      <c r="I152" s="70"/>
      <c r="J152" s="70"/>
    </row>
    <row r="153" spans="1:18" ht="15.75" x14ac:dyDescent="0.25">
      <c r="A153" s="69" t="s">
        <v>147</v>
      </c>
      <c r="B153" s="69"/>
      <c r="C153" s="69"/>
      <c r="D153" s="69"/>
      <c r="E153" s="69"/>
      <c r="F153" s="69"/>
      <c r="G153" s="69"/>
      <c r="H153" s="69"/>
      <c r="I153" s="69"/>
      <c r="J153" s="69"/>
      <c r="K153">
        <v>1</v>
      </c>
    </row>
    <row r="154" spans="1:18" ht="15.75" x14ac:dyDescent="0.25">
      <c r="A154" s="70">
        <v>1</v>
      </c>
      <c r="B154" s="70"/>
      <c r="C154" s="30" t="s">
        <v>134</v>
      </c>
      <c r="D154" s="70">
        <f>100.243*10.764</f>
        <v>1079.0156519999998</v>
      </c>
      <c r="E154" s="70"/>
      <c r="F154" s="30">
        <v>0</v>
      </c>
      <c r="G154" s="30">
        <f>D154*1.45+F154</f>
        <v>1564.5726953999997</v>
      </c>
      <c r="H154" s="30" t="s">
        <v>50</v>
      </c>
      <c r="I154" s="70" t="str">
        <f>A153</f>
        <v>30th Floor</v>
      </c>
      <c r="J154" s="70"/>
    </row>
    <row r="155" spans="1:18" ht="15.75" x14ac:dyDescent="0.25">
      <c r="A155" s="70">
        <v>2</v>
      </c>
      <c r="B155" s="70"/>
      <c r="C155" s="30" t="s">
        <v>135</v>
      </c>
      <c r="D155" s="70">
        <f>80.776*10.764</f>
        <v>869.47286399999996</v>
      </c>
      <c r="E155" s="70"/>
      <c r="F155" s="30">
        <v>0</v>
      </c>
      <c r="G155" s="30">
        <f>D155*1.45+F155</f>
        <v>1260.7356527999998</v>
      </c>
      <c r="H155" s="30" t="s">
        <v>50</v>
      </c>
      <c r="I155" s="70"/>
      <c r="J155" s="70"/>
    </row>
    <row r="156" spans="1:18" ht="15.75" x14ac:dyDescent="0.25">
      <c r="A156" s="70">
        <v>3</v>
      </c>
      <c r="B156" s="70"/>
      <c r="C156" s="30" t="s">
        <v>134</v>
      </c>
      <c r="D156" s="70">
        <f>100.394*10.764</f>
        <v>1080.641016</v>
      </c>
      <c r="E156" s="70"/>
      <c r="F156" s="30">
        <v>0</v>
      </c>
      <c r="G156" s="30">
        <f>D156*1.45+F156</f>
        <v>1566.9294732000001</v>
      </c>
      <c r="H156" s="30" t="s">
        <v>50</v>
      </c>
      <c r="I156" s="70"/>
      <c r="J156" s="70"/>
    </row>
    <row r="157" spans="1:18" ht="15.75" x14ac:dyDescent="0.25">
      <c r="A157" s="70">
        <v>4</v>
      </c>
      <c r="B157" s="70"/>
      <c r="C157" s="30" t="s">
        <v>134</v>
      </c>
      <c r="D157" s="70">
        <f>100.394*10.764</f>
        <v>1080.641016</v>
      </c>
      <c r="E157" s="70"/>
      <c r="F157" s="30">
        <v>0</v>
      </c>
      <c r="G157" s="30">
        <f>D157*1.45+F157</f>
        <v>1566.9294732000001</v>
      </c>
      <c r="H157" s="30" t="s">
        <v>50</v>
      </c>
      <c r="I157" s="70"/>
      <c r="J157" s="70"/>
      <c r="Q157" s="70">
        <v>10.763999999999999</v>
      </c>
      <c r="R157" s="70"/>
    </row>
    <row r="158" spans="1:18" ht="15.75" x14ac:dyDescent="0.25">
      <c r="A158" s="147" t="s">
        <v>137</v>
      </c>
      <c r="B158" s="147"/>
      <c r="C158" s="147"/>
      <c r="D158" s="147"/>
      <c r="E158" s="147"/>
      <c r="F158" s="147"/>
      <c r="G158" s="147"/>
      <c r="H158" s="147"/>
      <c r="I158" s="147"/>
      <c r="J158" s="147"/>
    </row>
    <row r="159" spans="1:18" ht="15.75" x14ac:dyDescent="0.25">
      <c r="A159" s="69" t="s">
        <v>133</v>
      </c>
      <c r="B159" s="69"/>
      <c r="C159" s="69"/>
      <c r="D159" s="69"/>
      <c r="E159" s="69"/>
      <c r="F159" s="69"/>
      <c r="G159" s="69"/>
      <c r="H159" s="69"/>
      <c r="I159" s="69"/>
      <c r="J159" s="69"/>
      <c r="K159">
        <v>1</v>
      </c>
    </row>
    <row r="160" spans="1:18" ht="15.75" x14ac:dyDescent="0.25">
      <c r="A160" s="70">
        <v>1</v>
      </c>
      <c r="B160" s="70"/>
      <c r="C160" s="69" t="s">
        <v>138</v>
      </c>
      <c r="D160" s="69"/>
      <c r="E160" s="69"/>
      <c r="F160" s="69"/>
      <c r="G160" s="69"/>
      <c r="H160" s="69"/>
      <c r="I160" s="70" t="s">
        <v>133</v>
      </c>
      <c r="J160" s="70"/>
    </row>
    <row r="161" spans="1:11" ht="15.75" x14ac:dyDescent="0.25">
      <c r="A161" s="70">
        <v>2</v>
      </c>
      <c r="B161" s="70"/>
      <c r="C161" s="69" t="s">
        <v>139</v>
      </c>
      <c r="D161" s="69"/>
      <c r="E161" s="69"/>
      <c r="F161" s="69"/>
      <c r="G161" s="69"/>
      <c r="H161" s="69"/>
      <c r="I161" s="70"/>
      <c r="J161" s="70"/>
    </row>
    <row r="162" spans="1:11" ht="15.75" x14ac:dyDescent="0.25">
      <c r="A162" s="70">
        <v>3</v>
      </c>
      <c r="B162" s="70"/>
      <c r="C162" s="30" t="s">
        <v>135</v>
      </c>
      <c r="D162" s="70">
        <f>69.66*10.764</f>
        <v>749.8202399999999</v>
      </c>
      <c r="E162" s="70"/>
      <c r="F162" s="30">
        <v>0</v>
      </c>
      <c r="G162" s="30">
        <f>D162*1.45+F162</f>
        <v>1087.2393479999998</v>
      </c>
      <c r="H162" s="30" t="s">
        <v>50</v>
      </c>
      <c r="I162" s="70"/>
      <c r="J162" s="70"/>
    </row>
    <row r="163" spans="1:11" ht="15.75" x14ac:dyDescent="0.25">
      <c r="A163" s="70">
        <v>4</v>
      </c>
      <c r="B163" s="70"/>
      <c r="C163" s="30" t="s">
        <v>135</v>
      </c>
      <c r="D163" s="70">
        <f>117.878*10.764</f>
        <v>1268.838792</v>
      </c>
      <c r="E163" s="70"/>
      <c r="F163" s="30">
        <v>0</v>
      </c>
      <c r="G163" s="30">
        <f>D163*1.45+F163</f>
        <v>1839.8162483999999</v>
      </c>
      <c r="H163" s="30" t="s">
        <v>50</v>
      </c>
      <c r="I163" s="70"/>
      <c r="J163" s="70"/>
    </row>
    <row r="164" spans="1:11" ht="15.75" x14ac:dyDescent="0.25">
      <c r="A164" s="70">
        <v>5</v>
      </c>
      <c r="B164" s="70"/>
      <c r="C164" s="30" t="s">
        <v>134</v>
      </c>
      <c r="D164" s="70">
        <f>116.278*10.764</f>
        <v>1251.6163919999999</v>
      </c>
      <c r="E164" s="70"/>
      <c r="F164" s="30">
        <v>0</v>
      </c>
      <c r="G164" s="30">
        <f>D164*1.45+F164</f>
        <v>1814.8437683999998</v>
      </c>
      <c r="H164" s="30" t="s">
        <v>50</v>
      </c>
      <c r="I164" s="70"/>
      <c r="J164" s="70"/>
    </row>
    <row r="165" spans="1:11" ht="15.75" x14ac:dyDescent="0.25">
      <c r="A165" s="69" t="s">
        <v>140</v>
      </c>
      <c r="B165" s="69"/>
      <c r="C165" s="69"/>
      <c r="D165" s="69"/>
      <c r="E165" s="69"/>
      <c r="F165" s="69"/>
      <c r="G165" s="69"/>
      <c r="H165" s="69"/>
      <c r="I165" s="69"/>
      <c r="J165" s="69"/>
      <c r="K165">
        <f>6+6+6+5</f>
        <v>23</v>
      </c>
    </row>
    <row r="166" spans="1:11" ht="15.75" x14ac:dyDescent="0.25">
      <c r="A166" s="70">
        <v>1</v>
      </c>
      <c r="B166" s="70"/>
      <c r="C166" s="30" t="s">
        <v>134</v>
      </c>
      <c r="D166" s="70">
        <f>117.383*10.764</f>
        <v>1263.5106119999998</v>
      </c>
      <c r="E166" s="70"/>
      <c r="F166" s="30">
        <v>0</v>
      </c>
      <c r="G166" s="30">
        <f>D166*1.45+F166</f>
        <v>1832.0903873999996</v>
      </c>
      <c r="H166" s="30" t="s">
        <v>50</v>
      </c>
      <c r="I166" s="148" t="str">
        <f>A165</f>
        <v>2nd to 7th, 9th to 14th, 16th to 21st &amp; 23rd to 27th Floor</v>
      </c>
      <c r="J166" s="148"/>
    </row>
    <row r="167" spans="1:11" ht="15.75" x14ac:dyDescent="0.25">
      <c r="A167" s="70">
        <v>2</v>
      </c>
      <c r="B167" s="70"/>
      <c r="C167" s="30" t="s">
        <v>134</v>
      </c>
      <c r="D167" s="70">
        <f>106.001*10.764</f>
        <v>1140.994764</v>
      </c>
      <c r="E167" s="70"/>
      <c r="F167" s="30">
        <v>0</v>
      </c>
      <c r="G167" s="30">
        <f>D167*1.45+F167</f>
        <v>1654.4424078</v>
      </c>
      <c r="H167" s="30" t="s">
        <v>50</v>
      </c>
      <c r="I167" s="148"/>
      <c r="J167" s="148"/>
    </row>
    <row r="168" spans="1:11" ht="15.75" x14ac:dyDescent="0.25">
      <c r="A168" s="70">
        <v>3</v>
      </c>
      <c r="B168" s="70"/>
      <c r="C168" s="30" t="s">
        <v>135</v>
      </c>
      <c r="D168" s="70">
        <f>69.66*10.764</f>
        <v>749.8202399999999</v>
      </c>
      <c r="E168" s="70"/>
      <c r="F168" s="30">
        <v>0</v>
      </c>
      <c r="G168" s="30">
        <f>D168*1.45+F168</f>
        <v>1087.2393479999998</v>
      </c>
      <c r="H168" s="30" t="s">
        <v>50</v>
      </c>
      <c r="I168" s="148"/>
      <c r="J168" s="148"/>
    </row>
    <row r="169" spans="1:11" ht="15.75" x14ac:dyDescent="0.25">
      <c r="A169" s="70">
        <v>4</v>
      </c>
      <c r="B169" s="70"/>
      <c r="C169" s="30" t="s">
        <v>141</v>
      </c>
      <c r="D169" s="70">
        <f>146.009*10.764</f>
        <v>1571.6408759999997</v>
      </c>
      <c r="E169" s="70"/>
      <c r="F169" s="30">
        <v>0</v>
      </c>
      <c r="G169" s="30">
        <f>D169*1.45+F169</f>
        <v>2278.8792701999996</v>
      </c>
      <c r="H169" s="30" t="s">
        <v>50</v>
      </c>
      <c r="I169" s="148"/>
      <c r="J169" s="148"/>
    </row>
    <row r="170" spans="1:11" ht="15.75" x14ac:dyDescent="0.25">
      <c r="A170" s="70">
        <v>5</v>
      </c>
      <c r="B170" s="70"/>
      <c r="C170" s="30" t="s">
        <v>134</v>
      </c>
      <c r="D170" s="70">
        <f>117.278*10.764</f>
        <v>1262.380392</v>
      </c>
      <c r="E170" s="70"/>
      <c r="F170" s="30">
        <v>0</v>
      </c>
      <c r="G170" s="30">
        <f>D170*1.45+F170</f>
        <v>1830.4515684</v>
      </c>
      <c r="H170" s="30" t="s">
        <v>50</v>
      </c>
      <c r="I170" s="148"/>
      <c r="J170" s="148"/>
    </row>
    <row r="171" spans="1:11" ht="15.75" x14ac:dyDescent="0.25">
      <c r="A171" s="69" t="s">
        <v>142</v>
      </c>
      <c r="B171" s="69"/>
      <c r="C171" s="69"/>
      <c r="D171" s="69"/>
      <c r="E171" s="69"/>
      <c r="F171" s="69"/>
      <c r="G171" s="69"/>
      <c r="H171" s="69"/>
      <c r="I171" s="69"/>
      <c r="J171" s="69"/>
      <c r="K171">
        <v>2</v>
      </c>
    </row>
    <row r="172" spans="1:11" ht="15.75" customHeight="1" x14ac:dyDescent="0.25">
      <c r="A172" s="70">
        <v>1</v>
      </c>
      <c r="B172" s="70"/>
      <c r="C172" s="69" t="s">
        <v>143</v>
      </c>
      <c r="D172" s="69"/>
      <c r="E172" s="69"/>
      <c r="F172" s="69"/>
      <c r="G172" s="69"/>
      <c r="H172" s="69"/>
      <c r="I172" s="148" t="str">
        <f>A171</f>
        <v>8th &amp; 15th Floor</v>
      </c>
      <c r="J172" s="148"/>
    </row>
    <row r="173" spans="1:11" ht="15.75" x14ac:dyDescent="0.25">
      <c r="A173" s="70">
        <v>2</v>
      </c>
      <c r="B173" s="70"/>
      <c r="C173" s="30" t="s">
        <v>135</v>
      </c>
      <c r="D173" s="70">
        <f>89.017*10.764</f>
        <v>958.17898799999989</v>
      </c>
      <c r="E173" s="70"/>
      <c r="F173" s="30">
        <v>0</v>
      </c>
      <c r="G173" s="30">
        <f>D173*1.45+F173</f>
        <v>1389.3595325999997</v>
      </c>
      <c r="H173" s="30" t="s">
        <v>50</v>
      </c>
      <c r="I173" s="148"/>
      <c r="J173" s="148"/>
    </row>
    <row r="174" spans="1:11" ht="15.75" x14ac:dyDescent="0.25">
      <c r="A174" s="70">
        <v>3</v>
      </c>
      <c r="B174" s="70"/>
      <c r="C174" s="30" t="s">
        <v>135</v>
      </c>
      <c r="D174" s="70">
        <f>69.66*10.764</f>
        <v>749.8202399999999</v>
      </c>
      <c r="E174" s="70"/>
      <c r="F174" s="30">
        <v>0</v>
      </c>
      <c r="G174" s="30">
        <f>D174*1.45+F174</f>
        <v>1087.2393479999998</v>
      </c>
      <c r="H174" s="30" t="s">
        <v>50</v>
      </c>
      <c r="I174" s="148"/>
      <c r="J174" s="148"/>
    </row>
    <row r="175" spans="1:11" ht="15.75" x14ac:dyDescent="0.25">
      <c r="A175" s="70">
        <v>4</v>
      </c>
      <c r="B175" s="70"/>
      <c r="C175" s="30" t="s">
        <v>141</v>
      </c>
      <c r="D175" s="70">
        <f>146.009*10.764</f>
        <v>1571.6408759999997</v>
      </c>
      <c r="E175" s="70"/>
      <c r="F175" s="30">
        <v>0</v>
      </c>
      <c r="G175" s="30">
        <f>D175*1.45+F175</f>
        <v>2278.8792701999996</v>
      </c>
      <c r="H175" s="30" t="s">
        <v>50</v>
      </c>
      <c r="I175" s="148"/>
      <c r="J175" s="148"/>
    </row>
    <row r="176" spans="1:11" ht="15.75" x14ac:dyDescent="0.25">
      <c r="A176" s="70">
        <v>5</v>
      </c>
      <c r="B176" s="70"/>
      <c r="C176" s="30" t="s">
        <v>134</v>
      </c>
      <c r="D176" s="70">
        <f>117.2*10.764</f>
        <v>1261.5408</v>
      </c>
      <c r="E176" s="70"/>
      <c r="F176" s="30">
        <v>0</v>
      </c>
      <c r="G176" s="30">
        <f>D176*1.45+F176</f>
        <v>1829.23416</v>
      </c>
      <c r="H176" s="30" t="s">
        <v>50</v>
      </c>
      <c r="I176" s="148"/>
      <c r="J176" s="148"/>
    </row>
    <row r="177" spans="1:11" ht="15.75" x14ac:dyDescent="0.25">
      <c r="A177" s="69" t="s">
        <v>148</v>
      </c>
      <c r="B177" s="69"/>
      <c r="C177" s="69"/>
      <c r="D177" s="69"/>
      <c r="E177" s="69"/>
      <c r="F177" s="69"/>
      <c r="G177" s="69"/>
      <c r="H177" s="69"/>
      <c r="I177" s="69"/>
      <c r="J177" s="69"/>
    </row>
    <row r="178" spans="1:11" ht="15.75" x14ac:dyDescent="0.25">
      <c r="A178" s="69" t="s">
        <v>144</v>
      </c>
      <c r="B178" s="69"/>
      <c r="C178" s="69"/>
      <c r="D178" s="69"/>
      <c r="E178" s="69"/>
      <c r="F178" s="69"/>
      <c r="G178" s="69"/>
      <c r="H178" s="69"/>
      <c r="I178" s="69"/>
      <c r="J178" s="69"/>
      <c r="K178">
        <v>1</v>
      </c>
    </row>
    <row r="179" spans="1:11" ht="15.75" x14ac:dyDescent="0.25">
      <c r="A179" s="70">
        <v>1</v>
      </c>
      <c r="B179" s="70"/>
      <c r="C179" s="69" t="s">
        <v>143</v>
      </c>
      <c r="D179" s="69"/>
      <c r="E179" s="69"/>
      <c r="F179" s="69"/>
      <c r="G179" s="69"/>
      <c r="H179" s="69"/>
      <c r="I179" s="148" t="str">
        <f>A178</f>
        <v>22nd Floor</v>
      </c>
      <c r="J179" s="148"/>
    </row>
    <row r="180" spans="1:11" ht="15.75" x14ac:dyDescent="0.25">
      <c r="A180" s="70">
        <v>2</v>
      </c>
      <c r="B180" s="70"/>
      <c r="C180" s="30" t="s">
        <v>135</v>
      </c>
      <c r="D180" s="70">
        <f>89.017*10.764</f>
        <v>958.17898799999989</v>
      </c>
      <c r="E180" s="70"/>
      <c r="F180" s="30">
        <v>0</v>
      </c>
      <c r="G180" s="30">
        <f>D180*1.45+F180</f>
        <v>1389.3595325999997</v>
      </c>
      <c r="H180" s="30" t="s">
        <v>50</v>
      </c>
      <c r="I180" s="148"/>
      <c r="J180" s="148"/>
    </row>
    <row r="181" spans="1:11" ht="15.75" x14ac:dyDescent="0.25">
      <c r="A181" s="70">
        <v>3</v>
      </c>
      <c r="B181" s="70"/>
      <c r="C181" s="30" t="s">
        <v>135</v>
      </c>
      <c r="D181" s="70">
        <f>69.66*10.764</f>
        <v>749.8202399999999</v>
      </c>
      <c r="E181" s="70"/>
      <c r="F181" s="30">
        <v>0</v>
      </c>
      <c r="G181" s="30">
        <f>D181*1.45+F181</f>
        <v>1087.2393479999998</v>
      </c>
      <c r="H181" s="30" t="s">
        <v>50</v>
      </c>
      <c r="I181" s="148"/>
      <c r="J181" s="148"/>
    </row>
    <row r="182" spans="1:11" ht="15.75" x14ac:dyDescent="0.25">
      <c r="A182" s="70">
        <v>4</v>
      </c>
      <c r="B182" s="70"/>
      <c r="C182" s="30" t="s">
        <v>141</v>
      </c>
      <c r="D182" s="70">
        <f>146.009*10.764</f>
        <v>1571.6408759999997</v>
      </c>
      <c r="E182" s="70"/>
      <c r="F182" s="30">
        <v>0</v>
      </c>
      <c r="G182" s="30">
        <f>D182*1.45+F182</f>
        <v>2278.8792701999996</v>
      </c>
      <c r="H182" s="30" t="s">
        <v>50</v>
      </c>
      <c r="I182" s="148"/>
      <c r="J182" s="148"/>
    </row>
    <row r="183" spans="1:11" ht="15.75" x14ac:dyDescent="0.25">
      <c r="A183" s="70">
        <v>5</v>
      </c>
      <c r="B183" s="70"/>
      <c r="C183" s="30" t="s">
        <v>134</v>
      </c>
      <c r="D183" s="70">
        <f>117.2*10.764</f>
        <v>1261.5408</v>
      </c>
      <c r="E183" s="70"/>
      <c r="F183" s="30">
        <v>0</v>
      </c>
      <c r="G183" s="30">
        <f>D183*1.45+F183</f>
        <v>1829.23416</v>
      </c>
      <c r="H183" s="30" t="s">
        <v>50</v>
      </c>
      <c r="I183" s="148"/>
      <c r="J183" s="148"/>
    </row>
    <row r="184" spans="1:11" ht="15.75" x14ac:dyDescent="0.25">
      <c r="A184" s="69" t="s">
        <v>145</v>
      </c>
      <c r="B184" s="69"/>
      <c r="C184" s="69"/>
      <c r="D184" s="69"/>
      <c r="E184" s="69"/>
      <c r="F184" s="69"/>
      <c r="G184" s="69"/>
      <c r="H184" s="69"/>
      <c r="I184" s="69"/>
      <c r="J184" s="69"/>
      <c r="K184">
        <v>1</v>
      </c>
    </row>
    <row r="185" spans="1:11" ht="15.75" x14ac:dyDescent="0.25">
      <c r="A185" s="70">
        <v>1</v>
      </c>
      <c r="B185" s="70"/>
      <c r="C185" s="30" t="s">
        <v>134</v>
      </c>
      <c r="D185" s="70">
        <f>117.383*10.764</f>
        <v>1263.5106119999998</v>
      </c>
      <c r="E185" s="70"/>
      <c r="F185" s="30">
        <v>0</v>
      </c>
      <c r="G185" s="30">
        <f>D185*1.45+F185</f>
        <v>1832.0903873999996</v>
      </c>
      <c r="H185" s="30" t="s">
        <v>50</v>
      </c>
      <c r="I185" s="148" t="str">
        <f>A184</f>
        <v>28th Floor</v>
      </c>
      <c r="J185" s="148"/>
    </row>
    <row r="186" spans="1:11" ht="15.75" x14ac:dyDescent="0.25">
      <c r="A186" s="70">
        <v>2</v>
      </c>
      <c r="B186" s="70"/>
      <c r="C186" s="30" t="s">
        <v>134</v>
      </c>
      <c r="D186" s="70">
        <f>106.001*10.764</f>
        <v>1140.994764</v>
      </c>
      <c r="E186" s="70"/>
      <c r="F186" s="30">
        <v>0</v>
      </c>
      <c r="G186" s="30">
        <f>D186*1.45+F186</f>
        <v>1654.4424078</v>
      </c>
      <c r="H186" s="30" t="s">
        <v>50</v>
      </c>
      <c r="I186" s="148"/>
      <c r="J186" s="148"/>
    </row>
    <row r="187" spans="1:11" ht="15.75" x14ac:dyDescent="0.25">
      <c r="A187" s="70">
        <v>3</v>
      </c>
      <c r="B187" s="70"/>
      <c r="C187" s="30" t="s">
        <v>135</v>
      </c>
      <c r="D187" s="70">
        <f>69.66*10.764</f>
        <v>749.8202399999999</v>
      </c>
      <c r="E187" s="70"/>
      <c r="F187" s="30">
        <v>0</v>
      </c>
      <c r="G187" s="30">
        <f>D187*1.45+F187</f>
        <v>1087.2393479999998</v>
      </c>
      <c r="H187" s="30" t="s">
        <v>50</v>
      </c>
      <c r="I187" s="148"/>
      <c r="J187" s="148"/>
    </row>
    <row r="188" spans="1:11" ht="15.75" x14ac:dyDescent="0.25">
      <c r="A188" s="70">
        <v>4</v>
      </c>
      <c r="B188" s="70"/>
      <c r="C188" s="30" t="s">
        <v>141</v>
      </c>
      <c r="D188" s="70">
        <f>150.487*10.764</f>
        <v>1619.8420679999999</v>
      </c>
      <c r="E188" s="70"/>
      <c r="F188" s="30">
        <v>0</v>
      </c>
      <c r="G188" s="30">
        <f>D188*1.45+F188</f>
        <v>2348.7709986</v>
      </c>
      <c r="H188" s="30" t="s">
        <v>50</v>
      </c>
      <c r="I188" s="148"/>
      <c r="J188" s="148"/>
    </row>
    <row r="189" spans="1:11" ht="15.75" x14ac:dyDescent="0.25">
      <c r="A189" s="70">
        <v>5</v>
      </c>
      <c r="B189" s="70"/>
      <c r="C189" s="30" t="s">
        <v>134</v>
      </c>
      <c r="D189" s="70">
        <f>120.685*10.764</f>
        <v>1299.0533399999999</v>
      </c>
      <c r="E189" s="70"/>
      <c r="F189" s="30">
        <v>0</v>
      </c>
      <c r="G189" s="30">
        <f>D189*1.45+F189</f>
        <v>1883.6273429999999</v>
      </c>
      <c r="H189" s="30" t="s">
        <v>50</v>
      </c>
      <c r="I189" s="148"/>
      <c r="J189" s="148"/>
    </row>
    <row r="190" spans="1:11" ht="15.75" x14ac:dyDescent="0.25">
      <c r="A190" s="69" t="s">
        <v>146</v>
      </c>
      <c r="B190" s="69"/>
      <c r="C190" s="69"/>
      <c r="D190" s="69"/>
      <c r="E190" s="69"/>
      <c r="F190" s="69"/>
      <c r="G190" s="69"/>
      <c r="H190" s="69"/>
      <c r="I190" s="69"/>
      <c r="J190" s="69"/>
      <c r="K190">
        <v>1</v>
      </c>
    </row>
    <row r="191" spans="1:11" ht="15.75" x14ac:dyDescent="0.25">
      <c r="A191" s="70">
        <v>1</v>
      </c>
      <c r="B191" s="70"/>
      <c r="C191" s="30" t="s">
        <v>134</v>
      </c>
      <c r="D191" s="70">
        <f>116.461*10.764</f>
        <v>1253.586204</v>
      </c>
      <c r="E191" s="70"/>
      <c r="F191" s="30">
        <v>0</v>
      </c>
      <c r="G191" s="30">
        <f>D191*1.45+F191</f>
        <v>1817.6999957999999</v>
      </c>
      <c r="H191" s="30" t="s">
        <v>50</v>
      </c>
      <c r="I191" s="148" t="str">
        <f>A190</f>
        <v>29th Floor</v>
      </c>
      <c r="J191" s="148"/>
    </row>
    <row r="192" spans="1:11" ht="15.75" x14ac:dyDescent="0.25">
      <c r="A192" s="70">
        <v>2</v>
      </c>
      <c r="B192" s="70"/>
      <c r="C192" s="30" t="s">
        <v>135</v>
      </c>
      <c r="D192" s="70">
        <f>86.672*10.764</f>
        <v>932.93740799999989</v>
      </c>
      <c r="E192" s="70"/>
      <c r="F192" s="30">
        <v>0</v>
      </c>
      <c r="G192" s="30">
        <f>D192*1.45+F192</f>
        <v>1352.7592415999998</v>
      </c>
      <c r="H192" s="30" t="s">
        <v>50</v>
      </c>
      <c r="I192" s="148"/>
      <c r="J192" s="148"/>
    </row>
    <row r="193" spans="1:15" ht="15.75" x14ac:dyDescent="0.25">
      <c r="A193" s="70">
        <v>3</v>
      </c>
      <c r="B193" s="70"/>
      <c r="C193" s="30" t="s">
        <v>135</v>
      </c>
      <c r="D193" s="70">
        <f>69.66*10.764</f>
        <v>749.8202399999999</v>
      </c>
      <c r="E193" s="70"/>
      <c r="F193" s="30">
        <v>0</v>
      </c>
      <c r="G193" s="30">
        <f>D193*1.45+F193</f>
        <v>1087.2393479999998</v>
      </c>
      <c r="H193" s="30" t="s">
        <v>50</v>
      </c>
      <c r="I193" s="148"/>
      <c r="J193" s="148"/>
    </row>
    <row r="194" spans="1:15" ht="15.75" x14ac:dyDescent="0.25">
      <c r="A194" s="70">
        <v>4</v>
      </c>
      <c r="B194" s="70"/>
      <c r="C194" s="30" t="s">
        <v>141</v>
      </c>
      <c r="D194" s="70">
        <f>150.487*10.764</f>
        <v>1619.8420679999999</v>
      </c>
      <c r="E194" s="70"/>
      <c r="F194" s="30">
        <v>0</v>
      </c>
      <c r="G194" s="30">
        <f>D194*1.45+F194</f>
        <v>2348.7709986</v>
      </c>
      <c r="H194" s="30" t="s">
        <v>50</v>
      </c>
      <c r="I194" s="148"/>
      <c r="J194" s="148"/>
    </row>
    <row r="195" spans="1:15" ht="15.75" x14ac:dyDescent="0.25">
      <c r="A195" s="70">
        <v>5</v>
      </c>
      <c r="B195" s="70"/>
      <c r="C195" s="30" t="s">
        <v>134</v>
      </c>
      <c r="D195" s="70">
        <f>120.685*10.764</f>
        <v>1299.0533399999999</v>
      </c>
      <c r="E195" s="70"/>
      <c r="F195" s="30">
        <v>0</v>
      </c>
      <c r="G195" s="30">
        <f>D195*1.45+F195</f>
        <v>1883.6273429999999</v>
      </c>
      <c r="H195" s="30" t="s">
        <v>50</v>
      </c>
      <c r="I195" s="148"/>
      <c r="J195" s="148"/>
    </row>
    <row r="196" spans="1:15" ht="15.75" x14ac:dyDescent="0.25">
      <c r="A196" s="69" t="s">
        <v>147</v>
      </c>
      <c r="B196" s="69"/>
      <c r="C196" s="69"/>
      <c r="D196" s="69"/>
      <c r="E196" s="69"/>
      <c r="F196" s="69"/>
      <c r="G196" s="69"/>
      <c r="H196" s="69"/>
      <c r="I196" s="69"/>
      <c r="J196" s="69"/>
      <c r="K196">
        <v>1</v>
      </c>
    </row>
    <row r="197" spans="1:15" ht="15.75" x14ac:dyDescent="0.25">
      <c r="A197" s="70">
        <v>1</v>
      </c>
      <c r="B197" s="70"/>
      <c r="C197" s="30" t="s">
        <v>134</v>
      </c>
      <c r="D197" s="70">
        <f>((3.556*5.926+2.416*2.496+3.026*4.046+3.326*4.096+3.326*4.476+2.67*2.941+2.331*1.571+1.831*2.616+1.521*2.266+1.806*2.686+1.436*0.75+2.445*1.326+4.7*1.046+3.7*1.046+3.636*1.196+2.016*1.026+1.076*0.124+(2.306*0.4+0.174*1.326+3.356*0.174+2.341*0.45+0.13*1.411+0.105*0.546+0.075*0.7+0.746*0.15+0.761*0.15+1.436*0.08+0.451*0.15+0.746*0.15+2.656*0.06)))*10.764</f>
        <v>1247.3141611319998</v>
      </c>
      <c r="E197" s="70"/>
      <c r="F197" s="30">
        <v>0</v>
      </c>
      <c r="G197" s="30">
        <f>D197*1.45+F197</f>
        <v>1808.6055336413997</v>
      </c>
      <c r="H197" s="30" t="s">
        <v>50</v>
      </c>
      <c r="I197" s="148" t="str">
        <f>A196</f>
        <v>30th Floor</v>
      </c>
      <c r="J197" s="148"/>
      <c r="M197" s="47">
        <f>(3.556*5.926+2.416*2.496+3.026*4.046+3.326*4.096+3.326*4.476+2.67*2.941+2.331*1.571+1.831*2.616+1.521*2.266+1.806*2.686+1.436*0.75+2.445*1.326+4.7*1.046+3.7*1.046+3.636*1.196+2.016*1.026+1.076*0.124)</f>
        <v>112.114695</v>
      </c>
      <c r="N197" s="47">
        <f>(2.306*0.4+0.174*1.326+3.356*0.174+2.341*0.45+0.13*1.411+0.105*0.546+0.075*0.7+0.746*0.15+0.761*0.15+1.436*0.08+0.451*0.15+0.746*0.15+2.656*0.06)</f>
        <v>3.7636179999999997</v>
      </c>
      <c r="O197" s="48">
        <f>M197+N197</f>
        <v>115.87831299999999</v>
      </c>
    </row>
    <row r="198" spans="1:15" ht="15.75" x14ac:dyDescent="0.25">
      <c r="A198" s="70">
        <v>2</v>
      </c>
      <c r="B198" s="70"/>
      <c r="C198" s="30" t="s">
        <v>134</v>
      </c>
      <c r="D198" s="70">
        <f>((3.326*5.926+2.416*2.496+3.026*4.028+3.026*2.196+3.306*4.706+1.91*2.941+1.521*2.291+1.871*1.696+2.496*1.771+1.321*2.661+2.315*1.326+3.27*1.045+0.946*0.795+3.406*1.196+2.016*1.026+1.076*0.124+(0.451*0.15+1.025*0.15+3.125*0.174+2.341*0.45+0.13*2.246+1.07*0.901+0.075*1.081+0.54*1.046+0.2*0.201+0.2*2.136)))*10.764</f>
        <v>1055.357424108</v>
      </c>
      <c r="E198" s="70"/>
      <c r="F198" s="30">
        <v>0</v>
      </c>
      <c r="G198" s="30">
        <f>D198*1.45+F198</f>
        <v>1530.2682649566</v>
      </c>
      <c r="H198" s="30" t="s">
        <v>50</v>
      </c>
      <c r="I198" s="148"/>
      <c r="J198" s="148"/>
      <c r="M198" s="47">
        <f>(3.326*5.926+2.416*2.496+3.026*4.028+3.026*2.196+3.306*4.706+1.91*2.941+1.521*2.291+1.871*1.696+2.496*1.771+1.321*2.661+2.315*1.326+3.27*1.045+0.946*0.795+3.406*1.196+2.016*1.026+1.076*0.124)</f>
        <v>93.857132000000007</v>
      </c>
      <c r="N198" s="47">
        <f>(0.451*0.15+1.025*0.15+3.125*0.174+2.341*0.45+0.13*2.246+1.07*0.901+0.075*1.081+0.54*1.046+0.2*0.201+0.2*2.136)</f>
        <v>4.1879650000000002</v>
      </c>
      <c r="O198" s="48">
        <f t="shared" ref="O198:O199" si="0">M198+N198</f>
        <v>98.045097000000013</v>
      </c>
    </row>
    <row r="199" spans="1:15" ht="15.75" x14ac:dyDescent="0.25">
      <c r="A199" s="70">
        <v>3</v>
      </c>
      <c r="B199" s="70"/>
      <c r="C199" s="30" t="s">
        <v>135</v>
      </c>
      <c r="D199" s="70">
        <f>((7.076*3.176+2.286*2.446+4.036*3.026+4.036*3.256+1.546*0.97+1.446*0.88+1.546*2.291+1.196*1.27+1.046*2.57+1.025*1.785+(1.276*0.36+1.396*0.59+0.15*0.266+0.746*0.2+0.476*0.2+0.45*2.371+0.124*1.046+2.386*0.08)))*10.764</f>
        <v>739.75233711600004</v>
      </c>
      <c r="E199" s="70"/>
      <c r="F199" s="30">
        <v>0</v>
      </c>
      <c r="G199" s="30">
        <f>D199*1.45+F199</f>
        <v>1072.6408888182</v>
      </c>
      <c r="H199" s="30" t="s">
        <v>50</v>
      </c>
      <c r="I199" s="148"/>
      <c r="J199" s="148"/>
      <c r="M199" s="47">
        <f>(3.628*5.926+2.466*2.876+3.176*4.026+3.026*4.196+3.176*4.246+3.626*5.416+3.626*2.115+1.521*2.366+1.866*1.98+2.606*1.616+2.716*1.706+2.416*1.856+1.346*2.426+5.055*1.326+6.49*1.046+1.88*1.046+5.818*1.411+1.736*1.026+1.636*0.174)</f>
        <v>144.48871599999998</v>
      </c>
      <c r="N199" s="47">
        <f>(1.221*0.45+0.996*0.45+0.746*0.075+0.451*0.075+2.391*0.45+1.126*0.124+2.938*0.174+0.075*0.841+0.075*0.451+1.521*0.45+0.175*0.241+0.175*0.861+2.096*0.15+0.296*0.1)</f>
        <v>4.1324110000000012</v>
      </c>
      <c r="O199" s="48">
        <f t="shared" si="0"/>
        <v>148.62112699999997</v>
      </c>
    </row>
    <row r="200" spans="1:15" ht="15.75" x14ac:dyDescent="0.25">
      <c r="A200" s="70">
        <v>4</v>
      </c>
      <c r="B200" s="70"/>
      <c r="C200" s="30" t="s">
        <v>141</v>
      </c>
      <c r="D200" s="70">
        <f>((3.628*5.926+2.466*2.876+3.176*4.026+3.026*4.196+3.176*4.246+3.626*5.416+3.626*2.115+1.521*2.366+1.866*1.98+2.606*1.616+2.716*1.706+2.416*1.856+1.346*2.426+5.055*1.326+6.49*1.046+1.88*1.046+5.818*1.411+1.736*1.026+1.636*0.174+(1.221*0.45+0.996*0.45+0.746*0.075+0.451*0.075+2.391*0.45+1.126*0.124+2.938*0.174+0.075*0.841+0.075*0.451+1.521*0.45+0.175*0.241+0.175*0.861+2.096*0.15+0.296*0.1)))*10.764</f>
        <v>1599.7578110279997</v>
      </c>
      <c r="E200" s="70"/>
      <c r="F200" s="30">
        <v>0</v>
      </c>
      <c r="G200" s="30">
        <f>D200*1.45+F200</f>
        <v>2319.6488259905996</v>
      </c>
      <c r="H200" s="30" t="s">
        <v>50</v>
      </c>
      <c r="I200" s="148"/>
      <c r="J200" s="148"/>
    </row>
    <row r="201" spans="1:15" ht="15.75" x14ac:dyDescent="0.25">
      <c r="A201" s="70">
        <v>5</v>
      </c>
      <c r="B201" s="70"/>
      <c r="C201" s="30" t="s">
        <v>134</v>
      </c>
      <c r="D201" s="70">
        <f>((3.556*5.926+2.416*2.926+3.026*4.046+3.326*4.096+3.326*4.476+2.67*2.941+2.331*1.571+1.831*2.616+1.521*2.266+1.806*2.686+1.361*1.895+0.075*1.435+0.075*1.136+2.445*1.326+4.7*1.046+3.7*1.046+3.636*1.411+2.282*0.596+2.17*0.35+(2.306*0.4+0.174*1.326+3.356*0.174+2.341*0.45+0.13*1.411+0.105*0.546+0.075*0.7+0.746*0.15+0.761*0.15+1.436*0.08+0.451*0.15+0.746*0.15+2.656*0.06)))*10.764</f>
        <v>1284.2699009399998</v>
      </c>
      <c r="E201" s="70"/>
      <c r="F201" s="30">
        <v>0</v>
      </c>
      <c r="G201" s="30">
        <f>D201*1.45+F201</f>
        <v>1862.1913563629996</v>
      </c>
      <c r="H201" s="30" t="s">
        <v>50</v>
      </c>
      <c r="I201" s="148"/>
      <c r="J201" s="148"/>
    </row>
    <row r="202" spans="1:15" ht="15.75" x14ac:dyDescent="0.25">
      <c r="A202" s="147" t="s">
        <v>149</v>
      </c>
      <c r="B202" s="147"/>
      <c r="C202" s="147"/>
      <c r="D202" s="147"/>
      <c r="E202" s="147"/>
      <c r="F202" s="147"/>
      <c r="G202" s="147"/>
      <c r="H202" s="147"/>
      <c r="I202" s="147"/>
      <c r="J202" s="147"/>
    </row>
    <row r="203" spans="1:15" ht="15.75" x14ac:dyDescent="0.25">
      <c r="A203" s="69" t="s">
        <v>133</v>
      </c>
      <c r="B203" s="69"/>
      <c r="C203" s="69"/>
      <c r="D203" s="69"/>
      <c r="E203" s="69"/>
      <c r="F203" s="69"/>
      <c r="G203" s="69"/>
      <c r="H203" s="69"/>
      <c r="I203" s="69"/>
      <c r="J203" s="69"/>
    </row>
    <row r="204" spans="1:15" ht="15.75" x14ac:dyDescent="0.25">
      <c r="A204" s="70">
        <v>1</v>
      </c>
      <c r="B204" s="70"/>
      <c r="C204" s="30" t="s">
        <v>134</v>
      </c>
      <c r="D204" s="70">
        <f>'Wing C'!P43</f>
        <v>1579.6650289679999</v>
      </c>
      <c r="E204" s="70"/>
      <c r="F204" s="30">
        <v>0</v>
      </c>
      <c r="G204" s="30">
        <f>D204*1.45+F204</f>
        <v>2290.5142920035996</v>
      </c>
      <c r="H204" s="30" t="s">
        <v>50</v>
      </c>
      <c r="I204" s="70" t="str">
        <f>A203</f>
        <v>1st Floor</v>
      </c>
      <c r="J204" s="70"/>
    </row>
    <row r="205" spans="1:15" ht="15.75" x14ac:dyDescent="0.25">
      <c r="A205" s="70">
        <v>2</v>
      </c>
      <c r="B205" s="70"/>
      <c r="C205" s="30" t="s">
        <v>134</v>
      </c>
      <c r="D205" s="70">
        <f>(120.478)*10.764</f>
        <v>1296.8251919999998</v>
      </c>
      <c r="E205" s="70"/>
      <c r="F205" s="30">
        <v>0</v>
      </c>
      <c r="G205" s="30">
        <f>D205*1.45+F205</f>
        <v>1880.3965283999996</v>
      </c>
      <c r="H205" s="30" t="s">
        <v>50</v>
      </c>
      <c r="I205" s="70"/>
      <c r="J205" s="70"/>
    </row>
    <row r="206" spans="1:15" ht="15.75" x14ac:dyDescent="0.25">
      <c r="A206" s="70">
        <v>3</v>
      </c>
      <c r="B206" s="70"/>
      <c r="C206" s="30" t="s">
        <v>150</v>
      </c>
      <c r="D206" s="70">
        <f>(157.037)*10.764</f>
        <v>1690.346268</v>
      </c>
      <c r="E206" s="70"/>
      <c r="F206" s="30">
        <v>0</v>
      </c>
      <c r="G206" s="30">
        <f>D206*1.45+F206</f>
        <v>2451.0020885999998</v>
      </c>
      <c r="H206" s="30" t="s">
        <v>50</v>
      </c>
      <c r="I206" s="70"/>
      <c r="J206" s="70"/>
    </row>
    <row r="207" spans="1:15" ht="15.75" x14ac:dyDescent="0.25">
      <c r="A207" s="70">
        <v>4</v>
      </c>
      <c r="B207" s="70"/>
      <c r="C207" s="30" t="s">
        <v>150</v>
      </c>
      <c r="D207" s="70">
        <f>(157.139)*10.764</f>
        <v>1691.4441959999999</v>
      </c>
      <c r="E207" s="70"/>
      <c r="F207" s="30">
        <v>0</v>
      </c>
      <c r="G207" s="30">
        <f>D207*1.45+F207</f>
        <v>2452.5940842</v>
      </c>
      <c r="H207" s="30" t="s">
        <v>50</v>
      </c>
      <c r="I207" s="70"/>
      <c r="J207" s="70"/>
    </row>
    <row r="208" spans="1:15" ht="15.75" x14ac:dyDescent="0.25">
      <c r="A208" s="69" t="s">
        <v>288</v>
      </c>
      <c r="B208" s="69"/>
      <c r="C208" s="69"/>
      <c r="D208" s="69"/>
      <c r="E208" s="69"/>
      <c r="F208" s="69"/>
      <c r="G208" s="69"/>
      <c r="H208" s="69"/>
      <c r="I208" s="69"/>
      <c r="J208" s="69"/>
    </row>
    <row r="209" spans="1:11" ht="15.75" x14ac:dyDescent="0.25">
      <c r="A209" s="70">
        <v>1</v>
      </c>
      <c r="B209" s="70"/>
      <c r="C209" s="61" t="s">
        <v>141</v>
      </c>
      <c r="D209" s="154">
        <f>'Wing C'!AE43</f>
        <v>1790.8919739359999</v>
      </c>
      <c r="E209" s="154"/>
      <c r="F209" s="30">
        <v>0</v>
      </c>
      <c r="G209" s="30">
        <f>D209*1.45+F209</f>
        <v>2596.7933622071996</v>
      </c>
      <c r="H209" s="30" t="s">
        <v>50</v>
      </c>
      <c r="I209" s="70" t="str">
        <f>A208</f>
        <v>2nd to 7th, 9th to 14th, 16th to 21st, 23rd to 26th Floor</v>
      </c>
      <c r="J209" s="70"/>
    </row>
    <row r="210" spans="1:11" ht="15.75" x14ac:dyDescent="0.25">
      <c r="A210" s="70">
        <v>2</v>
      </c>
      <c r="B210" s="70"/>
      <c r="C210" s="30" t="s">
        <v>134</v>
      </c>
      <c r="D210" s="70">
        <f>(120.478)*10.764</f>
        <v>1296.8251919999998</v>
      </c>
      <c r="E210" s="70"/>
      <c r="F210" s="30">
        <v>0</v>
      </c>
      <c r="G210" s="30">
        <f>D210*1.45+F210</f>
        <v>1880.3965283999996</v>
      </c>
      <c r="H210" s="30" t="s">
        <v>50</v>
      </c>
      <c r="I210" s="70"/>
      <c r="J210" s="70"/>
    </row>
    <row r="211" spans="1:11" ht="15.75" x14ac:dyDescent="0.25">
      <c r="A211" s="70">
        <v>3</v>
      </c>
      <c r="B211" s="70"/>
      <c r="C211" s="30" t="s">
        <v>150</v>
      </c>
      <c r="D211" s="70">
        <f>(157.037)*10.764</f>
        <v>1690.346268</v>
      </c>
      <c r="E211" s="70"/>
      <c r="F211" s="30">
        <v>0</v>
      </c>
      <c r="G211" s="30">
        <f>D211*1.45+F211</f>
        <v>2451.0020885999998</v>
      </c>
      <c r="H211" s="30" t="s">
        <v>50</v>
      </c>
      <c r="I211" s="70"/>
      <c r="J211" s="70"/>
    </row>
    <row r="212" spans="1:11" ht="15.75" x14ac:dyDescent="0.25">
      <c r="A212" s="70">
        <v>4</v>
      </c>
      <c r="B212" s="70"/>
      <c r="C212" s="30" t="s">
        <v>150</v>
      </c>
      <c r="D212" s="70">
        <f>(157.139)*10.764</f>
        <v>1691.4441959999999</v>
      </c>
      <c r="E212" s="70"/>
      <c r="F212" s="30">
        <v>0</v>
      </c>
      <c r="G212" s="30">
        <f>D212*1.45+F212</f>
        <v>2452.5940842</v>
      </c>
      <c r="H212" s="30" t="s">
        <v>50</v>
      </c>
      <c r="I212" s="70"/>
      <c r="J212" s="70"/>
    </row>
    <row r="213" spans="1:11" ht="15.75" hidden="1" x14ac:dyDescent="0.25">
      <c r="A213" s="149" t="s">
        <v>151</v>
      </c>
      <c r="B213" s="149"/>
      <c r="C213" s="149"/>
      <c r="D213" s="149"/>
      <c r="E213" s="149"/>
      <c r="F213" s="149"/>
      <c r="G213" s="149"/>
      <c r="H213" s="149"/>
      <c r="I213" s="149"/>
      <c r="J213" s="149"/>
      <c r="K213">
        <f>6+2+3+1+4</f>
        <v>16</v>
      </c>
    </row>
    <row r="214" spans="1:11" ht="15.75" hidden="1" x14ac:dyDescent="0.25">
      <c r="A214" s="70">
        <v>1</v>
      </c>
      <c r="B214" s="70"/>
      <c r="C214" s="30" t="s">
        <v>152</v>
      </c>
      <c r="D214" s="70">
        <f>168.167*10.764</f>
        <v>1810.149588</v>
      </c>
      <c r="E214" s="70"/>
      <c r="F214" s="30">
        <v>0</v>
      </c>
      <c r="G214" s="30">
        <f>D214*1.45+F214</f>
        <v>2624.7169025999997</v>
      </c>
      <c r="H214" s="30" t="s">
        <v>50</v>
      </c>
      <c r="I214" s="70" t="str">
        <f>A213</f>
        <v>2nd to 7th, 9th, 10th, 12th to 14th, 16th, 18th to 21st Floor</v>
      </c>
      <c r="J214" s="70"/>
    </row>
    <row r="215" spans="1:11" ht="15.75" hidden="1" x14ac:dyDescent="0.25">
      <c r="A215" s="70">
        <v>2</v>
      </c>
      <c r="B215" s="70"/>
      <c r="C215" s="30" t="s">
        <v>135</v>
      </c>
      <c r="D215" s="70">
        <f>79.284*10.764</f>
        <v>853.41297599999996</v>
      </c>
      <c r="E215" s="70"/>
      <c r="F215" s="30">
        <v>0</v>
      </c>
      <c r="G215" s="30">
        <f t="shared" ref="G215:G220" si="1">D215*1.45+F215</f>
        <v>1237.4488151999999</v>
      </c>
      <c r="H215" s="30" t="s">
        <v>50</v>
      </c>
      <c r="I215" s="70"/>
      <c r="J215" s="70"/>
    </row>
    <row r="216" spans="1:11" ht="15.75" hidden="1" x14ac:dyDescent="0.25">
      <c r="A216" s="70">
        <v>3</v>
      </c>
      <c r="B216" s="70"/>
      <c r="C216" s="30" t="s">
        <v>153</v>
      </c>
      <c r="D216" s="70">
        <f>35.341*10.764</f>
        <v>380.41052400000001</v>
      </c>
      <c r="E216" s="70"/>
      <c r="F216" s="30">
        <v>0</v>
      </c>
      <c r="G216" s="30">
        <f t="shared" si="1"/>
        <v>551.59525980000001</v>
      </c>
      <c r="H216" s="30" t="s">
        <v>50</v>
      </c>
      <c r="I216" s="70"/>
      <c r="J216" s="70"/>
    </row>
    <row r="217" spans="1:11" ht="15.75" hidden="1" x14ac:dyDescent="0.25">
      <c r="A217" s="70">
        <v>4</v>
      </c>
      <c r="B217" s="70"/>
      <c r="C217" s="30" t="s">
        <v>134</v>
      </c>
      <c r="D217" s="70">
        <f>107.972*10.764</f>
        <v>1162.2106079999999</v>
      </c>
      <c r="E217" s="70"/>
      <c r="F217" s="30">
        <v>0</v>
      </c>
      <c r="G217" s="30">
        <f t="shared" si="1"/>
        <v>1685.2053815999998</v>
      </c>
      <c r="H217" s="30" t="s">
        <v>50</v>
      </c>
      <c r="I217" s="70"/>
      <c r="J217" s="70"/>
    </row>
    <row r="218" spans="1:11" ht="15.75" hidden="1" x14ac:dyDescent="0.25">
      <c r="A218" s="70">
        <v>5</v>
      </c>
      <c r="B218" s="70"/>
      <c r="C218" s="30" t="s">
        <v>154</v>
      </c>
      <c r="D218" s="70">
        <f>43.525*10.764</f>
        <v>468.50309999999996</v>
      </c>
      <c r="E218" s="70"/>
      <c r="F218" s="30">
        <v>0</v>
      </c>
      <c r="G218" s="30">
        <f t="shared" si="1"/>
        <v>679.32949499999995</v>
      </c>
      <c r="H218" s="30" t="s">
        <v>50</v>
      </c>
      <c r="I218" s="70"/>
      <c r="J218" s="70"/>
    </row>
    <row r="219" spans="1:11" ht="15.75" hidden="1" x14ac:dyDescent="0.25">
      <c r="A219" s="70">
        <v>6</v>
      </c>
      <c r="B219" s="70"/>
      <c r="C219" s="30" t="s">
        <v>154</v>
      </c>
      <c r="D219" s="70">
        <f>43.525*10.764</f>
        <v>468.50309999999996</v>
      </c>
      <c r="E219" s="70"/>
      <c r="F219" s="30">
        <v>0</v>
      </c>
      <c r="G219" s="30">
        <f t="shared" si="1"/>
        <v>679.32949499999995</v>
      </c>
      <c r="H219" s="30" t="s">
        <v>50</v>
      </c>
      <c r="I219" s="70"/>
      <c r="J219" s="70"/>
    </row>
    <row r="220" spans="1:11" ht="15.75" hidden="1" x14ac:dyDescent="0.25">
      <c r="A220" s="70">
        <v>7</v>
      </c>
      <c r="B220" s="70"/>
      <c r="C220" s="30" t="s">
        <v>134</v>
      </c>
      <c r="D220" s="70">
        <f>107.972*10.764</f>
        <v>1162.2106079999999</v>
      </c>
      <c r="E220" s="70"/>
      <c r="F220" s="30">
        <v>0</v>
      </c>
      <c r="G220" s="30">
        <f t="shared" si="1"/>
        <v>1685.2053815999998</v>
      </c>
      <c r="H220" s="30" t="s">
        <v>50</v>
      </c>
      <c r="I220" s="70"/>
      <c r="J220" s="70"/>
    </row>
    <row r="221" spans="1:11" ht="15.75" hidden="1" x14ac:dyDescent="0.25">
      <c r="A221" s="69" t="s">
        <v>155</v>
      </c>
      <c r="B221" s="69"/>
      <c r="C221" s="69"/>
      <c r="D221" s="69"/>
      <c r="E221" s="69"/>
      <c r="F221" s="69"/>
      <c r="G221" s="69"/>
      <c r="H221" s="69"/>
      <c r="I221" s="69"/>
      <c r="J221" s="69"/>
      <c r="K221">
        <v>1</v>
      </c>
    </row>
    <row r="222" spans="1:11" ht="15.75" hidden="1" x14ac:dyDescent="0.25">
      <c r="A222" s="70">
        <v>1</v>
      </c>
      <c r="B222" s="70"/>
      <c r="C222" s="30" t="s">
        <v>152</v>
      </c>
      <c r="D222" s="70">
        <f>168.167*10.764</f>
        <v>1810.149588</v>
      </c>
      <c r="E222" s="70"/>
      <c r="F222" s="30">
        <v>0</v>
      </c>
      <c r="G222" s="30">
        <f>D222*1.45+F222</f>
        <v>2624.7169025999997</v>
      </c>
      <c r="H222" s="30" t="s">
        <v>50</v>
      </c>
      <c r="I222" s="70" t="str">
        <f>A221</f>
        <v>8th Floor</v>
      </c>
      <c r="J222" s="70"/>
    </row>
    <row r="223" spans="1:11" ht="15.75" hidden="1" x14ac:dyDescent="0.25">
      <c r="A223" s="70">
        <v>2</v>
      </c>
      <c r="B223" s="70"/>
      <c r="C223" s="30" t="s">
        <v>134</v>
      </c>
      <c r="D223" s="70">
        <f>120.772*10.764</f>
        <v>1299.989808</v>
      </c>
      <c r="E223" s="70"/>
      <c r="F223" s="30">
        <v>0</v>
      </c>
      <c r="G223" s="30">
        <f>D223*1.45+F223</f>
        <v>1884.9852215999999</v>
      </c>
      <c r="H223" s="30" t="s">
        <v>50</v>
      </c>
      <c r="I223" s="70"/>
      <c r="J223" s="70"/>
    </row>
    <row r="224" spans="1:11" ht="15.75" hidden="1" x14ac:dyDescent="0.25">
      <c r="A224" s="70">
        <v>3</v>
      </c>
      <c r="B224" s="70"/>
      <c r="C224" s="69" t="s">
        <v>143</v>
      </c>
      <c r="D224" s="69"/>
      <c r="E224" s="69"/>
      <c r="F224" s="69"/>
      <c r="G224" s="69"/>
      <c r="H224" s="69"/>
      <c r="I224" s="70"/>
      <c r="J224" s="70"/>
    </row>
    <row r="225" spans="1:11" ht="15.75" hidden="1" x14ac:dyDescent="0.25">
      <c r="A225" s="70">
        <v>4</v>
      </c>
      <c r="B225" s="70"/>
      <c r="C225" s="30" t="s">
        <v>150</v>
      </c>
      <c r="D225" s="70">
        <f>157.234*10.764</f>
        <v>1692.466776</v>
      </c>
      <c r="E225" s="70"/>
      <c r="F225" s="30">
        <v>0</v>
      </c>
      <c r="G225" s="30">
        <f>D225*1.45+F225</f>
        <v>2454.0768251999998</v>
      </c>
      <c r="H225" s="30" t="s">
        <v>50</v>
      </c>
      <c r="I225" s="70"/>
      <c r="J225" s="70"/>
    </row>
    <row r="226" spans="1:11" ht="15.75" hidden="1" x14ac:dyDescent="0.25">
      <c r="A226" s="69" t="s">
        <v>156</v>
      </c>
      <c r="B226" s="69"/>
      <c r="C226" s="69"/>
      <c r="D226" s="69"/>
      <c r="E226" s="69"/>
      <c r="F226" s="69"/>
      <c r="G226" s="69"/>
      <c r="H226" s="69"/>
      <c r="I226" s="69"/>
      <c r="J226" s="69"/>
      <c r="K226">
        <v>1</v>
      </c>
    </row>
    <row r="227" spans="1:11" ht="15.75" hidden="1" x14ac:dyDescent="0.25">
      <c r="A227" s="70">
        <v>1</v>
      </c>
      <c r="B227" s="70"/>
      <c r="C227" s="30" t="s">
        <v>152</v>
      </c>
      <c r="D227" s="70">
        <f>168.167*10.764</f>
        <v>1810.149588</v>
      </c>
      <c r="E227" s="70"/>
      <c r="F227" s="30">
        <v>0</v>
      </c>
      <c r="G227" s="30">
        <f>D227*1.45+F227</f>
        <v>2624.7169025999997</v>
      </c>
      <c r="H227" s="30" t="s">
        <v>50</v>
      </c>
      <c r="I227" s="70" t="str">
        <f>A226</f>
        <v>15th Floor</v>
      </c>
      <c r="J227" s="70"/>
    </row>
    <row r="228" spans="1:11" ht="15.75" hidden="1" x14ac:dyDescent="0.25">
      <c r="A228" s="70">
        <v>2</v>
      </c>
      <c r="B228" s="70"/>
      <c r="C228" s="30" t="s">
        <v>134</v>
      </c>
      <c r="D228" s="70">
        <f>120.772*10.764</f>
        <v>1299.989808</v>
      </c>
      <c r="E228" s="70"/>
      <c r="F228" s="30">
        <v>0</v>
      </c>
      <c r="G228" s="30">
        <f>D228*1.45+F228</f>
        <v>1884.9852215999999</v>
      </c>
      <c r="H228" s="30" t="s">
        <v>50</v>
      </c>
      <c r="I228" s="70"/>
      <c r="J228" s="70"/>
    </row>
    <row r="229" spans="1:11" ht="15.75" hidden="1" x14ac:dyDescent="0.25">
      <c r="A229" s="70">
        <v>3</v>
      </c>
      <c r="B229" s="70"/>
      <c r="C229" s="69" t="s">
        <v>143</v>
      </c>
      <c r="D229" s="69"/>
      <c r="E229" s="69"/>
      <c r="F229" s="69"/>
      <c r="G229" s="69"/>
      <c r="H229" s="69"/>
      <c r="I229" s="70"/>
      <c r="J229" s="70"/>
    </row>
    <row r="230" spans="1:11" ht="15.75" hidden="1" x14ac:dyDescent="0.25">
      <c r="A230" s="70">
        <v>4</v>
      </c>
      <c r="B230" s="70"/>
      <c r="C230" s="30" t="s">
        <v>150</v>
      </c>
      <c r="D230" s="70">
        <f>157.234*10.764</f>
        <v>1692.466776</v>
      </c>
      <c r="E230" s="70"/>
      <c r="F230" s="30">
        <v>0</v>
      </c>
      <c r="G230" s="30">
        <f>D230*1.45+F230</f>
        <v>2454.0768251999998</v>
      </c>
      <c r="H230" s="30" t="s">
        <v>50</v>
      </c>
      <c r="I230" s="70"/>
      <c r="J230" s="70"/>
    </row>
    <row r="231" spans="1:11" ht="15.75" hidden="1" x14ac:dyDescent="0.25">
      <c r="A231" s="69" t="s">
        <v>157</v>
      </c>
      <c r="B231" s="69"/>
      <c r="C231" s="69"/>
      <c r="D231" s="69"/>
      <c r="E231" s="69"/>
      <c r="F231" s="69"/>
      <c r="G231" s="69"/>
      <c r="H231" s="69"/>
      <c r="I231" s="69"/>
      <c r="J231" s="69"/>
      <c r="K231">
        <v>3</v>
      </c>
    </row>
    <row r="232" spans="1:11" ht="15.75" hidden="1" x14ac:dyDescent="0.25">
      <c r="A232" s="70">
        <v>1</v>
      </c>
      <c r="B232" s="70"/>
      <c r="C232" s="30" t="s">
        <v>152</v>
      </c>
      <c r="D232" s="70">
        <f>168.167*10.764</f>
        <v>1810.149588</v>
      </c>
      <c r="E232" s="70"/>
      <c r="F232" s="30">
        <v>0</v>
      </c>
      <c r="G232" s="30">
        <f>D232*1.45+F232</f>
        <v>2624.7169025999997</v>
      </c>
      <c r="H232" s="30" t="s">
        <v>50</v>
      </c>
      <c r="I232" s="70" t="str">
        <f>A231</f>
        <v>11th, 17th &amp; 22nd Floor</v>
      </c>
      <c r="J232" s="70"/>
    </row>
    <row r="233" spans="1:11" ht="15.75" hidden="1" x14ac:dyDescent="0.25">
      <c r="A233" s="70">
        <v>2</v>
      </c>
      <c r="B233" s="70"/>
      <c r="C233" s="30" t="s">
        <v>135</v>
      </c>
      <c r="D233" s="70">
        <f>120.771*10.764</f>
        <v>1299.9790439999999</v>
      </c>
      <c r="E233" s="70"/>
      <c r="F233" s="30">
        <v>0</v>
      </c>
      <c r="G233" s="30">
        <f>D233*1.45+F233</f>
        <v>1884.9696137999999</v>
      </c>
      <c r="H233" s="30" t="s">
        <v>50</v>
      </c>
      <c r="I233" s="70"/>
      <c r="J233" s="70"/>
    </row>
    <row r="234" spans="1:11" ht="15.75" hidden="1" x14ac:dyDescent="0.25">
      <c r="A234" s="70">
        <v>3</v>
      </c>
      <c r="B234" s="70"/>
      <c r="C234" s="30" t="s">
        <v>150</v>
      </c>
      <c r="D234" s="70">
        <f>157.268*10.764</f>
        <v>1692.8327519999998</v>
      </c>
      <c r="E234" s="70"/>
      <c r="F234" s="30">
        <v>0</v>
      </c>
      <c r="G234" s="30">
        <f>D234*1.45+F234</f>
        <v>2454.6074903999997</v>
      </c>
      <c r="H234" s="30" t="s">
        <v>50</v>
      </c>
      <c r="I234" s="70"/>
      <c r="J234" s="70"/>
    </row>
    <row r="235" spans="1:11" ht="15.75" hidden="1" x14ac:dyDescent="0.25">
      <c r="A235" s="70">
        <v>4</v>
      </c>
      <c r="B235" s="70"/>
      <c r="C235" s="30" t="s">
        <v>150</v>
      </c>
      <c r="D235" s="70">
        <f>157.234*10.764</f>
        <v>1692.466776</v>
      </c>
      <c r="E235" s="70"/>
      <c r="F235" s="30">
        <v>0</v>
      </c>
      <c r="G235" s="30">
        <f>D235*1.45+F235</f>
        <v>2454.0768251999998</v>
      </c>
      <c r="H235" s="30" t="s">
        <v>50</v>
      </c>
      <c r="I235" s="70"/>
      <c r="J235" s="70"/>
    </row>
    <row r="236" spans="1:11" ht="15.75" hidden="1" x14ac:dyDescent="0.25">
      <c r="A236" s="150"/>
      <c r="B236" s="151"/>
      <c r="C236" s="151"/>
      <c r="D236" s="151"/>
      <c r="E236" s="151"/>
      <c r="F236" s="151"/>
      <c r="G236" s="151"/>
      <c r="H236" s="151"/>
      <c r="I236" s="151"/>
      <c r="J236" s="152"/>
    </row>
    <row r="237" spans="1:11" ht="229.5" customHeight="1" x14ac:dyDescent="0.25">
      <c r="A237" s="126" t="s">
        <v>303</v>
      </c>
      <c r="B237" s="126"/>
      <c r="C237" s="126"/>
      <c r="D237" s="126"/>
      <c r="E237" s="126"/>
      <c r="F237" s="126"/>
      <c r="G237" s="126"/>
      <c r="H237" s="126"/>
      <c r="I237" s="126"/>
      <c r="J237" s="126"/>
    </row>
    <row r="238" spans="1:11" x14ac:dyDescent="0.25">
      <c r="A238" s="114" t="s">
        <v>26</v>
      </c>
      <c r="B238" s="114"/>
      <c r="C238" s="114"/>
      <c r="D238" s="114"/>
      <c r="E238" s="114"/>
      <c r="F238" s="114"/>
      <c r="G238" s="114"/>
      <c r="H238" s="114"/>
      <c r="I238" s="114"/>
      <c r="J238" s="114"/>
    </row>
    <row r="239" spans="1:11" x14ac:dyDescent="0.25">
      <c r="A239" s="106" t="s">
        <v>34</v>
      </c>
      <c r="B239" s="106"/>
      <c r="C239" s="106"/>
      <c r="D239" s="106"/>
      <c r="E239" s="106"/>
      <c r="F239" s="106"/>
      <c r="G239" s="106"/>
      <c r="H239" s="106"/>
      <c r="I239" s="106"/>
      <c r="J239" s="106"/>
    </row>
    <row r="240" spans="1:11" x14ac:dyDescent="0.25">
      <c r="A240" s="114" t="s">
        <v>28</v>
      </c>
      <c r="B240" s="114"/>
      <c r="C240" s="114"/>
      <c r="D240" s="114"/>
      <c r="E240" s="114"/>
      <c r="F240" s="114"/>
      <c r="G240" s="114"/>
      <c r="H240" s="114"/>
      <c r="I240" s="114"/>
      <c r="J240" s="114"/>
    </row>
    <row r="241" spans="1:10" x14ac:dyDescent="0.25">
      <c r="A241" s="66" t="s">
        <v>39</v>
      </c>
      <c r="B241" s="66"/>
      <c r="C241" s="66"/>
      <c r="D241" s="66"/>
      <c r="E241" s="66"/>
      <c r="F241" s="66"/>
      <c r="G241" s="66"/>
      <c r="H241" s="66"/>
      <c r="I241" s="66"/>
      <c r="J241" s="66"/>
    </row>
    <row r="242" spans="1:10" ht="16.5" customHeight="1" x14ac:dyDescent="0.25">
      <c r="A242" s="124" t="s">
        <v>55</v>
      </c>
      <c r="B242" s="124"/>
      <c r="C242" s="124"/>
      <c r="D242" s="124"/>
      <c r="E242" s="124"/>
      <c r="F242" s="124"/>
      <c r="G242" s="124"/>
      <c r="H242" s="124"/>
      <c r="I242" s="124"/>
      <c r="J242" s="124"/>
    </row>
    <row r="243" spans="1:10" x14ac:dyDescent="0.25">
      <c r="A243" s="66" t="s">
        <v>40</v>
      </c>
      <c r="B243" s="66"/>
      <c r="C243" s="66"/>
      <c r="D243" s="66"/>
      <c r="E243" s="66"/>
      <c r="F243" s="66"/>
      <c r="G243" s="66"/>
      <c r="H243" s="66"/>
      <c r="I243" s="66"/>
      <c r="J243" s="66"/>
    </row>
    <row r="244" spans="1:10" hidden="1" x14ac:dyDescent="0.25">
      <c r="A244" s="66" t="s">
        <v>41</v>
      </c>
      <c r="B244" s="66"/>
      <c r="C244" s="66"/>
      <c r="D244" s="66"/>
      <c r="E244" s="66"/>
      <c r="F244" s="66"/>
      <c r="G244" s="66"/>
      <c r="H244" s="66"/>
      <c r="I244" s="66"/>
      <c r="J244" s="66"/>
    </row>
    <row r="245" spans="1:10" ht="30.75" hidden="1" customHeight="1" x14ac:dyDescent="0.25">
      <c r="A245" s="68" t="s">
        <v>42</v>
      </c>
      <c r="B245" s="68"/>
      <c r="C245" s="68"/>
      <c r="D245" s="68"/>
      <c r="E245" s="68"/>
      <c r="F245" s="68"/>
      <c r="G245" s="68"/>
      <c r="H245" s="68"/>
      <c r="I245" s="68"/>
      <c r="J245" s="68"/>
    </row>
    <row r="246" spans="1:10" ht="18.75" customHeight="1" x14ac:dyDescent="0.25">
      <c r="A246" s="71" t="s">
        <v>258</v>
      </c>
      <c r="B246" s="72"/>
      <c r="C246" s="71" t="s">
        <v>298</v>
      </c>
      <c r="D246" s="73"/>
      <c r="E246" s="72"/>
      <c r="F246" s="71" t="s">
        <v>259</v>
      </c>
      <c r="G246" s="72"/>
      <c r="H246" s="71" t="s">
        <v>297</v>
      </c>
      <c r="I246" s="73"/>
      <c r="J246" s="72"/>
    </row>
    <row r="247" spans="1:10" ht="15" customHeight="1" x14ac:dyDescent="0.25">
      <c r="A247" s="121" t="s">
        <v>27</v>
      </c>
      <c r="B247" s="121"/>
      <c r="C247" s="121"/>
      <c r="D247" s="121"/>
      <c r="E247" s="121"/>
      <c r="F247" s="121"/>
      <c r="G247" s="121"/>
      <c r="H247" s="121"/>
      <c r="I247" s="121"/>
      <c r="J247" s="121"/>
    </row>
    <row r="248" spans="1:10" x14ac:dyDescent="0.25">
      <c r="A248" s="121"/>
      <c r="B248" s="121"/>
      <c r="C248" s="121"/>
      <c r="D248" s="121"/>
      <c r="E248" s="121"/>
      <c r="F248" s="121"/>
      <c r="G248" s="121"/>
      <c r="H248" s="121"/>
      <c r="I248" s="121"/>
      <c r="J248" s="121"/>
    </row>
    <row r="249" spans="1:10" x14ac:dyDescent="0.25">
      <c r="A249" s="121"/>
      <c r="B249" s="121"/>
      <c r="C249" s="121"/>
      <c r="D249" s="121"/>
      <c r="E249" s="121"/>
      <c r="F249" s="121"/>
      <c r="G249" s="121"/>
      <c r="H249" s="121"/>
      <c r="I249" s="121"/>
      <c r="J249" s="121"/>
    </row>
    <row r="250" spans="1:10" x14ac:dyDescent="0.25">
      <c r="A250" s="121"/>
      <c r="B250" s="121"/>
      <c r="C250" s="121"/>
      <c r="D250" s="121"/>
      <c r="E250" s="121"/>
      <c r="F250" s="121"/>
      <c r="G250" s="121"/>
      <c r="H250" s="121"/>
      <c r="I250" s="121"/>
      <c r="J250" s="121"/>
    </row>
    <row r="251" spans="1:10" x14ac:dyDescent="0.25">
      <c r="A251" s="41" t="s">
        <v>177</v>
      </c>
      <c r="B251" s="42"/>
      <c r="C251" s="42"/>
      <c r="D251" s="42"/>
      <c r="E251" s="41" t="str">
        <f>F8</f>
        <v>Kalpataru Magnus</v>
      </c>
      <c r="F251" s="42"/>
      <c r="G251" s="42"/>
    </row>
    <row r="282" ht="15.75" customHeight="1" x14ac:dyDescent="0.25"/>
    <row r="291" spans="1:1" s="42" customFormat="1" x14ac:dyDescent="0.25"/>
    <row r="298" spans="1:1" x14ac:dyDescent="0.25">
      <c r="A298" s="41" t="s">
        <v>178</v>
      </c>
    </row>
  </sheetData>
  <mergeCells count="506">
    <mergeCell ref="K97:S97"/>
    <mergeCell ref="L10:P10"/>
    <mergeCell ref="A113:B113"/>
    <mergeCell ref="C113:D113"/>
    <mergeCell ref="E113:G113"/>
    <mergeCell ref="H113:J113"/>
    <mergeCell ref="D66:J66"/>
    <mergeCell ref="A63:C63"/>
    <mergeCell ref="D63:J63"/>
    <mergeCell ref="D61:J61"/>
    <mergeCell ref="A15:B15"/>
    <mergeCell ref="H15:J15"/>
    <mergeCell ref="A16:B16"/>
    <mergeCell ref="H16:J16"/>
    <mergeCell ref="H17:J17"/>
    <mergeCell ref="A17:B17"/>
    <mergeCell ref="C15:E15"/>
    <mergeCell ref="C16:E16"/>
    <mergeCell ref="C17:E17"/>
    <mergeCell ref="F15:G15"/>
    <mergeCell ref="F16:G16"/>
    <mergeCell ref="F17:G17"/>
    <mergeCell ref="A27:B27"/>
    <mergeCell ref="C27:D27"/>
    <mergeCell ref="E27:F27"/>
    <mergeCell ref="A236:J236"/>
    <mergeCell ref="A114:B114"/>
    <mergeCell ref="C114:D114"/>
    <mergeCell ref="E114:G114"/>
    <mergeCell ref="H114:J114"/>
    <mergeCell ref="I197:J201"/>
    <mergeCell ref="A198:B198"/>
    <mergeCell ref="D198:E198"/>
    <mergeCell ref="A199:B199"/>
    <mergeCell ref="D199:E199"/>
    <mergeCell ref="A200:B200"/>
    <mergeCell ref="A208:J208"/>
    <mergeCell ref="A209:B209"/>
    <mergeCell ref="D209:E209"/>
    <mergeCell ref="I209:J212"/>
    <mergeCell ref="A210:B210"/>
    <mergeCell ref="D210:E210"/>
    <mergeCell ref="A211:B211"/>
    <mergeCell ref="D211:E211"/>
    <mergeCell ref="D200:E200"/>
    <mergeCell ref="A201:B201"/>
    <mergeCell ref="D201:E201"/>
    <mergeCell ref="A234:B234"/>
    <mergeCell ref="C229:H229"/>
    <mergeCell ref="D235:E235"/>
    <mergeCell ref="G101:J101"/>
    <mergeCell ref="A231:J231"/>
    <mergeCell ref="A232:B232"/>
    <mergeCell ref="D232:E232"/>
    <mergeCell ref="I232:J235"/>
    <mergeCell ref="A233:B233"/>
    <mergeCell ref="D233:E233"/>
    <mergeCell ref="D218:E218"/>
    <mergeCell ref="D234:E234"/>
    <mergeCell ref="A235:B235"/>
    <mergeCell ref="C224:H224"/>
    <mergeCell ref="A226:J226"/>
    <mergeCell ref="I227:J230"/>
    <mergeCell ref="A228:B228"/>
    <mergeCell ref="D228:E228"/>
    <mergeCell ref="A229:B229"/>
    <mergeCell ref="A202:J202"/>
    <mergeCell ref="A197:B197"/>
    <mergeCell ref="D197:E197"/>
    <mergeCell ref="A224:B224"/>
    <mergeCell ref="A230:B230"/>
    <mergeCell ref="D230:E230"/>
    <mergeCell ref="A227:B227"/>
    <mergeCell ref="A212:B212"/>
    <mergeCell ref="D212:E212"/>
    <mergeCell ref="D227:E227"/>
    <mergeCell ref="A217:B217"/>
    <mergeCell ref="D217:E217"/>
    <mergeCell ref="A225:B225"/>
    <mergeCell ref="D225:E225"/>
    <mergeCell ref="A218:B218"/>
    <mergeCell ref="A219:B219"/>
    <mergeCell ref="D219:E219"/>
    <mergeCell ref="A220:B220"/>
    <mergeCell ref="A221:J221"/>
    <mergeCell ref="A222:B222"/>
    <mergeCell ref="D222:E222"/>
    <mergeCell ref="I222:J225"/>
    <mergeCell ref="A223:B223"/>
    <mergeCell ref="D223:E223"/>
    <mergeCell ref="A213:J213"/>
    <mergeCell ref="A214:B214"/>
    <mergeCell ref="D214:E214"/>
    <mergeCell ref="A215:B215"/>
    <mergeCell ref="D215:E215"/>
    <mergeCell ref="I214:J220"/>
    <mergeCell ref="A216:B216"/>
    <mergeCell ref="D216:E216"/>
    <mergeCell ref="D220:E220"/>
    <mergeCell ref="A190:J190"/>
    <mergeCell ref="D193:E193"/>
    <mergeCell ref="A194:B194"/>
    <mergeCell ref="D194:E194"/>
    <mergeCell ref="A195:B195"/>
    <mergeCell ref="D195:E195"/>
    <mergeCell ref="A196:J196"/>
    <mergeCell ref="A191:B191"/>
    <mergeCell ref="D191:E191"/>
    <mergeCell ref="I191:J195"/>
    <mergeCell ref="A192:B192"/>
    <mergeCell ref="D192:E192"/>
    <mergeCell ref="A193:B193"/>
    <mergeCell ref="A203:J203"/>
    <mergeCell ref="A204:B204"/>
    <mergeCell ref="D204:E204"/>
    <mergeCell ref="I204:J207"/>
    <mergeCell ref="A205:B205"/>
    <mergeCell ref="D205:E205"/>
    <mergeCell ref="A206:B206"/>
    <mergeCell ref="D206:E206"/>
    <mergeCell ref="A207:B207"/>
    <mergeCell ref="D207:E207"/>
    <mergeCell ref="A185:B185"/>
    <mergeCell ref="D185:E185"/>
    <mergeCell ref="I185:J189"/>
    <mergeCell ref="A186:B186"/>
    <mergeCell ref="D186:E186"/>
    <mergeCell ref="A187:B187"/>
    <mergeCell ref="D187:E187"/>
    <mergeCell ref="A188:B188"/>
    <mergeCell ref="D188:E188"/>
    <mergeCell ref="A189:B189"/>
    <mergeCell ref="D189:E189"/>
    <mergeCell ref="A178:J178"/>
    <mergeCell ref="A183:B183"/>
    <mergeCell ref="D183:E183"/>
    <mergeCell ref="C179:H179"/>
    <mergeCell ref="A184:J184"/>
    <mergeCell ref="A179:B179"/>
    <mergeCell ref="I179:J183"/>
    <mergeCell ref="A180:B180"/>
    <mergeCell ref="D180:E180"/>
    <mergeCell ref="A181:B181"/>
    <mergeCell ref="D181:E181"/>
    <mergeCell ref="A182:B182"/>
    <mergeCell ref="D182:E182"/>
    <mergeCell ref="A171:J171"/>
    <mergeCell ref="A166:B166"/>
    <mergeCell ref="I166:J170"/>
    <mergeCell ref="A177:J177"/>
    <mergeCell ref="A172:B172"/>
    <mergeCell ref="I172:J176"/>
    <mergeCell ref="A175:B175"/>
    <mergeCell ref="D175:E175"/>
    <mergeCell ref="A176:B176"/>
    <mergeCell ref="D176:E176"/>
    <mergeCell ref="C172:H172"/>
    <mergeCell ref="A173:B173"/>
    <mergeCell ref="D173:E173"/>
    <mergeCell ref="A174:B174"/>
    <mergeCell ref="D174:E174"/>
    <mergeCell ref="D167:E167"/>
    <mergeCell ref="A167:B167"/>
    <mergeCell ref="A168:B168"/>
    <mergeCell ref="D168:E168"/>
    <mergeCell ref="A144:B144"/>
    <mergeCell ref="D144:E144"/>
    <mergeCell ref="I144:J147"/>
    <mergeCell ref="A145:B145"/>
    <mergeCell ref="D145:E145"/>
    <mergeCell ref="A146:B146"/>
    <mergeCell ref="D146:E146"/>
    <mergeCell ref="A147:B147"/>
    <mergeCell ref="D147:E147"/>
    <mergeCell ref="D136:E136"/>
    <mergeCell ref="A137:J137"/>
    <mergeCell ref="A138:J138"/>
    <mergeCell ref="C140:H140"/>
    <mergeCell ref="A143:J143"/>
    <mergeCell ref="A141:B141"/>
    <mergeCell ref="D141:E141"/>
    <mergeCell ref="A142:B142"/>
    <mergeCell ref="D142:E142"/>
    <mergeCell ref="A139:B139"/>
    <mergeCell ref="A140:B140"/>
    <mergeCell ref="A132:J132"/>
    <mergeCell ref="A133:B133"/>
    <mergeCell ref="D133:E133"/>
    <mergeCell ref="I133:J136"/>
    <mergeCell ref="A134:B134"/>
    <mergeCell ref="D166:E166"/>
    <mergeCell ref="G106:J106"/>
    <mergeCell ref="A107:F107"/>
    <mergeCell ref="A119:J119"/>
    <mergeCell ref="I139:J142"/>
    <mergeCell ref="C161:H161"/>
    <mergeCell ref="A124:B124"/>
    <mergeCell ref="D124:E124"/>
    <mergeCell ref="A125:B125"/>
    <mergeCell ref="A158:J158"/>
    <mergeCell ref="C160:H160"/>
    <mergeCell ref="A160:B160"/>
    <mergeCell ref="D125:E125"/>
    <mergeCell ref="A126:B126"/>
    <mergeCell ref="A148:J148"/>
    <mergeCell ref="C134:H134"/>
    <mergeCell ref="A135:B135"/>
    <mergeCell ref="D135:E135"/>
    <mergeCell ref="A136:B136"/>
    <mergeCell ref="A117:B117"/>
    <mergeCell ref="D139:E139"/>
    <mergeCell ref="I160:J164"/>
    <mergeCell ref="D117:E117"/>
    <mergeCell ref="G98:J98"/>
    <mergeCell ref="A98:F98"/>
    <mergeCell ref="A97:F97"/>
    <mergeCell ref="A99:F99"/>
    <mergeCell ref="G100:J100"/>
    <mergeCell ref="A110:B110"/>
    <mergeCell ref="C110:D110"/>
    <mergeCell ref="E110:G110"/>
    <mergeCell ref="H110:J110"/>
    <mergeCell ref="A111:B111"/>
    <mergeCell ref="C111:D111"/>
    <mergeCell ref="E111:G111"/>
    <mergeCell ref="A112:B112"/>
    <mergeCell ref="E112:G112"/>
    <mergeCell ref="H112:J112"/>
    <mergeCell ref="H111:J111"/>
    <mergeCell ref="C112:D112"/>
    <mergeCell ref="A118:J118"/>
    <mergeCell ref="A121:J121"/>
    <mergeCell ref="I123:J126"/>
    <mergeCell ref="C44:F44"/>
    <mergeCell ref="H44:J44"/>
    <mergeCell ref="A60:C60"/>
    <mergeCell ref="D60:J60"/>
    <mergeCell ref="A77:B77"/>
    <mergeCell ref="D77:E77"/>
    <mergeCell ref="A78:B78"/>
    <mergeCell ref="A67:C67"/>
    <mergeCell ref="D67:J67"/>
    <mergeCell ref="A61:C61"/>
    <mergeCell ref="A57:C57"/>
    <mergeCell ref="D56:J56"/>
    <mergeCell ref="D57:J57"/>
    <mergeCell ref="A58:C58"/>
    <mergeCell ref="D58:J58"/>
    <mergeCell ref="A62:C62"/>
    <mergeCell ref="D62:J62"/>
    <mergeCell ref="A64:C64"/>
    <mergeCell ref="D64:J64"/>
    <mergeCell ref="A65:C65"/>
    <mergeCell ref="D65:J65"/>
    <mergeCell ref="A66:C66"/>
    <mergeCell ref="A47:J47"/>
    <mergeCell ref="A48:B48"/>
    <mergeCell ref="A1:J1"/>
    <mergeCell ref="F37:J37"/>
    <mergeCell ref="A11:E11"/>
    <mergeCell ref="F11:J11"/>
    <mergeCell ref="C45:F45"/>
    <mergeCell ref="C50:F50"/>
    <mergeCell ref="F39:J39"/>
    <mergeCell ref="A55:J55"/>
    <mergeCell ref="A14:B14"/>
    <mergeCell ref="C14:J14"/>
    <mergeCell ref="H18:J18"/>
    <mergeCell ref="A24:E24"/>
    <mergeCell ref="A18:B18"/>
    <mergeCell ref="A28:B28"/>
    <mergeCell ref="A54:B54"/>
    <mergeCell ref="A38:E38"/>
    <mergeCell ref="F38:J38"/>
    <mergeCell ref="I28:J28"/>
    <mergeCell ref="A44:B44"/>
    <mergeCell ref="F42:J42"/>
    <mergeCell ref="F41:J41"/>
    <mergeCell ref="A42:E42"/>
    <mergeCell ref="A34:J34"/>
    <mergeCell ref="A41:E41"/>
    <mergeCell ref="A247:J250"/>
    <mergeCell ref="A108:F108"/>
    <mergeCell ref="G108:J108"/>
    <mergeCell ref="A115:J115"/>
    <mergeCell ref="A116:J116"/>
    <mergeCell ref="G102:J102"/>
    <mergeCell ref="A100:F100"/>
    <mergeCell ref="A242:J242"/>
    <mergeCell ref="A243:J243"/>
    <mergeCell ref="A244:J244"/>
    <mergeCell ref="A245:J245"/>
    <mergeCell ref="I117:J117"/>
    <mergeCell ref="A240:J240"/>
    <mergeCell ref="A237:J237"/>
    <mergeCell ref="A123:B123"/>
    <mergeCell ref="D123:E123"/>
    <mergeCell ref="A122:J122"/>
    <mergeCell ref="A239:J239"/>
    <mergeCell ref="A120:J120"/>
    <mergeCell ref="A241:J241"/>
    <mergeCell ref="A238:J238"/>
    <mergeCell ref="G107:J107"/>
    <mergeCell ref="A109:J109"/>
    <mergeCell ref="D126:E126"/>
    <mergeCell ref="F8:J8"/>
    <mergeCell ref="F12:J12"/>
    <mergeCell ref="A8:E8"/>
    <mergeCell ref="A33:B33"/>
    <mergeCell ref="C32:J32"/>
    <mergeCell ref="C33:J33"/>
    <mergeCell ref="E29:F29"/>
    <mergeCell ref="C28:D28"/>
    <mergeCell ref="E28:F28"/>
    <mergeCell ref="G28:H28"/>
    <mergeCell ref="I29:J29"/>
    <mergeCell ref="A29:B29"/>
    <mergeCell ref="A31:J31"/>
    <mergeCell ref="C18:E18"/>
    <mergeCell ref="F25:J25"/>
    <mergeCell ref="A23:E23"/>
    <mergeCell ref="G29:H29"/>
    <mergeCell ref="A30:J30"/>
    <mergeCell ref="C29:D29"/>
    <mergeCell ref="A32:B32"/>
    <mergeCell ref="A9:E9"/>
    <mergeCell ref="F9:J9"/>
    <mergeCell ref="G27:H27"/>
    <mergeCell ref="A37:E37"/>
    <mergeCell ref="A12:E12"/>
    <mergeCell ref="A40:E40"/>
    <mergeCell ref="F23:J23"/>
    <mergeCell ref="A25:E25"/>
    <mergeCell ref="A26:E26"/>
    <mergeCell ref="A13:E13"/>
    <mergeCell ref="F13:J13"/>
    <mergeCell ref="A10:E10"/>
    <mergeCell ref="A39:E39"/>
    <mergeCell ref="F40:J40"/>
    <mergeCell ref="A2:J2"/>
    <mergeCell ref="A3:E3"/>
    <mergeCell ref="F3:J3"/>
    <mergeCell ref="A4:E4"/>
    <mergeCell ref="F4:J4"/>
    <mergeCell ref="A6:E6"/>
    <mergeCell ref="F6:J6"/>
    <mergeCell ref="A5:E5"/>
    <mergeCell ref="A50:B50"/>
    <mergeCell ref="F24:J24"/>
    <mergeCell ref="A35:J36"/>
    <mergeCell ref="I27:J27"/>
    <mergeCell ref="F26:J26"/>
    <mergeCell ref="A21:E22"/>
    <mergeCell ref="F21:J22"/>
    <mergeCell ref="F18:G18"/>
    <mergeCell ref="F10:J10"/>
    <mergeCell ref="F5:J5"/>
    <mergeCell ref="F19:J20"/>
    <mergeCell ref="A45:B45"/>
    <mergeCell ref="A7:E7"/>
    <mergeCell ref="A43:J43"/>
    <mergeCell ref="A19:E20"/>
    <mergeCell ref="F7:J7"/>
    <mergeCell ref="A105:F105"/>
    <mergeCell ref="G105:J105"/>
    <mergeCell ref="A96:J96"/>
    <mergeCell ref="A106:F106"/>
    <mergeCell ref="H45:J45"/>
    <mergeCell ref="A46:B46"/>
    <mergeCell ref="C46:F46"/>
    <mergeCell ref="H46:J46"/>
    <mergeCell ref="C70:J70"/>
    <mergeCell ref="A71:B71"/>
    <mergeCell ref="D71:E71"/>
    <mergeCell ref="H71:J71"/>
    <mergeCell ref="A76:B76"/>
    <mergeCell ref="D76:E76"/>
    <mergeCell ref="D78:E78"/>
    <mergeCell ref="A79:B79"/>
    <mergeCell ref="D79:E79"/>
    <mergeCell ref="A80:B80"/>
    <mergeCell ref="D80:E80"/>
    <mergeCell ref="E69:F69"/>
    <mergeCell ref="D95:E95"/>
    <mergeCell ref="A82:B82"/>
    <mergeCell ref="C82:J82"/>
    <mergeCell ref="E83:F83"/>
    <mergeCell ref="A102:F102"/>
    <mergeCell ref="G97:J97"/>
    <mergeCell ref="G99:J99"/>
    <mergeCell ref="A101:F101"/>
    <mergeCell ref="I83:J83"/>
    <mergeCell ref="A84:B84"/>
    <mergeCell ref="C84:J84"/>
    <mergeCell ref="A85:B85"/>
    <mergeCell ref="D85:E85"/>
    <mergeCell ref="F85:G85"/>
    <mergeCell ref="D91:E91"/>
    <mergeCell ref="A92:B92"/>
    <mergeCell ref="A81:B81"/>
    <mergeCell ref="A68:B68"/>
    <mergeCell ref="C68:J68"/>
    <mergeCell ref="A52:B52"/>
    <mergeCell ref="C52:F52"/>
    <mergeCell ref="H52:J52"/>
    <mergeCell ref="A53:B53"/>
    <mergeCell ref="C53:J53"/>
    <mergeCell ref="A59:C59"/>
    <mergeCell ref="D59:J59"/>
    <mergeCell ref="I69:J69"/>
    <mergeCell ref="A103:F103"/>
    <mergeCell ref="A70:B70"/>
    <mergeCell ref="C54:F54"/>
    <mergeCell ref="H54:J54"/>
    <mergeCell ref="H50:J50"/>
    <mergeCell ref="A51:B51"/>
    <mergeCell ref="H85:J85"/>
    <mergeCell ref="A90:B90"/>
    <mergeCell ref="D90:E90"/>
    <mergeCell ref="C51:J51"/>
    <mergeCell ref="F71:G71"/>
    <mergeCell ref="A56:C56"/>
    <mergeCell ref="A72:B72"/>
    <mergeCell ref="D72:E72"/>
    <mergeCell ref="F72:G81"/>
    <mergeCell ref="H72:J81"/>
    <mergeCell ref="A73:B73"/>
    <mergeCell ref="D73:E73"/>
    <mergeCell ref="A74:B74"/>
    <mergeCell ref="D74:E74"/>
    <mergeCell ref="A75:B75"/>
    <mergeCell ref="D75:E75"/>
    <mergeCell ref="D81:E81"/>
    <mergeCell ref="G103:J103"/>
    <mergeCell ref="D170:E170"/>
    <mergeCell ref="A130:B130"/>
    <mergeCell ref="D130:E130"/>
    <mergeCell ref="A131:B131"/>
    <mergeCell ref="D131:E131"/>
    <mergeCell ref="A104:F104"/>
    <mergeCell ref="G104:J104"/>
    <mergeCell ref="A86:B86"/>
    <mergeCell ref="D86:E86"/>
    <mergeCell ref="F86:G95"/>
    <mergeCell ref="H86:J95"/>
    <mergeCell ref="A87:B87"/>
    <mergeCell ref="D87:E87"/>
    <mergeCell ref="A88:B88"/>
    <mergeCell ref="D88:E88"/>
    <mergeCell ref="A89:B89"/>
    <mergeCell ref="D89:E89"/>
    <mergeCell ref="A95:B95"/>
    <mergeCell ref="A93:B93"/>
    <mergeCell ref="D93:E93"/>
    <mergeCell ref="A94:B94"/>
    <mergeCell ref="D94:E94"/>
    <mergeCell ref="A91:B91"/>
    <mergeCell ref="D92:E92"/>
    <mergeCell ref="D129:E129"/>
    <mergeCell ref="Q157:R157"/>
    <mergeCell ref="A246:B246"/>
    <mergeCell ref="C246:E246"/>
    <mergeCell ref="F246:G246"/>
    <mergeCell ref="H246:J246"/>
    <mergeCell ref="A155:B155"/>
    <mergeCell ref="D155:E155"/>
    <mergeCell ref="A156:B156"/>
    <mergeCell ref="D156:E156"/>
    <mergeCell ref="A157:B157"/>
    <mergeCell ref="D157:E157"/>
    <mergeCell ref="D162:E162"/>
    <mergeCell ref="A165:J165"/>
    <mergeCell ref="A163:B163"/>
    <mergeCell ref="D163:E163"/>
    <mergeCell ref="A164:B164"/>
    <mergeCell ref="D164:E164"/>
    <mergeCell ref="A161:B161"/>
    <mergeCell ref="A162:B162"/>
    <mergeCell ref="A159:J159"/>
    <mergeCell ref="A169:B169"/>
    <mergeCell ref="D169:E169"/>
    <mergeCell ref="A170:B170"/>
    <mergeCell ref="L32:S32"/>
    <mergeCell ref="C48:F48"/>
    <mergeCell ref="H48:J48"/>
    <mergeCell ref="A49:B49"/>
    <mergeCell ref="C49:F49"/>
    <mergeCell ref="H49:J49"/>
    <mergeCell ref="A153:J153"/>
    <mergeCell ref="A154:B154"/>
    <mergeCell ref="D154:E154"/>
    <mergeCell ref="I154:J157"/>
    <mergeCell ref="A149:B149"/>
    <mergeCell ref="D149:E149"/>
    <mergeCell ref="I149:J152"/>
    <mergeCell ref="A150:B150"/>
    <mergeCell ref="D150:E150"/>
    <mergeCell ref="A151:B151"/>
    <mergeCell ref="D151:E151"/>
    <mergeCell ref="A152:B152"/>
    <mergeCell ref="D152:E152"/>
    <mergeCell ref="A127:J127"/>
    <mergeCell ref="A128:B128"/>
    <mergeCell ref="D128:E128"/>
    <mergeCell ref="I128:J131"/>
    <mergeCell ref="A129:B129"/>
  </mergeCells>
  <phoneticPr fontId="0" type="noConversion"/>
  <hyperlinks>
    <hyperlink ref="C33" r:id="rId1"/>
  </hyperlinks>
  <pageMargins left="0.39370078740157499" right="0.39370078740157499" top="0.86614173228346503" bottom="0.78740157480314998" header="0.196850393700787" footer="0.196850393700787"/>
  <pageSetup paperSize="9" scale="92" fitToHeight="0" orientation="portrait" r:id="rId2"/>
  <headerFooter>
    <oddHeader>&amp;C&amp;G</oddHeader>
    <oddFooter>&amp;L&amp;"Times New Roman,Bold"Ref No: &amp;F&amp;C&amp;G&amp;R&amp;P</oddFooter>
  </headerFooter>
  <rowBreaks count="3" manualBreakCount="3">
    <brk id="81" max="9" man="1"/>
    <brk id="250" max="16383" man="1"/>
    <brk id="29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2" sqref="C12"/>
    </sheetView>
  </sheetViews>
  <sheetFormatPr defaultRowHeight="15" x14ac:dyDescent="0.25"/>
  <cols>
    <col min="1" max="1" width="11.28515625" customWidth="1"/>
    <col min="2" max="2" width="12" customWidth="1"/>
    <col min="3" max="3" width="14.5703125" customWidth="1"/>
    <col min="4" max="4" width="4" customWidth="1"/>
    <col min="5" max="5" width="15.28515625" customWidth="1"/>
    <col min="6" max="7" width="9.28515625" customWidth="1"/>
    <col min="9" max="9" width="12.7109375" customWidth="1"/>
    <col min="10" max="10" width="15.28515625" customWidth="1"/>
    <col min="13" max="13" width="16.5703125" customWidth="1"/>
  </cols>
  <sheetData>
    <row r="2" spans="1:15" x14ac:dyDescent="0.25">
      <c r="A2" t="s">
        <v>109</v>
      </c>
      <c r="B2" s="7" t="s">
        <v>129</v>
      </c>
      <c r="C2" s="7">
        <v>30</v>
      </c>
    </row>
    <row r="3" spans="1:15" x14ac:dyDescent="0.25">
      <c r="B3" t="s">
        <v>110</v>
      </c>
      <c r="C3" t="s">
        <v>111</v>
      </c>
    </row>
    <row r="4" spans="1:15" x14ac:dyDescent="0.25">
      <c r="A4" t="s">
        <v>112</v>
      </c>
      <c r="B4" s="1">
        <v>10</v>
      </c>
      <c r="C4" s="1">
        <v>10</v>
      </c>
      <c r="E4">
        <f>(100/B4)*C4</f>
        <v>100</v>
      </c>
    </row>
    <row r="5" spans="1:15" x14ac:dyDescent="0.25">
      <c r="A5" t="s">
        <v>113</v>
      </c>
      <c r="B5" t="s">
        <v>114</v>
      </c>
      <c r="C5" t="s">
        <v>115</v>
      </c>
      <c r="E5">
        <f>(100/B6)*C6</f>
        <v>48.387096774193544</v>
      </c>
      <c r="I5" s="1" t="s">
        <v>116</v>
      </c>
      <c r="J5" s="1" t="s">
        <v>117</v>
      </c>
      <c r="K5" s="1" t="s">
        <v>118</v>
      </c>
      <c r="L5" s="1" t="s">
        <v>38</v>
      </c>
      <c r="M5" s="1" t="s">
        <v>44</v>
      </c>
      <c r="N5" s="1" t="s">
        <v>119</v>
      </c>
      <c r="O5" s="1" t="s">
        <v>45</v>
      </c>
    </row>
    <row r="6" spans="1:15" x14ac:dyDescent="0.25">
      <c r="B6" s="1">
        <f>C2+1</f>
        <v>31</v>
      </c>
      <c r="C6" s="1">
        <v>15</v>
      </c>
      <c r="E6">
        <f>(100/B8)*C8</f>
        <v>46.666666666666671</v>
      </c>
      <c r="F6" s="8" t="s">
        <v>120</v>
      </c>
      <c r="I6" s="8">
        <f>C4</f>
        <v>10</v>
      </c>
      <c r="J6" s="8">
        <f>40/B6*C6</f>
        <v>19.35483870967742</v>
      </c>
      <c r="K6" s="8">
        <f>15/B8*C8</f>
        <v>7</v>
      </c>
      <c r="L6" s="8">
        <f>10/B10*C10</f>
        <v>3</v>
      </c>
      <c r="M6" s="8">
        <f>10/B12*C12</f>
        <v>0.33333333333333331</v>
      </c>
      <c r="N6" s="8">
        <f>5/B14*C14</f>
        <v>0</v>
      </c>
      <c r="O6" s="8">
        <f>5/B16*C16</f>
        <v>0</v>
      </c>
    </row>
    <row r="7" spans="1:15" x14ac:dyDescent="0.25">
      <c r="A7" t="s">
        <v>121</v>
      </c>
      <c r="B7" t="s">
        <v>122</v>
      </c>
      <c r="C7" t="s">
        <v>123</v>
      </c>
      <c r="E7">
        <f>(100/B10)*C10</f>
        <v>30</v>
      </c>
      <c r="F7" s="1" t="s">
        <v>124</v>
      </c>
      <c r="G7" s="1"/>
      <c r="H7" s="1"/>
      <c r="I7" s="1">
        <f>I6+20</f>
        <v>30</v>
      </c>
      <c r="J7" s="1">
        <f>30/B6*C6</f>
        <v>14.516129032258064</v>
      </c>
      <c r="K7" s="1">
        <f>15/B8*C8</f>
        <v>7</v>
      </c>
      <c r="L7" s="1">
        <f>10/B10*C10</f>
        <v>3</v>
      </c>
      <c r="M7" s="1">
        <f>5/B12*C12</f>
        <v>0.16666666666666666</v>
      </c>
      <c r="N7" s="1">
        <f>5/B14*C14</f>
        <v>0</v>
      </c>
      <c r="O7" s="1">
        <f>5/B16*C16</f>
        <v>0</v>
      </c>
    </row>
    <row r="8" spans="1:15" x14ac:dyDescent="0.25">
      <c r="B8" s="1">
        <f>C2</f>
        <v>30</v>
      </c>
      <c r="C8" s="1">
        <v>14</v>
      </c>
      <c r="E8">
        <f>(100/B12)*C12</f>
        <v>3.3333333333333335</v>
      </c>
    </row>
    <row r="9" spans="1:15" x14ac:dyDescent="0.25">
      <c r="A9" t="s">
        <v>125</v>
      </c>
      <c r="B9" t="s">
        <v>122</v>
      </c>
      <c r="C9" t="s">
        <v>123</v>
      </c>
      <c r="E9">
        <f>(100/B14)*C14</f>
        <v>0</v>
      </c>
    </row>
    <row r="10" spans="1:15" x14ac:dyDescent="0.25">
      <c r="B10" s="1">
        <f>C2</f>
        <v>30</v>
      </c>
      <c r="C10" s="1">
        <v>9</v>
      </c>
      <c r="E10">
        <f>(100/B16)*C16</f>
        <v>0</v>
      </c>
    </row>
    <row r="11" spans="1:15" x14ac:dyDescent="0.25">
      <c r="A11" t="s">
        <v>44</v>
      </c>
      <c r="B11" t="s">
        <v>122</v>
      </c>
      <c r="C11" t="s">
        <v>123</v>
      </c>
    </row>
    <row r="12" spans="1:15" x14ac:dyDescent="0.25">
      <c r="B12" s="1">
        <f>C2</f>
        <v>30</v>
      </c>
      <c r="C12" s="1">
        <v>1</v>
      </c>
      <c r="F12" s="1"/>
      <c r="G12" s="1" t="s">
        <v>120</v>
      </c>
      <c r="H12" s="1" t="s">
        <v>126</v>
      </c>
      <c r="L12" t="s">
        <v>127</v>
      </c>
    </row>
    <row r="13" spans="1:15" ht="31.5" customHeight="1" x14ac:dyDescent="0.25">
      <c r="A13" s="9" t="s">
        <v>119</v>
      </c>
      <c r="B13" t="s">
        <v>122</v>
      </c>
      <c r="C13" t="s">
        <v>123</v>
      </c>
      <c r="F13" s="1" t="s">
        <v>36</v>
      </c>
      <c r="G13" s="1">
        <f>I6</f>
        <v>10</v>
      </c>
      <c r="H13" s="1">
        <f>I7</f>
        <v>30</v>
      </c>
      <c r="L13" t="s">
        <v>127</v>
      </c>
    </row>
    <row r="14" spans="1:15" x14ac:dyDescent="0.25">
      <c r="B14" s="1">
        <f>C2</f>
        <v>30</v>
      </c>
      <c r="C14" s="1">
        <v>0</v>
      </c>
      <c r="F14" s="1" t="s">
        <v>37</v>
      </c>
      <c r="G14" s="1">
        <f>J6</f>
        <v>19.35483870967742</v>
      </c>
      <c r="H14" s="1">
        <f>J7</f>
        <v>14.516129032258064</v>
      </c>
    </row>
    <row r="15" spans="1:15" x14ac:dyDescent="0.25">
      <c r="A15" t="s">
        <v>45</v>
      </c>
      <c r="B15" t="s">
        <v>122</v>
      </c>
      <c r="C15" t="s">
        <v>123</v>
      </c>
      <c r="F15" s="1" t="s">
        <v>118</v>
      </c>
      <c r="G15" s="1">
        <f>K6</f>
        <v>7</v>
      </c>
      <c r="H15" s="1">
        <f>K7</f>
        <v>7</v>
      </c>
    </row>
    <row r="16" spans="1:15" x14ac:dyDescent="0.25">
      <c r="B16" s="1">
        <f>C2</f>
        <v>30</v>
      </c>
      <c r="C16" s="1">
        <v>0</v>
      </c>
      <c r="F16" s="1" t="s">
        <v>38</v>
      </c>
      <c r="G16" s="1">
        <f>L6</f>
        <v>3</v>
      </c>
      <c r="H16" s="1">
        <f>L7</f>
        <v>3</v>
      </c>
    </row>
    <row r="17" spans="6:8" x14ac:dyDescent="0.25">
      <c r="F17" s="1" t="s">
        <v>44</v>
      </c>
      <c r="G17" s="1">
        <f>M6</f>
        <v>0.33333333333333331</v>
      </c>
      <c r="H17" s="1">
        <f>M7</f>
        <v>0.16666666666666666</v>
      </c>
    </row>
    <row r="18" spans="6:8" ht="29.25" customHeight="1" x14ac:dyDescent="0.25">
      <c r="F18" s="10" t="s">
        <v>119</v>
      </c>
      <c r="G18" s="1">
        <f>N6</f>
        <v>0</v>
      </c>
      <c r="H18" s="1">
        <f>N7</f>
        <v>0</v>
      </c>
    </row>
    <row r="19" spans="6:8" x14ac:dyDescent="0.25">
      <c r="F19" s="1" t="s">
        <v>45</v>
      </c>
      <c r="G19" s="1">
        <f>O6</f>
        <v>0</v>
      </c>
      <c r="H19" s="1">
        <f>O7</f>
        <v>0</v>
      </c>
    </row>
    <row r="20" spans="6:8" x14ac:dyDescent="0.25">
      <c r="F20" s="1" t="s">
        <v>128</v>
      </c>
      <c r="G20" s="1">
        <f>G13+G14+G15+G16+G17+G18+G19</f>
        <v>39.688172043010759</v>
      </c>
      <c r="H20" s="1">
        <f>H13+H14+H15+H16+H17+H18+H19</f>
        <v>54.682795698924728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1" sqref="C11"/>
    </sheetView>
  </sheetViews>
  <sheetFormatPr defaultRowHeight="15" x14ac:dyDescent="0.25"/>
  <cols>
    <col min="1" max="1" width="11.28515625" customWidth="1"/>
    <col min="2" max="2" width="12" customWidth="1"/>
    <col min="3" max="3" width="14.5703125" customWidth="1"/>
    <col min="4" max="4" width="4" customWidth="1"/>
    <col min="5" max="5" width="15.28515625" customWidth="1"/>
    <col min="6" max="7" width="9.28515625" customWidth="1"/>
    <col min="9" max="9" width="12.7109375" customWidth="1"/>
    <col min="10" max="10" width="15.28515625" customWidth="1"/>
    <col min="13" max="13" width="16.5703125" customWidth="1"/>
  </cols>
  <sheetData>
    <row r="2" spans="1:15" x14ac:dyDescent="0.25">
      <c r="A2" t="s">
        <v>109</v>
      </c>
      <c r="B2" s="7" t="s">
        <v>129</v>
      </c>
      <c r="C2" s="7">
        <v>22</v>
      </c>
    </row>
    <row r="3" spans="1:15" x14ac:dyDescent="0.25">
      <c r="B3" t="s">
        <v>110</v>
      </c>
      <c r="C3" t="s">
        <v>111</v>
      </c>
    </row>
    <row r="4" spans="1:15" x14ac:dyDescent="0.25">
      <c r="A4" t="s">
        <v>112</v>
      </c>
      <c r="B4" s="1">
        <v>10</v>
      </c>
      <c r="C4" s="1">
        <v>10</v>
      </c>
      <c r="E4">
        <f>(100/B4)*C4</f>
        <v>100</v>
      </c>
    </row>
    <row r="5" spans="1:15" x14ac:dyDescent="0.25">
      <c r="A5" t="s">
        <v>113</v>
      </c>
      <c r="B5" t="s">
        <v>114</v>
      </c>
      <c r="C5" t="s">
        <v>115</v>
      </c>
      <c r="E5">
        <f>(100/B6)*C6</f>
        <v>52.173913043478258</v>
      </c>
      <c r="I5" s="1" t="s">
        <v>116</v>
      </c>
      <c r="J5" s="1" t="s">
        <v>117</v>
      </c>
      <c r="K5" s="1" t="s">
        <v>118</v>
      </c>
      <c r="L5" s="1" t="s">
        <v>38</v>
      </c>
      <c r="M5" s="1" t="s">
        <v>44</v>
      </c>
      <c r="N5" s="1" t="s">
        <v>119</v>
      </c>
      <c r="O5" s="1" t="s">
        <v>45</v>
      </c>
    </row>
    <row r="6" spans="1:15" x14ac:dyDescent="0.25">
      <c r="B6" s="1">
        <f>C2+1</f>
        <v>23</v>
      </c>
      <c r="C6" s="1">
        <v>12</v>
      </c>
      <c r="E6">
        <f>(100/B8)*C8</f>
        <v>50.000000000000007</v>
      </c>
      <c r="F6" s="8" t="s">
        <v>120</v>
      </c>
      <c r="I6" s="8">
        <f>C4</f>
        <v>10</v>
      </c>
      <c r="J6" s="8">
        <f>40/B6*C6</f>
        <v>20.869565217391305</v>
      </c>
      <c r="K6" s="8">
        <f>15/B8*C8</f>
        <v>7.4999999999999991</v>
      </c>
      <c r="L6" s="8">
        <f>10/B10*C10</f>
        <v>3.1818181818181817</v>
      </c>
      <c r="M6" s="8">
        <f>10/B12*C12</f>
        <v>0</v>
      </c>
      <c r="N6" s="8">
        <f>5/B14*C14</f>
        <v>0</v>
      </c>
      <c r="O6" s="8">
        <f>5/B16*C16</f>
        <v>0</v>
      </c>
    </row>
    <row r="7" spans="1:15" x14ac:dyDescent="0.25">
      <c r="A7" t="s">
        <v>121</v>
      </c>
      <c r="B7" t="s">
        <v>122</v>
      </c>
      <c r="C7" t="s">
        <v>123</v>
      </c>
      <c r="E7">
        <f>(100/B10)*C10</f>
        <v>31.81818181818182</v>
      </c>
      <c r="F7" s="1" t="s">
        <v>124</v>
      </c>
      <c r="G7" s="1"/>
      <c r="H7" s="1"/>
      <c r="I7" s="1">
        <f>I6+20</f>
        <v>30</v>
      </c>
      <c r="J7" s="1">
        <f>30/B6*C6</f>
        <v>15.652173913043478</v>
      </c>
      <c r="K7" s="1">
        <f>15/B8*C8</f>
        <v>7.4999999999999991</v>
      </c>
      <c r="L7" s="1">
        <f>10/B10*C10</f>
        <v>3.1818181818181817</v>
      </c>
      <c r="M7" s="1">
        <f>5/B12*C12</f>
        <v>0</v>
      </c>
      <c r="N7" s="1">
        <f>5/B14*C14</f>
        <v>0</v>
      </c>
      <c r="O7" s="1">
        <f>5/B16*C16</f>
        <v>0</v>
      </c>
    </row>
    <row r="8" spans="1:15" x14ac:dyDescent="0.25">
      <c r="B8" s="1">
        <f>C2</f>
        <v>22</v>
      </c>
      <c r="C8" s="1">
        <v>11</v>
      </c>
      <c r="E8">
        <f>(100/B12)*C12</f>
        <v>0</v>
      </c>
    </row>
    <row r="9" spans="1:15" x14ac:dyDescent="0.25">
      <c r="A9" t="s">
        <v>125</v>
      </c>
      <c r="B9" t="s">
        <v>122</v>
      </c>
      <c r="C9" t="s">
        <v>123</v>
      </c>
      <c r="E9">
        <f>(100/B14)*C14</f>
        <v>0</v>
      </c>
    </row>
    <row r="10" spans="1:15" x14ac:dyDescent="0.25">
      <c r="B10" s="1">
        <f>C2</f>
        <v>22</v>
      </c>
      <c r="C10" s="1">
        <v>7</v>
      </c>
      <c r="E10">
        <f>(100/B16)*C16</f>
        <v>0</v>
      </c>
    </row>
    <row r="11" spans="1:15" x14ac:dyDescent="0.25">
      <c r="A11" t="s">
        <v>44</v>
      </c>
      <c r="B11" t="s">
        <v>122</v>
      </c>
      <c r="C11" t="s">
        <v>123</v>
      </c>
    </row>
    <row r="12" spans="1:15" x14ac:dyDescent="0.25">
      <c r="B12" s="1">
        <f>C2</f>
        <v>22</v>
      </c>
      <c r="C12" s="1">
        <v>0</v>
      </c>
      <c r="F12" s="1"/>
      <c r="G12" s="1" t="s">
        <v>120</v>
      </c>
      <c r="H12" s="1" t="s">
        <v>126</v>
      </c>
      <c r="L12" t="s">
        <v>127</v>
      </c>
    </row>
    <row r="13" spans="1:15" ht="31.5" customHeight="1" x14ac:dyDescent="0.25">
      <c r="A13" s="9" t="s">
        <v>119</v>
      </c>
      <c r="B13" t="s">
        <v>122</v>
      </c>
      <c r="C13" t="s">
        <v>123</v>
      </c>
      <c r="F13" s="1" t="s">
        <v>36</v>
      </c>
      <c r="G13" s="1">
        <f>I6</f>
        <v>10</v>
      </c>
      <c r="H13" s="1">
        <f>I7</f>
        <v>30</v>
      </c>
      <c r="L13" t="s">
        <v>127</v>
      </c>
    </row>
    <row r="14" spans="1:15" x14ac:dyDescent="0.25">
      <c r="B14" s="1">
        <f>C2</f>
        <v>22</v>
      </c>
      <c r="C14" s="1">
        <v>0</v>
      </c>
      <c r="F14" s="1" t="s">
        <v>37</v>
      </c>
      <c r="G14" s="1">
        <f>J6</f>
        <v>20.869565217391305</v>
      </c>
      <c r="H14" s="1">
        <f>J7</f>
        <v>15.652173913043478</v>
      </c>
    </row>
    <row r="15" spans="1:15" x14ac:dyDescent="0.25">
      <c r="A15" t="s">
        <v>45</v>
      </c>
      <c r="B15" t="s">
        <v>122</v>
      </c>
      <c r="C15" t="s">
        <v>123</v>
      </c>
      <c r="F15" s="1" t="s">
        <v>118</v>
      </c>
      <c r="G15" s="1">
        <f>K6</f>
        <v>7.4999999999999991</v>
      </c>
      <c r="H15" s="1">
        <f>K7</f>
        <v>7.4999999999999991</v>
      </c>
    </row>
    <row r="16" spans="1:15" x14ac:dyDescent="0.25">
      <c r="B16" s="1">
        <f>C2</f>
        <v>22</v>
      </c>
      <c r="C16" s="1">
        <v>0</v>
      </c>
      <c r="F16" s="1" t="s">
        <v>38</v>
      </c>
      <c r="G16" s="1">
        <f>L6</f>
        <v>3.1818181818181817</v>
      </c>
      <c r="H16" s="1">
        <f>L7</f>
        <v>3.1818181818181817</v>
      </c>
    </row>
    <row r="17" spans="6:8" x14ac:dyDescent="0.25">
      <c r="F17" s="1" t="s">
        <v>44</v>
      </c>
      <c r="G17" s="1">
        <f>M6</f>
        <v>0</v>
      </c>
      <c r="H17" s="1">
        <f>M7</f>
        <v>0</v>
      </c>
    </row>
    <row r="18" spans="6:8" ht="29.25" customHeight="1" x14ac:dyDescent="0.25">
      <c r="F18" s="10" t="s">
        <v>119</v>
      </c>
      <c r="G18" s="1">
        <f>N6</f>
        <v>0</v>
      </c>
      <c r="H18" s="1">
        <f>N7</f>
        <v>0</v>
      </c>
    </row>
    <row r="19" spans="6:8" x14ac:dyDescent="0.25">
      <c r="F19" s="1" t="s">
        <v>45</v>
      </c>
      <c r="G19" s="1">
        <f>O6</f>
        <v>0</v>
      </c>
      <c r="H19" s="1">
        <f>O7</f>
        <v>0</v>
      </c>
    </row>
    <row r="20" spans="6:8" x14ac:dyDescent="0.25">
      <c r="F20" s="1" t="s">
        <v>128</v>
      </c>
      <c r="G20" s="1">
        <f>G13+G14+G15+G16+G17+G18+G19</f>
        <v>41.551383399209485</v>
      </c>
      <c r="H20" s="1">
        <f>H13+H14+H15+H16+H17+H18+H19</f>
        <v>56.333992094861657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A22" workbookViewId="0">
      <selection activeCell="Q17" sqref="Q17"/>
    </sheetView>
  </sheetViews>
  <sheetFormatPr defaultRowHeight="15" x14ac:dyDescent="0.25"/>
  <sheetData>
    <row r="2" spans="2:13" x14ac:dyDescent="0.25">
      <c r="C2" s="4" t="s">
        <v>95</v>
      </c>
      <c r="D2" s="159"/>
      <c r="E2" s="159"/>
    </row>
    <row r="3" spans="2:13" x14ac:dyDescent="0.25">
      <c r="E3" s="3"/>
      <c r="F3" s="3"/>
      <c r="G3" s="3"/>
      <c r="H3" s="3"/>
      <c r="I3" s="3"/>
      <c r="J3" s="3"/>
    </row>
    <row r="4" spans="2:13" x14ac:dyDescent="0.25">
      <c r="B4" s="4" t="s">
        <v>96</v>
      </c>
      <c r="C4" s="2" t="s">
        <v>76</v>
      </c>
      <c r="D4" s="160" t="s">
        <v>77</v>
      </c>
      <c r="E4" s="160"/>
      <c r="F4" s="160"/>
      <c r="G4" s="5"/>
      <c r="H4" s="160" t="s">
        <v>78</v>
      </c>
      <c r="I4" s="160"/>
      <c r="J4" s="160"/>
      <c r="K4" s="160" t="s">
        <v>79</v>
      </c>
      <c r="L4" s="160"/>
      <c r="M4" s="160"/>
    </row>
    <row r="5" spans="2:13" x14ac:dyDescent="0.25">
      <c r="B5" s="4">
        <v>1</v>
      </c>
      <c r="C5" s="2"/>
      <c r="D5" s="2" t="s">
        <v>80</v>
      </c>
      <c r="E5" s="2" t="s">
        <v>81</v>
      </c>
      <c r="F5" s="2" t="s">
        <v>82</v>
      </c>
      <c r="G5" s="2"/>
      <c r="H5" s="2" t="s">
        <v>80</v>
      </c>
      <c r="I5" s="2" t="s">
        <v>81</v>
      </c>
      <c r="J5" s="2" t="s">
        <v>82</v>
      </c>
      <c r="K5" s="2" t="s">
        <v>80</v>
      </c>
      <c r="L5" s="2" t="s">
        <v>81</v>
      </c>
      <c r="M5" s="2" t="s">
        <v>82</v>
      </c>
    </row>
    <row r="6" spans="2:13" x14ac:dyDescent="0.25">
      <c r="C6" s="1" t="s">
        <v>83</v>
      </c>
      <c r="D6" s="1"/>
      <c r="E6" s="1"/>
      <c r="F6" s="1">
        <f>D6*E6</f>
        <v>0</v>
      </c>
      <c r="G6" s="1" t="s">
        <v>98</v>
      </c>
      <c r="H6" s="1"/>
      <c r="I6" s="1"/>
      <c r="J6" s="1">
        <f>H6*I6</f>
        <v>0</v>
      </c>
      <c r="K6" s="1"/>
      <c r="L6" s="1"/>
      <c r="M6" s="1">
        <f>K6*L6</f>
        <v>0</v>
      </c>
    </row>
    <row r="7" spans="2:13" x14ac:dyDescent="0.25">
      <c r="C7" s="1"/>
      <c r="D7" s="1"/>
      <c r="E7" s="1"/>
      <c r="F7" s="1">
        <f t="shared" ref="F7:F33" si="0">D7*E7</f>
        <v>0</v>
      </c>
      <c r="G7" s="1" t="s">
        <v>99</v>
      </c>
      <c r="H7" s="1"/>
      <c r="I7" s="1"/>
      <c r="J7" s="1">
        <f t="shared" ref="J7:J29" si="1">H7*I7</f>
        <v>0</v>
      </c>
      <c r="K7" s="1"/>
      <c r="L7" s="1"/>
      <c r="M7" s="1">
        <f t="shared" ref="M7:M29" si="2">K7*L7</f>
        <v>0</v>
      </c>
    </row>
    <row r="8" spans="2:13" x14ac:dyDescent="0.25">
      <c r="C8" s="1"/>
      <c r="D8" s="1"/>
      <c r="E8" s="1"/>
      <c r="F8" s="1">
        <f t="shared" si="0"/>
        <v>0</v>
      </c>
      <c r="G8" s="1"/>
      <c r="H8" s="1"/>
      <c r="I8" s="1"/>
      <c r="J8" s="1">
        <f t="shared" si="1"/>
        <v>0</v>
      </c>
      <c r="K8" s="1"/>
      <c r="L8" s="1"/>
      <c r="M8" s="1">
        <f t="shared" si="2"/>
        <v>0</v>
      </c>
    </row>
    <row r="9" spans="2:13" x14ac:dyDescent="0.25">
      <c r="C9" s="1" t="s">
        <v>86</v>
      </c>
      <c r="D9" s="1"/>
      <c r="E9" s="1"/>
      <c r="F9" s="1">
        <f t="shared" si="0"/>
        <v>0</v>
      </c>
      <c r="G9" s="1" t="s">
        <v>98</v>
      </c>
      <c r="H9" s="1"/>
      <c r="I9" s="1"/>
      <c r="J9" s="1">
        <f t="shared" si="1"/>
        <v>0</v>
      </c>
      <c r="K9" s="1"/>
      <c r="L9" s="1"/>
      <c r="M9" s="1">
        <f t="shared" si="2"/>
        <v>0</v>
      </c>
    </row>
    <row r="10" spans="2:13" x14ac:dyDescent="0.25">
      <c r="C10" s="1"/>
      <c r="D10" s="1"/>
      <c r="E10" s="1"/>
      <c r="F10" s="1">
        <f t="shared" si="0"/>
        <v>0</v>
      </c>
      <c r="G10" s="1" t="s">
        <v>99</v>
      </c>
      <c r="H10" s="1"/>
      <c r="I10" s="1"/>
      <c r="J10" s="1">
        <f t="shared" si="1"/>
        <v>0</v>
      </c>
      <c r="K10" s="1"/>
      <c r="L10" s="1"/>
      <c r="M10" s="1">
        <f t="shared" si="2"/>
        <v>0</v>
      </c>
    </row>
    <row r="11" spans="2:13" x14ac:dyDescent="0.25">
      <c r="C11" s="1"/>
      <c r="D11" s="1"/>
      <c r="E11" s="1"/>
      <c r="F11" s="1">
        <f t="shared" si="0"/>
        <v>0</v>
      </c>
      <c r="G11" s="1"/>
      <c r="H11" s="1"/>
      <c r="I11" s="1"/>
      <c r="J11" s="1">
        <f t="shared" si="1"/>
        <v>0</v>
      </c>
      <c r="K11" s="1"/>
      <c r="L11" s="1"/>
      <c r="M11" s="1">
        <f t="shared" si="2"/>
        <v>0</v>
      </c>
    </row>
    <row r="12" spans="2:13" x14ac:dyDescent="0.25">
      <c r="C12" s="1"/>
      <c r="D12" s="1"/>
      <c r="E12" s="1"/>
      <c r="F12" s="1">
        <f t="shared" si="0"/>
        <v>0</v>
      </c>
      <c r="G12" s="1"/>
      <c r="H12" s="1"/>
      <c r="I12" s="1"/>
      <c r="J12" s="1">
        <f t="shared" si="1"/>
        <v>0</v>
      </c>
      <c r="K12" s="1"/>
      <c r="L12" s="1"/>
      <c r="M12" s="1">
        <f t="shared" si="2"/>
        <v>0</v>
      </c>
    </row>
    <row r="13" spans="2:13" x14ac:dyDescent="0.25">
      <c r="C13" s="1" t="s">
        <v>84</v>
      </c>
      <c r="D13" s="1"/>
      <c r="E13" s="1"/>
      <c r="F13" s="1">
        <f t="shared" si="0"/>
        <v>0</v>
      </c>
      <c r="G13" s="1" t="s">
        <v>98</v>
      </c>
      <c r="H13" s="1"/>
      <c r="I13" s="1"/>
      <c r="J13" s="1">
        <f t="shared" si="1"/>
        <v>0</v>
      </c>
      <c r="K13" s="1"/>
      <c r="L13" s="1"/>
      <c r="M13" s="1">
        <f t="shared" si="2"/>
        <v>0</v>
      </c>
    </row>
    <row r="14" spans="2:13" x14ac:dyDescent="0.25">
      <c r="C14" s="1"/>
      <c r="D14" s="1"/>
      <c r="E14" s="1"/>
      <c r="F14" s="1">
        <f t="shared" si="0"/>
        <v>0</v>
      </c>
      <c r="G14" s="1" t="s">
        <v>99</v>
      </c>
      <c r="H14" s="1"/>
      <c r="I14" s="1"/>
      <c r="J14" s="1">
        <f t="shared" si="1"/>
        <v>0</v>
      </c>
      <c r="K14" s="1"/>
      <c r="L14" s="1"/>
      <c r="M14" s="1">
        <f t="shared" si="2"/>
        <v>0</v>
      </c>
    </row>
    <row r="15" spans="2:13" x14ac:dyDescent="0.25">
      <c r="C15" s="1"/>
      <c r="D15" s="1"/>
      <c r="E15" s="1"/>
      <c r="F15" s="1">
        <f t="shared" si="0"/>
        <v>0</v>
      </c>
      <c r="G15" s="1"/>
      <c r="H15" s="1"/>
      <c r="I15" s="1"/>
      <c r="J15" s="1">
        <f t="shared" si="1"/>
        <v>0</v>
      </c>
      <c r="K15" s="1"/>
      <c r="L15" s="1"/>
      <c r="M15" s="1">
        <f t="shared" si="2"/>
        <v>0</v>
      </c>
    </row>
    <row r="16" spans="2:13" x14ac:dyDescent="0.25">
      <c r="C16" s="1"/>
      <c r="D16" s="1"/>
      <c r="E16" s="1"/>
      <c r="F16" s="1">
        <f t="shared" si="0"/>
        <v>0</v>
      </c>
      <c r="G16" s="1"/>
      <c r="H16" s="1"/>
      <c r="I16" s="1"/>
      <c r="J16" s="1">
        <f t="shared" si="1"/>
        <v>0</v>
      </c>
      <c r="K16" s="1"/>
      <c r="L16" s="1"/>
      <c r="M16" s="1">
        <f t="shared" si="2"/>
        <v>0</v>
      </c>
    </row>
    <row r="17" spans="3:13" x14ac:dyDescent="0.25">
      <c r="C17" s="1" t="s">
        <v>85</v>
      </c>
      <c r="D17" s="1"/>
      <c r="E17" s="1"/>
      <c r="F17" s="1">
        <f t="shared" si="0"/>
        <v>0</v>
      </c>
      <c r="G17" s="1" t="s">
        <v>98</v>
      </c>
      <c r="H17" s="1"/>
      <c r="I17" s="1"/>
      <c r="J17" s="1">
        <f t="shared" si="1"/>
        <v>0</v>
      </c>
      <c r="K17" s="1"/>
      <c r="L17" s="1"/>
      <c r="M17" s="1">
        <f t="shared" si="2"/>
        <v>0</v>
      </c>
    </row>
    <row r="18" spans="3:13" x14ac:dyDescent="0.25">
      <c r="C18" s="1"/>
      <c r="D18" s="1"/>
      <c r="E18" s="1"/>
      <c r="F18" s="1">
        <f t="shared" si="0"/>
        <v>0</v>
      </c>
      <c r="G18" s="1" t="s">
        <v>99</v>
      </c>
      <c r="H18" s="1"/>
      <c r="I18" s="1"/>
      <c r="J18" s="1">
        <f t="shared" si="1"/>
        <v>0</v>
      </c>
      <c r="K18" s="1"/>
      <c r="L18" s="1"/>
      <c r="M18" s="1">
        <f t="shared" si="2"/>
        <v>0</v>
      </c>
    </row>
    <row r="19" spans="3:13" x14ac:dyDescent="0.25">
      <c r="C19" s="1"/>
      <c r="D19" s="1"/>
      <c r="E19" s="1"/>
      <c r="F19" s="1">
        <f t="shared" si="0"/>
        <v>0</v>
      </c>
      <c r="G19" s="1"/>
      <c r="H19" s="1"/>
      <c r="I19" s="1"/>
      <c r="J19" s="1">
        <f t="shared" si="1"/>
        <v>0</v>
      </c>
      <c r="K19" s="1"/>
      <c r="L19" s="1"/>
      <c r="M19" s="1">
        <f t="shared" si="2"/>
        <v>0</v>
      </c>
    </row>
    <row r="20" spans="3:13" x14ac:dyDescent="0.25">
      <c r="C20" s="1" t="s">
        <v>85</v>
      </c>
      <c r="D20" s="1"/>
      <c r="E20" s="1"/>
      <c r="F20" s="1">
        <f t="shared" si="0"/>
        <v>0</v>
      </c>
      <c r="G20" s="1" t="s">
        <v>98</v>
      </c>
      <c r="H20" s="1"/>
      <c r="I20" s="1"/>
      <c r="J20" s="1">
        <f t="shared" si="1"/>
        <v>0</v>
      </c>
      <c r="K20" s="1"/>
      <c r="L20" s="1"/>
      <c r="M20" s="1">
        <f t="shared" si="2"/>
        <v>0</v>
      </c>
    </row>
    <row r="21" spans="3:13" x14ac:dyDescent="0.25">
      <c r="C21" s="1"/>
      <c r="D21" s="1"/>
      <c r="E21" s="1"/>
      <c r="F21" s="1">
        <f t="shared" si="0"/>
        <v>0</v>
      </c>
      <c r="G21" s="1" t="s">
        <v>99</v>
      </c>
      <c r="H21" s="1"/>
      <c r="I21" s="1"/>
      <c r="J21" s="1">
        <f t="shared" si="1"/>
        <v>0</v>
      </c>
      <c r="K21" s="1"/>
      <c r="L21" s="1"/>
      <c r="M21" s="1">
        <f t="shared" si="2"/>
        <v>0</v>
      </c>
    </row>
    <row r="22" spans="3:13" x14ac:dyDescent="0.25">
      <c r="C22" s="1"/>
      <c r="D22" s="1"/>
      <c r="E22" s="1"/>
      <c r="F22" s="1">
        <f t="shared" si="0"/>
        <v>0</v>
      </c>
      <c r="G22" s="1"/>
      <c r="H22" s="1"/>
      <c r="I22" s="1"/>
      <c r="J22" s="1">
        <f t="shared" si="1"/>
        <v>0</v>
      </c>
      <c r="K22" s="1"/>
      <c r="L22" s="1"/>
      <c r="M22" s="1">
        <f t="shared" si="2"/>
        <v>0</v>
      </c>
    </row>
    <row r="23" spans="3:13" x14ac:dyDescent="0.25">
      <c r="C23" s="1" t="s">
        <v>91</v>
      </c>
      <c r="D23" s="1"/>
      <c r="E23" s="1"/>
      <c r="F23" s="1">
        <f t="shared" si="0"/>
        <v>0</v>
      </c>
      <c r="G23" s="1" t="s">
        <v>100</v>
      </c>
      <c r="H23" s="1"/>
      <c r="I23" s="1"/>
      <c r="J23" s="1">
        <f t="shared" si="1"/>
        <v>0</v>
      </c>
      <c r="K23" s="1"/>
      <c r="L23" s="1"/>
      <c r="M23" s="1">
        <f t="shared" si="2"/>
        <v>0</v>
      </c>
    </row>
    <row r="24" spans="3:13" x14ac:dyDescent="0.25">
      <c r="C24" s="1" t="s">
        <v>92</v>
      </c>
      <c r="D24" s="1"/>
      <c r="E24" s="1"/>
      <c r="F24" s="1">
        <f t="shared" si="0"/>
        <v>0</v>
      </c>
      <c r="G24" s="1" t="s">
        <v>100</v>
      </c>
      <c r="H24" s="1"/>
      <c r="I24" s="1"/>
      <c r="J24" s="1">
        <f t="shared" si="1"/>
        <v>0</v>
      </c>
      <c r="K24" s="1"/>
      <c r="L24" s="1"/>
      <c r="M24" s="1">
        <f t="shared" si="2"/>
        <v>0</v>
      </c>
    </row>
    <row r="25" spans="3:13" x14ac:dyDescent="0.25">
      <c r="C25" s="1" t="s">
        <v>93</v>
      </c>
      <c r="D25" s="1"/>
      <c r="E25" s="1"/>
      <c r="F25" s="1">
        <f t="shared" si="0"/>
        <v>0</v>
      </c>
      <c r="G25" s="1" t="s">
        <v>100</v>
      </c>
      <c r="H25" s="1"/>
      <c r="I25" s="1"/>
      <c r="J25" s="1">
        <f t="shared" si="1"/>
        <v>0</v>
      </c>
      <c r="K25" s="1"/>
      <c r="L25" s="1"/>
      <c r="M25" s="1">
        <f t="shared" si="2"/>
        <v>0</v>
      </c>
    </row>
    <row r="26" spans="3:13" x14ac:dyDescent="0.25">
      <c r="C26" s="1"/>
      <c r="D26" s="1"/>
      <c r="E26" s="1"/>
      <c r="F26" s="1">
        <f t="shared" si="0"/>
        <v>0</v>
      </c>
      <c r="G26" s="1"/>
      <c r="H26" s="1"/>
      <c r="I26" s="1"/>
      <c r="J26" s="1">
        <f t="shared" si="1"/>
        <v>0</v>
      </c>
      <c r="K26" s="1"/>
      <c r="L26" s="1"/>
      <c r="M26" s="1">
        <f t="shared" si="2"/>
        <v>0</v>
      </c>
    </row>
    <row r="27" spans="3:13" x14ac:dyDescent="0.25">
      <c r="C27" s="1" t="s">
        <v>87</v>
      </c>
      <c r="D27" s="1"/>
      <c r="E27" s="1"/>
      <c r="F27" s="1">
        <f t="shared" si="0"/>
        <v>0</v>
      </c>
      <c r="G27" s="1"/>
      <c r="H27" s="1"/>
      <c r="I27" s="1"/>
      <c r="J27" s="1">
        <f t="shared" si="1"/>
        <v>0</v>
      </c>
      <c r="K27" s="1"/>
      <c r="L27" s="1"/>
      <c r="M27" s="1">
        <f t="shared" si="2"/>
        <v>0</v>
      </c>
    </row>
    <row r="28" spans="3:13" x14ac:dyDescent="0.25">
      <c r="C28" s="1" t="s">
        <v>88</v>
      </c>
      <c r="D28" s="1"/>
      <c r="E28" s="1"/>
      <c r="F28" s="1">
        <f t="shared" si="0"/>
        <v>0</v>
      </c>
      <c r="G28" s="1"/>
      <c r="H28" s="1"/>
      <c r="I28" s="1"/>
      <c r="J28" s="1">
        <f t="shared" si="1"/>
        <v>0</v>
      </c>
      <c r="K28" s="1"/>
      <c r="L28" s="1"/>
      <c r="M28" s="1">
        <f t="shared" si="2"/>
        <v>0</v>
      </c>
    </row>
    <row r="29" spans="3:13" x14ac:dyDescent="0.25">
      <c r="C29" s="1" t="s">
        <v>89</v>
      </c>
      <c r="D29" s="1"/>
      <c r="E29" s="1"/>
      <c r="F29" s="1">
        <f t="shared" si="0"/>
        <v>0</v>
      </c>
      <c r="G29" s="1"/>
      <c r="H29" s="1"/>
      <c r="I29" s="1"/>
      <c r="J29" s="1">
        <f t="shared" si="1"/>
        <v>0</v>
      </c>
      <c r="K29" s="1"/>
      <c r="L29" s="1"/>
      <c r="M29" s="1">
        <f t="shared" si="2"/>
        <v>0</v>
      </c>
    </row>
    <row r="30" spans="3:13" x14ac:dyDescent="0.25">
      <c r="C30" s="1" t="s">
        <v>90</v>
      </c>
      <c r="D30" s="1"/>
      <c r="E30" s="1"/>
      <c r="F30" s="1">
        <f t="shared" si="0"/>
        <v>0</v>
      </c>
      <c r="G30" s="1"/>
      <c r="H30" s="1"/>
      <c r="I30" s="1"/>
      <c r="J30" s="1">
        <f>H30*I30</f>
        <v>0</v>
      </c>
      <c r="K30" s="1"/>
      <c r="L30" s="1"/>
      <c r="M30" s="1">
        <f>K30*L30</f>
        <v>0</v>
      </c>
    </row>
    <row r="31" spans="3:13" x14ac:dyDescent="0.25">
      <c r="C31" s="1"/>
      <c r="D31" s="1"/>
      <c r="E31" s="1"/>
      <c r="F31" s="1">
        <f t="shared" si="0"/>
        <v>0</v>
      </c>
      <c r="G31" s="1"/>
      <c r="H31" s="1"/>
      <c r="I31" s="1"/>
      <c r="J31" s="1">
        <f>H31*I31</f>
        <v>0</v>
      </c>
      <c r="K31" s="1"/>
      <c r="L31" s="1"/>
      <c r="M31" s="1">
        <f>K31*L31</f>
        <v>0</v>
      </c>
    </row>
    <row r="32" spans="3:13" x14ac:dyDescent="0.25">
      <c r="C32" s="1"/>
      <c r="D32" s="1"/>
      <c r="E32" s="1"/>
      <c r="F32" s="1">
        <f t="shared" si="0"/>
        <v>0</v>
      </c>
      <c r="G32" s="1"/>
      <c r="H32" s="1"/>
      <c r="I32" s="1"/>
      <c r="J32" s="1">
        <f>H32*I32</f>
        <v>0</v>
      </c>
      <c r="K32" s="1"/>
      <c r="L32" s="1"/>
      <c r="M32" s="1">
        <f>K32*L32</f>
        <v>0</v>
      </c>
    </row>
    <row r="33" spans="3:13" x14ac:dyDescent="0.25">
      <c r="C33" s="1"/>
      <c r="D33" s="1"/>
      <c r="E33" s="1"/>
      <c r="F33" s="1">
        <f t="shared" si="0"/>
        <v>0</v>
      </c>
      <c r="G33" s="1"/>
      <c r="H33" s="1"/>
      <c r="I33" s="1"/>
      <c r="J33" s="1">
        <f>H33*I33</f>
        <v>0</v>
      </c>
      <c r="K33" s="1"/>
      <c r="L33" s="1"/>
      <c r="M33" s="1">
        <f>K33*L33</f>
        <v>0</v>
      </c>
    </row>
    <row r="34" spans="3:13" x14ac:dyDescent="0.25">
      <c r="C34" s="1" t="s">
        <v>94</v>
      </c>
      <c r="D34" s="1"/>
      <c r="E34" s="1">
        <f>F34*10.764</f>
        <v>0</v>
      </c>
      <c r="F34" s="1">
        <f>SUM(F6:F33)</f>
        <v>0</v>
      </c>
      <c r="G34" s="1"/>
      <c r="H34" s="1"/>
      <c r="I34" s="1">
        <f>J34*10.764</f>
        <v>0</v>
      </c>
      <c r="J34" s="1">
        <f>SUM(J6:J33)</f>
        <v>0</v>
      </c>
      <c r="K34" s="1"/>
      <c r="L34" s="1">
        <f>M34*10.764</f>
        <v>0</v>
      </c>
      <c r="M34" s="1">
        <f>SUM(M6:M33)</f>
        <v>0</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4" t="s">
        <v>95</v>
      </c>
      <c r="D3" s="159"/>
      <c r="E3" s="159"/>
    </row>
    <row r="4" spans="2:13" x14ac:dyDescent="0.25">
      <c r="E4" s="3"/>
      <c r="F4" s="3"/>
      <c r="G4" s="3"/>
      <c r="H4" s="3"/>
      <c r="I4" s="3"/>
      <c r="J4" s="3"/>
    </row>
    <row r="5" spans="2:13" x14ac:dyDescent="0.25">
      <c r="B5" s="4" t="s">
        <v>96</v>
      </c>
      <c r="C5" s="2" t="s">
        <v>76</v>
      </c>
      <c r="D5" s="160" t="s">
        <v>77</v>
      </c>
      <c r="E5" s="160"/>
      <c r="F5" s="160"/>
      <c r="G5" s="5"/>
      <c r="H5" s="160" t="s">
        <v>78</v>
      </c>
      <c r="I5" s="160"/>
      <c r="J5" s="160"/>
      <c r="K5" s="160" t="s">
        <v>79</v>
      </c>
      <c r="L5" s="160"/>
      <c r="M5" s="160"/>
    </row>
    <row r="6" spans="2:13" x14ac:dyDescent="0.25">
      <c r="B6" s="4">
        <v>1</v>
      </c>
      <c r="C6" s="2"/>
      <c r="D6" s="2" t="s">
        <v>80</v>
      </c>
      <c r="E6" s="2" t="s">
        <v>81</v>
      </c>
      <c r="F6" s="2" t="s">
        <v>82</v>
      </c>
      <c r="G6" s="2"/>
      <c r="H6" s="2" t="s">
        <v>80</v>
      </c>
      <c r="I6" s="2" t="s">
        <v>81</v>
      </c>
      <c r="J6" s="2" t="s">
        <v>82</v>
      </c>
      <c r="K6" s="2" t="s">
        <v>80</v>
      </c>
      <c r="L6" s="2" t="s">
        <v>81</v>
      </c>
      <c r="M6" s="2" t="s">
        <v>82</v>
      </c>
    </row>
    <row r="7" spans="2:13" x14ac:dyDescent="0.25">
      <c r="C7" s="1" t="s">
        <v>83</v>
      </c>
      <c r="D7" s="1"/>
      <c r="E7" s="1"/>
      <c r="F7" s="1">
        <f>D7*E7</f>
        <v>0</v>
      </c>
      <c r="G7" s="1" t="s">
        <v>98</v>
      </c>
      <c r="H7" s="1"/>
      <c r="I7" s="1"/>
      <c r="J7" s="1">
        <f>H7*I7</f>
        <v>0</v>
      </c>
      <c r="K7" s="1"/>
      <c r="L7" s="1"/>
      <c r="M7" s="1">
        <f>K7*L7</f>
        <v>0</v>
      </c>
    </row>
    <row r="8" spans="2:13" x14ac:dyDescent="0.25">
      <c r="C8" s="1"/>
      <c r="D8" s="1"/>
      <c r="E8" s="1"/>
      <c r="F8" s="1">
        <f t="shared" ref="F8:F34" si="0">D8*E8</f>
        <v>0</v>
      </c>
      <c r="G8" s="1" t="s">
        <v>99</v>
      </c>
      <c r="H8" s="1"/>
      <c r="I8" s="1"/>
      <c r="J8" s="1">
        <f t="shared" ref="J8:J34" si="1">H8*I8</f>
        <v>0</v>
      </c>
      <c r="K8" s="1"/>
      <c r="L8" s="1"/>
      <c r="M8" s="1">
        <f t="shared" ref="M8:M34" si="2">K8*L8</f>
        <v>0</v>
      </c>
    </row>
    <row r="9" spans="2:13" x14ac:dyDescent="0.25">
      <c r="C9" s="1"/>
      <c r="D9" s="1"/>
      <c r="E9" s="1"/>
      <c r="F9" s="1">
        <f t="shared" si="0"/>
        <v>0</v>
      </c>
      <c r="G9" s="1"/>
      <c r="H9" s="1"/>
      <c r="I9" s="1"/>
      <c r="J9" s="1">
        <f t="shared" si="1"/>
        <v>0</v>
      </c>
      <c r="K9" s="1"/>
      <c r="L9" s="1"/>
      <c r="M9" s="1">
        <f t="shared" si="2"/>
        <v>0</v>
      </c>
    </row>
    <row r="10" spans="2:13" x14ac:dyDescent="0.25">
      <c r="C10" s="1" t="s">
        <v>86</v>
      </c>
      <c r="D10" s="1"/>
      <c r="E10" s="1"/>
      <c r="F10" s="1">
        <f t="shared" si="0"/>
        <v>0</v>
      </c>
      <c r="G10" s="1" t="s">
        <v>98</v>
      </c>
      <c r="H10" s="1"/>
      <c r="I10" s="1"/>
      <c r="J10" s="1">
        <f t="shared" si="1"/>
        <v>0</v>
      </c>
      <c r="K10" s="1"/>
      <c r="L10" s="1"/>
      <c r="M10" s="1">
        <f t="shared" si="2"/>
        <v>0</v>
      </c>
    </row>
    <row r="11" spans="2:13" x14ac:dyDescent="0.25">
      <c r="C11" s="1"/>
      <c r="D11" s="1"/>
      <c r="E11" s="1"/>
      <c r="F11" s="1">
        <f t="shared" si="0"/>
        <v>0</v>
      </c>
      <c r="G11" s="1" t="s">
        <v>99</v>
      </c>
      <c r="H11" s="1"/>
      <c r="I11" s="1"/>
      <c r="J11" s="1">
        <f t="shared" si="1"/>
        <v>0</v>
      </c>
      <c r="K11" s="1"/>
      <c r="L11" s="1"/>
      <c r="M11" s="1">
        <f t="shared" si="2"/>
        <v>0</v>
      </c>
    </row>
    <row r="12" spans="2:13" x14ac:dyDescent="0.25">
      <c r="C12" s="1"/>
      <c r="D12" s="1"/>
      <c r="E12" s="1"/>
      <c r="F12" s="1">
        <f t="shared" si="0"/>
        <v>0</v>
      </c>
      <c r="G12" s="1"/>
      <c r="H12" s="1"/>
      <c r="I12" s="1"/>
      <c r="J12" s="1">
        <f t="shared" si="1"/>
        <v>0</v>
      </c>
      <c r="K12" s="1"/>
      <c r="L12" s="1"/>
      <c r="M12" s="1">
        <f t="shared" si="2"/>
        <v>0</v>
      </c>
    </row>
    <row r="13" spans="2:13" x14ac:dyDescent="0.25">
      <c r="C13" s="1"/>
      <c r="D13" s="1"/>
      <c r="E13" s="1"/>
      <c r="F13" s="1">
        <f t="shared" si="0"/>
        <v>0</v>
      </c>
      <c r="G13" s="1"/>
      <c r="H13" s="1"/>
      <c r="I13" s="1"/>
      <c r="J13" s="1">
        <f t="shared" si="1"/>
        <v>0</v>
      </c>
      <c r="K13" s="1"/>
      <c r="L13" s="1"/>
      <c r="M13" s="1">
        <f t="shared" si="2"/>
        <v>0</v>
      </c>
    </row>
    <row r="14" spans="2:13" x14ac:dyDescent="0.25">
      <c r="C14" s="1" t="s">
        <v>84</v>
      </c>
      <c r="D14" s="1"/>
      <c r="E14" s="1"/>
      <c r="F14" s="1">
        <f t="shared" si="0"/>
        <v>0</v>
      </c>
      <c r="G14" s="1" t="s">
        <v>98</v>
      </c>
      <c r="H14" s="1"/>
      <c r="I14" s="1"/>
      <c r="J14" s="1">
        <f t="shared" si="1"/>
        <v>0</v>
      </c>
      <c r="K14" s="1"/>
      <c r="L14" s="1"/>
      <c r="M14" s="1">
        <f t="shared" si="2"/>
        <v>0</v>
      </c>
    </row>
    <row r="15" spans="2:13" x14ac:dyDescent="0.25">
      <c r="C15" s="1"/>
      <c r="D15" s="1"/>
      <c r="E15" s="1"/>
      <c r="F15" s="1">
        <f t="shared" si="0"/>
        <v>0</v>
      </c>
      <c r="G15" s="1" t="s">
        <v>99</v>
      </c>
      <c r="H15" s="1"/>
      <c r="I15" s="1"/>
      <c r="J15" s="1">
        <f t="shared" si="1"/>
        <v>0</v>
      </c>
      <c r="K15" s="1"/>
      <c r="L15" s="1"/>
      <c r="M15" s="1">
        <f t="shared" si="2"/>
        <v>0</v>
      </c>
    </row>
    <row r="16" spans="2:13" x14ac:dyDescent="0.25">
      <c r="C16" s="1"/>
      <c r="D16" s="1"/>
      <c r="E16" s="1"/>
      <c r="F16" s="1">
        <f t="shared" si="0"/>
        <v>0</v>
      </c>
      <c r="G16" s="1"/>
      <c r="H16" s="1"/>
      <c r="I16" s="1"/>
      <c r="J16" s="1">
        <f t="shared" si="1"/>
        <v>0</v>
      </c>
      <c r="K16" s="1"/>
      <c r="L16" s="1"/>
      <c r="M16" s="1">
        <f t="shared" si="2"/>
        <v>0</v>
      </c>
    </row>
    <row r="17" spans="3:13" x14ac:dyDescent="0.25">
      <c r="C17" s="1"/>
      <c r="D17" s="1"/>
      <c r="E17" s="1"/>
      <c r="F17" s="1">
        <f t="shared" si="0"/>
        <v>0</v>
      </c>
      <c r="G17" s="1"/>
      <c r="H17" s="1"/>
      <c r="I17" s="1"/>
      <c r="J17" s="1">
        <f t="shared" si="1"/>
        <v>0</v>
      </c>
      <c r="K17" s="1"/>
      <c r="L17" s="1"/>
      <c r="M17" s="1">
        <f t="shared" si="2"/>
        <v>0</v>
      </c>
    </row>
    <row r="18" spans="3:13" x14ac:dyDescent="0.25">
      <c r="C18" s="1" t="s">
        <v>85</v>
      </c>
      <c r="D18" s="1"/>
      <c r="E18" s="1"/>
      <c r="F18" s="1">
        <f t="shared" si="0"/>
        <v>0</v>
      </c>
      <c r="G18" s="1" t="s">
        <v>98</v>
      </c>
      <c r="H18" s="1"/>
      <c r="I18" s="1"/>
      <c r="J18" s="1">
        <f t="shared" si="1"/>
        <v>0</v>
      </c>
      <c r="K18" s="1"/>
      <c r="L18" s="1"/>
      <c r="M18" s="1">
        <f t="shared" si="2"/>
        <v>0</v>
      </c>
    </row>
    <row r="19" spans="3:13" x14ac:dyDescent="0.25">
      <c r="C19" s="1"/>
      <c r="D19" s="1"/>
      <c r="E19" s="1"/>
      <c r="F19" s="1">
        <f t="shared" si="0"/>
        <v>0</v>
      </c>
      <c r="G19" s="1" t="s">
        <v>99</v>
      </c>
      <c r="H19" s="1"/>
      <c r="I19" s="1"/>
      <c r="J19" s="1">
        <f t="shared" si="1"/>
        <v>0</v>
      </c>
      <c r="K19" s="1"/>
      <c r="L19" s="1"/>
      <c r="M19" s="1">
        <f t="shared" si="2"/>
        <v>0</v>
      </c>
    </row>
    <row r="20" spans="3:13" x14ac:dyDescent="0.25">
      <c r="C20" s="1"/>
      <c r="D20" s="1"/>
      <c r="E20" s="1"/>
      <c r="F20" s="1">
        <f t="shared" si="0"/>
        <v>0</v>
      </c>
      <c r="G20" s="1"/>
      <c r="H20" s="1"/>
      <c r="I20" s="1"/>
      <c r="J20" s="1">
        <f t="shared" si="1"/>
        <v>0</v>
      </c>
      <c r="K20" s="1"/>
      <c r="L20" s="1"/>
      <c r="M20" s="1">
        <f t="shared" si="2"/>
        <v>0</v>
      </c>
    </row>
    <row r="21" spans="3:13" x14ac:dyDescent="0.25">
      <c r="C21" s="1" t="s">
        <v>85</v>
      </c>
      <c r="D21" s="1"/>
      <c r="E21" s="1"/>
      <c r="F21" s="1">
        <f t="shared" si="0"/>
        <v>0</v>
      </c>
      <c r="G21" s="1" t="s">
        <v>98</v>
      </c>
      <c r="H21" s="1"/>
      <c r="I21" s="1"/>
      <c r="J21" s="1">
        <f t="shared" si="1"/>
        <v>0</v>
      </c>
      <c r="K21" s="1"/>
      <c r="L21" s="1"/>
      <c r="M21" s="1">
        <f t="shared" si="2"/>
        <v>0</v>
      </c>
    </row>
    <row r="22" spans="3:13" x14ac:dyDescent="0.25">
      <c r="C22" s="1"/>
      <c r="D22" s="1"/>
      <c r="E22" s="1"/>
      <c r="F22" s="1">
        <f t="shared" si="0"/>
        <v>0</v>
      </c>
      <c r="G22" s="1" t="s">
        <v>99</v>
      </c>
      <c r="H22" s="1"/>
      <c r="I22" s="1"/>
      <c r="J22" s="1">
        <f t="shared" si="1"/>
        <v>0</v>
      </c>
      <c r="K22" s="1"/>
      <c r="L22" s="1"/>
      <c r="M22" s="1">
        <f t="shared" si="2"/>
        <v>0</v>
      </c>
    </row>
    <row r="23" spans="3:13" x14ac:dyDescent="0.25">
      <c r="C23" s="1"/>
      <c r="D23" s="1"/>
      <c r="E23" s="1"/>
      <c r="F23" s="1">
        <f t="shared" si="0"/>
        <v>0</v>
      </c>
      <c r="G23" s="1"/>
      <c r="H23" s="1"/>
      <c r="I23" s="1"/>
      <c r="J23" s="1">
        <f t="shared" si="1"/>
        <v>0</v>
      </c>
      <c r="K23" s="1"/>
      <c r="L23" s="1"/>
      <c r="M23" s="1">
        <f t="shared" si="2"/>
        <v>0</v>
      </c>
    </row>
    <row r="24" spans="3:13" x14ac:dyDescent="0.25">
      <c r="C24" s="1" t="s">
        <v>91</v>
      </c>
      <c r="D24" s="1"/>
      <c r="E24" s="1"/>
      <c r="F24" s="1">
        <f t="shared" si="0"/>
        <v>0</v>
      </c>
      <c r="G24" s="1" t="s">
        <v>100</v>
      </c>
      <c r="H24" s="1"/>
      <c r="I24" s="1"/>
      <c r="J24" s="1">
        <f t="shared" si="1"/>
        <v>0</v>
      </c>
      <c r="K24" s="1"/>
      <c r="L24" s="1"/>
      <c r="M24" s="1">
        <f t="shared" si="2"/>
        <v>0</v>
      </c>
    </row>
    <row r="25" spans="3:13" x14ac:dyDescent="0.25">
      <c r="C25" s="1" t="s">
        <v>92</v>
      </c>
      <c r="D25" s="1"/>
      <c r="E25" s="1"/>
      <c r="F25" s="1">
        <f t="shared" si="0"/>
        <v>0</v>
      </c>
      <c r="G25" s="1" t="s">
        <v>100</v>
      </c>
      <c r="H25" s="1"/>
      <c r="I25" s="1"/>
      <c r="J25" s="1">
        <f t="shared" si="1"/>
        <v>0</v>
      </c>
      <c r="K25" s="1"/>
      <c r="L25" s="1"/>
      <c r="M25" s="1">
        <f t="shared" si="2"/>
        <v>0</v>
      </c>
    </row>
    <row r="26" spans="3:13" x14ac:dyDescent="0.25">
      <c r="C26" s="1" t="s">
        <v>93</v>
      </c>
      <c r="D26" s="1"/>
      <c r="E26" s="1"/>
      <c r="F26" s="1">
        <f t="shared" si="0"/>
        <v>0</v>
      </c>
      <c r="G26" s="1" t="s">
        <v>100</v>
      </c>
      <c r="H26" s="1"/>
      <c r="I26" s="1"/>
      <c r="J26" s="1">
        <f t="shared" si="1"/>
        <v>0</v>
      </c>
      <c r="K26" s="1"/>
      <c r="L26" s="1"/>
      <c r="M26" s="1">
        <f t="shared" si="2"/>
        <v>0</v>
      </c>
    </row>
    <row r="27" spans="3:13" x14ac:dyDescent="0.25">
      <c r="C27" s="1"/>
      <c r="D27" s="1"/>
      <c r="E27" s="1"/>
      <c r="F27" s="1">
        <f t="shared" si="0"/>
        <v>0</v>
      </c>
      <c r="G27" s="1"/>
      <c r="H27" s="1"/>
      <c r="I27" s="1"/>
      <c r="J27" s="1">
        <f t="shared" si="1"/>
        <v>0</v>
      </c>
      <c r="K27" s="1"/>
      <c r="L27" s="1"/>
      <c r="M27" s="1">
        <f t="shared" si="2"/>
        <v>0</v>
      </c>
    </row>
    <row r="28" spans="3:13" x14ac:dyDescent="0.25">
      <c r="C28" s="1" t="s">
        <v>87</v>
      </c>
      <c r="D28" s="1"/>
      <c r="E28" s="1"/>
      <c r="F28" s="1">
        <f t="shared" si="0"/>
        <v>0</v>
      </c>
      <c r="G28" s="1"/>
      <c r="H28" s="1"/>
      <c r="I28" s="1"/>
      <c r="J28" s="1">
        <f t="shared" si="1"/>
        <v>0</v>
      </c>
      <c r="K28" s="1"/>
      <c r="L28" s="1"/>
      <c r="M28" s="1">
        <f t="shared" si="2"/>
        <v>0</v>
      </c>
    </row>
    <row r="29" spans="3:13" x14ac:dyDescent="0.25">
      <c r="C29" s="1" t="s">
        <v>88</v>
      </c>
      <c r="D29" s="1"/>
      <c r="E29" s="1"/>
      <c r="F29" s="1">
        <f t="shared" si="0"/>
        <v>0</v>
      </c>
      <c r="G29" s="1"/>
      <c r="H29" s="1"/>
      <c r="I29" s="1"/>
      <c r="J29" s="1">
        <f t="shared" si="1"/>
        <v>0</v>
      </c>
      <c r="K29" s="1"/>
      <c r="L29" s="1"/>
      <c r="M29" s="1">
        <f t="shared" si="2"/>
        <v>0</v>
      </c>
    </row>
    <row r="30" spans="3:13" x14ac:dyDescent="0.25">
      <c r="C30" s="1" t="s">
        <v>89</v>
      </c>
      <c r="D30" s="1"/>
      <c r="E30" s="1"/>
      <c r="F30" s="1">
        <f t="shared" si="0"/>
        <v>0</v>
      </c>
      <c r="G30" s="1"/>
      <c r="H30" s="1"/>
      <c r="I30" s="1"/>
      <c r="J30" s="1">
        <f t="shared" si="1"/>
        <v>0</v>
      </c>
      <c r="K30" s="1"/>
      <c r="L30" s="1"/>
      <c r="M30" s="1">
        <f t="shared" si="2"/>
        <v>0</v>
      </c>
    </row>
    <row r="31" spans="3:13" x14ac:dyDescent="0.25">
      <c r="C31" s="1" t="s">
        <v>90</v>
      </c>
      <c r="D31" s="1"/>
      <c r="E31" s="1"/>
      <c r="F31" s="1">
        <f t="shared" si="0"/>
        <v>0</v>
      </c>
      <c r="G31" s="1"/>
      <c r="H31" s="1"/>
      <c r="I31" s="1"/>
      <c r="J31" s="1">
        <f t="shared" si="1"/>
        <v>0</v>
      </c>
      <c r="K31" s="1"/>
      <c r="L31" s="1"/>
      <c r="M31" s="1">
        <f t="shared" si="2"/>
        <v>0</v>
      </c>
    </row>
    <row r="32" spans="3:13" x14ac:dyDescent="0.25">
      <c r="C32" s="1"/>
      <c r="D32" s="1"/>
      <c r="E32" s="1"/>
      <c r="F32" s="1">
        <f t="shared" si="0"/>
        <v>0</v>
      </c>
      <c r="G32" s="1"/>
      <c r="H32" s="1"/>
      <c r="I32" s="1"/>
      <c r="J32" s="1">
        <f t="shared" si="1"/>
        <v>0</v>
      </c>
      <c r="K32" s="1"/>
      <c r="L32" s="1"/>
      <c r="M32" s="1">
        <f t="shared" si="2"/>
        <v>0</v>
      </c>
    </row>
    <row r="33" spans="3:13" x14ac:dyDescent="0.25">
      <c r="C33" s="1"/>
      <c r="D33" s="1"/>
      <c r="E33" s="1"/>
      <c r="F33" s="1">
        <f t="shared" si="0"/>
        <v>0</v>
      </c>
      <c r="G33" s="1"/>
      <c r="H33" s="1"/>
      <c r="I33" s="1"/>
      <c r="J33" s="1">
        <f t="shared" si="1"/>
        <v>0</v>
      </c>
      <c r="K33" s="1"/>
      <c r="L33" s="1"/>
      <c r="M33" s="1">
        <f t="shared" si="2"/>
        <v>0</v>
      </c>
    </row>
    <row r="34" spans="3:13" x14ac:dyDescent="0.25">
      <c r="C34" s="1"/>
      <c r="D34" s="1"/>
      <c r="E34" s="1"/>
      <c r="F34" s="1">
        <f t="shared" si="0"/>
        <v>0</v>
      </c>
      <c r="G34" s="1"/>
      <c r="H34" s="1"/>
      <c r="I34" s="1"/>
      <c r="J34" s="1">
        <f t="shared" si="1"/>
        <v>0</v>
      </c>
      <c r="K34" s="1"/>
      <c r="L34" s="1"/>
      <c r="M34" s="1">
        <f t="shared" si="2"/>
        <v>0</v>
      </c>
    </row>
    <row r="35" spans="3:13" x14ac:dyDescent="0.25">
      <c r="C35" s="1" t="s">
        <v>94</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E78"/>
  <sheetViews>
    <sheetView topLeftCell="L1" workbookViewId="0">
      <selection activeCell="T40" sqref="T40"/>
    </sheetView>
  </sheetViews>
  <sheetFormatPr defaultRowHeight="15" x14ac:dyDescent="0.25"/>
  <cols>
    <col min="18" max="18" width="9.42578125" customWidth="1"/>
  </cols>
  <sheetData>
    <row r="3" spans="3:29" ht="47.65" customHeight="1" x14ac:dyDescent="0.25">
      <c r="D3" s="4" t="s">
        <v>95</v>
      </c>
      <c r="E3" s="159" t="s">
        <v>133</v>
      </c>
      <c r="F3" s="159"/>
      <c r="S3" s="57" t="s">
        <v>95</v>
      </c>
      <c r="T3" s="161" t="str">
        <f>Sheet1!I209</f>
        <v>2nd to 7th, 9th to 14th, 16th to 21st, 23rd to 26th Floor</v>
      </c>
      <c r="U3" s="162"/>
    </row>
    <row r="4" spans="3:29" x14ac:dyDescent="0.25">
      <c r="F4" s="3"/>
      <c r="G4" s="3"/>
      <c r="H4" s="3"/>
      <c r="I4" s="3"/>
      <c r="J4" s="3"/>
      <c r="K4" s="3"/>
    </row>
    <row r="5" spans="3:29" x14ac:dyDescent="0.25">
      <c r="C5" s="4" t="s">
        <v>96</v>
      </c>
      <c r="D5" s="2" t="s">
        <v>76</v>
      </c>
      <c r="E5" s="160" t="s">
        <v>77</v>
      </c>
      <c r="F5" s="160"/>
      <c r="G5" s="160"/>
      <c r="H5" s="5"/>
      <c r="I5" s="160" t="s">
        <v>78</v>
      </c>
      <c r="J5" s="160"/>
      <c r="K5" s="160"/>
      <c r="L5" s="160" t="s">
        <v>79</v>
      </c>
      <c r="M5" s="160"/>
      <c r="N5" s="160"/>
      <c r="R5" s="4" t="s">
        <v>96</v>
      </c>
      <c r="S5" s="2" t="s">
        <v>76</v>
      </c>
      <c r="T5" s="160" t="s">
        <v>77</v>
      </c>
      <c r="U5" s="160"/>
      <c r="V5" s="160"/>
      <c r="W5" s="5"/>
      <c r="X5" s="160" t="s">
        <v>78</v>
      </c>
      <c r="Y5" s="160"/>
      <c r="Z5" s="160"/>
      <c r="AA5" s="160" t="s">
        <v>79</v>
      </c>
      <c r="AB5" s="160"/>
      <c r="AC5" s="160"/>
    </row>
    <row r="6" spans="3:29" x14ac:dyDescent="0.25">
      <c r="C6" s="4">
        <v>101</v>
      </c>
      <c r="D6" s="2"/>
      <c r="E6" s="2" t="s">
        <v>80</v>
      </c>
      <c r="F6" s="2" t="s">
        <v>81</v>
      </c>
      <c r="G6" s="2" t="s">
        <v>82</v>
      </c>
      <c r="H6" s="2"/>
      <c r="I6" s="2" t="s">
        <v>80</v>
      </c>
      <c r="J6" s="2" t="s">
        <v>81</v>
      </c>
      <c r="K6" s="2" t="s">
        <v>82</v>
      </c>
      <c r="L6" s="2" t="s">
        <v>80</v>
      </c>
      <c r="M6" s="2" t="s">
        <v>81</v>
      </c>
      <c r="N6" s="2" t="s">
        <v>82</v>
      </c>
      <c r="R6" s="56">
        <v>1</v>
      </c>
      <c r="S6" s="2"/>
      <c r="T6" s="2" t="s">
        <v>80</v>
      </c>
      <c r="U6" s="2" t="s">
        <v>81</v>
      </c>
      <c r="V6" s="2" t="s">
        <v>82</v>
      </c>
      <c r="W6" s="2"/>
      <c r="X6" s="2" t="s">
        <v>80</v>
      </c>
      <c r="Y6" s="2" t="s">
        <v>81</v>
      </c>
      <c r="Z6" s="2" t="s">
        <v>82</v>
      </c>
      <c r="AA6" s="2" t="s">
        <v>80</v>
      </c>
      <c r="AB6" s="2" t="s">
        <v>81</v>
      </c>
      <c r="AC6" s="2" t="s">
        <v>82</v>
      </c>
    </row>
    <row r="7" spans="3:29" x14ac:dyDescent="0.25">
      <c r="D7" s="1" t="s">
        <v>83</v>
      </c>
      <c r="E7" s="1">
        <v>3.64</v>
      </c>
      <c r="F7" s="1">
        <v>1.496</v>
      </c>
      <c r="G7" s="1">
        <f>E7*F7</f>
        <v>5.4454400000000005</v>
      </c>
      <c r="H7" s="1" t="s">
        <v>286</v>
      </c>
      <c r="I7" s="1">
        <v>3.8109999999999999</v>
      </c>
      <c r="J7" s="1">
        <v>1.391</v>
      </c>
      <c r="K7" s="51">
        <f>I7*J7</f>
        <v>5.3011010000000001</v>
      </c>
      <c r="L7" s="1"/>
      <c r="M7" s="1"/>
      <c r="N7" s="1">
        <f>L7*M7</f>
        <v>0</v>
      </c>
      <c r="S7" s="1" t="s">
        <v>83</v>
      </c>
      <c r="T7" s="1">
        <v>3.64</v>
      </c>
      <c r="U7" s="1">
        <v>1.496</v>
      </c>
      <c r="V7" s="1">
        <f>T7*U7</f>
        <v>5.4454400000000005</v>
      </c>
      <c r="W7" s="1" t="s">
        <v>286</v>
      </c>
      <c r="X7" s="1">
        <v>3.8109999999999999</v>
      </c>
      <c r="Y7" s="1">
        <v>1.391</v>
      </c>
      <c r="Z7" s="51">
        <f>X7*Y7</f>
        <v>5.3011010000000001</v>
      </c>
      <c r="AA7" s="1"/>
      <c r="AB7" s="1"/>
      <c r="AC7" s="1">
        <f>AA7*AB7</f>
        <v>0</v>
      </c>
    </row>
    <row r="8" spans="3:29" x14ac:dyDescent="0.25">
      <c r="D8" s="1"/>
      <c r="E8" s="1">
        <v>3.7309999999999999</v>
      </c>
      <c r="F8" s="1">
        <v>6.9710000000000001</v>
      </c>
      <c r="G8" s="1">
        <f t="shared" ref="G8:G34" si="0">E8*F8</f>
        <v>26.008800999999998</v>
      </c>
      <c r="H8" s="1"/>
      <c r="I8" s="1"/>
      <c r="J8" s="1"/>
      <c r="K8" s="1">
        <f t="shared" ref="K8:K34" si="1">I8*J8</f>
        <v>0</v>
      </c>
      <c r="L8" s="1"/>
      <c r="M8" s="1"/>
      <c r="N8" s="1">
        <f t="shared" ref="N8:N34" si="2">L8*M8</f>
        <v>0</v>
      </c>
      <c r="S8" s="1"/>
      <c r="T8" s="1">
        <v>3.7309999999999999</v>
      </c>
      <c r="U8" s="1">
        <v>6.9710000000000001</v>
      </c>
      <c r="V8" s="1">
        <f t="shared" ref="V8:V42" si="3">T8*U8</f>
        <v>26.008800999999998</v>
      </c>
      <c r="W8" s="1"/>
      <c r="X8" s="1"/>
      <c r="Y8" s="1"/>
      <c r="Z8" s="1">
        <f t="shared" ref="Z8:Z42" si="4">X8*Y8</f>
        <v>0</v>
      </c>
      <c r="AA8" s="1"/>
      <c r="AB8" s="1"/>
      <c r="AC8" s="1">
        <f t="shared" ref="AC8:AC42" si="5">AA8*AB8</f>
        <v>0</v>
      </c>
    </row>
    <row r="9" spans="3:29" x14ac:dyDescent="0.25">
      <c r="D9" s="1"/>
      <c r="E9" s="1">
        <v>3.5310000000000001</v>
      </c>
      <c r="F9" s="1">
        <v>0.17399999999999999</v>
      </c>
      <c r="G9" s="1">
        <f t="shared" si="0"/>
        <v>0.614394</v>
      </c>
      <c r="H9" s="1"/>
      <c r="I9" s="1"/>
      <c r="J9" s="1"/>
      <c r="K9" s="1">
        <f t="shared" si="1"/>
        <v>0</v>
      </c>
      <c r="L9" s="1"/>
      <c r="M9" s="1"/>
      <c r="N9" s="1">
        <f t="shared" si="2"/>
        <v>0</v>
      </c>
      <c r="S9" s="1"/>
      <c r="T9" s="1">
        <v>3.5310000000000001</v>
      </c>
      <c r="U9" s="1">
        <v>0.17399999999999999</v>
      </c>
      <c r="V9" s="1">
        <f t="shared" si="3"/>
        <v>0.614394</v>
      </c>
      <c r="W9" s="1"/>
      <c r="X9" s="1"/>
      <c r="Y9" s="1"/>
      <c r="Z9" s="1">
        <f t="shared" si="4"/>
        <v>0</v>
      </c>
      <c r="AA9" s="1"/>
      <c r="AB9" s="1"/>
      <c r="AC9" s="1">
        <f t="shared" si="5"/>
        <v>0</v>
      </c>
    </row>
    <row r="10" spans="3:29" x14ac:dyDescent="0.25">
      <c r="D10" s="1" t="s">
        <v>86</v>
      </c>
      <c r="E10" s="1">
        <v>2.6509999999999998</v>
      </c>
      <c r="F10" s="1">
        <v>3.6560000000000001</v>
      </c>
      <c r="G10" s="1">
        <f t="shared" si="0"/>
        <v>9.6920559999999991</v>
      </c>
      <c r="H10" s="1" t="s">
        <v>98</v>
      </c>
      <c r="I10" s="1"/>
      <c r="J10" s="1"/>
      <c r="K10" s="1">
        <f t="shared" si="1"/>
        <v>0</v>
      </c>
      <c r="L10" s="1"/>
      <c r="M10" s="1"/>
      <c r="N10" s="1">
        <f t="shared" si="2"/>
        <v>0</v>
      </c>
      <c r="S10" s="1" t="s">
        <v>86</v>
      </c>
      <c r="T10" s="1">
        <v>2.6509999999999998</v>
      </c>
      <c r="U10" s="1">
        <v>3.6560000000000001</v>
      </c>
      <c r="V10" s="1">
        <f t="shared" si="3"/>
        <v>9.6920559999999991</v>
      </c>
      <c r="W10" s="1" t="s">
        <v>98</v>
      </c>
      <c r="X10" s="1"/>
      <c r="Y10" s="1"/>
      <c r="Z10" s="1">
        <f t="shared" si="4"/>
        <v>0</v>
      </c>
      <c r="AA10" s="1"/>
      <c r="AB10" s="1"/>
      <c r="AC10" s="1">
        <f t="shared" si="5"/>
        <v>0</v>
      </c>
    </row>
    <row r="11" spans="3:29" x14ac:dyDescent="0.25">
      <c r="D11" s="1"/>
      <c r="E11" s="1">
        <v>0.13</v>
      </c>
      <c r="F11" s="1">
        <v>3.161</v>
      </c>
      <c r="G11" s="1">
        <f t="shared" si="0"/>
        <v>0.41093000000000002</v>
      </c>
      <c r="H11" s="1" t="s">
        <v>99</v>
      </c>
      <c r="I11" s="1"/>
      <c r="J11" s="1"/>
      <c r="K11" s="1">
        <f t="shared" si="1"/>
        <v>0</v>
      </c>
      <c r="L11" s="1"/>
      <c r="M11" s="1"/>
      <c r="N11" s="1">
        <f t="shared" si="2"/>
        <v>0</v>
      </c>
      <c r="S11" s="1"/>
      <c r="T11" s="1">
        <v>0.13</v>
      </c>
      <c r="U11" s="1">
        <v>3.161</v>
      </c>
      <c r="V11" s="1">
        <f t="shared" si="3"/>
        <v>0.41093000000000002</v>
      </c>
      <c r="W11" s="1" t="s">
        <v>99</v>
      </c>
      <c r="X11" s="1"/>
      <c r="Y11" s="1"/>
      <c r="Z11" s="1">
        <f t="shared" si="4"/>
        <v>0</v>
      </c>
      <c r="AA11" s="1"/>
      <c r="AB11" s="1"/>
      <c r="AC11" s="1">
        <f t="shared" si="5"/>
        <v>0</v>
      </c>
    </row>
    <row r="12" spans="3:29" x14ac:dyDescent="0.25">
      <c r="D12" s="1"/>
      <c r="E12" s="1">
        <v>7.4999999999999997E-2</v>
      </c>
      <c r="F12" s="1">
        <v>3.206</v>
      </c>
      <c r="G12" s="1">
        <f t="shared" si="0"/>
        <v>0.24045</v>
      </c>
      <c r="H12" s="1"/>
      <c r="I12" s="1"/>
      <c r="J12" s="1"/>
      <c r="K12" s="1">
        <f t="shared" si="1"/>
        <v>0</v>
      </c>
      <c r="L12" s="1"/>
      <c r="M12" s="1"/>
      <c r="N12" s="1">
        <f t="shared" si="2"/>
        <v>0</v>
      </c>
      <c r="S12" s="1"/>
      <c r="T12" s="1">
        <v>7.4999999999999997E-2</v>
      </c>
      <c r="U12" s="1">
        <v>3.206</v>
      </c>
      <c r="V12" s="1">
        <f t="shared" si="3"/>
        <v>0.24045</v>
      </c>
      <c r="W12" s="1"/>
      <c r="X12" s="1"/>
      <c r="Y12" s="1"/>
      <c r="Z12" s="1">
        <f t="shared" si="4"/>
        <v>0</v>
      </c>
      <c r="AA12" s="1"/>
      <c r="AB12" s="1"/>
      <c r="AC12" s="1">
        <f t="shared" si="5"/>
        <v>0</v>
      </c>
    </row>
    <row r="13" spans="3:29" x14ac:dyDescent="0.25">
      <c r="D13" s="1"/>
      <c r="E13" s="1">
        <v>2.3260000000000001</v>
      </c>
      <c r="F13" s="1">
        <v>1.026</v>
      </c>
      <c r="G13" s="1">
        <f t="shared" si="0"/>
        <v>2.386476</v>
      </c>
      <c r="H13" s="1"/>
      <c r="I13" s="1"/>
      <c r="J13" s="1"/>
      <c r="K13" s="1">
        <f t="shared" si="1"/>
        <v>0</v>
      </c>
      <c r="L13" s="1"/>
      <c r="M13" s="1"/>
      <c r="N13" s="1">
        <f t="shared" si="2"/>
        <v>0</v>
      </c>
      <c r="S13" s="1"/>
      <c r="T13" s="1">
        <v>2.3260000000000001</v>
      </c>
      <c r="U13" s="1">
        <v>1.026</v>
      </c>
      <c r="V13" s="1">
        <f t="shared" si="3"/>
        <v>2.386476</v>
      </c>
      <c r="W13" s="1"/>
      <c r="X13" s="1"/>
      <c r="Y13" s="1"/>
      <c r="Z13" s="1">
        <f t="shared" si="4"/>
        <v>0</v>
      </c>
      <c r="AA13" s="1"/>
      <c r="AB13" s="1"/>
      <c r="AC13" s="1">
        <f t="shared" si="5"/>
        <v>0</v>
      </c>
    </row>
    <row r="14" spans="3:29" x14ac:dyDescent="0.25">
      <c r="D14" s="1" t="s">
        <v>278</v>
      </c>
      <c r="E14" s="1">
        <v>2.98</v>
      </c>
      <c r="F14" s="1">
        <v>3.6059999999999999</v>
      </c>
      <c r="G14" s="1">
        <f t="shared" si="0"/>
        <v>10.74588</v>
      </c>
      <c r="H14" s="1" t="s">
        <v>98</v>
      </c>
      <c r="I14" s="1"/>
      <c r="J14" s="1"/>
      <c r="K14" s="1">
        <f t="shared" si="1"/>
        <v>0</v>
      </c>
      <c r="L14" s="1"/>
      <c r="M14" s="1"/>
      <c r="N14" s="1">
        <f t="shared" si="2"/>
        <v>0</v>
      </c>
      <c r="S14" s="1" t="s">
        <v>278</v>
      </c>
      <c r="T14" s="1">
        <v>2.98</v>
      </c>
      <c r="U14" s="1">
        <v>3.6059999999999999</v>
      </c>
      <c r="V14" s="1">
        <f t="shared" si="3"/>
        <v>10.74588</v>
      </c>
      <c r="W14" s="1" t="s">
        <v>98</v>
      </c>
      <c r="X14" s="1"/>
      <c r="Y14" s="1"/>
      <c r="Z14" s="1">
        <f t="shared" si="4"/>
        <v>0</v>
      </c>
      <c r="AA14" s="1"/>
      <c r="AB14" s="1"/>
      <c r="AC14" s="1">
        <f t="shared" si="5"/>
        <v>0</v>
      </c>
    </row>
    <row r="15" spans="3:29" x14ac:dyDescent="0.25">
      <c r="D15" s="1"/>
      <c r="E15" s="1"/>
      <c r="F15" s="1"/>
      <c r="G15" s="1">
        <f t="shared" si="0"/>
        <v>0</v>
      </c>
      <c r="H15" s="1" t="s">
        <v>99</v>
      </c>
      <c r="I15" s="1"/>
      <c r="J15" s="1"/>
      <c r="K15" s="1">
        <f t="shared" si="1"/>
        <v>0</v>
      </c>
      <c r="L15" s="1"/>
      <c r="M15" s="1"/>
      <c r="N15" s="1">
        <f t="shared" si="2"/>
        <v>0</v>
      </c>
      <c r="S15" s="1" t="s">
        <v>289</v>
      </c>
      <c r="T15" s="1">
        <v>3.456</v>
      </c>
      <c r="U15" s="1">
        <v>4.266</v>
      </c>
      <c r="V15" s="1">
        <f t="shared" si="3"/>
        <v>14.743295999999999</v>
      </c>
      <c r="W15" s="1" t="s">
        <v>99</v>
      </c>
      <c r="X15" s="1"/>
      <c r="Y15" s="1"/>
      <c r="Z15" s="1">
        <f t="shared" si="4"/>
        <v>0</v>
      </c>
      <c r="AA15" s="1"/>
      <c r="AB15" s="1"/>
      <c r="AC15" s="1">
        <f t="shared" si="5"/>
        <v>0</v>
      </c>
    </row>
    <row r="16" spans="3:29" x14ac:dyDescent="0.25">
      <c r="D16" s="1"/>
      <c r="E16" s="1"/>
      <c r="F16" s="1"/>
      <c r="G16" s="1">
        <f t="shared" si="0"/>
        <v>0</v>
      </c>
      <c r="H16" s="1"/>
      <c r="I16" s="1"/>
      <c r="J16" s="1"/>
      <c r="K16" s="1">
        <f t="shared" si="1"/>
        <v>0</v>
      </c>
      <c r="L16" s="1"/>
      <c r="M16" s="1"/>
      <c r="N16" s="1">
        <f t="shared" si="2"/>
        <v>0</v>
      </c>
      <c r="S16" s="1"/>
      <c r="T16" s="1">
        <v>3.1059999999999999</v>
      </c>
      <c r="U16" s="1">
        <v>0.08</v>
      </c>
      <c r="V16" s="1">
        <f t="shared" si="3"/>
        <v>0.24848000000000001</v>
      </c>
      <c r="W16" s="1"/>
      <c r="X16" s="1"/>
      <c r="Y16" s="1"/>
      <c r="Z16" s="1">
        <f t="shared" si="4"/>
        <v>0</v>
      </c>
      <c r="AA16" s="1"/>
      <c r="AB16" s="1"/>
      <c r="AC16" s="1">
        <f t="shared" si="5"/>
        <v>0</v>
      </c>
    </row>
    <row r="17" spans="4:29" x14ac:dyDescent="0.25">
      <c r="D17" s="1" t="s">
        <v>84</v>
      </c>
      <c r="E17" s="1">
        <v>3.3359999999999999</v>
      </c>
      <c r="F17" s="1">
        <v>4.806</v>
      </c>
      <c r="G17" s="1">
        <f t="shared" si="0"/>
        <v>16.032816</v>
      </c>
      <c r="H17" s="1"/>
      <c r="I17" s="1"/>
      <c r="J17" s="1"/>
      <c r="K17" s="1">
        <f t="shared" si="1"/>
        <v>0</v>
      </c>
      <c r="L17" s="1"/>
      <c r="M17" s="1"/>
      <c r="N17" s="1">
        <f t="shared" si="2"/>
        <v>0</v>
      </c>
      <c r="S17" s="1" t="s">
        <v>85</v>
      </c>
      <c r="T17" s="1">
        <v>3.3359999999999999</v>
      </c>
      <c r="U17" s="1">
        <v>4.806</v>
      </c>
      <c r="V17" s="1">
        <f t="shared" si="3"/>
        <v>16.032816</v>
      </c>
      <c r="W17" s="1"/>
      <c r="X17" s="1"/>
      <c r="Y17" s="1"/>
      <c r="Z17" s="1">
        <f t="shared" si="4"/>
        <v>0</v>
      </c>
      <c r="AA17" s="1"/>
      <c r="AB17" s="1"/>
      <c r="AC17" s="1">
        <f t="shared" si="5"/>
        <v>0</v>
      </c>
    </row>
    <row r="18" spans="4:29" x14ac:dyDescent="0.25">
      <c r="D18" s="1"/>
      <c r="E18" s="1">
        <v>0.2</v>
      </c>
      <c r="F18" s="1">
        <v>1.006</v>
      </c>
      <c r="G18" s="1">
        <f t="shared" si="0"/>
        <v>0.20120000000000002</v>
      </c>
      <c r="H18" s="1" t="s">
        <v>98</v>
      </c>
      <c r="I18" s="1"/>
      <c r="J18" s="1"/>
      <c r="K18" s="1">
        <f t="shared" si="1"/>
        <v>0</v>
      </c>
      <c r="L18" s="1"/>
      <c r="M18" s="1"/>
      <c r="N18" s="1">
        <f t="shared" si="2"/>
        <v>0</v>
      </c>
      <c r="S18" s="1"/>
      <c r="T18" s="1">
        <v>0.2</v>
      </c>
      <c r="U18" s="1">
        <v>1.006</v>
      </c>
      <c r="V18" s="1">
        <f t="shared" si="3"/>
        <v>0.20120000000000002</v>
      </c>
      <c r="W18" s="1" t="s">
        <v>98</v>
      </c>
      <c r="X18" s="1"/>
      <c r="Y18" s="1"/>
      <c r="Z18" s="1">
        <f t="shared" si="4"/>
        <v>0</v>
      </c>
      <c r="AA18" s="1"/>
      <c r="AB18" s="1"/>
      <c r="AC18" s="1">
        <f t="shared" si="5"/>
        <v>0</v>
      </c>
    </row>
    <row r="19" spans="4:29" x14ac:dyDescent="0.25">
      <c r="D19" s="1"/>
      <c r="E19" s="1"/>
      <c r="F19" s="1"/>
      <c r="G19" s="1">
        <f t="shared" si="0"/>
        <v>0</v>
      </c>
      <c r="H19" s="1" t="s">
        <v>99</v>
      </c>
      <c r="I19" s="1"/>
      <c r="J19" s="1"/>
      <c r="K19" s="1">
        <f t="shared" si="1"/>
        <v>0</v>
      </c>
      <c r="L19" s="1"/>
      <c r="M19" s="1"/>
      <c r="N19" s="1">
        <f t="shared" si="2"/>
        <v>0</v>
      </c>
      <c r="S19" s="1"/>
      <c r="T19" s="1"/>
      <c r="U19" s="1"/>
      <c r="V19" s="1">
        <f t="shared" si="3"/>
        <v>0</v>
      </c>
      <c r="W19" s="1" t="s">
        <v>99</v>
      </c>
      <c r="X19" s="1"/>
      <c r="Y19" s="1"/>
      <c r="Z19" s="1">
        <f t="shared" si="4"/>
        <v>0</v>
      </c>
      <c r="AA19" s="1"/>
      <c r="AB19" s="1"/>
      <c r="AC19" s="1">
        <f t="shared" si="5"/>
        <v>0</v>
      </c>
    </row>
    <row r="20" spans="4:29" x14ac:dyDescent="0.25">
      <c r="D20" s="1" t="s">
        <v>85</v>
      </c>
      <c r="E20" s="1">
        <v>4.2460000000000004</v>
      </c>
      <c r="F20" s="1">
        <v>3.6259999999999999</v>
      </c>
      <c r="G20" s="1">
        <f t="shared" si="0"/>
        <v>15.395996000000002</v>
      </c>
      <c r="H20" s="1"/>
      <c r="I20" s="1"/>
      <c r="J20" s="1"/>
      <c r="K20" s="1">
        <f t="shared" si="1"/>
        <v>0</v>
      </c>
      <c r="L20" s="1"/>
      <c r="M20" s="1"/>
      <c r="N20" s="1">
        <f t="shared" si="2"/>
        <v>0</v>
      </c>
      <c r="S20" s="1" t="s">
        <v>279</v>
      </c>
      <c r="T20" s="1">
        <v>4.2460000000000004</v>
      </c>
      <c r="U20" s="1">
        <v>3.6259999999999999</v>
      </c>
      <c r="V20" s="1">
        <f t="shared" si="3"/>
        <v>15.395996000000002</v>
      </c>
      <c r="W20" s="1"/>
      <c r="X20" s="1"/>
      <c r="Y20" s="1"/>
      <c r="Z20" s="1">
        <f t="shared" si="4"/>
        <v>0</v>
      </c>
      <c r="AA20" s="1"/>
      <c r="AB20" s="1"/>
      <c r="AC20" s="1">
        <f t="shared" si="5"/>
        <v>0</v>
      </c>
    </row>
    <row r="21" spans="4:29" x14ac:dyDescent="0.25">
      <c r="D21" s="1"/>
      <c r="E21" s="1">
        <v>0.08</v>
      </c>
      <c r="F21" s="1">
        <v>3.0859999999999999</v>
      </c>
      <c r="G21" s="1">
        <f t="shared" si="0"/>
        <v>0.24687999999999999</v>
      </c>
      <c r="H21" s="1" t="s">
        <v>98</v>
      </c>
      <c r="I21" s="1"/>
      <c r="J21" s="1"/>
      <c r="K21" s="1">
        <f t="shared" si="1"/>
        <v>0</v>
      </c>
      <c r="L21" s="1"/>
      <c r="M21" s="1"/>
      <c r="N21" s="1">
        <f t="shared" si="2"/>
        <v>0</v>
      </c>
      <c r="S21" s="1"/>
      <c r="T21" s="1">
        <v>0.08</v>
      </c>
      <c r="U21" s="1">
        <v>3.0859999999999999</v>
      </c>
      <c r="V21" s="1">
        <f t="shared" si="3"/>
        <v>0.24687999999999999</v>
      </c>
      <c r="W21" s="1" t="s">
        <v>98</v>
      </c>
      <c r="X21" s="1"/>
      <c r="Y21" s="1"/>
      <c r="Z21" s="1">
        <f t="shared" si="4"/>
        <v>0</v>
      </c>
      <c r="AA21" s="1"/>
      <c r="AB21" s="1"/>
      <c r="AC21" s="1">
        <f t="shared" si="5"/>
        <v>0</v>
      </c>
    </row>
    <row r="22" spans="4:29" x14ac:dyDescent="0.25">
      <c r="D22" s="1"/>
      <c r="E22" s="1">
        <v>0.72599999999999998</v>
      </c>
      <c r="F22" s="1">
        <v>0.15</v>
      </c>
      <c r="G22" s="1">
        <f t="shared" si="0"/>
        <v>0.1089</v>
      </c>
      <c r="H22" s="1" t="s">
        <v>99</v>
      </c>
      <c r="I22" s="1"/>
      <c r="J22" s="1"/>
      <c r="K22" s="1">
        <f t="shared" si="1"/>
        <v>0</v>
      </c>
      <c r="L22" s="1"/>
      <c r="M22" s="1"/>
      <c r="N22" s="1">
        <f t="shared" si="2"/>
        <v>0</v>
      </c>
      <c r="S22" s="1"/>
      <c r="T22" s="1">
        <v>0.72599999999999998</v>
      </c>
      <c r="U22" s="1">
        <v>0.15</v>
      </c>
      <c r="V22" s="1">
        <f t="shared" si="3"/>
        <v>0.1089</v>
      </c>
      <c r="W22" s="1" t="s">
        <v>99</v>
      </c>
      <c r="X22" s="1"/>
      <c r="Y22" s="1"/>
      <c r="Z22" s="1">
        <f t="shared" si="4"/>
        <v>0</v>
      </c>
      <c r="AA22" s="1"/>
      <c r="AB22" s="1"/>
      <c r="AC22" s="1">
        <f t="shared" si="5"/>
        <v>0</v>
      </c>
    </row>
    <row r="23" spans="4:29" x14ac:dyDescent="0.25">
      <c r="D23" s="1" t="s">
        <v>287</v>
      </c>
      <c r="E23" s="1">
        <v>3.6259999999999999</v>
      </c>
      <c r="F23" s="1">
        <v>5.5060000000000002</v>
      </c>
      <c r="G23" s="1">
        <f t="shared" si="0"/>
        <v>19.964756000000001</v>
      </c>
      <c r="H23" s="1"/>
      <c r="I23" s="1"/>
      <c r="J23" s="1"/>
      <c r="K23" s="1">
        <f t="shared" si="1"/>
        <v>0</v>
      </c>
      <c r="L23" s="1"/>
      <c r="M23" s="1"/>
      <c r="N23" s="1">
        <f t="shared" si="2"/>
        <v>0</v>
      </c>
      <c r="S23" s="1" t="s">
        <v>290</v>
      </c>
      <c r="T23" s="1">
        <v>3.6259999999999999</v>
      </c>
      <c r="U23" s="1">
        <v>5.5060000000000002</v>
      </c>
      <c r="V23" s="1">
        <f t="shared" si="3"/>
        <v>19.964756000000001</v>
      </c>
      <c r="W23" s="1"/>
      <c r="X23" s="1"/>
      <c r="Y23" s="1"/>
      <c r="Z23" s="1">
        <f t="shared" si="4"/>
        <v>0</v>
      </c>
      <c r="AA23" s="1"/>
      <c r="AB23" s="1"/>
      <c r="AC23" s="1">
        <f t="shared" si="5"/>
        <v>0</v>
      </c>
    </row>
    <row r="24" spans="4:29" x14ac:dyDescent="0.25">
      <c r="D24" s="1" t="s">
        <v>280</v>
      </c>
      <c r="E24" s="1">
        <v>1.806</v>
      </c>
      <c r="F24" s="1">
        <v>2.5760000000000001</v>
      </c>
      <c r="G24" s="1">
        <f t="shared" si="0"/>
        <v>4.6522560000000004</v>
      </c>
      <c r="H24" s="1" t="s">
        <v>100</v>
      </c>
      <c r="I24" s="1"/>
      <c r="J24" s="1"/>
      <c r="K24" s="1">
        <f t="shared" si="1"/>
        <v>0</v>
      </c>
      <c r="L24" s="1"/>
      <c r="M24" s="1"/>
      <c r="N24" s="1">
        <f t="shared" si="2"/>
        <v>0</v>
      </c>
      <c r="S24" s="1" t="s">
        <v>280</v>
      </c>
      <c r="T24" s="1">
        <v>1.806</v>
      </c>
      <c r="U24" s="1">
        <v>2.5760000000000001</v>
      </c>
      <c r="V24" s="1">
        <f t="shared" si="3"/>
        <v>4.6522560000000004</v>
      </c>
      <c r="W24" s="1" t="s">
        <v>100</v>
      </c>
      <c r="X24" s="1"/>
      <c r="Y24" s="1"/>
      <c r="Z24" s="1">
        <f t="shared" si="4"/>
        <v>0</v>
      </c>
      <c r="AA24" s="1"/>
      <c r="AB24" s="1"/>
      <c r="AC24" s="1">
        <f t="shared" si="5"/>
        <v>0</v>
      </c>
    </row>
    <row r="25" spans="4:29" x14ac:dyDescent="0.25">
      <c r="D25" s="1"/>
      <c r="E25" s="1"/>
      <c r="F25" s="1"/>
      <c r="G25" s="1">
        <f t="shared" si="0"/>
        <v>0</v>
      </c>
      <c r="H25" s="1" t="s">
        <v>100</v>
      </c>
      <c r="I25" s="1"/>
      <c r="J25" s="1"/>
      <c r="K25" s="1">
        <f t="shared" si="1"/>
        <v>0</v>
      </c>
      <c r="L25" s="1"/>
      <c r="M25" s="1"/>
      <c r="N25" s="1">
        <f t="shared" si="2"/>
        <v>0</v>
      </c>
      <c r="S25" s="1" t="s">
        <v>91</v>
      </c>
      <c r="T25" s="1">
        <v>1.5860000000000001</v>
      </c>
      <c r="U25" s="1">
        <v>2.8010000000000002</v>
      </c>
      <c r="V25" s="1">
        <f t="shared" si="3"/>
        <v>4.4423860000000008</v>
      </c>
      <c r="W25" s="1" t="s">
        <v>100</v>
      </c>
      <c r="X25" s="1"/>
      <c r="Y25" s="1"/>
      <c r="Z25" s="1">
        <f t="shared" si="4"/>
        <v>0</v>
      </c>
      <c r="AA25" s="1"/>
      <c r="AB25" s="1"/>
      <c r="AC25" s="1">
        <f t="shared" si="5"/>
        <v>0</v>
      </c>
    </row>
    <row r="26" spans="4:29" x14ac:dyDescent="0.25">
      <c r="D26" s="1"/>
      <c r="E26" s="1"/>
      <c r="F26" s="1"/>
      <c r="G26" s="1">
        <f t="shared" si="0"/>
        <v>0</v>
      </c>
      <c r="H26" s="1" t="s">
        <v>100</v>
      </c>
      <c r="I26" s="1"/>
      <c r="J26" s="1"/>
      <c r="K26" s="1">
        <f t="shared" si="1"/>
        <v>0</v>
      </c>
      <c r="L26" s="1"/>
      <c r="M26" s="1"/>
      <c r="N26" s="1">
        <f t="shared" si="2"/>
        <v>0</v>
      </c>
      <c r="S26" s="1"/>
      <c r="T26" s="1">
        <v>0.76100000000000001</v>
      </c>
      <c r="U26" s="1">
        <v>0.15</v>
      </c>
      <c r="V26" s="1">
        <f t="shared" si="3"/>
        <v>0.11415</v>
      </c>
      <c r="W26" s="1" t="s">
        <v>100</v>
      </c>
      <c r="X26" s="1"/>
      <c r="Y26" s="1"/>
      <c r="Z26" s="1">
        <f t="shared" si="4"/>
        <v>0</v>
      </c>
      <c r="AA26" s="1"/>
      <c r="AB26" s="1"/>
      <c r="AC26" s="1">
        <f t="shared" si="5"/>
        <v>0</v>
      </c>
    </row>
    <row r="27" spans="4:29" x14ac:dyDescent="0.25">
      <c r="D27" s="1"/>
      <c r="E27" s="1"/>
      <c r="F27" s="1"/>
      <c r="G27" s="1">
        <f t="shared" si="0"/>
        <v>0</v>
      </c>
      <c r="H27" s="1"/>
      <c r="I27" s="1"/>
      <c r="J27" s="1"/>
      <c r="K27" s="1">
        <f t="shared" si="1"/>
        <v>0</v>
      </c>
      <c r="L27" s="1"/>
      <c r="M27" s="1"/>
      <c r="N27" s="1">
        <f t="shared" si="2"/>
        <v>0</v>
      </c>
      <c r="S27" s="1"/>
      <c r="T27" s="1">
        <v>0.501</v>
      </c>
      <c r="U27" s="1">
        <v>0.15</v>
      </c>
      <c r="V27" s="1">
        <f t="shared" si="3"/>
        <v>7.5149999999999995E-2</v>
      </c>
      <c r="W27" s="1"/>
      <c r="X27" s="1"/>
      <c r="Y27" s="1"/>
      <c r="Z27" s="1">
        <f t="shared" si="4"/>
        <v>0</v>
      </c>
      <c r="AA27" s="1"/>
      <c r="AB27" s="1"/>
      <c r="AC27" s="1">
        <f t="shared" si="5"/>
        <v>0</v>
      </c>
    </row>
    <row r="28" spans="4:29" x14ac:dyDescent="0.25">
      <c r="D28" s="1" t="s">
        <v>91</v>
      </c>
      <c r="E28" s="1">
        <v>1.4510000000000001</v>
      </c>
      <c r="F28" s="1">
        <v>2.831</v>
      </c>
      <c r="G28" s="1">
        <f t="shared" si="0"/>
        <v>4.1077810000000001</v>
      </c>
      <c r="H28" s="1"/>
      <c r="I28" s="1"/>
      <c r="J28" s="1"/>
      <c r="K28" s="1">
        <f t="shared" si="1"/>
        <v>0</v>
      </c>
      <c r="L28" s="1"/>
      <c r="M28" s="1"/>
      <c r="N28" s="1">
        <f t="shared" si="2"/>
        <v>0</v>
      </c>
      <c r="S28" s="1" t="s">
        <v>92</v>
      </c>
      <c r="T28" s="1">
        <v>1.4510000000000001</v>
      </c>
      <c r="U28" s="1">
        <v>2.831</v>
      </c>
      <c r="V28" s="1">
        <f t="shared" si="3"/>
        <v>4.1077810000000001</v>
      </c>
      <c r="W28" s="1"/>
      <c r="X28" s="1"/>
      <c r="Y28" s="1"/>
      <c r="Z28" s="1">
        <f t="shared" si="4"/>
        <v>0</v>
      </c>
      <c r="AA28" s="1"/>
      <c r="AB28" s="1"/>
      <c r="AC28" s="1">
        <f t="shared" si="5"/>
        <v>0</v>
      </c>
    </row>
    <row r="29" spans="4:29" x14ac:dyDescent="0.25">
      <c r="D29" s="1"/>
      <c r="E29" s="1">
        <v>0.2</v>
      </c>
      <c r="F29" s="1">
        <v>0.26600000000000001</v>
      </c>
      <c r="G29" s="1">
        <f t="shared" si="0"/>
        <v>5.3200000000000004E-2</v>
      </c>
      <c r="H29" s="1"/>
      <c r="I29" s="1"/>
      <c r="J29" s="1"/>
      <c r="K29" s="1">
        <f t="shared" si="1"/>
        <v>0</v>
      </c>
      <c r="L29" s="1"/>
      <c r="M29" s="1"/>
      <c r="N29" s="1">
        <f t="shared" si="2"/>
        <v>0</v>
      </c>
      <c r="S29" s="1"/>
      <c r="T29" s="1">
        <v>0.2</v>
      </c>
      <c r="U29" s="1">
        <v>0.26600000000000001</v>
      </c>
      <c r="V29" s="1">
        <f t="shared" si="3"/>
        <v>5.3200000000000004E-2</v>
      </c>
      <c r="W29" s="1"/>
      <c r="X29" s="1"/>
      <c r="Y29" s="1"/>
      <c r="Z29" s="1">
        <f t="shared" si="4"/>
        <v>0</v>
      </c>
      <c r="AA29" s="1"/>
      <c r="AB29" s="1"/>
      <c r="AC29" s="1">
        <f t="shared" si="5"/>
        <v>0</v>
      </c>
    </row>
    <row r="30" spans="4:29" x14ac:dyDescent="0.25">
      <c r="D30" s="1"/>
      <c r="E30" s="1">
        <v>0.2</v>
      </c>
      <c r="F30" s="1">
        <v>2.2410000000000001</v>
      </c>
      <c r="G30" s="1">
        <f t="shared" si="0"/>
        <v>0.44820000000000004</v>
      </c>
      <c r="H30" s="1"/>
      <c r="I30" s="1"/>
      <c r="J30" s="1"/>
      <c r="K30" s="1">
        <f t="shared" si="1"/>
        <v>0</v>
      </c>
      <c r="L30" s="1"/>
      <c r="M30" s="1"/>
      <c r="N30" s="1">
        <f t="shared" si="2"/>
        <v>0</v>
      </c>
      <c r="S30" s="1"/>
      <c r="T30" s="1">
        <v>0.2</v>
      </c>
      <c r="U30" s="1">
        <v>2.2410000000000001</v>
      </c>
      <c r="V30" s="1">
        <f t="shared" si="3"/>
        <v>0.44820000000000004</v>
      </c>
      <c r="W30" s="1"/>
      <c r="X30" s="1"/>
      <c r="Y30" s="1"/>
      <c r="Z30" s="1">
        <f t="shared" si="4"/>
        <v>0</v>
      </c>
      <c r="AA30" s="1"/>
      <c r="AB30" s="1"/>
      <c r="AC30" s="1">
        <f t="shared" si="5"/>
        <v>0</v>
      </c>
    </row>
    <row r="31" spans="4:29" x14ac:dyDescent="0.25">
      <c r="D31" s="1" t="s">
        <v>92</v>
      </c>
      <c r="E31" s="1">
        <v>1.7310000000000001</v>
      </c>
      <c r="F31" s="1">
        <v>2.806</v>
      </c>
      <c r="G31" s="1">
        <f t="shared" si="0"/>
        <v>4.8571860000000004</v>
      </c>
      <c r="H31" s="1"/>
      <c r="I31" s="1"/>
      <c r="J31" s="1"/>
      <c r="K31" s="1">
        <f t="shared" si="1"/>
        <v>0</v>
      </c>
      <c r="L31" s="1"/>
      <c r="M31" s="1"/>
      <c r="N31" s="1">
        <f t="shared" si="2"/>
        <v>0</v>
      </c>
      <c r="S31" s="1" t="s">
        <v>93</v>
      </c>
      <c r="T31" s="1">
        <v>1.7310000000000001</v>
      </c>
      <c r="U31" s="1">
        <v>2.806</v>
      </c>
      <c r="V31" s="1">
        <f t="shared" si="3"/>
        <v>4.8571860000000004</v>
      </c>
      <c r="W31" s="1"/>
      <c r="X31" s="1"/>
      <c r="Y31" s="1"/>
      <c r="Z31" s="1">
        <f t="shared" si="4"/>
        <v>0</v>
      </c>
      <c r="AA31" s="1"/>
      <c r="AB31" s="1"/>
      <c r="AC31" s="1">
        <f t="shared" si="5"/>
        <v>0</v>
      </c>
    </row>
    <row r="32" spans="4:29" x14ac:dyDescent="0.25">
      <c r="D32" s="1" t="s">
        <v>93</v>
      </c>
      <c r="E32" s="1">
        <v>1.6259999999999999</v>
      </c>
      <c r="F32" s="1">
        <v>2.6059999999999999</v>
      </c>
      <c r="G32" s="1">
        <f t="shared" si="0"/>
        <v>4.2373559999999992</v>
      </c>
      <c r="H32" s="1"/>
      <c r="I32" s="1"/>
      <c r="J32" s="1"/>
      <c r="K32" s="1">
        <f t="shared" si="1"/>
        <v>0</v>
      </c>
      <c r="L32" s="1"/>
      <c r="M32" s="1"/>
      <c r="N32" s="1">
        <f t="shared" si="2"/>
        <v>0</v>
      </c>
      <c r="S32" s="1" t="s">
        <v>281</v>
      </c>
      <c r="T32" s="1">
        <v>1.6259999999999999</v>
      </c>
      <c r="U32" s="1">
        <v>2.6059999999999999</v>
      </c>
      <c r="V32" s="1">
        <f t="shared" si="3"/>
        <v>4.2373559999999992</v>
      </c>
      <c r="W32" s="1"/>
      <c r="X32" s="1"/>
      <c r="Y32" s="1"/>
      <c r="Z32" s="1">
        <f t="shared" si="4"/>
        <v>0</v>
      </c>
      <c r="AA32" s="1"/>
      <c r="AB32" s="1"/>
      <c r="AC32" s="1">
        <f t="shared" si="5"/>
        <v>0</v>
      </c>
    </row>
    <row r="33" spans="3:31" x14ac:dyDescent="0.25">
      <c r="D33" s="1"/>
      <c r="E33" s="1">
        <v>0.08</v>
      </c>
      <c r="F33" s="1">
        <v>0.436</v>
      </c>
      <c r="G33" s="1">
        <f t="shared" si="0"/>
        <v>3.4880000000000001E-2</v>
      </c>
      <c r="H33" s="1"/>
      <c r="I33" s="1"/>
      <c r="J33" s="1"/>
      <c r="K33" s="1">
        <f t="shared" si="1"/>
        <v>0</v>
      </c>
      <c r="L33" s="1"/>
      <c r="M33" s="1"/>
      <c r="N33" s="1">
        <f t="shared" si="2"/>
        <v>0</v>
      </c>
      <c r="S33" s="1"/>
      <c r="T33" s="1">
        <v>0.08</v>
      </c>
      <c r="U33" s="1">
        <v>0.436</v>
      </c>
      <c r="V33" s="1">
        <f t="shared" si="3"/>
        <v>3.4880000000000001E-2</v>
      </c>
      <c r="W33" s="1"/>
      <c r="X33" s="1"/>
      <c r="Y33" s="1"/>
      <c r="Z33" s="1">
        <f t="shared" si="4"/>
        <v>0</v>
      </c>
      <c r="AA33" s="1"/>
      <c r="AB33" s="1"/>
      <c r="AC33" s="1">
        <f t="shared" si="5"/>
        <v>0</v>
      </c>
    </row>
    <row r="34" spans="3:31" x14ac:dyDescent="0.25">
      <c r="D34" s="1"/>
      <c r="E34" s="1">
        <v>1.8</v>
      </c>
      <c r="F34" s="1">
        <v>1.046</v>
      </c>
      <c r="G34" s="1">
        <f t="shared" si="0"/>
        <v>1.8828</v>
      </c>
      <c r="H34" s="1"/>
      <c r="I34" s="1"/>
      <c r="J34" s="1"/>
      <c r="K34" s="1">
        <f t="shared" si="1"/>
        <v>0</v>
      </c>
      <c r="L34" s="1"/>
      <c r="M34" s="1"/>
      <c r="N34" s="1">
        <f t="shared" si="2"/>
        <v>0</v>
      </c>
      <c r="S34" s="1"/>
      <c r="T34" s="1">
        <v>1.8</v>
      </c>
      <c r="U34" s="1">
        <v>1.046</v>
      </c>
      <c r="V34" s="1">
        <f t="shared" si="3"/>
        <v>1.8828</v>
      </c>
      <c r="W34" s="1"/>
      <c r="X34" s="1"/>
      <c r="Y34" s="1"/>
      <c r="Z34" s="1">
        <f t="shared" si="4"/>
        <v>0</v>
      </c>
      <c r="AA34" s="1"/>
      <c r="AB34" s="1"/>
      <c r="AC34" s="1">
        <f t="shared" si="5"/>
        <v>0</v>
      </c>
    </row>
    <row r="35" spans="3:31" x14ac:dyDescent="0.25">
      <c r="D35" s="1" t="s">
        <v>281</v>
      </c>
      <c r="E35" s="1">
        <v>1.171</v>
      </c>
      <c r="F35" s="1">
        <v>1.8260000000000001</v>
      </c>
      <c r="G35" s="1">
        <f t="shared" ref="G35:G36" si="6">E35*F35</f>
        <v>2.1382460000000001</v>
      </c>
      <c r="H35" s="1"/>
      <c r="I35" s="1"/>
      <c r="J35" s="1"/>
      <c r="K35" s="1">
        <f t="shared" ref="K35:K36" si="7">I35*J35</f>
        <v>0</v>
      </c>
      <c r="L35" s="1"/>
      <c r="M35" s="1"/>
      <c r="N35" s="1">
        <f t="shared" ref="N35:N36" si="8">L35*M35</f>
        <v>0</v>
      </c>
      <c r="S35" s="1" t="s">
        <v>282</v>
      </c>
      <c r="T35" s="1">
        <v>1.171</v>
      </c>
      <c r="U35" s="1">
        <v>1.8260000000000001</v>
      </c>
      <c r="V35" s="1">
        <f t="shared" si="3"/>
        <v>2.1382460000000001</v>
      </c>
      <c r="W35" s="1"/>
      <c r="X35" s="1"/>
      <c r="Y35" s="1"/>
      <c r="Z35" s="1">
        <f t="shared" si="4"/>
        <v>0</v>
      </c>
      <c r="AA35" s="1"/>
      <c r="AB35" s="1"/>
      <c r="AC35" s="1">
        <f t="shared" si="5"/>
        <v>0</v>
      </c>
    </row>
    <row r="36" spans="3:31" x14ac:dyDescent="0.25">
      <c r="D36" s="1"/>
      <c r="E36" s="1">
        <v>1.0409999999999999</v>
      </c>
      <c r="F36" s="1">
        <v>0.105</v>
      </c>
      <c r="G36" s="1">
        <f t="shared" si="6"/>
        <v>0.10930499999999999</v>
      </c>
      <c r="H36" s="1"/>
      <c r="I36" s="1"/>
      <c r="J36" s="1"/>
      <c r="K36" s="1">
        <f t="shared" si="7"/>
        <v>0</v>
      </c>
      <c r="L36" s="1"/>
      <c r="M36" s="1"/>
      <c r="N36" s="1">
        <f t="shared" si="8"/>
        <v>0</v>
      </c>
      <c r="S36" s="1"/>
      <c r="T36" s="1">
        <v>1.0409999999999999</v>
      </c>
      <c r="U36" s="1">
        <v>0.105</v>
      </c>
      <c r="V36" s="1">
        <f t="shared" si="3"/>
        <v>0.10930499999999999</v>
      </c>
      <c r="W36" s="1"/>
      <c r="X36" s="1"/>
      <c r="Y36" s="1"/>
      <c r="Z36" s="1">
        <f t="shared" si="4"/>
        <v>0</v>
      </c>
      <c r="AA36" s="1"/>
      <c r="AB36" s="1"/>
      <c r="AC36" s="1">
        <f t="shared" si="5"/>
        <v>0</v>
      </c>
    </row>
    <row r="37" spans="3:31" x14ac:dyDescent="0.25">
      <c r="D37" s="1" t="s">
        <v>283</v>
      </c>
      <c r="E37" s="1">
        <v>1.9159999999999999</v>
      </c>
      <c r="F37" s="1">
        <v>2.4359999999999999</v>
      </c>
      <c r="G37" s="1">
        <f t="shared" ref="G37:G40" si="9">E37*F37</f>
        <v>4.667376</v>
      </c>
      <c r="H37" s="1"/>
      <c r="I37" s="1"/>
      <c r="J37" s="1"/>
      <c r="K37" s="1">
        <f t="shared" ref="K37:K40" si="10">I37*J37</f>
        <v>0</v>
      </c>
      <c r="L37" s="1"/>
      <c r="M37" s="1"/>
      <c r="N37" s="1">
        <f t="shared" ref="N37:N40" si="11">L37*M37</f>
        <v>0</v>
      </c>
      <c r="S37" s="1" t="s">
        <v>283</v>
      </c>
      <c r="T37" s="1">
        <v>1.9159999999999999</v>
      </c>
      <c r="U37" s="1">
        <v>2.4359999999999999</v>
      </c>
      <c r="V37" s="1">
        <f t="shared" si="3"/>
        <v>4.667376</v>
      </c>
      <c r="W37" s="1"/>
      <c r="X37" s="1"/>
      <c r="Y37" s="1"/>
      <c r="Z37" s="1">
        <f t="shared" si="4"/>
        <v>0</v>
      </c>
      <c r="AA37" s="1"/>
      <c r="AB37" s="1"/>
      <c r="AC37" s="1">
        <f t="shared" si="5"/>
        <v>0</v>
      </c>
    </row>
    <row r="38" spans="3:31" x14ac:dyDescent="0.25">
      <c r="D38" s="1"/>
      <c r="E38" s="1">
        <v>0.15</v>
      </c>
      <c r="F38" s="1">
        <v>0.60099999999999998</v>
      </c>
      <c r="G38" s="1">
        <f t="shared" si="9"/>
        <v>9.0149999999999994E-2</v>
      </c>
      <c r="H38" s="1"/>
      <c r="I38" s="1"/>
      <c r="J38" s="1"/>
      <c r="K38" s="1">
        <f t="shared" si="10"/>
        <v>0</v>
      </c>
      <c r="L38" s="1"/>
      <c r="M38" s="1"/>
      <c r="N38" s="1">
        <f t="shared" si="11"/>
        <v>0</v>
      </c>
      <c r="S38" s="1"/>
      <c r="T38" s="1">
        <v>0.15</v>
      </c>
      <c r="U38" s="1">
        <v>0.60099999999999998</v>
      </c>
      <c r="V38" s="1">
        <f t="shared" si="3"/>
        <v>9.0149999999999994E-2</v>
      </c>
      <c r="W38" s="1"/>
      <c r="X38" s="1"/>
      <c r="Y38" s="1"/>
      <c r="Z38" s="1">
        <f t="shared" si="4"/>
        <v>0</v>
      </c>
      <c r="AA38" s="1"/>
      <c r="AB38" s="1"/>
      <c r="AC38" s="1">
        <f t="shared" si="5"/>
        <v>0</v>
      </c>
    </row>
    <row r="39" spans="3:31" x14ac:dyDescent="0.25">
      <c r="D39" s="1"/>
      <c r="E39" s="1">
        <v>1.276</v>
      </c>
      <c r="F39" s="1">
        <v>0.15</v>
      </c>
      <c r="G39" s="1">
        <f t="shared" si="9"/>
        <v>0.19139999999999999</v>
      </c>
      <c r="H39" s="1"/>
      <c r="I39" s="1"/>
      <c r="J39" s="1"/>
      <c r="K39" s="1">
        <f t="shared" si="10"/>
        <v>0</v>
      </c>
      <c r="L39" s="1"/>
      <c r="M39" s="1"/>
      <c r="N39" s="1">
        <f t="shared" si="11"/>
        <v>0</v>
      </c>
      <c r="S39" s="1"/>
      <c r="T39" s="1">
        <v>1.276</v>
      </c>
      <c r="U39" s="1">
        <v>0.15</v>
      </c>
      <c r="V39" s="1">
        <f t="shared" si="3"/>
        <v>0.19139999999999999</v>
      </c>
      <c r="W39" s="1"/>
      <c r="X39" s="1"/>
      <c r="Y39" s="1"/>
      <c r="Z39" s="1">
        <f t="shared" si="4"/>
        <v>0</v>
      </c>
      <c r="AA39" s="1"/>
      <c r="AB39" s="1"/>
      <c r="AC39" s="1">
        <f t="shared" si="5"/>
        <v>0</v>
      </c>
    </row>
    <row r="40" spans="3:31" x14ac:dyDescent="0.25">
      <c r="D40" s="1" t="s">
        <v>284</v>
      </c>
      <c r="E40" s="1">
        <v>5.59</v>
      </c>
      <c r="F40" s="1">
        <v>1.046</v>
      </c>
      <c r="G40" s="1">
        <f t="shared" si="9"/>
        <v>5.8471400000000004</v>
      </c>
      <c r="H40" s="1"/>
      <c r="I40" s="1"/>
      <c r="J40" s="1"/>
      <c r="K40" s="1">
        <f t="shared" si="10"/>
        <v>0</v>
      </c>
      <c r="L40" s="1"/>
      <c r="M40" s="1"/>
      <c r="N40" s="1">
        <f t="shared" si="11"/>
        <v>0</v>
      </c>
      <c r="S40" s="1" t="s">
        <v>284</v>
      </c>
      <c r="T40" s="1">
        <v>5.59</v>
      </c>
      <c r="U40" s="1">
        <v>1.046</v>
      </c>
      <c r="V40" s="1">
        <f t="shared" si="3"/>
        <v>5.8471400000000004</v>
      </c>
      <c r="W40" s="1"/>
      <c r="X40" s="1"/>
      <c r="Y40" s="1"/>
      <c r="Z40" s="1">
        <f t="shared" si="4"/>
        <v>0</v>
      </c>
      <c r="AA40" s="1"/>
      <c r="AB40" s="1"/>
      <c r="AC40" s="1">
        <f t="shared" si="5"/>
        <v>0</v>
      </c>
    </row>
    <row r="41" spans="3:31" x14ac:dyDescent="0.25">
      <c r="D41" s="1" t="s">
        <v>285</v>
      </c>
      <c r="E41" s="1">
        <v>1.0509999999999999</v>
      </c>
      <c r="F41" s="1">
        <v>0.61</v>
      </c>
      <c r="G41" s="1">
        <f t="shared" ref="G41:G42" si="12">E41*F41</f>
        <v>0.64110999999999996</v>
      </c>
      <c r="H41" s="1"/>
      <c r="I41" s="1"/>
      <c r="J41" s="1"/>
      <c r="K41" s="1">
        <f t="shared" ref="K41:K42" si="13">I41*J41</f>
        <v>0</v>
      </c>
      <c r="L41" s="1"/>
      <c r="M41" s="1"/>
      <c r="N41" s="1">
        <f t="shared" ref="N41:N42" si="14">L41*M41</f>
        <v>0</v>
      </c>
      <c r="S41" s="1" t="s">
        <v>285</v>
      </c>
      <c r="T41" s="1">
        <v>1.0509999999999999</v>
      </c>
      <c r="U41" s="1">
        <v>0.61</v>
      </c>
      <c r="V41" s="1">
        <f t="shared" si="3"/>
        <v>0.64110999999999996</v>
      </c>
      <c r="W41" s="1"/>
      <c r="X41" s="1"/>
      <c r="Y41" s="1"/>
      <c r="Z41" s="1">
        <f t="shared" si="4"/>
        <v>0</v>
      </c>
      <c r="AA41" s="1"/>
      <c r="AB41" s="1"/>
      <c r="AC41" s="1">
        <f t="shared" si="5"/>
        <v>0</v>
      </c>
    </row>
    <row r="42" spans="3:31" x14ac:dyDescent="0.25">
      <c r="D42" s="1"/>
      <c r="E42" s="1"/>
      <c r="F42" s="1"/>
      <c r="G42" s="1">
        <f t="shared" si="12"/>
        <v>0</v>
      </c>
      <c r="H42" s="1"/>
      <c r="I42" s="1"/>
      <c r="J42" s="1"/>
      <c r="K42" s="1">
        <f t="shared" si="13"/>
        <v>0</v>
      </c>
      <c r="L42" s="1"/>
      <c r="M42" s="1"/>
      <c r="N42" s="1">
        <f t="shared" si="14"/>
        <v>0</v>
      </c>
      <c r="S42" s="1"/>
      <c r="T42" s="1"/>
      <c r="U42" s="1"/>
      <c r="V42" s="1">
        <f t="shared" si="3"/>
        <v>0</v>
      </c>
      <c r="W42" s="1"/>
      <c r="X42" s="1"/>
      <c r="Y42" s="1"/>
      <c r="Z42" s="1">
        <f t="shared" si="4"/>
        <v>0</v>
      </c>
      <c r="AA42" s="1"/>
      <c r="AB42" s="1"/>
      <c r="AC42" s="1">
        <f t="shared" si="5"/>
        <v>0</v>
      </c>
    </row>
    <row r="43" spans="3:31" x14ac:dyDescent="0.25">
      <c r="D43" s="1" t="s">
        <v>94</v>
      </c>
      <c r="E43" s="1"/>
      <c r="F43" s="52">
        <f>G43*10.764</f>
        <v>1522.6039778039999</v>
      </c>
      <c r="G43" s="52">
        <f>SUM(G7:G41)</f>
        <v>141.453361</v>
      </c>
      <c r="H43" s="1"/>
      <c r="I43" s="1"/>
      <c r="J43" s="52">
        <f>K43*10.764</f>
        <v>57.061051163999998</v>
      </c>
      <c r="K43" s="52">
        <f>SUM(K7:K34)</f>
        <v>5.3011010000000001</v>
      </c>
      <c r="L43" s="1"/>
      <c r="M43" s="1">
        <f>N43*10.764</f>
        <v>0</v>
      </c>
      <c r="N43" s="1">
        <f>SUM(N7:N34)</f>
        <v>0</v>
      </c>
      <c r="P43" s="54">
        <f>F43+J43</f>
        <v>1579.6650289679999</v>
      </c>
      <c r="S43" s="1" t="s">
        <v>94</v>
      </c>
      <c r="T43" s="1"/>
      <c r="U43" s="52">
        <f>V43*10.764</f>
        <v>1733.8309227719999</v>
      </c>
      <c r="V43" s="52">
        <f>SUM(V7:V41)</f>
        <v>161.07682299999999</v>
      </c>
      <c r="W43" s="1"/>
      <c r="X43" s="1"/>
      <c r="Y43" s="52">
        <f>Z43*10.764</f>
        <v>57.061051163999998</v>
      </c>
      <c r="Z43" s="52">
        <f>SUM(Z7:Z34)</f>
        <v>5.3011010000000001</v>
      </c>
      <c r="AA43" s="1"/>
      <c r="AB43" s="1">
        <f>AC43*10.764</f>
        <v>0</v>
      </c>
      <c r="AC43" s="1">
        <f>SUM(AC7:AC34)</f>
        <v>0</v>
      </c>
      <c r="AE43" s="54">
        <f>U43+Y43</f>
        <v>1790.8919739359999</v>
      </c>
    </row>
    <row r="45" spans="3:31" x14ac:dyDescent="0.25">
      <c r="D45" s="4" t="s">
        <v>95</v>
      </c>
      <c r="E45" s="159" t="s">
        <v>133</v>
      </c>
      <c r="F45" s="159"/>
    </row>
    <row r="46" spans="3:31" x14ac:dyDescent="0.25">
      <c r="F46" s="3"/>
      <c r="G46" s="3"/>
      <c r="H46" s="3"/>
      <c r="I46" s="3"/>
      <c r="J46" s="3"/>
      <c r="K46" s="3"/>
    </row>
    <row r="47" spans="3:31" x14ac:dyDescent="0.25">
      <c r="C47" s="4" t="s">
        <v>96</v>
      </c>
      <c r="D47" s="2" t="s">
        <v>76</v>
      </c>
      <c r="E47" s="160" t="s">
        <v>77</v>
      </c>
      <c r="F47" s="160"/>
      <c r="G47" s="160"/>
      <c r="H47" s="5"/>
      <c r="I47" s="160" t="s">
        <v>78</v>
      </c>
      <c r="J47" s="160"/>
      <c r="K47" s="160"/>
      <c r="L47" s="160" t="s">
        <v>79</v>
      </c>
      <c r="M47" s="160"/>
      <c r="N47" s="160"/>
    </row>
    <row r="48" spans="3:31" x14ac:dyDescent="0.25">
      <c r="C48" s="4">
        <v>102</v>
      </c>
      <c r="D48" s="2"/>
      <c r="E48" s="2" t="s">
        <v>80</v>
      </c>
      <c r="F48" s="2" t="s">
        <v>81</v>
      </c>
      <c r="G48" s="2" t="s">
        <v>82</v>
      </c>
      <c r="H48" s="2"/>
      <c r="I48" s="2" t="s">
        <v>80</v>
      </c>
      <c r="J48" s="2" t="s">
        <v>81</v>
      </c>
      <c r="K48" s="2" t="s">
        <v>82</v>
      </c>
      <c r="L48" s="2" t="s">
        <v>80</v>
      </c>
      <c r="M48" s="2" t="s">
        <v>81</v>
      </c>
      <c r="N48" s="2" t="s">
        <v>82</v>
      </c>
    </row>
    <row r="49" spans="4:14" x14ac:dyDescent="0.25">
      <c r="D49" s="1" t="s">
        <v>83</v>
      </c>
      <c r="E49" s="1">
        <v>1.625</v>
      </c>
      <c r="F49" s="1">
        <v>1.496</v>
      </c>
      <c r="G49" s="1">
        <f>E49*F49</f>
        <v>2.431</v>
      </c>
      <c r="H49" s="1" t="s">
        <v>286</v>
      </c>
      <c r="I49" s="1">
        <v>3.7210000000000001</v>
      </c>
      <c r="J49" s="1">
        <v>1.391</v>
      </c>
      <c r="K49" s="1">
        <f>I49*J49</f>
        <v>5.1759110000000002</v>
      </c>
      <c r="L49" s="1"/>
      <c r="M49" s="1"/>
      <c r="N49" s="1">
        <f>L49*M49</f>
        <v>0</v>
      </c>
    </row>
    <row r="50" spans="4:14" x14ac:dyDescent="0.25">
      <c r="D50" s="1"/>
      <c r="E50" s="1">
        <v>3.641</v>
      </c>
      <c r="F50" s="1">
        <v>6.9710000000000001</v>
      </c>
      <c r="G50" s="1">
        <f t="shared" ref="G50:G76" si="15">E50*F50</f>
        <v>25.381411</v>
      </c>
      <c r="H50" s="1"/>
      <c r="I50" s="1"/>
      <c r="J50" s="1"/>
      <c r="K50" s="1">
        <f t="shared" ref="K50:K76" si="16">I50*J50</f>
        <v>0</v>
      </c>
      <c r="L50" s="1"/>
      <c r="M50" s="1"/>
      <c r="N50" s="1">
        <f t="shared" ref="N50:N76" si="17">L50*M50</f>
        <v>0</v>
      </c>
    </row>
    <row r="51" spans="4:14" x14ac:dyDescent="0.25">
      <c r="D51" s="1"/>
      <c r="E51" s="1">
        <v>3.44</v>
      </c>
      <c r="F51" s="1">
        <v>0.17399999999999999</v>
      </c>
      <c r="G51" s="1">
        <f t="shared" si="15"/>
        <v>0.59855999999999998</v>
      </c>
      <c r="H51" s="1"/>
      <c r="I51" s="1"/>
      <c r="J51" s="1"/>
      <c r="K51" s="1">
        <f t="shared" si="16"/>
        <v>0</v>
      </c>
      <c r="L51" s="1"/>
      <c r="M51" s="1"/>
      <c r="N51" s="1">
        <f t="shared" si="17"/>
        <v>0</v>
      </c>
    </row>
    <row r="52" spans="4:14" x14ac:dyDescent="0.25">
      <c r="D52" s="1" t="s">
        <v>86</v>
      </c>
      <c r="E52" s="1">
        <v>2.2610000000000001</v>
      </c>
      <c r="F52" s="1">
        <v>3.7559999999999998</v>
      </c>
      <c r="G52" s="1">
        <f t="shared" si="15"/>
        <v>8.4923160000000006</v>
      </c>
      <c r="H52" s="1" t="s">
        <v>98</v>
      </c>
      <c r="I52" s="1"/>
      <c r="J52" s="1"/>
      <c r="K52" s="1">
        <f t="shared" si="16"/>
        <v>0</v>
      </c>
      <c r="L52" s="1"/>
      <c r="M52" s="1"/>
      <c r="N52" s="1">
        <f t="shared" si="17"/>
        <v>0</v>
      </c>
    </row>
    <row r="53" spans="4:14" x14ac:dyDescent="0.25">
      <c r="D53" s="1"/>
      <c r="E53" s="1">
        <v>7.4999999999999997E-2</v>
      </c>
      <c r="F53" s="1">
        <v>3.306</v>
      </c>
      <c r="G53" s="1">
        <f t="shared" si="15"/>
        <v>0.24795</v>
      </c>
      <c r="H53" s="1" t="s">
        <v>99</v>
      </c>
      <c r="I53" s="1"/>
      <c r="J53" s="1"/>
      <c r="K53" s="1">
        <f t="shared" si="16"/>
        <v>0</v>
      </c>
      <c r="L53" s="1"/>
      <c r="M53" s="1"/>
      <c r="N53" s="1">
        <f t="shared" si="17"/>
        <v>0</v>
      </c>
    </row>
    <row r="54" spans="4:14" x14ac:dyDescent="0.25">
      <c r="D54" s="1"/>
      <c r="E54" s="1">
        <v>0.13</v>
      </c>
      <c r="F54" s="1">
        <v>3.2610000000000001</v>
      </c>
      <c r="G54" s="1">
        <f t="shared" si="15"/>
        <v>0.42393000000000003</v>
      </c>
      <c r="H54" s="1"/>
      <c r="I54" s="1"/>
      <c r="J54" s="1"/>
      <c r="K54" s="1">
        <f t="shared" si="16"/>
        <v>0</v>
      </c>
      <c r="L54" s="1"/>
      <c r="M54" s="1"/>
      <c r="N54" s="1">
        <f t="shared" si="17"/>
        <v>0</v>
      </c>
    </row>
    <row r="55" spans="4:14" x14ac:dyDescent="0.25">
      <c r="D55" s="1"/>
      <c r="E55" s="1">
        <v>1.1259999999999999</v>
      </c>
      <c r="F55" s="1">
        <v>0.124</v>
      </c>
      <c r="G55" s="1">
        <f t="shared" si="15"/>
        <v>0.139624</v>
      </c>
      <c r="H55" s="1"/>
      <c r="I55" s="1"/>
      <c r="J55" s="1"/>
      <c r="K55" s="1">
        <f t="shared" si="16"/>
        <v>0</v>
      </c>
      <c r="L55" s="1"/>
      <c r="M55" s="1"/>
      <c r="N55" s="1">
        <f t="shared" si="17"/>
        <v>0</v>
      </c>
    </row>
    <row r="56" spans="4:14" x14ac:dyDescent="0.25">
      <c r="D56" s="1" t="s">
        <v>84</v>
      </c>
      <c r="E56" s="1">
        <v>3.3260000000000001</v>
      </c>
      <c r="F56" s="1">
        <v>4.8259999999999996</v>
      </c>
      <c r="G56" s="1">
        <f t="shared" si="15"/>
        <v>16.051275999999998</v>
      </c>
      <c r="H56" s="1" t="s">
        <v>98</v>
      </c>
      <c r="I56" s="1"/>
      <c r="J56" s="1"/>
      <c r="K56" s="1">
        <f t="shared" si="16"/>
        <v>0</v>
      </c>
      <c r="L56" s="1"/>
      <c r="M56" s="1"/>
      <c r="N56" s="1">
        <f t="shared" si="17"/>
        <v>0</v>
      </c>
    </row>
    <row r="57" spans="4:14" x14ac:dyDescent="0.25">
      <c r="D57" s="1" t="s">
        <v>85</v>
      </c>
      <c r="E57" s="1">
        <v>3.6960000000000002</v>
      </c>
      <c r="F57" s="1">
        <v>3.1760000000000002</v>
      </c>
      <c r="G57" s="1">
        <f t="shared" si="15"/>
        <v>11.738496000000001</v>
      </c>
      <c r="H57" s="1" t="s">
        <v>99</v>
      </c>
      <c r="I57" s="1"/>
      <c r="J57" s="1"/>
      <c r="K57" s="1">
        <f t="shared" si="16"/>
        <v>0</v>
      </c>
      <c r="L57" s="1"/>
      <c r="M57" s="1"/>
      <c r="N57" s="1">
        <f t="shared" si="17"/>
        <v>0</v>
      </c>
    </row>
    <row r="58" spans="4:14" x14ac:dyDescent="0.25">
      <c r="D58" s="1" t="s">
        <v>279</v>
      </c>
      <c r="E58" s="1">
        <v>4.9160000000000004</v>
      </c>
      <c r="F58" s="1">
        <v>3.8460000000000001</v>
      </c>
      <c r="G58" s="1">
        <f t="shared" si="15"/>
        <v>18.906936000000002</v>
      </c>
      <c r="H58" s="1"/>
      <c r="I58" s="1"/>
      <c r="J58" s="1"/>
      <c r="K58" s="1">
        <f t="shared" si="16"/>
        <v>0</v>
      </c>
      <c r="L58" s="1"/>
      <c r="M58" s="1"/>
      <c r="N58" s="1">
        <f t="shared" si="17"/>
        <v>0</v>
      </c>
    </row>
    <row r="59" spans="4:14" x14ac:dyDescent="0.25">
      <c r="D59" s="1"/>
      <c r="E59" s="1">
        <v>1.046</v>
      </c>
      <c r="F59" s="1">
        <v>1.1399999999999999</v>
      </c>
      <c r="G59" s="1">
        <f t="shared" si="15"/>
        <v>1.1924399999999999</v>
      </c>
      <c r="H59" s="1"/>
      <c r="I59" s="1"/>
      <c r="J59" s="1"/>
      <c r="K59" s="1">
        <f t="shared" si="16"/>
        <v>0</v>
      </c>
      <c r="L59" s="1"/>
      <c r="M59" s="1"/>
      <c r="N59" s="1">
        <f t="shared" si="17"/>
        <v>0</v>
      </c>
    </row>
    <row r="60" spans="4:14" x14ac:dyDescent="0.25">
      <c r="D60" s="1"/>
      <c r="E60" s="1">
        <v>1.046</v>
      </c>
      <c r="F60" s="1">
        <v>0.2</v>
      </c>
      <c r="G60" s="1">
        <f t="shared" si="15"/>
        <v>0.20920000000000002</v>
      </c>
      <c r="H60" s="1" t="s">
        <v>98</v>
      </c>
      <c r="I60" s="1"/>
      <c r="J60" s="1"/>
      <c r="K60" s="1">
        <f t="shared" si="16"/>
        <v>0</v>
      </c>
      <c r="L60" s="1"/>
      <c r="M60" s="1"/>
      <c r="N60" s="1">
        <f t="shared" si="17"/>
        <v>0</v>
      </c>
    </row>
    <row r="61" spans="4:14" x14ac:dyDescent="0.25">
      <c r="D61" s="1" t="s">
        <v>91</v>
      </c>
      <c r="E61" s="1">
        <v>1.3560000000000001</v>
      </c>
      <c r="F61" s="1">
        <v>2.8959999999999999</v>
      </c>
      <c r="G61" s="1">
        <f t="shared" si="15"/>
        <v>3.9269760000000002</v>
      </c>
      <c r="H61" s="1" t="s">
        <v>99</v>
      </c>
      <c r="I61" s="1"/>
      <c r="J61" s="1"/>
      <c r="K61" s="1">
        <f t="shared" si="16"/>
        <v>0</v>
      </c>
      <c r="L61" s="1"/>
      <c r="M61" s="1"/>
      <c r="N61" s="1">
        <f t="shared" si="17"/>
        <v>0</v>
      </c>
    </row>
    <row r="62" spans="4:14" x14ac:dyDescent="0.25">
      <c r="D62" s="1"/>
      <c r="E62" s="1">
        <v>0.59099999999999997</v>
      </c>
      <c r="F62" s="1">
        <v>7.4999999999999997E-2</v>
      </c>
      <c r="G62" s="1">
        <f t="shared" si="15"/>
        <v>4.4324999999999996E-2</v>
      </c>
      <c r="H62" s="1"/>
      <c r="I62" s="1"/>
      <c r="J62" s="1"/>
      <c r="K62" s="1">
        <f t="shared" si="16"/>
        <v>0</v>
      </c>
      <c r="L62" s="1"/>
      <c r="M62" s="1"/>
      <c r="N62" s="1">
        <f t="shared" si="17"/>
        <v>0</v>
      </c>
    </row>
    <row r="63" spans="4:14" x14ac:dyDescent="0.25">
      <c r="D63" s="1"/>
      <c r="E63" s="1">
        <v>0.45100000000000001</v>
      </c>
      <c r="F63" s="1">
        <v>0.105</v>
      </c>
      <c r="G63" s="1">
        <f t="shared" si="15"/>
        <v>4.7355000000000001E-2</v>
      </c>
      <c r="H63" s="1" t="s">
        <v>98</v>
      </c>
      <c r="I63" s="1"/>
      <c r="J63" s="1"/>
      <c r="K63" s="1">
        <f t="shared" si="16"/>
        <v>0</v>
      </c>
      <c r="L63" s="1"/>
      <c r="M63" s="1"/>
      <c r="N63" s="1">
        <f t="shared" si="17"/>
        <v>0</v>
      </c>
    </row>
    <row r="64" spans="4:14" x14ac:dyDescent="0.25">
      <c r="D64" s="1" t="s">
        <v>92</v>
      </c>
      <c r="E64" s="1">
        <v>2.7210000000000001</v>
      </c>
      <c r="F64" s="1">
        <v>1.2709999999999999</v>
      </c>
      <c r="G64" s="1">
        <f t="shared" si="15"/>
        <v>3.4583909999999998</v>
      </c>
      <c r="H64" s="1" t="s">
        <v>99</v>
      </c>
      <c r="I64" s="1"/>
      <c r="J64" s="1"/>
      <c r="K64" s="1">
        <f t="shared" si="16"/>
        <v>0</v>
      </c>
      <c r="L64" s="1"/>
      <c r="M64" s="1"/>
      <c r="N64" s="1">
        <f t="shared" si="17"/>
        <v>0</v>
      </c>
    </row>
    <row r="65" spans="4:16" x14ac:dyDescent="0.25">
      <c r="D65" s="1"/>
      <c r="E65" s="1">
        <v>2.0699999999999998</v>
      </c>
      <c r="F65" s="1">
        <v>0.2</v>
      </c>
      <c r="G65" s="1">
        <f t="shared" si="15"/>
        <v>0.41399999999999998</v>
      </c>
      <c r="H65" s="1"/>
      <c r="I65" s="1"/>
      <c r="J65" s="1"/>
      <c r="K65" s="1">
        <f t="shared" si="16"/>
        <v>0</v>
      </c>
      <c r="L65" s="1"/>
      <c r="M65" s="1"/>
      <c r="N65" s="1">
        <f t="shared" si="17"/>
        <v>0</v>
      </c>
    </row>
    <row r="66" spans="4:16" x14ac:dyDescent="0.25">
      <c r="D66" s="1"/>
      <c r="E66" s="1">
        <v>0.32600000000000001</v>
      </c>
      <c r="F66" s="1">
        <v>0.2</v>
      </c>
      <c r="G66" s="1">
        <f t="shared" si="15"/>
        <v>6.5200000000000008E-2</v>
      </c>
      <c r="H66" s="1" t="s">
        <v>100</v>
      </c>
      <c r="I66" s="1"/>
      <c r="J66" s="1"/>
      <c r="K66" s="1">
        <f t="shared" si="16"/>
        <v>0</v>
      </c>
      <c r="L66" s="1"/>
      <c r="M66" s="1"/>
      <c r="N66" s="1">
        <f t="shared" si="17"/>
        <v>0</v>
      </c>
    </row>
    <row r="67" spans="4:16" x14ac:dyDescent="0.25">
      <c r="D67" s="1" t="s">
        <v>93</v>
      </c>
      <c r="E67" s="1">
        <v>1.6459999999999999</v>
      </c>
      <c r="F67" s="1">
        <v>2.7810000000000001</v>
      </c>
      <c r="G67" s="1">
        <f t="shared" si="15"/>
        <v>4.5775259999999998</v>
      </c>
      <c r="H67" s="1" t="s">
        <v>100</v>
      </c>
      <c r="I67" s="1"/>
      <c r="J67" s="1"/>
      <c r="K67" s="1">
        <f t="shared" si="16"/>
        <v>0</v>
      </c>
      <c r="L67" s="1"/>
      <c r="M67" s="1"/>
      <c r="N67" s="1">
        <f t="shared" si="17"/>
        <v>0</v>
      </c>
    </row>
    <row r="68" spans="4:16" x14ac:dyDescent="0.25">
      <c r="D68" s="1"/>
      <c r="E68" s="1">
        <v>0.45100000000000001</v>
      </c>
      <c r="F68" s="1">
        <v>7.4999999999999997E-2</v>
      </c>
      <c r="G68" s="1">
        <f t="shared" si="15"/>
        <v>3.3825000000000001E-2</v>
      </c>
      <c r="H68" s="1" t="s">
        <v>100</v>
      </c>
      <c r="I68" s="1"/>
      <c r="J68" s="1"/>
      <c r="K68" s="1">
        <f t="shared" si="16"/>
        <v>0</v>
      </c>
      <c r="L68" s="1"/>
      <c r="M68" s="1"/>
      <c r="N68" s="1">
        <f t="shared" si="17"/>
        <v>0</v>
      </c>
    </row>
    <row r="69" spans="4:16" x14ac:dyDescent="0.25">
      <c r="D69" s="1"/>
      <c r="E69" s="1">
        <v>0.871</v>
      </c>
      <c r="F69" s="1">
        <v>7.4999999999999997E-2</v>
      </c>
      <c r="G69" s="1">
        <f t="shared" si="15"/>
        <v>6.5324999999999994E-2</v>
      </c>
      <c r="H69" s="1"/>
      <c r="I69" s="1"/>
      <c r="J69" s="1"/>
      <c r="K69" s="1">
        <f t="shared" si="16"/>
        <v>0</v>
      </c>
      <c r="L69" s="1"/>
      <c r="M69" s="1"/>
      <c r="N69" s="1">
        <f t="shared" si="17"/>
        <v>0</v>
      </c>
    </row>
    <row r="70" spans="4:16" x14ac:dyDescent="0.25">
      <c r="D70" s="1" t="s">
        <v>278</v>
      </c>
      <c r="E70" s="1">
        <v>3.89</v>
      </c>
      <c r="F70" s="1">
        <v>3.456</v>
      </c>
      <c r="G70" s="1">
        <f t="shared" si="15"/>
        <v>13.44384</v>
      </c>
      <c r="H70" s="1"/>
      <c r="I70" s="1"/>
      <c r="J70" s="1"/>
      <c r="K70" s="1">
        <f t="shared" si="16"/>
        <v>0</v>
      </c>
      <c r="L70" s="1"/>
      <c r="M70" s="1"/>
      <c r="N70" s="1">
        <f t="shared" si="17"/>
        <v>0</v>
      </c>
    </row>
    <row r="71" spans="4:16" x14ac:dyDescent="0.25">
      <c r="D71" s="1"/>
      <c r="E71" s="1">
        <v>1.286</v>
      </c>
      <c r="F71" s="1">
        <v>0.15</v>
      </c>
      <c r="G71" s="1">
        <f t="shared" si="15"/>
        <v>0.19289999999999999</v>
      </c>
      <c r="H71" s="1"/>
      <c r="I71" s="1"/>
      <c r="J71" s="1"/>
      <c r="K71" s="1">
        <f t="shared" si="16"/>
        <v>0</v>
      </c>
      <c r="L71" s="1"/>
      <c r="M71" s="1"/>
      <c r="N71" s="1">
        <f t="shared" si="17"/>
        <v>0</v>
      </c>
    </row>
    <row r="72" spans="4:16" x14ac:dyDescent="0.25">
      <c r="D72" s="1"/>
      <c r="E72" s="1">
        <v>1.861</v>
      </c>
      <c r="F72" s="1">
        <v>1.026</v>
      </c>
      <c r="G72" s="1">
        <f t="shared" si="15"/>
        <v>1.909386</v>
      </c>
      <c r="H72" s="1"/>
      <c r="I72" s="1"/>
      <c r="J72" s="1"/>
      <c r="K72" s="1">
        <f t="shared" si="16"/>
        <v>0</v>
      </c>
      <c r="L72" s="1"/>
      <c r="M72" s="1"/>
      <c r="N72" s="1">
        <f t="shared" si="17"/>
        <v>0</v>
      </c>
    </row>
    <row r="73" spans="4:16" x14ac:dyDescent="0.25">
      <c r="D73" s="1" t="s">
        <v>90</v>
      </c>
      <c r="E73" s="1"/>
      <c r="F73" s="1"/>
      <c r="G73" s="1">
        <f t="shared" si="15"/>
        <v>0</v>
      </c>
      <c r="H73" s="1"/>
      <c r="I73" s="1"/>
      <c r="J73" s="1"/>
      <c r="K73" s="1">
        <f t="shared" si="16"/>
        <v>0</v>
      </c>
      <c r="L73" s="1"/>
      <c r="M73" s="1"/>
      <c r="N73" s="1">
        <f t="shared" si="17"/>
        <v>0</v>
      </c>
    </row>
    <row r="74" spans="4:16" x14ac:dyDescent="0.25">
      <c r="D74" s="1"/>
      <c r="E74" s="1"/>
      <c r="F74" s="1"/>
      <c r="G74" s="1">
        <f t="shared" si="15"/>
        <v>0</v>
      </c>
      <c r="H74" s="1"/>
      <c r="I74" s="1"/>
      <c r="J74" s="1"/>
      <c r="K74" s="1">
        <f t="shared" si="16"/>
        <v>0</v>
      </c>
      <c r="L74" s="1"/>
      <c r="M74" s="1"/>
      <c r="N74" s="1">
        <f t="shared" si="17"/>
        <v>0</v>
      </c>
    </row>
    <row r="75" spans="4:16" x14ac:dyDescent="0.25">
      <c r="D75" s="1"/>
      <c r="E75" s="1"/>
      <c r="F75" s="1"/>
      <c r="G75" s="1">
        <f t="shared" si="15"/>
        <v>0</v>
      </c>
      <c r="H75" s="1"/>
      <c r="I75" s="1"/>
      <c r="J75" s="1"/>
      <c r="K75" s="1">
        <f t="shared" si="16"/>
        <v>0</v>
      </c>
      <c r="L75" s="1"/>
      <c r="M75" s="1"/>
      <c r="N75" s="1">
        <f t="shared" si="17"/>
        <v>0</v>
      </c>
    </row>
    <row r="76" spans="4:16" x14ac:dyDescent="0.25">
      <c r="D76" s="1"/>
      <c r="E76" s="1"/>
      <c r="F76" s="1"/>
      <c r="G76" s="1">
        <f t="shared" si="15"/>
        <v>0</v>
      </c>
      <c r="H76" s="1"/>
      <c r="I76" s="1"/>
      <c r="J76" s="1"/>
      <c r="K76" s="1">
        <f t="shared" si="16"/>
        <v>0</v>
      </c>
      <c r="L76" s="1"/>
      <c r="M76" s="1"/>
      <c r="N76" s="1">
        <f t="shared" si="17"/>
        <v>0</v>
      </c>
    </row>
    <row r="77" spans="4:16" x14ac:dyDescent="0.25">
      <c r="D77" s="1" t="s">
        <v>94</v>
      </c>
      <c r="E77" s="1"/>
      <c r="F77" s="1">
        <f>G77*10.764</f>
        <v>1227.0119116319997</v>
      </c>
      <c r="G77" s="1">
        <f>SUM(G49:G76)</f>
        <v>113.99218799999998</v>
      </c>
      <c r="H77" s="1"/>
      <c r="I77" s="1"/>
      <c r="J77" s="1">
        <f>K77*10.764</f>
        <v>55.713506003999996</v>
      </c>
      <c r="K77" s="53">
        <f>SUM(K49:K76)</f>
        <v>5.1759110000000002</v>
      </c>
      <c r="L77" s="1"/>
      <c r="M77" s="1">
        <f>N77*10.764</f>
        <v>0</v>
      </c>
      <c r="N77" s="1">
        <f>SUM(N49:N76)</f>
        <v>0</v>
      </c>
      <c r="P77">
        <f>F77+J77</f>
        <v>1282.7254176359997</v>
      </c>
    </row>
    <row r="78" spans="4:16" x14ac:dyDescent="0.25">
      <c r="F78" s="55">
        <f>G77+K77</f>
        <v>119.16809899999998</v>
      </c>
    </row>
  </sheetData>
  <mergeCells count="12">
    <mergeCell ref="T5:V5"/>
    <mergeCell ref="X5:Z5"/>
    <mergeCell ref="AA5:AC5"/>
    <mergeCell ref="T3:U3"/>
    <mergeCell ref="E47:G47"/>
    <mergeCell ref="I47:K47"/>
    <mergeCell ref="L47:N47"/>
    <mergeCell ref="E3:F3"/>
    <mergeCell ref="E5:G5"/>
    <mergeCell ref="I5:K5"/>
    <mergeCell ref="L5:N5"/>
    <mergeCell ref="E45:F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85" zoomScaleNormal="85" workbookViewId="0">
      <selection activeCell="K9" sqref="K9"/>
    </sheetView>
  </sheetViews>
  <sheetFormatPr defaultColWidth="8.7109375" defaultRowHeight="15" x14ac:dyDescent="0.25"/>
  <cols>
    <col min="1" max="1" width="8.7109375" style="11"/>
    <col min="2" max="2" width="22.28515625" style="11" customWidth="1"/>
    <col min="3" max="3" width="37" style="11" customWidth="1"/>
    <col min="4" max="5" width="11.42578125" style="11" customWidth="1"/>
    <col min="6" max="6" width="14" style="11" customWidth="1"/>
    <col min="7" max="7" width="20" style="11" customWidth="1"/>
    <col min="8" max="8" width="16.42578125" style="11" customWidth="1"/>
    <col min="9" max="16384" width="8.7109375" style="11"/>
  </cols>
  <sheetData>
    <row r="1" spans="1:9" ht="15" customHeight="1" x14ac:dyDescent="0.25"/>
    <row r="2" spans="1:9" ht="15" customHeight="1" x14ac:dyDescent="0.25">
      <c r="A2" s="12"/>
      <c r="B2" s="12"/>
      <c r="C2" s="12"/>
      <c r="D2" s="12"/>
      <c r="E2" s="12"/>
      <c r="F2" s="12"/>
      <c r="G2" s="12"/>
      <c r="H2" s="12"/>
    </row>
    <row r="3" spans="1:9" ht="15.75" customHeight="1" x14ac:dyDescent="0.25">
      <c r="A3" s="12"/>
      <c r="B3" s="163" t="s">
        <v>181</v>
      </c>
      <c r="C3" s="163"/>
      <c r="D3" s="163"/>
      <c r="E3" s="163"/>
      <c r="F3" s="163"/>
      <c r="G3" s="163"/>
      <c r="H3" s="163"/>
    </row>
    <row r="4" spans="1:9" x14ac:dyDescent="0.25">
      <c r="A4" s="12"/>
      <c r="B4" s="13" t="s">
        <v>182</v>
      </c>
      <c r="C4" s="13" t="s">
        <v>183</v>
      </c>
      <c r="D4" s="13" t="s">
        <v>96</v>
      </c>
      <c r="E4" s="13" t="s">
        <v>184</v>
      </c>
      <c r="F4" s="13" t="s">
        <v>185</v>
      </c>
      <c r="G4" s="13" t="s">
        <v>186</v>
      </c>
      <c r="H4" s="13" t="s">
        <v>187</v>
      </c>
    </row>
    <row r="5" spans="1:9" ht="15" customHeight="1" x14ac:dyDescent="0.25">
      <c r="A5" s="12"/>
      <c r="B5" s="14" t="s">
        <v>188</v>
      </c>
      <c r="C5" s="21" t="s">
        <v>161</v>
      </c>
      <c r="D5" s="14" t="s">
        <v>135</v>
      </c>
      <c r="E5" s="14">
        <v>781</v>
      </c>
      <c r="F5" s="15">
        <f>E5*1.5</f>
        <v>1171.5</v>
      </c>
      <c r="G5" s="15">
        <f>H5/E5</f>
        <v>42509.603072983358</v>
      </c>
      <c r="H5" s="16">
        <v>33200000</v>
      </c>
    </row>
    <row r="6" spans="1:9" x14ac:dyDescent="0.25">
      <c r="A6" s="12"/>
      <c r="B6" s="14" t="s">
        <v>188</v>
      </c>
      <c r="C6" s="21" t="s">
        <v>161</v>
      </c>
      <c r="D6" s="14" t="s">
        <v>134</v>
      </c>
      <c r="E6" s="14">
        <v>1074</v>
      </c>
      <c r="F6" s="15">
        <f>E6*1.5</f>
        <v>1611</v>
      </c>
      <c r="G6" s="15">
        <f>H6/E6</f>
        <v>49534.45065176909</v>
      </c>
      <c r="H6" s="16">
        <v>53200000</v>
      </c>
    </row>
    <row r="7" spans="1:9" ht="15" customHeight="1" x14ac:dyDescent="0.25">
      <c r="A7" s="12"/>
      <c r="B7" s="14" t="s">
        <v>188</v>
      </c>
      <c r="C7" s="21" t="s">
        <v>161</v>
      </c>
      <c r="D7" s="14" t="s">
        <v>141</v>
      </c>
      <c r="E7" s="14">
        <v>1657</v>
      </c>
      <c r="F7" s="15">
        <f>E7*1.5</f>
        <v>2485.5</v>
      </c>
      <c r="G7" s="15">
        <f>H7/E7</f>
        <v>44055.522027761013</v>
      </c>
      <c r="H7" s="16">
        <v>73000000</v>
      </c>
    </row>
    <row r="8" spans="1:9" ht="15" customHeight="1" x14ac:dyDescent="0.25">
      <c r="A8" s="12"/>
      <c r="B8" s="17" t="s">
        <v>189</v>
      </c>
      <c r="C8" s="14"/>
      <c r="D8" s="14"/>
      <c r="E8" s="14"/>
      <c r="F8" s="14"/>
      <c r="G8" s="18">
        <f>AVERAGE(G5:G7)</f>
        <v>45366.525250837818</v>
      </c>
      <c r="H8" s="14"/>
    </row>
    <row r="9" spans="1:9" ht="15" customHeight="1" x14ac:dyDescent="0.25">
      <c r="B9" s="17" t="s">
        <v>190</v>
      </c>
      <c r="C9" s="14"/>
      <c r="D9" s="14"/>
      <c r="E9" s="14"/>
      <c r="F9" s="19"/>
      <c r="G9" s="17">
        <v>45400</v>
      </c>
      <c r="H9" s="17"/>
      <c r="I9" s="20"/>
    </row>
    <row r="10" spans="1:9" ht="15" customHeight="1" x14ac:dyDescent="0.25"/>
    <row r="11" spans="1:9" ht="15" customHeight="1" x14ac:dyDescent="0.25"/>
    <row r="12" spans="1:9" ht="15" customHeight="1" x14ac:dyDescent="0.2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A &amp; B</vt:lpstr>
      <vt:lpstr>C</vt:lpstr>
      <vt:lpstr>Wing A</vt:lpstr>
      <vt:lpstr>Wing B</vt:lpstr>
      <vt:lpstr>Wing C</vt:lpstr>
      <vt:lpstr>VALUATION</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PC-51</cp:lastModifiedBy>
  <cp:lastPrinted>2025-08-14T06:02:08Z</cp:lastPrinted>
  <dcterms:created xsi:type="dcterms:W3CDTF">2013-11-23T05:32:33Z</dcterms:created>
  <dcterms:modified xsi:type="dcterms:W3CDTF">2025-08-14T06:02:34Z</dcterms:modified>
</cp:coreProperties>
</file>