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7D23DAF8-C4F6-4F07-A5FB-2DA65978D46F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116" i="1" l="1"/>
  <c r="J109" i="1"/>
  <c r="I91" i="1"/>
  <c r="J110" i="1" l="1"/>
  <c r="J117" i="1"/>
  <c r="J120" i="1"/>
  <c r="I80" i="1" l="1"/>
  <c r="D115" i="1"/>
  <c r="F115" i="1" s="1"/>
  <c r="J115" i="1" s="1"/>
  <c r="D114" i="1"/>
  <c r="F114" i="1" s="1"/>
  <c r="J114" i="1" s="1"/>
  <c r="D113" i="1"/>
  <c r="F113" i="1" s="1"/>
  <c r="J113" i="1" s="1"/>
  <c r="D112" i="1"/>
  <c r="F112" i="1" s="1"/>
  <c r="J112" i="1" s="1"/>
  <c r="A112" i="1"/>
  <c r="A113" i="1" s="1"/>
  <c r="A114" i="1" s="1"/>
  <c r="A115" i="1" s="1"/>
  <c r="G111" i="1"/>
  <c r="D111" i="1"/>
  <c r="F111" i="1" s="1"/>
  <c r="J111" i="1" s="1"/>
  <c r="D122" i="1"/>
  <c r="F122" i="1" s="1"/>
  <c r="D121" i="1"/>
  <c r="F121" i="1" s="1"/>
  <c r="I121" i="1" s="1"/>
  <c r="D119" i="1"/>
  <c r="F119" i="1" s="1"/>
  <c r="D118" i="1"/>
  <c r="F118" i="1" s="1"/>
  <c r="J118" i="1" s="1"/>
  <c r="D108" i="1"/>
  <c r="F108" i="1" s="1"/>
  <c r="J108" i="1" s="1"/>
  <c r="D107" i="1"/>
  <c r="D106" i="1"/>
  <c r="D105" i="1"/>
  <c r="D104" i="1"/>
  <c r="A119" i="1"/>
  <c r="A120" i="1" s="1"/>
  <c r="A121" i="1" s="1"/>
  <c r="A122" i="1" s="1"/>
  <c r="G118" i="1"/>
  <c r="I104" i="1"/>
  <c r="C14" i="1"/>
  <c r="J119" i="1" l="1"/>
  <c r="I119" i="1"/>
  <c r="C95" i="1"/>
  <c r="E95" i="1"/>
  <c r="I111" i="1"/>
  <c r="I112" i="1"/>
  <c r="I113" i="1"/>
  <c r="I114" i="1"/>
  <c r="J121" i="1"/>
  <c r="I122" i="1"/>
  <c r="J122" i="1"/>
  <c r="E29" i="1"/>
  <c r="F105" i="1" l="1"/>
  <c r="J105" i="1" s="1"/>
  <c r="F106" i="1"/>
  <c r="J106" i="1" s="1"/>
  <c r="F107" i="1"/>
  <c r="J107" i="1" s="1"/>
  <c r="F104" i="1"/>
  <c r="J104" i="1" s="1"/>
  <c r="A105" i="1"/>
  <c r="A106" i="1" s="1"/>
  <c r="A107" i="1" s="1"/>
  <c r="A108" i="1" s="1"/>
  <c r="G104" i="1"/>
  <c r="G95" i="1" l="1"/>
  <c r="K104" i="1"/>
  <c r="F92" i="1"/>
  <c r="B12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6" i="1"/>
  <c r="J76" i="1"/>
  <c r="J75" i="1"/>
  <c r="J74" i="1"/>
  <c r="J73" i="1"/>
  <c r="C65" i="1"/>
  <c r="D54" i="1"/>
  <c r="G49" i="1"/>
  <c r="C49" i="1"/>
  <c r="E42" i="1"/>
  <c r="E43" i="1" s="1"/>
  <c r="E26" i="1"/>
  <c r="E24" i="1"/>
  <c r="E7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<sst xmlns="http://schemas.openxmlformats.org/spreadsheetml/2006/main" count="275" uniqueCount="226">
  <si>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</si>
  <si>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</si>
  <si>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</si>
  <si>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</si>
  <si>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</si>
  <si>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</si>
  <si>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</si>
  <si>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</si>
  <si>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</si>
  <si>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</si>
  <si>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</si>
  <si>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</si>
  <si>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</si>
  <si>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</si>
  <si>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</si>
  <si>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</si>
  <si>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</si>
  <si>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</si>
  <si>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</si>
  <si>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</si>
  <si>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</si>
  <si>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</si>
  <si>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</si>
  <si>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</si>
  <si>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</si>
  <si>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</si>
  <si>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</si>
  <si>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</si>
  <si>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</si>
  <si>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</si>
  <si>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</si>
  <si>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</si>
  <si>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</si>
  <si>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</si>
  <si>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</si>
  <si>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</si>
  <si>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</si>
  <si>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</si>
  <si>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</si>
  <si>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</si>
  <si>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</si>
  <si>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</si>
  <si>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</si>
  <si>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</si>
  <si>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</si>
  <si>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</si>
  <si>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</si>
  <si>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</si>
  <si>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</si>
  <si>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</si>
  <si>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</si>
  <si>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</si>
  <si>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</si>
  <si>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</si>
  <si>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</si>
  <si>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</si>
  <si>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</si>
  <si>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</si>
  <si>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</si>
  <si>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</si>
  <si>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</si>
  <si>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</si>
  <si>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</si>
  <si>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</si>
  <si>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</si>
  <si>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</si>
  <si>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</si>
  <si>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</si>
  <si>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</si>
  <si>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</si>
  <si>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</si>
  <si>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</si>
  <si>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</si>
  <si>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</si>
  <si>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</si>
  <si>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</si>
  <si>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</si>
  <si>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</si>
  <si>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</si>
  <si>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</si>
  <si>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</si>
  <si>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</si>
  <si>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</si>
  <si>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</si>
  <si>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</si>
  <si>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</si>
  <si>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</si>
  <si>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</si>
  <si>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</si>
  <si>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</si>
  <si>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</si>
  <si>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</si>
  <si>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</si>
  <si>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</si>
  <si>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</si>
  <si>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</si>
  <si>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</si>
  <si>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</si>
  <si>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</si>
  <si>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</si>
  <si>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</si>
  <si>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</si>
  <si>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</si>
  <si>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</si>
  <si>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</si>
  <si>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</si>
  <si>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</si>
  <si>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</si>
  <si>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</si>
  <si>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</si>
  <si>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</si>
  <si>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</si>
  <si>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</si>
  <si>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</si>
  <si>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</si>
  <si>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</si>
  <si>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</si>
  <si>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</si>
  <si>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</si>
  <si>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</si>
  <si>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</si>
  <si>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</si>
  <si>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</si>
  <si>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</si>
  <si>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</si>
  <si>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</si>
  <si>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</si>
  <si>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</si>
  <si>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</si>
  <si>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</si>
  <si>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</si>
  <si>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</si>
  <si>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</si>
  <si>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</si>
  <si>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</si>
  <si>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</si>
  <si>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</si>
  <si>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</si>
  <si>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</si>
  <si>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</si>
  <si>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</si>
  <si>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</si>
  <si>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</si>
  <si>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</si>
  <si>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</si>
  <si>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</si>
  <si>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</si>
  <si>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</si>
  <si>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</si>
  <si>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</si>
  <si>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</si>
  <si>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</si>
  <si>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</si>
  <si>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</si>
  <si>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</si>
  <si>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</si>
  <si>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</si>
  <si>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</si>
  <si>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</si>
  <si>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</si>
  <si>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</si>
  <si>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</si>
  <si>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</si>
  <si>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</si>
  <si>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</si>
  <si>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</si>
  <si>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</si>
  <si>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</si>
  <si>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</si>
  <si>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P51800029136</t>
  </si>
  <si>
    <t>Maverick Realtors</t>
  </si>
  <si>
    <t>Nami CHS Ltd</t>
  </si>
  <si>
    <t>Approved Plans, CC, Sale Plans</t>
  </si>
  <si>
    <t>CTS No</t>
  </si>
  <si>
    <t>658/1 (PT), 658/4 (PT) &amp; 658/8A (PT)</t>
  </si>
  <si>
    <t>Nahur</t>
  </si>
  <si>
    <t>Sarvodaya Parshwanath Nagar</t>
  </si>
  <si>
    <t>Mulund (West)</t>
  </si>
  <si>
    <t>Nahur Road</t>
  </si>
  <si>
    <t>Mumbai</t>
  </si>
  <si>
    <t>Kurla</t>
  </si>
  <si>
    <t>https://goo.gl/maps/yuUD2NB2xSmX74Vn7</t>
  </si>
  <si>
    <t>Munisuvrat Apartment</t>
  </si>
  <si>
    <t>Pradhan Apartments</t>
  </si>
  <si>
    <t>Silver Park</t>
  </si>
  <si>
    <t>Dream Residency</t>
  </si>
  <si>
    <t>2.2KM from Nahur Railway Station</t>
  </si>
  <si>
    <t>Slum Rehabilitation Authority (SRA)</t>
  </si>
  <si>
    <t>T/PVT/0106/20190911/AP/C</t>
  </si>
  <si>
    <t>SRA/ENG/T/PVT/0106/20190911/AP</t>
  </si>
  <si>
    <t>Ground Floor for Parking</t>
  </si>
  <si>
    <t>1st to 4th Floor for Podium</t>
  </si>
  <si>
    <t>3BHK</t>
  </si>
  <si>
    <t>2BHK</t>
  </si>
  <si>
    <t>Terrace Area</t>
  </si>
  <si>
    <t>We considered Gross carpet area = Net carpet.</t>
  </si>
  <si>
    <t>Flats - 69</t>
  </si>
  <si>
    <t>Gr/Stilt + 1st to 4th Podium + 5th to 18th Floor</t>
  </si>
  <si>
    <t>MIS</t>
  </si>
  <si>
    <t>Online</t>
  </si>
  <si>
    <t>Inspection sheet</t>
  </si>
  <si>
    <t>1 Building</t>
  </si>
  <si>
    <t>rate sheet</t>
  </si>
  <si>
    <t xml:space="preserve">builder </t>
  </si>
  <si>
    <t>visitor</t>
  </si>
  <si>
    <t>H</t>
  </si>
  <si>
    <t>market</t>
  </si>
  <si>
    <t>Layout Plan :</t>
  </si>
  <si>
    <t>7th, 9th, 11th, 13th, 15th &amp; 17th Floor (Part Refuge Area) 
(As per approved Floor Plan)</t>
  </si>
  <si>
    <t xml:space="preserve">18th Floor (Part Terrace Area) (Part Refuge Area) </t>
  </si>
  <si>
    <t>14th Floor (Part Terrace Area) (As per Builder)</t>
  </si>
  <si>
    <t>A clarification letter regarding habitable floors is attached below.</t>
  </si>
  <si>
    <t>1st, 2nd, 4th, 6th, 8th, 10th, 12th Habitable Floor (As per Builder)</t>
  </si>
  <si>
    <t>3rd, 5th, 7th, 9th, 11th &amp; 13th Floor (Part Refuge Area) Habitable Floor
 (As per Builder)</t>
  </si>
  <si>
    <t xml:space="preserve">1.Vitrified tiles flooring 2. Granite Kitchen Platform  3. Decorative Enternace  etc. 
</t>
  </si>
  <si>
    <t>5th, 6th, 8th, 10th, 12th, 14th, 16th Floor for Residential (As per approved Floor Plan)
1st, 2nd, 4th, 6th, 8th, 10th, 12th Habitable Floor (As per Builder)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</si>
  <si>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</si>
  <si>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Thic C.C. is extended From 11th to 18th upper floors for R.C.C framework only.</t>
  </si>
  <si>
    <t>We have updated C.C (on 26/07/2023).</t>
  </si>
  <si>
    <t>Latitude, Longitude</t>
  </si>
  <si>
    <t>19.1629179,72.9451729</t>
  </si>
  <si>
    <t>Nainesh Tambe</t>
  </si>
  <si>
    <t>As per RERA - 31/03/2026</t>
  </si>
  <si>
    <t>Mr. Hasan Khan : 9768175854
Mr. Mehta (Sales) : 7977108113</t>
  </si>
  <si>
    <t>Gaurav Panchal</t>
  </si>
  <si>
    <t>Out of 4 lifts, 2 lifts are installed (not working) &amp; 2 lifts are not installed. Lift &amp; Finishing Work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</si>
</sst>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6" xfId="0" applyFont="1" applyBorder="1"/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205</xdr:row>
      <xdr:rowOff>0</xdr:rowOff>
    </xdr:from>
    <xdr:to>
      <xdr:col>7</xdr:col>
      <xdr:colOff>641175</xdr:colOff>
      <xdr:row>225</xdr:row>
      <xdr:rowOff>89805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53320950"/>
          <a:ext cx="6480000" cy="409030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2</xdr:col>
      <xdr:colOff>342899</xdr:colOff>
      <xdr:row>210</xdr:row>
      <xdr:rowOff>152400</xdr:rowOff>
    </xdr:from>
    <xdr:to>
      <xdr:col>6</xdr:col>
      <xdr:colOff>114300</xdr:colOff>
      <xdr:row>218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19299" y="54473475"/>
          <a:ext cx="3371851" cy="15811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0</xdr:col>
      <xdr:colOff>571500</xdr:colOff>
      <xdr:row>222</xdr:row>
      <xdr:rowOff>95250</xdr:rowOff>
    </xdr:from>
    <xdr:to>
      <xdr:col>0</xdr:col>
      <xdr:colOff>676275</xdr:colOff>
      <xdr:row>224</xdr:row>
      <xdr:rowOff>104775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1500" y="56816625"/>
          <a:ext cx="104775" cy="409575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0</xdr:col>
      <xdr:colOff>466725</xdr:colOff>
      <xdr:row>220</xdr:row>
      <xdr:rowOff>142875</xdr:rowOff>
    </xdr:from>
    <xdr:ext cx="336695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6725" y="56464200"/>
          <a:ext cx="33669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N</a:t>
          </a:r>
          <a:endParaRPr lang="x-none" sz="1800" b="1"/>
        </a:p>
      </xdr:txBody>
    </xdr:sp>
    <xdr:clientData/>
  </xdr:oneCellAnchor>
  <xdr:oneCellAnchor>
    <xdr:from>
      <xdr:col>5</xdr:col>
      <xdr:colOff>542925</xdr:colOff>
      <xdr:row>206</xdr:row>
      <xdr:rowOff>95250</xdr:rowOff>
    </xdr:from>
    <xdr:ext cx="1636282" cy="327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81575" y="53616225"/>
          <a:ext cx="1636282" cy="32714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Proposed Building</a:t>
          </a:r>
          <a:endParaRPr lang="x-none" sz="1500" b="1"/>
        </a:p>
      </xdr:txBody>
    </xdr:sp>
    <xdr:clientData/>
  </xdr:oneCellAnchor>
  <xdr:twoCellAnchor>
    <xdr:from>
      <xdr:col>6</xdr:col>
      <xdr:colOff>228600</xdr:colOff>
      <xdr:row>208</xdr:row>
      <xdr:rowOff>95250</xdr:rowOff>
    </xdr:from>
    <xdr:to>
      <xdr:col>6</xdr:col>
      <xdr:colOff>600075</xdr:colOff>
      <xdr:row>211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5505450" y="38833425"/>
          <a:ext cx="371475" cy="60960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628650</xdr:colOff>
      <xdr:row>251</xdr:row>
      <xdr:rowOff>148255</xdr:rowOff>
    </xdr:from>
    <xdr:ext cx="5333973" cy="349664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650" y="47900255"/>
          <a:ext cx="5333973" cy="349664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oneCellAnchor>
  <xdr:oneCellAnchor>
    <xdr:from>
      <xdr:col>0</xdr:col>
      <xdr:colOff>628650</xdr:colOff>
      <xdr:row>230</xdr:row>
      <xdr:rowOff>66675</xdr:rowOff>
    </xdr:from>
    <xdr:ext cx="5333973" cy="4094636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650" y="51813402"/>
          <a:ext cx="5333973" cy="409463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oneCellAnchor>
  <xdr:twoCellAnchor editAs="oneCell">
    <xdr:from>
      <xdr:col>0</xdr:col>
      <xdr:colOff>606137</xdr:colOff>
      <xdr:row>273</xdr:row>
      <xdr:rowOff>155864</xdr:rowOff>
    </xdr:from>
    <xdr:to>
      <xdr:col>7</xdr:col>
      <xdr:colOff>345685</xdr:colOff>
      <xdr:row>305</xdr:row>
      <xdr:rowOff>68487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137" y="51902591"/>
          <a:ext cx="5428571" cy="6285714"/>
        </a:xfrm>
        <a:prstGeom prst="rect">
          <a:avLst/>
        </a:prstGeom>
        <a:ln w="28575"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821840</xdr:colOff>
      <xdr:row>166</xdr:row>
      <xdr:rowOff>129188</xdr:rowOff>
    </xdr:from>
    <xdr:to>
      <xdr:col>16</xdr:col>
      <xdr:colOff>487340</xdr:colOff>
      <xdr:row>186</xdr:row>
      <xdr:rowOff>120863</xdr:rowOff>
    </xdr:to>
    <xdr:pic>
      <xdr:nvPicPr>
        <xdr:cNvPr id="20" name="Picture 19" descr="https://vsjcllp.vsjadon.com/upload/insp-186101-1525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70790" y="34381088"/>
          <a:ext cx="1941975" cy="2592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430684</xdr:colOff>
      <xdr:row>161</xdr:row>
      <xdr:rowOff>122084</xdr:rowOff>
    </xdr:from>
    <xdr:to>
      <xdr:col>16</xdr:col>
      <xdr:colOff>126667</xdr:colOff>
      <xdr:row>172</xdr:row>
      <xdr:rowOff>116734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9059" y="33135734"/>
          <a:ext cx="276303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533943</xdr:colOff>
      <xdr:row>146</xdr:row>
      <xdr:rowOff>47625</xdr:rowOff>
    </xdr:from>
    <xdr:to>
      <xdr:col>10</xdr:col>
      <xdr:colOff>691444</xdr:colOff>
      <xdr:row>160</xdr:row>
      <xdr:rowOff>181250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8568" y="30070425"/>
          <a:ext cx="2081551" cy="2924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393700</xdr:colOff>
      <xdr:row>161</xdr:row>
      <xdr:rowOff>122084</xdr:rowOff>
    </xdr:from>
    <xdr:to>
      <xdr:col>10</xdr:col>
      <xdr:colOff>11763</xdr:colOff>
      <xdr:row>172</xdr:row>
      <xdr:rowOff>116734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8325" y="33135734"/>
          <a:ext cx="154211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111665</xdr:colOff>
      <xdr:row>146</xdr:row>
      <xdr:rowOff>47625</xdr:rowOff>
    </xdr:from>
    <xdr:to>
      <xdr:col>16</xdr:col>
      <xdr:colOff>14284</xdr:colOff>
      <xdr:row>160</xdr:row>
      <xdr:rowOff>181250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5190" y="30070425"/>
          <a:ext cx="3674519" cy="2924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161367</xdr:colOff>
      <xdr:row>161</xdr:row>
      <xdr:rowOff>122084</xdr:rowOff>
    </xdr:from>
    <xdr:to>
      <xdr:col>12</xdr:col>
      <xdr:colOff>281080</xdr:colOff>
      <xdr:row>172</xdr:row>
      <xdr:rowOff>116734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042" y="33135734"/>
          <a:ext cx="152941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396875</xdr:colOff>
      <xdr:row>146</xdr:row>
      <xdr:rowOff>25400</xdr:rowOff>
    </xdr:from>
    <xdr:to>
      <xdr:col>16</xdr:col>
      <xdr:colOff>139739</xdr:colOff>
      <xdr:row>200</xdr:row>
      <xdr:rowOff>27318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21500" y="30610175"/>
          <a:ext cx="6143664" cy="7993393"/>
          <a:chOff x="196850" y="29864050"/>
          <a:chExt cx="6423064" cy="7869568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37244" y="3557361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520" y="2986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520" y="327188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2986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327188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2190" y="327188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7779" y="3557361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8314" y="3557361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2190" y="2986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209550</xdr:colOff>
      <xdr:row>146</xdr:row>
      <xdr:rowOff>104775</xdr:rowOff>
    </xdr:from>
    <xdr:to>
      <xdr:col>7</xdr:col>
      <xdr:colOff>571500</xdr:colOff>
      <xdr:row>186</xdr:row>
      <xdr:rowOff>143414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923BC714-66C2-4F55-AF6C-4EB60A763277}"/>
            </a:ext>
          </a:extLst>
        </xdr:cNvPr>
        <xdr:cNvGrpSpPr/>
      </xdr:nvGrpSpPr>
      <xdr:grpSpPr>
        <a:xfrm>
          <a:off x="209550" y="30689550"/>
          <a:ext cx="6057900" cy="6629939"/>
          <a:chOff x="-58427" y="449356"/>
          <a:chExt cx="7057132" cy="7220489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13471DFA-C323-4AA0-846E-3E217F022B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416" y="449356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7047B36-6A53-46E2-AC7E-F3D1AAA785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69213" y="449356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A548A59E-F645-43D8-B820-3AB003F29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22010" y="449356"/>
            <a:ext cx="203064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DD346879-07D6-4E3B-A894-910348961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58427" y="3348565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D53F9AF0-E7E3-4A60-952C-3BC454C14A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2444" y="3348565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3493DB79-68CE-4177-91AD-837647F84A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3315" y="3348565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7FEF3C6C-0DCD-4510-BCE5-4B40285358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4186" y="3348565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BFF04D3A-865D-47E2-B126-828B2F050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5988" y="5689845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CFF8F2C5-098C-4819-911B-6CB45D38E8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9932" y="5689845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3E08A06F-571F-400A-B6CF-195F6702AF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3876" y="5689845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8</xdr:col>
      <xdr:colOff>169765</xdr:colOff>
      <xdr:row>36</xdr:row>
      <xdr:rowOff>107508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2706" y="2678206"/>
          <a:ext cx="9000000" cy="42985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4566</xdr:colOff>
      <xdr:row>56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7250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58</xdr:row>
      <xdr:rowOff>155231</xdr:rowOff>
    </xdr:from>
    <xdr:to>
      <xdr:col>6</xdr:col>
      <xdr:colOff>4566</xdr:colOff>
      <xdr:row>77</xdr:row>
      <xdr:rowOff>135731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11215437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341546</xdr:colOff>
      <xdr:row>58</xdr:row>
      <xdr:rowOff>46008</xdr:rowOff>
    </xdr:from>
    <xdr:to>
      <xdr:col>15</xdr:col>
      <xdr:colOff>234054</xdr:colOff>
      <xdr:row>77</xdr:row>
      <xdr:rowOff>26508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2811" y="1110621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341547</xdr:colOff>
      <xdr:row>38</xdr:row>
      <xdr:rowOff>0</xdr:rowOff>
    </xdr:from>
    <xdr:to>
      <xdr:col>15</xdr:col>
      <xdr:colOff>234055</xdr:colOff>
      <xdr:row>56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2812" y="7250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6</xdr:col>
      <xdr:colOff>4566</xdr:colOff>
      <xdr:row>97</xdr:row>
      <xdr:rowOff>171000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15060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462643</xdr:colOff>
      <xdr:row>0</xdr:row>
      <xdr:rowOff>149679</xdr:rowOff>
    </xdr:from>
    <xdr:to>
      <xdr:col>9</xdr:col>
      <xdr:colOff>380321</xdr:colOff>
      <xdr:row>33</xdr:row>
      <xdr:rowOff>148893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3" y="149679"/>
          <a:ext cx="5428571" cy="6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uUD2NB2xSmX74Vn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3"/>
  <sheetViews>
    <sheetView tabSelected="1" view="pageBreakPreview" topLeftCell="A67" zoomScaleNormal="100" zoomScaleSheetLayoutView="100" workbookViewId="0">
      <selection activeCell="I7" sqref="I7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09" t="s">
        <v>216</v>
      </c>
      <c r="B1" s="109"/>
      <c r="C1" s="109"/>
      <c r="D1" s="109"/>
      <c r="E1" s="109"/>
      <c r="F1" s="109"/>
      <c r="G1" s="109"/>
      <c r="H1" s="109"/>
    </row>
    <row r="2" spans="1:8" ht="16.5" customHeight="1" x14ac:dyDescent="0.25">
      <c r="A2" s="110" t="s">
        <v>0</v>
      </c>
      <c r="B2" s="110"/>
      <c r="C2" s="110"/>
      <c r="D2" s="110"/>
      <c r="E2" s="110"/>
      <c r="F2" s="110"/>
      <c r="G2" s="110"/>
      <c r="H2" s="110"/>
    </row>
    <row r="3" spans="1:8" x14ac:dyDescent="0.25">
      <c r="A3" s="66" t="s">
        <v>1</v>
      </c>
      <c r="B3" s="66"/>
      <c r="C3" s="66"/>
      <c r="D3" s="66"/>
      <c r="E3" s="107" t="str">
        <f ca="1">TEXT(TODAY(),"DD/MM/YYYY")</f>
        <v>19/08/2025</v>
      </c>
      <c r="F3" s="66"/>
      <c r="G3" s="66"/>
      <c r="H3" s="66"/>
    </row>
    <row r="4" spans="1:8" ht="15" customHeight="1" x14ac:dyDescent="0.25">
      <c r="A4" s="66" t="s">
        <v>2</v>
      </c>
      <c r="B4" s="66"/>
      <c r="C4" s="66"/>
      <c r="D4" s="66"/>
      <c r="E4" s="66" t="s">
        <v>168</v>
      </c>
      <c r="F4" s="66"/>
      <c r="G4" s="66"/>
      <c r="H4" s="66"/>
    </row>
    <row r="5" spans="1:8" x14ac:dyDescent="0.25">
      <c r="A5" s="66" t="s">
        <v>3</v>
      </c>
      <c r="B5" s="66"/>
      <c r="C5" s="66"/>
      <c r="D5" s="66"/>
      <c r="E5" s="107">
        <v>45880</v>
      </c>
      <c r="F5" s="66"/>
      <c r="G5" s="66"/>
      <c r="H5" s="66"/>
    </row>
    <row r="6" spans="1:8" ht="16.5" customHeight="1" x14ac:dyDescent="0.25">
      <c r="A6" s="66" t="s">
        <v>4</v>
      </c>
      <c r="B6" s="66"/>
      <c r="C6" s="66"/>
      <c r="D6" s="66"/>
      <c r="E6" s="66" t="s">
        <v>170</v>
      </c>
      <c r="F6" s="66"/>
      <c r="G6" s="66"/>
      <c r="H6" s="66"/>
    </row>
    <row r="7" spans="1:8" ht="15" customHeight="1" x14ac:dyDescent="0.25">
      <c r="A7" s="66" t="s">
        <v>5</v>
      </c>
      <c r="B7" s="66"/>
      <c r="C7" s="66"/>
      <c r="D7" s="66"/>
      <c r="E7" s="66" t="str">
        <f>E6</f>
        <v>Maverick Realtors</v>
      </c>
      <c r="F7" s="66"/>
      <c r="G7" s="66"/>
      <c r="H7" s="66"/>
    </row>
    <row r="8" spans="1:8" x14ac:dyDescent="0.25">
      <c r="A8" s="66" t="s">
        <v>6</v>
      </c>
      <c r="B8" s="66"/>
      <c r="C8" s="66"/>
      <c r="D8" s="66"/>
      <c r="E8" s="111" t="s">
        <v>171</v>
      </c>
      <c r="F8" s="111"/>
      <c r="G8" s="111"/>
      <c r="H8" s="111"/>
    </row>
    <row r="9" spans="1:8" x14ac:dyDescent="0.25">
      <c r="A9" s="66" t="s">
        <v>166</v>
      </c>
      <c r="B9" s="66"/>
      <c r="C9" s="66"/>
      <c r="D9" s="66"/>
      <c r="E9" s="66">
        <v>21687777</v>
      </c>
      <c r="F9" s="66"/>
      <c r="G9" s="66"/>
      <c r="H9" s="66"/>
    </row>
    <row r="10" spans="1:8" ht="16.5" customHeight="1" x14ac:dyDescent="0.25">
      <c r="A10" s="66" t="s">
        <v>167</v>
      </c>
      <c r="B10" s="66"/>
      <c r="C10" s="66"/>
      <c r="D10" s="66"/>
      <c r="E10" s="82" t="s">
        <v>223</v>
      </c>
      <c r="F10" s="66"/>
      <c r="G10" s="66"/>
      <c r="H10" s="66"/>
    </row>
    <row r="11" spans="1:8" x14ac:dyDescent="0.25">
      <c r="A11" s="66" t="s">
        <v>7</v>
      </c>
      <c r="B11" s="66"/>
      <c r="C11" s="66"/>
      <c r="D11" s="66"/>
      <c r="E11" s="66" t="s">
        <v>201</v>
      </c>
      <c r="F11" s="66"/>
      <c r="G11" s="66"/>
      <c r="H11" s="66"/>
    </row>
    <row r="12" spans="1:8" x14ac:dyDescent="0.25">
      <c r="A12" s="64" t="s">
        <v>8</v>
      </c>
      <c r="B12" s="64"/>
      <c r="C12" s="64"/>
      <c r="D12" s="64"/>
      <c r="E12" s="82" t="s">
        <v>172</v>
      </c>
      <c r="F12" s="108"/>
      <c r="G12" s="108"/>
      <c r="H12" s="108"/>
    </row>
    <row r="13" spans="1:8" x14ac:dyDescent="0.25">
      <c r="A13" s="64" t="s">
        <v>9</v>
      </c>
      <c r="B13" s="64"/>
      <c r="C13" s="64"/>
      <c r="D13" s="64"/>
      <c r="E13" s="82" t="s">
        <v>169</v>
      </c>
      <c r="F13" s="66"/>
      <c r="G13" s="66"/>
      <c r="H13" s="66"/>
    </row>
    <row r="14" spans="1:8" ht="51" customHeight="1" x14ac:dyDescent="0.25">
      <c r="A14" s="80" t="s">
        <v>10</v>
      </c>
      <c r="B14" s="80"/>
      <c r="C14" s="8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Nami CHS Ltd, CTS No.658/1 (PT), 658/4 (PT) &amp; 658/8A (PT), near Silver Park, Nahur Road, Sarvodaya Parshwanath Nagar, Nahur, Mulund (West), Kurla, Mumbai - 400080.</v>
      </c>
      <c r="D14" s="80"/>
      <c r="E14" s="80"/>
      <c r="F14" s="80"/>
      <c r="G14" s="80"/>
      <c r="H14" s="80"/>
    </row>
    <row r="15" spans="1:8" x14ac:dyDescent="0.25">
      <c r="A15" s="82" t="s">
        <v>173</v>
      </c>
      <c r="B15" s="82"/>
      <c r="C15" s="82" t="s">
        <v>174</v>
      </c>
      <c r="D15" s="82"/>
      <c r="E15" s="82"/>
      <c r="F15" s="82"/>
      <c r="G15" s="82"/>
      <c r="H15" s="82"/>
    </row>
    <row r="16" spans="1:8" ht="15.75" customHeight="1" x14ac:dyDescent="0.25">
      <c r="A16" s="82" t="s">
        <v>165</v>
      </c>
      <c r="B16" s="82"/>
      <c r="C16" s="82" t="s">
        <v>176</v>
      </c>
      <c r="D16" s="82"/>
      <c r="E16" s="82"/>
      <c r="F16" s="82"/>
      <c r="G16" s="82"/>
      <c r="H16" s="82"/>
    </row>
    <row r="17" spans="1:8" ht="15.75" customHeight="1" x14ac:dyDescent="0.25">
      <c r="A17" s="80" t="s">
        <v>11</v>
      </c>
      <c r="B17" s="80"/>
      <c r="C17" s="66" t="s">
        <v>178</v>
      </c>
      <c r="D17" s="66"/>
      <c r="E17" s="80" t="s">
        <v>75</v>
      </c>
      <c r="F17" s="80"/>
      <c r="G17" s="82" t="s">
        <v>175</v>
      </c>
      <c r="H17" s="82"/>
    </row>
    <row r="18" spans="1:8" x14ac:dyDescent="0.25">
      <c r="A18" s="64" t="s">
        <v>13</v>
      </c>
      <c r="B18" s="64"/>
      <c r="C18" s="82" t="s">
        <v>177</v>
      </c>
      <c r="D18" s="82"/>
      <c r="E18" s="80" t="s">
        <v>12</v>
      </c>
      <c r="F18" s="80"/>
      <c r="G18" s="151" t="s">
        <v>179</v>
      </c>
      <c r="H18" s="151"/>
    </row>
    <row r="19" spans="1:8" x14ac:dyDescent="0.25">
      <c r="A19" s="64" t="s">
        <v>76</v>
      </c>
      <c r="B19" s="64"/>
      <c r="C19" s="82" t="s">
        <v>180</v>
      </c>
      <c r="D19" s="82"/>
      <c r="E19" s="80" t="s">
        <v>14</v>
      </c>
      <c r="F19" s="80"/>
      <c r="G19" s="82">
        <v>400080</v>
      </c>
      <c r="H19" s="82"/>
    </row>
    <row r="20" spans="1:8" ht="32.25" customHeight="1" x14ac:dyDescent="0.25">
      <c r="A20" s="64" t="s">
        <v>124</v>
      </c>
      <c r="B20" s="64"/>
      <c r="C20" s="82" t="s">
        <v>184</v>
      </c>
      <c r="D20" s="82"/>
      <c r="E20" s="80" t="s">
        <v>15</v>
      </c>
      <c r="F20" s="80"/>
      <c r="G20" s="82" t="s">
        <v>186</v>
      </c>
      <c r="H20" s="82"/>
    </row>
    <row r="21" spans="1:8" ht="15" customHeight="1" x14ac:dyDescent="0.25">
      <c r="A21" s="80" t="s">
        <v>78</v>
      </c>
      <c r="B21" s="80"/>
      <c r="C21" s="80"/>
      <c r="D21" s="80"/>
      <c r="E21" s="66" t="s">
        <v>16</v>
      </c>
      <c r="F21" s="66"/>
      <c r="G21" s="66"/>
      <c r="H21" s="66"/>
    </row>
    <row r="22" spans="1:8" ht="18.75" customHeight="1" x14ac:dyDescent="0.25">
      <c r="A22" s="80"/>
      <c r="B22" s="80"/>
      <c r="C22" s="80"/>
      <c r="D22" s="80"/>
      <c r="E22" s="66"/>
      <c r="F22" s="66"/>
      <c r="G22" s="66"/>
      <c r="H22" s="66"/>
    </row>
    <row r="23" spans="1:8" ht="15" customHeight="1" x14ac:dyDescent="0.25">
      <c r="A23" s="80" t="s">
        <v>17</v>
      </c>
      <c r="B23" s="80"/>
      <c r="C23" s="80"/>
      <c r="D23" s="80"/>
      <c r="E23" s="82" t="s">
        <v>18</v>
      </c>
      <c r="F23" s="82"/>
      <c r="G23" s="82"/>
      <c r="H23" s="82"/>
    </row>
    <row r="24" spans="1:8" ht="15" customHeight="1" x14ac:dyDescent="0.25">
      <c r="A24" s="64" t="s">
        <v>19</v>
      </c>
      <c r="B24" s="64"/>
      <c r="C24" s="64"/>
      <c r="D24" s="64"/>
      <c r="E24" s="82" t="str">
        <f>IF(AND(G18="Mumbai"),"Upper Class","Middle Class")</f>
        <v>Upper Class</v>
      </c>
      <c r="F24" s="82"/>
      <c r="G24" s="82"/>
      <c r="H24" s="82"/>
    </row>
    <row r="25" spans="1:8" x14ac:dyDescent="0.25">
      <c r="A25" s="64" t="s">
        <v>20</v>
      </c>
      <c r="B25" s="64"/>
      <c r="C25" s="64"/>
      <c r="D25" s="64"/>
      <c r="E25" s="82" t="s">
        <v>21</v>
      </c>
      <c r="F25" s="82"/>
      <c r="G25" s="82"/>
      <c r="H25" s="82"/>
    </row>
    <row r="26" spans="1:8" ht="15.75" customHeight="1" x14ac:dyDescent="0.25">
      <c r="A26" s="64" t="s">
        <v>22</v>
      </c>
      <c r="B26" s="64"/>
      <c r="C26" s="64"/>
      <c r="D26" s="64"/>
      <c r="E26" s="82" t="str">
        <f>IF(AND(G18="Mumbai"),"Developed","Developing")</f>
        <v>Developed</v>
      </c>
      <c r="F26" s="82"/>
      <c r="G26" s="82"/>
      <c r="H26" s="82"/>
    </row>
    <row r="27" spans="1:8" x14ac:dyDescent="0.25">
      <c r="A27" s="64" t="s">
        <v>23</v>
      </c>
      <c r="B27" s="64"/>
      <c r="C27" s="64"/>
      <c r="D27" s="64"/>
      <c r="E27" s="82" t="s">
        <v>24</v>
      </c>
      <c r="F27" s="82"/>
      <c r="G27" s="82"/>
      <c r="H27" s="82"/>
    </row>
    <row r="28" spans="1:8" ht="15.75" customHeight="1" x14ac:dyDescent="0.25">
      <c r="A28" s="64" t="s">
        <v>83</v>
      </c>
      <c r="B28" s="64"/>
      <c r="C28" s="64"/>
      <c r="D28" s="64"/>
      <c r="E28" s="82" t="s">
        <v>84</v>
      </c>
      <c r="F28" s="82"/>
      <c r="G28" s="82"/>
      <c r="H28" s="82"/>
    </row>
    <row r="29" spans="1:8" ht="15" customHeight="1" x14ac:dyDescent="0.25">
      <c r="A29" s="64" t="s">
        <v>33</v>
      </c>
      <c r="B29" s="64"/>
      <c r="C29" s="64"/>
      <c r="D29" s="64"/>
      <c r="E29" s="8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82"/>
      <c r="G29" s="82"/>
      <c r="H29" s="82"/>
    </row>
    <row r="30" spans="1:8" ht="15.75" customHeight="1" x14ac:dyDescent="0.25">
      <c r="A30" s="64" t="s">
        <v>95</v>
      </c>
      <c r="B30" s="64"/>
      <c r="C30" s="64"/>
      <c r="D30" s="64"/>
      <c r="E30" s="82" t="s">
        <v>34</v>
      </c>
      <c r="F30" s="82"/>
      <c r="G30" s="82"/>
      <c r="H30" s="82"/>
    </row>
    <row r="31" spans="1:8" s="21" customFormat="1" x14ac:dyDescent="0.25">
      <c r="A31" s="106" t="s">
        <v>96</v>
      </c>
      <c r="B31" s="106"/>
      <c r="C31" s="105" t="s">
        <v>29</v>
      </c>
      <c r="D31" s="105"/>
      <c r="E31" s="105"/>
      <c r="F31" s="105" t="s">
        <v>31</v>
      </c>
      <c r="G31" s="105"/>
      <c r="H31" s="105"/>
    </row>
    <row r="32" spans="1:8" s="21" customFormat="1" x14ac:dyDescent="0.25">
      <c r="A32" s="92" t="s">
        <v>25</v>
      </c>
      <c r="B32" s="92" t="s">
        <v>30</v>
      </c>
      <c r="C32" s="93" t="s">
        <v>30</v>
      </c>
      <c r="D32" s="93"/>
      <c r="E32" s="93"/>
      <c r="F32" s="93" t="s">
        <v>182</v>
      </c>
      <c r="G32" s="93"/>
      <c r="H32" s="93"/>
    </row>
    <row r="33" spans="1:8" x14ac:dyDescent="0.25">
      <c r="A33" s="92" t="s">
        <v>26</v>
      </c>
      <c r="B33" s="92" t="s">
        <v>30</v>
      </c>
      <c r="C33" s="93" t="s">
        <v>30</v>
      </c>
      <c r="D33" s="93"/>
      <c r="E33" s="93"/>
      <c r="F33" s="93" t="s">
        <v>183</v>
      </c>
      <c r="G33" s="93"/>
      <c r="H33" s="93"/>
    </row>
    <row r="34" spans="1:8" s="21" customFormat="1" x14ac:dyDescent="0.25">
      <c r="A34" s="92" t="s">
        <v>28</v>
      </c>
      <c r="B34" s="92" t="s">
        <v>30</v>
      </c>
      <c r="C34" s="93" t="s">
        <v>30</v>
      </c>
      <c r="D34" s="93"/>
      <c r="E34" s="93"/>
      <c r="F34" s="93" t="s">
        <v>184</v>
      </c>
      <c r="G34" s="93"/>
      <c r="H34" s="93"/>
    </row>
    <row r="35" spans="1:8" x14ac:dyDescent="0.25">
      <c r="A35" s="92" t="s">
        <v>27</v>
      </c>
      <c r="B35" s="92" t="s">
        <v>30</v>
      </c>
      <c r="C35" s="93" t="s">
        <v>30</v>
      </c>
      <c r="D35" s="93"/>
      <c r="E35" s="93"/>
      <c r="F35" s="93" t="s">
        <v>185</v>
      </c>
      <c r="G35" s="93"/>
      <c r="H35" s="93"/>
    </row>
    <row r="36" spans="1:8" x14ac:dyDescent="0.25">
      <c r="A36" s="64" t="s">
        <v>32</v>
      </c>
      <c r="B36" s="64"/>
      <c r="C36" s="64"/>
      <c r="D36" s="64"/>
      <c r="E36" s="64"/>
      <c r="F36" s="64"/>
      <c r="G36" s="64"/>
      <c r="H36" s="64"/>
    </row>
    <row r="37" spans="1:8" ht="15.75" customHeight="1" x14ac:dyDescent="0.25">
      <c r="A37" s="67" t="s">
        <v>219</v>
      </c>
      <c r="B37" s="67"/>
      <c r="C37" s="152" t="s">
        <v>220</v>
      </c>
      <c r="D37" s="152"/>
      <c r="E37" s="152"/>
      <c r="F37" s="152"/>
      <c r="G37" s="152"/>
      <c r="H37" s="152"/>
    </row>
    <row r="38" spans="1:8" x14ac:dyDescent="0.25">
      <c r="A38" s="67" t="s">
        <v>164</v>
      </c>
      <c r="B38" s="67"/>
      <c r="C38" s="98" t="s">
        <v>181</v>
      </c>
      <c r="D38" s="99"/>
      <c r="E38" s="99"/>
      <c r="F38" s="99"/>
      <c r="G38" s="99"/>
      <c r="H38" s="99"/>
    </row>
    <row r="39" spans="1:8" x14ac:dyDescent="0.25">
      <c r="A39" s="67" t="s">
        <v>35</v>
      </c>
      <c r="B39" s="67"/>
      <c r="C39" s="67"/>
      <c r="D39" s="67"/>
      <c r="E39" s="67"/>
      <c r="F39" s="67"/>
      <c r="G39" s="67"/>
      <c r="H39" s="67"/>
    </row>
    <row r="40" spans="1:8" x14ac:dyDescent="0.25">
      <c r="A40" s="64" t="s">
        <v>36</v>
      </c>
      <c r="B40" s="64"/>
      <c r="C40" s="64"/>
      <c r="D40" s="64"/>
      <c r="E40" s="65">
        <v>1850.01</v>
      </c>
      <c r="F40" s="65"/>
      <c r="G40" s="65"/>
      <c r="H40" s="65"/>
    </row>
    <row r="41" spans="1:8" x14ac:dyDescent="0.25">
      <c r="A41" s="64" t="s">
        <v>37</v>
      </c>
      <c r="B41" s="64"/>
      <c r="C41" s="64"/>
      <c r="D41" s="64"/>
      <c r="E41" s="96">
        <v>3</v>
      </c>
      <c r="F41" s="96"/>
      <c r="G41" s="96"/>
      <c r="H41" s="96"/>
    </row>
    <row r="42" spans="1:8" x14ac:dyDescent="0.25">
      <c r="A42" s="64" t="s">
        <v>38</v>
      </c>
      <c r="B42" s="64"/>
      <c r="C42" s="64"/>
      <c r="D42" s="64"/>
      <c r="E42" s="96">
        <f>E44/E40-E41</f>
        <v>0</v>
      </c>
      <c r="F42" s="96"/>
      <c r="G42" s="96"/>
      <c r="H42" s="96"/>
    </row>
    <row r="43" spans="1:8" x14ac:dyDescent="0.25">
      <c r="A43" s="64" t="s">
        <v>39</v>
      </c>
      <c r="B43" s="64"/>
      <c r="C43" s="64"/>
      <c r="D43" s="64"/>
      <c r="E43" s="96">
        <f>E41+E42</f>
        <v>3</v>
      </c>
      <c r="F43" s="96"/>
      <c r="G43" s="96"/>
      <c r="H43" s="96"/>
    </row>
    <row r="44" spans="1:8" x14ac:dyDescent="0.25">
      <c r="A44" s="64" t="s">
        <v>94</v>
      </c>
      <c r="B44" s="64"/>
      <c r="C44" s="64"/>
      <c r="D44" s="64"/>
      <c r="E44" s="97">
        <v>5550.03</v>
      </c>
      <c r="F44" s="97"/>
      <c r="G44" s="97"/>
      <c r="H44" s="97"/>
    </row>
    <row r="45" spans="1:8" x14ac:dyDescent="0.25">
      <c r="A45" s="66" t="s">
        <v>40</v>
      </c>
      <c r="B45" s="66"/>
      <c r="C45" s="66"/>
      <c r="D45" s="66"/>
      <c r="E45" s="66" t="s">
        <v>201</v>
      </c>
      <c r="F45" s="66"/>
      <c r="G45" s="66"/>
      <c r="H45" s="66"/>
    </row>
    <row r="46" spans="1:8" x14ac:dyDescent="0.25">
      <c r="A46" s="67" t="s">
        <v>41</v>
      </c>
      <c r="B46" s="67"/>
      <c r="C46" s="67"/>
      <c r="D46" s="67"/>
      <c r="E46" s="67"/>
      <c r="F46" s="67"/>
      <c r="G46" s="67"/>
      <c r="H46" s="67"/>
    </row>
    <row r="47" spans="1:8" ht="33.75" customHeight="1" x14ac:dyDescent="0.25">
      <c r="A47" s="100" t="s">
        <v>152</v>
      </c>
      <c r="B47" s="101"/>
      <c r="C47" s="102" t="s">
        <v>187</v>
      </c>
      <c r="D47" s="103"/>
      <c r="E47" s="103"/>
      <c r="F47" s="103"/>
      <c r="G47" s="103"/>
      <c r="H47" s="104"/>
    </row>
    <row r="48" spans="1:8" ht="15.75" customHeight="1" x14ac:dyDescent="0.25">
      <c r="A48" s="100" t="s">
        <v>42</v>
      </c>
      <c r="B48" s="101"/>
      <c r="C48" s="100" t="s">
        <v>189</v>
      </c>
      <c r="D48" s="133"/>
      <c r="E48" s="101"/>
      <c r="F48" s="18" t="s">
        <v>43</v>
      </c>
      <c r="G48" s="73">
        <v>44460</v>
      </c>
      <c r="H48" s="101"/>
    </row>
    <row r="49" spans="1:14" x14ac:dyDescent="0.25">
      <c r="A49" s="100" t="s">
        <v>44</v>
      </c>
      <c r="B49" s="101"/>
      <c r="C49" s="100" t="str">
        <f>C48</f>
        <v>SRA/ENG/T/PVT/0106/20190911/AP</v>
      </c>
      <c r="D49" s="133"/>
      <c r="E49" s="101"/>
      <c r="F49" s="18" t="s">
        <v>43</v>
      </c>
      <c r="G49" s="73">
        <f>G48</f>
        <v>44460</v>
      </c>
      <c r="H49" s="74"/>
    </row>
    <row r="50" spans="1:14" s="22" customFormat="1" ht="15.75" customHeight="1" x14ac:dyDescent="0.25">
      <c r="A50" s="75" t="s">
        <v>156</v>
      </c>
      <c r="B50" s="76"/>
      <c r="C50" s="100" t="s">
        <v>188</v>
      </c>
      <c r="D50" s="133"/>
      <c r="E50" s="101"/>
      <c r="F50" s="18" t="s">
        <v>43</v>
      </c>
      <c r="G50" s="73">
        <v>45128</v>
      </c>
      <c r="H50" s="101"/>
    </row>
    <row r="51" spans="1:14" s="22" customFormat="1" x14ac:dyDescent="0.25">
      <c r="A51" s="77"/>
      <c r="B51" s="78"/>
      <c r="C51" s="100" t="s">
        <v>217</v>
      </c>
      <c r="D51" s="133"/>
      <c r="E51" s="133"/>
      <c r="F51" s="133"/>
      <c r="G51" s="133"/>
      <c r="H51" s="101"/>
    </row>
    <row r="52" spans="1:14" x14ac:dyDescent="0.25">
      <c r="A52" s="134" t="s">
        <v>45</v>
      </c>
      <c r="B52" s="135"/>
      <c r="C52" s="134" t="s">
        <v>108</v>
      </c>
      <c r="D52" s="136"/>
      <c r="E52" s="135"/>
      <c r="F52" s="43" t="s">
        <v>43</v>
      </c>
      <c r="G52" s="137" t="s">
        <v>30</v>
      </c>
      <c r="H52" s="138"/>
    </row>
    <row r="53" spans="1:14" x14ac:dyDescent="0.25">
      <c r="A53" s="128" t="s">
        <v>47</v>
      </c>
      <c r="B53" s="128"/>
      <c r="C53" s="128"/>
      <c r="D53" s="128"/>
      <c r="E53" s="128"/>
      <c r="F53" s="128"/>
      <c r="G53" s="128"/>
      <c r="H53" s="128"/>
    </row>
    <row r="54" spans="1:14" x14ac:dyDescent="0.25">
      <c r="A54" s="80" t="s">
        <v>93</v>
      </c>
      <c r="B54" s="80"/>
      <c r="C54" s="80"/>
      <c r="D54" s="64">
        <f>E44</f>
        <v>5550.03</v>
      </c>
      <c r="E54" s="64"/>
      <c r="F54" s="64"/>
      <c r="G54" s="64"/>
      <c r="H54" s="64"/>
    </row>
    <row r="55" spans="1:14" x14ac:dyDescent="0.25">
      <c r="A55" s="82" t="s">
        <v>48</v>
      </c>
      <c r="B55" s="66"/>
      <c r="C55" s="66"/>
      <c r="D55" s="66" t="s">
        <v>196</v>
      </c>
      <c r="E55" s="66"/>
      <c r="F55" s="66"/>
      <c r="G55" s="66"/>
      <c r="H55" s="66"/>
      <c r="I55" s="23"/>
    </row>
    <row r="56" spans="1:14" x14ac:dyDescent="0.25">
      <c r="A56" s="70" t="s">
        <v>49</v>
      </c>
      <c r="B56" s="71"/>
      <c r="C56" s="72"/>
      <c r="D56" s="68" t="s">
        <v>197</v>
      </c>
      <c r="E56" s="69"/>
      <c r="F56" s="69"/>
      <c r="G56" s="69"/>
      <c r="H56" s="69"/>
    </row>
    <row r="57" spans="1:14" ht="15.75" customHeight="1" x14ac:dyDescent="0.25">
      <c r="A57" s="70" t="s">
        <v>91</v>
      </c>
      <c r="B57" s="71"/>
      <c r="C57" s="71"/>
      <c r="D57" s="130" t="s">
        <v>197</v>
      </c>
      <c r="E57" s="131"/>
      <c r="F57" s="131"/>
      <c r="G57" s="131"/>
      <c r="H57" s="132"/>
    </row>
    <row r="58" spans="1:14" ht="15.75" customHeight="1" x14ac:dyDescent="0.25">
      <c r="A58" s="64" t="s">
        <v>46</v>
      </c>
      <c r="B58" s="64"/>
      <c r="C58" s="64"/>
      <c r="D58" s="94" t="s">
        <v>222</v>
      </c>
      <c r="E58" s="94"/>
      <c r="F58" s="94"/>
      <c r="G58" s="94"/>
      <c r="H58" s="94"/>
      <c r="J58" s="24"/>
      <c r="K58" s="23"/>
      <c r="N58" s="23"/>
    </row>
    <row r="59" spans="1:14" ht="15.75" customHeight="1" x14ac:dyDescent="0.25">
      <c r="A59" s="64" t="s">
        <v>89</v>
      </c>
      <c r="B59" s="64"/>
      <c r="C59" s="64"/>
      <c r="D59" s="95" t="str">
        <f>(IF(G52="NA","60 Years After Completion",IF(G52&lt;&gt;"NA",""&amp;60-ROUNDDOWN((E3-G52)/360,0)&amp;" Years"," ")))</f>
        <v>60 Years After Completion</v>
      </c>
      <c r="E59" s="95"/>
      <c r="F59" s="95"/>
      <c r="G59" s="95"/>
      <c r="H59" s="95"/>
      <c r="N59" s="23"/>
    </row>
    <row r="60" spans="1:14" ht="15.75" customHeight="1" x14ac:dyDescent="0.25">
      <c r="A60" s="64" t="s">
        <v>90</v>
      </c>
      <c r="B60" s="64"/>
      <c r="C60" s="64"/>
      <c r="D60" s="80" t="s">
        <v>24</v>
      </c>
      <c r="E60" s="80"/>
      <c r="F60" s="80"/>
      <c r="G60" s="80"/>
      <c r="H60" s="80"/>
      <c r="J60" s="25"/>
      <c r="K60" s="25"/>
    </row>
    <row r="61" spans="1:14" ht="30.75" customHeight="1" x14ac:dyDescent="0.25">
      <c r="A61" s="64" t="s">
        <v>77</v>
      </c>
      <c r="B61" s="64"/>
      <c r="C61" s="64"/>
      <c r="D61" s="82" t="s">
        <v>214</v>
      </c>
      <c r="E61" s="80"/>
      <c r="F61" s="80"/>
      <c r="G61" s="80"/>
      <c r="H61" s="80"/>
    </row>
    <row r="62" spans="1:14" x14ac:dyDescent="0.25">
      <c r="A62" s="80" t="s">
        <v>150</v>
      </c>
      <c r="B62" s="80"/>
      <c r="C62" s="80"/>
      <c r="D62" s="80" t="s">
        <v>30</v>
      </c>
      <c r="E62" s="80"/>
      <c r="F62" s="80"/>
      <c r="G62" s="80"/>
      <c r="H62" s="80"/>
      <c r="I62" s="26"/>
      <c r="J62" s="26"/>
      <c r="K62" s="26"/>
      <c r="L62" s="26"/>
      <c r="M62" s="26"/>
      <c r="N62" s="26"/>
    </row>
    <row r="63" spans="1:14" ht="15.75" customHeight="1" x14ac:dyDescent="0.25">
      <c r="A63" s="129" t="s">
        <v>88</v>
      </c>
      <c r="B63" s="129"/>
      <c r="C63" s="129"/>
      <c r="D63" s="68" t="str">
        <f ca="1">(IF(G69&gt;95%,"Nothing",IF(G69&gt;0%,"Cement, Aggregate, Steel, etc",IF(G69=0%,"Work not yet Started"))))</f>
        <v>Nothing</v>
      </c>
      <c r="E63" s="68"/>
      <c r="F63" s="68"/>
      <c r="G63" s="68"/>
      <c r="H63" s="68"/>
      <c r="J63" s="25"/>
    </row>
    <row r="64" spans="1:14" ht="33.75" customHeight="1" thickBot="1" x14ac:dyDescent="0.3">
      <c r="A64" s="139" t="s">
        <v>121</v>
      </c>
      <c r="B64" s="139"/>
      <c r="C64" s="139"/>
      <c r="D64" s="68" t="str">
        <f ca="1">(IF(D63="Nothing","Yes",IF(D63="Cement, Aggregate, Steel, etc","Under Construction",IF(D63="Work not yet Started","Work not yet Started"))))</f>
        <v>Yes</v>
      </c>
      <c r="E64" s="68"/>
      <c r="F64" s="68" t="str">
        <f ca="1">(IF(D63="Nothing","Yes",IF(D63="Cement, Aggregate, Steel, etc","Under Construction",IF(D63="Work not yet Started","Work not yet Started"))))</f>
        <v>Yes</v>
      </c>
      <c r="G64" s="68"/>
      <c r="H64" s="68"/>
    </row>
    <row r="65" spans="1:12" ht="15.75" customHeight="1" x14ac:dyDescent="0.25">
      <c r="A65" s="113" t="s">
        <v>142</v>
      </c>
      <c r="B65" s="114"/>
      <c r="C65" s="115" t="str">
        <f>D57</f>
        <v>Gr/Stilt + 1st to 4th Podium + 5th to 18th Floor</v>
      </c>
      <c r="D65" s="116"/>
      <c r="E65" s="116"/>
      <c r="F65" s="116"/>
      <c r="G65" s="116"/>
      <c r="H65" s="117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15 Floor, Possession upto 7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15 Floor, Possession upto 7 Floor</v>
      </c>
    </row>
    <row r="66" spans="1:12" x14ac:dyDescent="0.25">
      <c r="A66" s="16" t="s">
        <v>144</v>
      </c>
      <c r="B66" s="45">
        <v>0</v>
      </c>
      <c r="C66" s="45" t="s">
        <v>74</v>
      </c>
      <c r="D66" s="45">
        <v>1</v>
      </c>
      <c r="E66" s="45" t="s">
        <v>73</v>
      </c>
      <c r="F66" s="45">
        <v>0</v>
      </c>
      <c r="G66" s="46" t="s">
        <v>82</v>
      </c>
      <c r="H66" s="17">
        <f ca="1">--TRIM(RIGHT(SUBSTITUTE(LEFT(C65,_xlfn.AGGREGATE(16,6,FIND({0,1,2,3,4,5,6,7,8,9},C65,ROW(INDIRECT("1:"&amp;LEN(C65)))),1))," ",REPT(" ",LEN(C65))),LEN(C65)))</f>
        <v>18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50.25" customHeight="1" x14ac:dyDescent="0.25">
      <c r="A67" s="111" t="s">
        <v>92</v>
      </c>
      <c r="B67" s="111"/>
      <c r="C67" s="81" t="str">
        <f ca="1">I65</f>
        <v>Excavation, Plinth, RCC Slab, Brickwork, Internal Plaster, External Plaster, Flooring, Painting Completed, Finishing upto 15 Floor, Possession upto 7 Floor Completed</v>
      </c>
      <c r="D67" s="81"/>
      <c r="E67" s="81"/>
      <c r="F67" s="81"/>
      <c r="G67" s="81"/>
      <c r="H67" s="81"/>
      <c r="I67" s="5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2" ht="15.75" customHeight="1" x14ac:dyDescent="0.25">
      <c r="A68" s="79" t="s">
        <v>50</v>
      </c>
      <c r="B68" s="79"/>
      <c r="C68" s="57" t="s">
        <v>141</v>
      </c>
      <c r="D68" s="57" t="s">
        <v>85</v>
      </c>
      <c r="E68" s="79" t="s">
        <v>87</v>
      </c>
      <c r="F68" s="79"/>
      <c r="G68" s="79" t="s">
        <v>86</v>
      </c>
      <c r="H68" s="79"/>
      <c r="I68" s="14" t="s">
        <v>143</v>
      </c>
      <c r="J68" s="27">
        <f ca="1">H66*25%</f>
        <v>4.5</v>
      </c>
    </row>
    <row r="69" spans="1:12" x14ac:dyDescent="0.25">
      <c r="A69" s="79" t="s">
        <v>130</v>
      </c>
      <c r="B69" s="79"/>
      <c r="C69" s="57">
        <f ca="1">J70</f>
        <v>18</v>
      </c>
      <c r="D69" s="19">
        <f ca="1">((100/H66)*C69)/100</f>
        <v>1</v>
      </c>
      <c r="E69" s="140">
        <f ca="1">(((C70/H66*10)+(40/(D66+F66+H66)*C71)+(7.5/(H66)*C72)+(7.5/(H66)*C73)+(10/H66*C74)+(10/H66*C75)+(5/H66*C76)+(5/H66*C77)+(5/H66*C78))/100)</f>
        <v>0.96111111111111114</v>
      </c>
      <c r="F69" s="140"/>
      <c r="G69" s="140">
        <f ca="1">((((C69/H66)*20)+((C70/H66)*25)+(30/(H66+F66+D66)*C71)+(5/H66*C72)+(5/H66*C73)+(5/H66*C74)+(5/H66*C75)+(0/H66*C76)+(0/H66*C77)+(5/H66*C78))/100)</f>
        <v>0.96944444444444444</v>
      </c>
      <c r="H69" s="140"/>
      <c r="I69" s="14" t="s">
        <v>103</v>
      </c>
      <c r="J69" s="28">
        <f ca="1">H66*50%</f>
        <v>9</v>
      </c>
    </row>
    <row r="70" spans="1:12" x14ac:dyDescent="0.25">
      <c r="A70" s="79" t="s">
        <v>51</v>
      </c>
      <c r="B70" s="79"/>
      <c r="C70" s="57">
        <f ca="1">J78</f>
        <v>18</v>
      </c>
      <c r="D70" s="19">
        <f ca="1">((100/H66)*C70)/100</f>
        <v>1</v>
      </c>
      <c r="E70" s="140"/>
      <c r="F70" s="140"/>
      <c r="G70" s="140"/>
      <c r="H70" s="140"/>
      <c r="I70" s="14" t="s">
        <v>104</v>
      </c>
      <c r="J70" s="28">
        <f ca="1">H66</f>
        <v>18</v>
      </c>
    </row>
    <row r="71" spans="1:12" ht="15.75" customHeight="1" x14ac:dyDescent="0.25">
      <c r="A71" s="79" t="s">
        <v>131</v>
      </c>
      <c r="B71" s="79"/>
      <c r="C71" s="57">
        <v>19</v>
      </c>
      <c r="D71" s="19">
        <f ca="1">((100/(D66+F66+H66))*C71)/100</f>
        <v>1</v>
      </c>
      <c r="E71" s="140"/>
      <c r="F71" s="140"/>
      <c r="G71" s="140"/>
      <c r="H71" s="140"/>
      <c r="I71" s="14" t="s">
        <v>105</v>
      </c>
      <c r="J71" s="29">
        <f ca="1">(IF(B66&gt;1,(H66/(B66+2)),H66/4))</f>
        <v>4.5</v>
      </c>
    </row>
    <row r="72" spans="1:12" ht="15.75" customHeight="1" x14ac:dyDescent="0.25">
      <c r="A72" s="79" t="s">
        <v>138</v>
      </c>
      <c r="B72" s="79" t="s">
        <v>132</v>
      </c>
      <c r="C72" s="57">
        <v>18</v>
      </c>
      <c r="D72" s="19">
        <f ca="1">((100/H66)*C72)/100</f>
        <v>1</v>
      </c>
      <c r="E72" s="140"/>
      <c r="F72" s="140"/>
      <c r="G72" s="140"/>
      <c r="H72" s="140"/>
      <c r="I72" s="14" t="s">
        <v>106</v>
      </c>
      <c r="J72" s="29">
        <f ca="1">(IF(B66&gt;1,(H66/(B66+2)+J71),H66/4+J71))</f>
        <v>9</v>
      </c>
    </row>
    <row r="73" spans="1:12" ht="15.75" customHeight="1" x14ac:dyDescent="0.25">
      <c r="A73" s="79" t="s">
        <v>139</v>
      </c>
      <c r="B73" s="79" t="s">
        <v>132</v>
      </c>
      <c r="C73" s="56">
        <v>18</v>
      </c>
      <c r="D73" s="19">
        <f ca="1">((100/H66)*C73)/100</f>
        <v>1</v>
      </c>
      <c r="E73" s="140"/>
      <c r="F73" s="140"/>
      <c r="G73" s="140"/>
      <c r="H73" s="140"/>
      <c r="I73" s="14" t="s">
        <v>148</v>
      </c>
      <c r="J73" s="29">
        <f>(IF(B66&gt;1,(H66/(B66+2)+J72),0))</f>
        <v>0</v>
      </c>
    </row>
    <row r="74" spans="1:12" ht="15" customHeight="1" x14ac:dyDescent="0.25">
      <c r="A74" s="79" t="s">
        <v>137</v>
      </c>
      <c r="B74" s="79" t="s">
        <v>134</v>
      </c>
      <c r="C74" s="56">
        <v>18</v>
      </c>
      <c r="D74" s="19">
        <f ca="1">((100/(H66))*C74)/100</f>
        <v>1</v>
      </c>
      <c r="E74" s="140"/>
      <c r="F74" s="140"/>
      <c r="G74" s="140"/>
      <c r="H74" s="140"/>
      <c r="I74" s="14" t="s">
        <v>145</v>
      </c>
      <c r="J74" s="29">
        <f>(IF(B66&gt;2,(H66/(B66+2)+J73),0))</f>
        <v>0</v>
      </c>
    </row>
    <row r="75" spans="1:12" ht="15.75" customHeight="1" x14ac:dyDescent="0.25">
      <c r="A75" s="79" t="s">
        <v>133</v>
      </c>
      <c r="B75" s="79" t="s">
        <v>133</v>
      </c>
      <c r="C75" s="57">
        <v>18</v>
      </c>
      <c r="D75" s="19">
        <f ca="1">((100/H66)*C75)/100</f>
        <v>1</v>
      </c>
      <c r="E75" s="140"/>
      <c r="F75" s="140"/>
      <c r="G75" s="140"/>
      <c r="H75" s="140"/>
      <c r="I75" s="14" t="s">
        <v>146</v>
      </c>
      <c r="J75" s="30">
        <f>(IF(B66&gt;3,(H66/(B66+2)+J74),0))</f>
        <v>0</v>
      </c>
    </row>
    <row r="76" spans="1:12" ht="15.75" customHeight="1" x14ac:dyDescent="0.25">
      <c r="A76" s="79" t="s">
        <v>140</v>
      </c>
      <c r="B76" s="79"/>
      <c r="C76" s="57">
        <v>18</v>
      </c>
      <c r="D76" s="19">
        <f ca="1">((100/H66)*C76)/100</f>
        <v>1</v>
      </c>
      <c r="E76" s="140"/>
      <c r="F76" s="140"/>
      <c r="G76" s="140"/>
      <c r="H76" s="140"/>
      <c r="I76" s="14" t="s">
        <v>147</v>
      </c>
      <c r="J76" s="29">
        <f>(IF(B66&gt;4,(H66/(B66+2)+J75),0))</f>
        <v>0</v>
      </c>
    </row>
    <row r="77" spans="1:12" ht="15.75" customHeight="1" x14ac:dyDescent="0.25">
      <c r="A77" s="79" t="s">
        <v>135</v>
      </c>
      <c r="B77" s="79" t="s">
        <v>135</v>
      </c>
      <c r="C77" s="57">
        <v>15</v>
      </c>
      <c r="D77" s="19">
        <f ca="1">((100/(H66))*C77)/100</f>
        <v>0.83333333333333326</v>
      </c>
      <c r="E77" s="140"/>
      <c r="F77" s="140"/>
      <c r="G77" s="140"/>
      <c r="H77" s="140"/>
      <c r="I77" s="14" t="s">
        <v>149</v>
      </c>
      <c r="J77" s="29">
        <f ca="1">(IF(B66=1,(H66/(B66+3)+J72),IF(B66=0,(H66/4+J72),IF(B66&gt;1,0))))</f>
        <v>13.5</v>
      </c>
    </row>
    <row r="78" spans="1:12" ht="16.5" thickBot="1" x14ac:dyDescent="0.3">
      <c r="A78" s="79" t="s">
        <v>136</v>
      </c>
      <c r="B78" s="79"/>
      <c r="C78" s="57">
        <v>7</v>
      </c>
      <c r="D78" s="19">
        <f ca="1">((100/(H66))*C78)/100</f>
        <v>0.38888888888888884</v>
      </c>
      <c r="E78" s="140"/>
      <c r="F78" s="140"/>
      <c r="G78" s="140"/>
      <c r="H78" s="140"/>
      <c r="I78" s="15" t="s">
        <v>107</v>
      </c>
      <c r="J78" s="31">
        <f ca="1">(IF(B66&gt;1.5,(H66/(B66+2)+J72+MAX(0,J73-J72)+MAX(0,J74-J73)+MAX(0,J75-J74)+MAX(0,J76-J75)+MAX(0,J77-J76)),IF(B66=1,(H66/(B66+3)+J77),IF(B66=0,H66/4+J77))))</f>
        <v>18</v>
      </c>
    </row>
    <row r="79" spans="1:12" x14ac:dyDescent="0.25">
      <c r="A79" s="118" t="s">
        <v>157</v>
      </c>
      <c r="B79" s="118"/>
      <c r="C79" s="118"/>
      <c r="D79" s="118"/>
      <c r="E79" s="118"/>
      <c r="F79" s="149" t="s">
        <v>162</v>
      </c>
      <c r="G79" s="149"/>
      <c r="H79" s="149"/>
      <c r="I79" s="21"/>
      <c r="J79" s="55" t="s">
        <v>198</v>
      </c>
      <c r="K79" s="55" t="s">
        <v>199</v>
      </c>
      <c r="L79" s="55" t="s">
        <v>200</v>
      </c>
    </row>
    <row r="80" spans="1:12" x14ac:dyDescent="0.25">
      <c r="A80" s="64" t="s">
        <v>160</v>
      </c>
      <c r="B80" s="64"/>
      <c r="C80" s="64"/>
      <c r="D80" s="64"/>
      <c r="E80" s="64"/>
      <c r="F80" s="150">
        <v>18000</v>
      </c>
      <c r="G80" s="150"/>
      <c r="H80" s="150"/>
      <c r="I80" s="21">
        <f>AVERAGE(J80:L80)</f>
        <v>16700</v>
      </c>
      <c r="J80" s="55">
        <v>14000</v>
      </c>
      <c r="K80" s="55">
        <v>18800</v>
      </c>
      <c r="L80" s="55">
        <v>17300</v>
      </c>
    </row>
    <row r="81" spans="1:12" hidden="1" x14ac:dyDescent="0.25">
      <c r="A81" s="64" t="s">
        <v>159</v>
      </c>
      <c r="B81" s="64"/>
      <c r="C81" s="64"/>
      <c r="D81" s="64"/>
      <c r="E81" s="64"/>
      <c r="F81" s="63"/>
      <c r="G81" s="63"/>
      <c r="H81" s="63"/>
    </row>
    <row r="82" spans="1:12" hidden="1" x14ac:dyDescent="0.25">
      <c r="A82" s="64" t="s">
        <v>161</v>
      </c>
      <c r="B82" s="64"/>
      <c r="C82" s="64"/>
      <c r="D82" s="64"/>
      <c r="E82" s="64"/>
      <c r="F82" s="63"/>
      <c r="G82" s="63"/>
      <c r="H82" s="63"/>
    </row>
    <row r="83" spans="1:12" s="32" customFormat="1" hidden="1" x14ac:dyDescent="0.25">
      <c r="A83" s="64" t="s">
        <v>158</v>
      </c>
      <c r="B83" s="64"/>
      <c r="C83" s="64"/>
      <c r="D83" s="64"/>
      <c r="E83" s="64"/>
      <c r="F83" s="63"/>
      <c r="G83" s="63"/>
      <c r="H83" s="63"/>
    </row>
    <row r="84" spans="1:12" s="32" customFormat="1" hidden="1" x14ac:dyDescent="0.25">
      <c r="A84" s="64" t="s">
        <v>97</v>
      </c>
      <c r="B84" s="64"/>
      <c r="C84" s="64"/>
      <c r="D84" s="64"/>
      <c r="E84" s="64"/>
      <c r="F84" s="63"/>
      <c r="G84" s="63"/>
      <c r="H84" s="63"/>
    </row>
    <row r="85" spans="1:12" s="32" customFormat="1" hidden="1" x14ac:dyDescent="0.25">
      <c r="A85" s="64" t="s">
        <v>98</v>
      </c>
      <c r="B85" s="64"/>
      <c r="C85" s="64"/>
      <c r="D85" s="64"/>
      <c r="E85" s="64"/>
      <c r="F85" s="63"/>
      <c r="G85" s="63"/>
      <c r="H85" s="63"/>
    </row>
    <row r="86" spans="1:12" s="32" customFormat="1" hidden="1" x14ac:dyDescent="0.25">
      <c r="A86" s="64" t="s">
        <v>163</v>
      </c>
      <c r="B86" s="64"/>
      <c r="C86" s="64"/>
      <c r="D86" s="64"/>
      <c r="E86" s="64"/>
      <c r="F86" s="63"/>
      <c r="G86" s="63"/>
      <c r="H86" s="63"/>
    </row>
    <row r="87" spans="1:12" s="32" customFormat="1" hidden="1" x14ac:dyDescent="0.25">
      <c r="A87" s="64" t="s">
        <v>99</v>
      </c>
      <c r="B87" s="64"/>
      <c r="C87" s="64"/>
      <c r="D87" s="64"/>
      <c r="E87" s="64"/>
      <c r="F87" s="63"/>
      <c r="G87" s="63"/>
      <c r="H87" s="63"/>
    </row>
    <row r="88" spans="1:12" s="32" customFormat="1" hidden="1" x14ac:dyDescent="0.25">
      <c r="A88" s="64" t="s">
        <v>100</v>
      </c>
      <c r="B88" s="64"/>
      <c r="C88" s="64"/>
      <c r="D88" s="64"/>
      <c r="E88" s="64"/>
      <c r="F88" s="63"/>
      <c r="G88" s="63"/>
      <c r="H88" s="63"/>
    </row>
    <row r="89" spans="1:12" s="32" customFormat="1" hidden="1" x14ac:dyDescent="0.25">
      <c r="A89" s="64" t="s">
        <v>101</v>
      </c>
      <c r="B89" s="64"/>
      <c r="C89" s="64"/>
      <c r="D89" s="64"/>
      <c r="E89" s="64"/>
      <c r="F89" s="63"/>
      <c r="G89" s="63"/>
      <c r="H89" s="63"/>
    </row>
    <row r="90" spans="1:12" s="32" customFormat="1" hidden="1" x14ac:dyDescent="0.25">
      <c r="A90" s="64" t="s">
        <v>102</v>
      </c>
      <c r="B90" s="64"/>
      <c r="C90" s="64"/>
      <c r="D90" s="64"/>
      <c r="E90" s="64"/>
      <c r="F90" s="63"/>
      <c r="G90" s="63"/>
      <c r="H90" s="63"/>
    </row>
    <row r="91" spans="1:12" x14ac:dyDescent="0.25">
      <c r="A91" s="64" t="s">
        <v>52</v>
      </c>
      <c r="B91" s="64"/>
      <c r="C91" s="64"/>
      <c r="D91" s="64"/>
      <c r="E91" s="64"/>
      <c r="F91" s="63">
        <v>800000</v>
      </c>
      <c r="G91" s="63"/>
      <c r="H91" s="63"/>
      <c r="I91" s="20">
        <f>26000/1.55</f>
        <v>16774.193548387095</v>
      </c>
    </row>
    <row r="92" spans="1:12" s="33" customFormat="1" x14ac:dyDescent="0.25">
      <c r="A92" s="67" t="s">
        <v>53</v>
      </c>
      <c r="B92" s="67"/>
      <c r="C92" s="67"/>
      <c r="D92" s="67"/>
      <c r="E92" s="67"/>
      <c r="F92" s="63">
        <f>F80*0.8</f>
        <v>14400</v>
      </c>
      <c r="G92" s="63"/>
      <c r="H92" s="63"/>
    </row>
    <row r="93" spans="1:12" s="34" customFormat="1" x14ac:dyDescent="0.25">
      <c r="A93" s="124" t="s">
        <v>72</v>
      </c>
      <c r="B93" s="124"/>
      <c r="C93" s="124"/>
      <c r="D93" s="124"/>
      <c r="E93" s="124"/>
      <c r="F93" s="124"/>
      <c r="G93" s="124"/>
      <c r="H93" s="124"/>
    </row>
    <row r="94" spans="1:12" s="34" customFormat="1" ht="15.75" customHeight="1" x14ac:dyDescent="0.25">
      <c r="A94" s="120" t="s">
        <v>54</v>
      </c>
      <c r="B94" s="120"/>
      <c r="C94" s="119" t="s">
        <v>80</v>
      </c>
      <c r="D94" s="119"/>
      <c r="E94" s="112" t="s">
        <v>55</v>
      </c>
      <c r="F94" s="112"/>
      <c r="G94" s="120" t="s">
        <v>56</v>
      </c>
      <c r="H94" s="120"/>
      <c r="J94" s="34" t="s">
        <v>202</v>
      </c>
    </row>
    <row r="95" spans="1:12" s="34" customFormat="1" x14ac:dyDescent="0.25">
      <c r="A95" s="123" t="s">
        <v>71</v>
      </c>
      <c r="B95" s="123"/>
      <c r="C95" s="125">
        <f>COUNT(D104:D108)*7+COUNT(D111:D115)*6+COUNT(D118:D119,D121:D122)</f>
        <v>69</v>
      </c>
      <c r="D95" s="125"/>
      <c r="E95" s="126">
        <f>SUM(D104:D108)*7+SUM(D111:D115)*6+SUM(D118:D119,D121:D122)</f>
        <v>71348.743440000006</v>
      </c>
      <c r="F95" s="126"/>
      <c r="G95" s="126">
        <f>SUM(F104:F108)*7+SUM(F111:F115)*6+SUM(F118:F119,F121:F122)</f>
        <v>110590.55233199998</v>
      </c>
      <c r="H95" s="126"/>
      <c r="J95" s="34" t="s">
        <v>203</v>
      </c>
      <c r="K95" s="34" t="s">
        <v>204</v>
      </c>
      <c r="L95" s="34" t="s">
        <v>206</v>
      </c>
    </row>
    <row r="96" spans="1:12" s="33" customFormat="1" x14ac:dyDescent="0.25">
      <c r="A96" s="110" t="s">
        <v>57</v>
      </c>
      <c r="B96" s="110"/>
      <c r="C96" s="110"/>
      <c r="D96" s="110"/>
      <c r="E96" s="110"/>
      <c r="F96" s="110"/>
      <c r="G96" s="110"/>
      <c r="H96" s="110"/>
      <c r="J96" s="33">
        <v>20000</v>
      </c>
      <c r="K96" s="33">
        <v>17000</v>
      </c>
      <c r="L96" s="33">
        <v>19000</v>
      </c>
    </row>
    <row r="97" spans="1:14" x14ac:dyDescent="0.25">
      <c r="A97" s="110" t="s">
        <v>58</v>
      </c>
      <c r="B97" s="110"/>
      <c r="C97" s="110"/>
      <c r="D97" s="110"/>
      <c r="E97" s="110"/>
      <c r="F97" s="110"/>
      <c r="G97" s="110"/>
      <c r="H97" s="110"/>
    </row>
    <row r="98" spans="1:14" ht="47.25" customHeight="1" x14ac:dyDescent="0.25">
      <c r="A98" s="141" t="s">
        <v>122</v>
      </c>
      <c r="B98" s="141" t="s">
        <v>123</v>
      </c>
      <c r="C98" s="143" t="s">
        <v>59</v>
      </c>
      <c r="D98" s="143" t="s">
        <v>60</v>
      </c>
      <c r="E98" s="145" t="s">
        <v>61</v>
      </c>
      <c r="F98" s="42" t="s">
        <v>151</v>
      </c>
      <c r="G98" s="141" t="s">
        <v>62</v>
      </c>
      <c r="H98" s="147"/>
      <c r="I98" s="35"/>
    </row>
    <row r="99" spans="1:14" s="36" customFormat="1" x14ac:dyDescent="0.25">
      <c r="A99" s="142"/>
      <c r="B99" s="142"/>
      <c r="C99" s="144"/>
      <c r="D99" s="144"/>
      <c r="E99" s="146"/>
      <c r="F99" s="13">
        <v>0.55000000000000004</v>
      </c>
      <c r="G99" s="142"/>
      <c r="H99" s="148"/>
      <c r="I99" s="35"/>
    </row>
    <row r="100" spans="1:14" s="36" customFormat="1" x14ac:dyDescent="0.25">
      <c r="A100" s="89" t="s">
        <v>190</v>
      </c>
      <c r="B100" s="90"/>
      <c r="C100" s="90"/>
      <c r="D100" s="90"/>
      <c r="E100" s="90"/>
      <c r="F100" s="90"/>
      <c r="G100" s="90"/>
      <c r="H100" s="91"/>
      <c r="J100" s="35"/>
    </row>
    <row r="101" spans="1:14" s="36" customFormat="1" x14ac:dyDescent="0.25">
      <c r="A101" s="89" t="s">
        <v>191</v>
      </c>
      <c r="B101" s="90"/>
      <c r="C101" s="90"/>
      <c r="D101" s="90"/>
      <c r="E101" s="90"/>
      <c r="F101" s="90"/>
      <c r="G101" s="90"/>
      <c r="H101" s="91"/>
      <c r="J101" s="35"/>
    </row>
    <row r="102" spans="1:14" s="36" customFormat="1" ht="31.5" customHeight="1" x14ac:dyDescent="0.25">
      <c r="A102" s="89" t="s">
        <v>215</v>
      </c>
      <c r="B102" s="90"/>
      <c r="C102" s="90"/>
      <c r="D102" s="90"/>
      <c r="E102" s="90"/>
      <c r="F102" s="90"/>
      <c r="G102" s="90"/>
      <c r="H102" s="91"/>
      <c r="J102" s="35"/>
    </row>
    <row r="103" spans="1:14" s="36" customFormat="1" hidden="1" x14ac:dyDescent="0.25">
      <c r="A103" s="89" t="s">
        <v>212</v>
      </c>
      <c r="B103" s="90"/>
      <c r="C103" s="90"/>
      <c r="D103" s="90"/>
      <c r="E103" s="90"/>
      <c r="F103" s="90"/>
      <c r="G103" s="90"/>
      <c r="H103" s="91"/>
      <c r="J103" s="35"/>
    </row>
    <row r="104" spans="1:14" s="36" customFormat="1" ht="15.75" customHeight="1" x14ac:dyDescent="0.25">
      <c r="A104" s="83">
        <v>1</v>
      </c>
      <c r="B104" s="84"/>
      <c r="C104" s="41" t="s">
        <v>192</v>
      </c>
      <c r="D104" s="54">
        <f>(120.1)*10.764</f>
        <v>1292.7563999999998</v>
      </c>
      <c r="E104" s="54">
        <v>0</v>
      </c>
      <c r="F104" s="41">
        <f>D104*(($F$99)+1)+(IF(E104&lt;101,E104,IF(E104&lt;201,E104/2,IF(E104&lt;=301,E104/3,E104/4))))</f>
        <v>2003.7724199999998</v>
      </c>
      <c r="G104" s="154" t="str">
        <f>A103</f>
        <v>1st, 2nd, 4th, 6th, 8th, 10th, 12th Habitable Floor (As per Builder)</v>
      </c>
      <c r="H104" s="155"/>
      <c r="I104" s="53">
        <f>3.96*4.15+4.11*2.69+3.96*1.2+3.04*3.35+2.74*3.34+4.57*3.5+1.67*0.9+4.57*3.35+0.32*0.9+3.2*4.54+1.52*2.3+1.52*2.3+2.44*1.52+1.52*2.45+4.85*0.9+1.68*0.6</f>
        <v>118.99879999999999</v>
      </c>
      <c r="J104" s="35">
        <f>18300*F104</f>
        <v>36669035.285999998</v>
      </c>
      <c r="K104" s="35">
        <f>AVERAGE(J104:J108)</f>
        <v>29329121.8116</v>
      </c>
      <c r="L104" s="85"/>
      <c r="M104" s="85"/>
      <c r="N104" s="35"/>
    </row>
    <row r="105" spans="1:14" s="36" customFormat="1" x14ac:dyDescent="0.25">
      <c r="A105" s="83">
        <f t="shared" ref="A105:A108" si="0">A104+1</f>
        <v>2</v>
      </c>
      <c r="B105" s="84"/>
      <c r="C105" s="41" t="s">
        <v>192</v>
      </c>
      <c r="D105" s="54">
        <f>(120.22)*10.764</f>
        <v>1294.0480799999998</v>
      </c>
      <c r="E105" s="54">
        <v>0</v>
      </c>
      <c r="F105" s="41">
        <f>D105*(($F$99)+1)+(IF(E105&lt;101,E105,IF(E105&lt;201,E105/2,IF(E105&lt;=301,E105/3,E105/4))))</f>
        <v>2005.7745239999997</v>
      </c>
      <c r="G105" s="156"/>
      <c r="H105" s="157"/>
      <c r="I105" s="35"/>
      <c r="J105" s="35">
        <f t="shared" ref="J105:J115" si="1">18300*F105</f>
        <v>36705673.789199993</v>
      </c>
      <c r="L105" s="85"/>
      <c r="M105" s="85"/>
      <c r="N105" s="35"/>
    </row>
    <row r="106" spans="1:14" s="36" customFormat="1" x14ac:dyDescent="0.25">
      <c r="A106" s="83">
        <f t="shared" si="0"/>
        <v>3</v>
      </c>
      <c r="B106" s="84"/>
      <c r="C106" s="41" t="s">
        <v>192</v>
      </c>
      <c r="D106" s="54">
        <f>(95.74)*10.764</f>
        <v>1030.5453599999998</v>
      </c>
      <c r="E106" s="54">
        <v>0</v>
      </c>
      <c r="F106" s="41">
        <f>D106*(($F$99)+1)+(IF(E106&lt;101,E106,IF(E106&lt;201,E106/2,IF(E106&lt;=301,E106/3,E106/4))))</f>
        <v>1597.3453079999997</v>
      </c>
      <c r="G106" s="156"/>
      <c r="H106" s="157"/>
      <c r="I106" s="35"/>
      <c r="J106" s="35">
        <f t="shared" si="1"/>
        <v>29231419.136399996</v>
      </c>
      <c r="L106" s="85"/>
      <c r="M106" s="85"/>
      <c r="N106" s="35"/>
    </row>
    <row r="107" spans="1:14" s="36" customFormat="1" x14ac:dyDescent="0.25">
      <c r="A107" s="83">
        <f t="shared" si="0"/>
        <v>4</v>
      </c>
      <c r="B107" s="84"/>
      <c r="C107" s="41" t="s">
        <v>193</v>
      </c>
      <c r="D107" s="54">
        <f>(72.12)*10.764</f>
        <v>776.29967999999997</v>
      </c>
      <c r="E107" s="54">
        <v>0</v>
      </c>
      <c r="F107" s="41">
        <f>D107*(($F$99)+1)+(IF(E107&lt;101,E107,IF(E107&lt;201,E107/2,IF(E107&lt;=301,E107/3,E107/4))))</f>
        <v>1203.264504</v>
      </c>
      <c r="G107" s="156"/>
      <c r="H107" s="157"/>
      <c r="I107" s="35"/>
      <c r="J107" s="35">
        <f t="shared" si="1"/>
        <v>22019740.4232</v>
      </c>
      <c r="L107" s="85"/>
      <c r="M107" s="85"/>
      <c r="N107" s="35"/>
    </row>
    <row r="108" spans="1:14" s="36" customFormat="1" x14ac:dyDescent="0.25">
      <c r="A108" s="83">
        <f t="shared" si="0"/>
        <v>5</v>
      </c>
      <c r="B108" s="84"/>
      <c r="C108" s="41" t="s">
        <v>193</v>
      </c>
      <c r="D108" s="54">
        <f>(72.12)*10.764</f>
        <v>776.29967999999997</v>
      </c>
      <c r="E108" s="54">
        <v>0</v>
      </c>
      <c r="F108" s="41">
        <f>D108*(($F$99)+1)+(IF(E108&lt;101,E108,IF(E108&lt;201,E108/2,IF(E108&lt;=301,E108/3,E108/4))))</f>
        <v>1203.264504</v>
      </c>
      <c r="G108" s="158"/>
      <c r="H108" s="159"/>
      <c r="I108" s="35"/>
      <c r="J108" s="35">
        <f t="shared" si="1"/>
        <v>22019740.4232</v>
      </c>
      <c r="L108" s="85"/>
      <c r="M108" s="85"/>
      <c r="N108" s="35"/>
    </row>
    <row r="109" spans="1:14" s="36" customFormat="1" ht="33" customHeight="1" x14ac:dyDescent="0.25">
      <c r="A109" s="89" t="s">
        <v>208</v>
      </c>
      <c r="B109" s="90"/>
      <c r="C109" s="90"/>
      <c r="D109" s="90"/>
      <c r="E109" s="90"/>
      <c r="F109" s="90"/>
      <c r="G109" s="90"/>
      <c r="H109" s="91"/>
      <c r="J109" s="35">
        <f t="shared" ref="J109" si="2">18300*F109</f>
        <v>0</v>
      </c>
    </row>
    <row r="110" spans="1:14" s="36" customFormat="1" ht="30.75" customHeight="1" x14ac:dyDescent="0.25">
      <c r="A110" s="89" t="s">
        <v>213</v>
      </c>
      <c r="B110" s="90"/>
      <c r="C110" s="90"/>
      <c r="D110" s="90"/>
      <c r="E110" s="90"/>
      <c r="F110" s="90"/>
      <c r="G110" s="90"/>
      <c r="H110" s="91"/>
      <c r="J110" s="35">
        <f t="shared" si="1"/>
        <v>0</v>
      </c>
    </row>
    <row r="111" spans="1:14" s="36" customFormat="1" ht="15.75" customHeight="1" x14ac:dyDescent="0.25">
      <c r="A111" s="83">
        <v>1</v>
      </c>
      <c r="B111" s="84"/>
      <c r="C111" s="41" t="s">
        <v>192</v>
      </c>
      <c r="D111" s="54">
        <f>(120.1)*10.764</f>
        <v>1292.7563999999998</v>
      </c>
      <c r="E111" s="54">
        <v>0</v>
      </c>
      <c r="F111" s="41">
        <f>D111*(($F$99)+1)+(IF(E111&lt;101,E111,IF(E111&lt;201,E111/2,IF(E111&lt;=301,E111/3,E111/4))))</f>
        <v>2003.7724199999998</v>
      </c>
      <c r="G111" s="154" t="str">
        <f>A110</f>
        <v>3rd, 5th, 7th, 9th, 11th &amp; 13th Floor (Part Refuge Area) Habitable Floor
 (As per Builder)</v>
      </c>
      <c r="H111" s="155"/>
      <c r="I111" s="53">
        <f>36446800/F111</f>
        <v>18189.091553620648</v>
      </c>
      <c r="J111" s="35">
        <f t="shared" si="1"/>
        <v>36669035.285999998</v>
      </c>
      <c r="K111" s="36" t="s">
        <v>205</v>
      </c>
      <c r="L111" s="85"/>
      <c r="M111" s="85"/>
      <c r="N111" s="35"/>
    </row>
    <row r="112" spans="1:14" s="36" customFormat="1" x14ac:dyDescent="0.25">
      <c r="A112" s="83">
        <f t="shared" ref="A112:A115" si="3">A111+1</f>
        <v>2</v>
      </c>
      <c r="B112" s="84"/>
      <c r="C112" s="41" t="s">
        <v>192</v>
      </c>
      <c r="D112" s="54">
        <f>(120.22)*10.764</f>
        <v>1294.0480799999998</v>
      </c>
      <c r="E112" s="54">
        <v>0</v>
      </c>
      <c r="F112" s="41">
        <f>D112*(($F$99)+1)+(IF(E112&lt;101,E112,IF(E112&lt;201,E112/2,IF(E112&lt;=301,E112/3,E112/4))))</f>
        <v>2005.7745239999997</v>
      </c>
      <c r="G112" s="156"/>
      <c r="H112" s="157"/>
      <c r="I112" s="53">
        <f t="shared" ref="I112:I113" si="4">36446800/F112</f>
        <v>18170.935747711195</v>
      </c>
      <c r="J112" s="35">
        <f t="shared" si="1"/>
        <v>36705673.789199993</v>
      </c>
      <c r="K112" s="36" t="s">
        <v>205</v>
      </c>
      <c r="L112" s="85"/>
      <c r="M112" s="85"/>
      <c r="N112" s="35"/>
    </row>
    <row r="113" spans="1:14" s="36" customFormat="1" x14ac:dyDescent="0.25">
      <c r="A113" s="83">
        <f t="shared" si="3"/>
        <v>3</v>
      </c>
      <c r="B113" s="84"/>
      <c r="C113" s="41" t="s">
        <v>192</v>
      </c>
      <c r="D113" s="54">
        <f>(95.74)*10.764</f>
        <v>1030.5453599999998</v>
      </c>
      <c r="E113" s="54">
        <v>0</v>
      </c>
      <c r="F113" s="41">
        <f>D113*(($F$99)+1)+(IF(E113&lt;101,E113,IF(E113&lt;201,E113/2,IF(E113&lt;=301,E113/3,E113/4))))</f>
        <v>1597.3453079999997</v>
      </c>
      <c r="G113" s="156"/>
      <c r="H113" s="157"/>
      <c r="I113" s="53">
        <f t="shared" si="4"/>
        <v>22817.10774587257</v>
      </c>
      <c r="J113" s="35">
        <f t="shared" si="1"/>
        <v>29231419.136399996</v>
      </c>
      <c r="L113" s="85"/>
      <c r="M113" s="85"/>
      <c r="N113" s="35"/>
    </row>
    <row r="114" spans="1:14" s="36" customFormat="1" x14ac:dyDescent="0.25">
      <c r="A114" s="83">
        <f t="shared" si="3"/>
        <v>4</v>
      </c>
      <c r="B114" s="84"/>
      <c r="C114" s="41" t="s">
        <v>193</v>
      </c>
      <c r="D114" s="54">
        <f>(72.12)*10.764</f>
        <v>776.29967999999997</v>
      </c>
      <c r="E114" s="54">
        <v>0</v>
      </c>
      <c r="F114" s="41">
        <f>D114*(($F$99)+1)+(IF(E114&lt;101,E114,IF(E114&lt;201,E114/2,IF(E114&lt;=301,E114/3,E114/4))))</f>
        <v>1203.264504</v>
      </c>
      <c r="G114" s="156"/>
      <c r="H114" s="157"/>
      <c r="I114" s="35">
        <f>17646000/F114</f>
        <v>14665.104755720444</v>
      </c>
      <c r="J114" s="35">
        <f t="shared" si="1"/>
        <v>22019740.4232</v>
      </c>
      <c r="L114" s="85"/>
      <c r="M114" s="85"/>
      <c r="N114" s="35"/>
    </row>
    <row r="115" spans="1:14" s="36" customFormat="1" x14ac:dyDescent="0.25">
      <c r="A115" s="83">
        <f t="shared" si="3"/>
        <v>5</v>
      </c>
      <c r="B115" s="84"/>
      <c r="C115" s="41" t="s">
        <v>193</v>
      </c>
      <c r="D115" s="54">
        <f>(72.12)*10.764</f>
        <v>776.29967999999997</v>
      </c>
      <c r="E115" s="54">
        <v>0</v>
      </c>
      <c r="F115" s="41">
        <f>D115*(($F$99)+1)+(IF(E115&lt;101,E115,IF(E115&lt;201,E115/2,IF(E115&lt;=301,E115/3,E115/4))))</f>
        <v>1203.264504</v>
      </c>
      <c r="G115" s="158"/>
      <c r="H115" s="159"/>
      <c r="I115" s="35"/>
      <c r="J115" s="35">
        <f t="shared" si="1"/>
        <v>22019740.4232</v>
      </c>
      <c r="L115" s="85"/>
      <c r="M115" s="85"/>
      <c r="N115" s="35"/>
    </row>
    <row r="116" spans="1:14" s="36" customFormat="1" x14ac:dyDescent="0.25">
      <c r="A116" s="153" t="s">
        <v>209</v>
      </c>
      <c r="B116" s="153"/>
      <c r="C116" s="153"/>
      <c r="D116" s="153"/>
      <c r="E116" s="153"/>
      <c r="F116" s="153"/>
      <c r="G116" s="153"/>
      <c r="H116" s="153"/>
      <c r="J116" s="35">
        <f t="shared" ref="J116" si="5">18000*F116</f>
        <v>0</v>
      </c>
    </row>
    <row r="117" spans="1:14" s="36" customFormat="1" x14ac:dyDescent="0.25">
      <c r="A117" s="153" t="s">
        <v>210</v>
      </c>
      <c r="B117" s="153"/>
      <c r="C117" s="153"/>
      <c r="D117" s="153"/>
      <c r="E117" s="153"/>
      <c r="F117" s="153"/>
      <c r="G117" s="153"/>
      <c r="H117" s="153"/>
      <c r="J117" s="35">
        <f t="shared" ref="J117" si="6">18000*F117</f>
        <v>0</v>
      </c>
    </row>
    <row r="118" spans="1:14" s="36" customFormat="1" ht="15.75" customHeight="1" x14ac:dyDescent="0.25">
      <c r="A118" s="88">
        <v>1</v>
      </c>
      <c r="B118" s="88"/>
      <c r="C118" s="41" t="s">
        <v>192</v>
      </c>
      <c r="D118" s="54">
        <f>(120.1)*10.764</f>
        <v>1292.7563999999998</v>
      </c>
      <c r="E118" s="54">
        <v>0</v>
      </c>
      <c r="F118" s="41">
        <f>D118*(($F$99)+1)+(IF(E118&lt;101,E118,IF(E118&lt;201,E118/2,IF(E118&lt;=301,E118/3,E118/4))))</f>
        <v>2003.7724199999998</v>
      </c>
      <c r="G118" s="88" t="str">
        <f>A117</f>
        <v>14th Floor (Part Terrace Area) (As per Builder)</v>
      </c>
      <c r="H118" s="88"/>
      <c r="I118" s="53"/>
      <c r="J118" s="35">
        <f t="shared" ref="J118:J120" si="7">17800*F118</f>
        <v>35667149.075999998</v>
      </c>
      <c r="L118" s="85"/>
      <c r="M118" s="85"/>
      <c r="N118" s="35"/>
    </row>
    <row r="119" spans="1:14" s="36" customFormat="1" x14ac:dyDescent="0.25">
      <c r="A119" s="88">
        <f t="shared" ref="A119:A122" si="8">A118+1</f>
        <v>2</v>
      </c>
      <c r="B119" s="88"/>
      <c r="C119" s="41" t="s">
        <v>192</v>
      </c>
      <c r="D119" s="54">
        <f>(120.22)*10.764</f>
        <v>1294.0480799999998</v>
      </c>
      <c r="E119" s="54">
        <v>0</v>
      </c>
      <c r="F119" s="41">
        <f>D119*(($F$99)+1)+(IF(E119&lt;101,E119,IF(E119&lt;201,E119/2,IF(E119&lt;=301,E119/3,E119/4))))</f>
        <v>2005.7745239999997</v>
      </c>
      <c r="G119" s="88"/>
      <c r="H119" s="88"/>
      <c r="I119" s="35">
        <f>36400000/F119</f>
        <v>18147.603115134592</v>
      </c>
      <c r="J119" s="35">
        <f t="shared" si="7"/>
        <v>35702786.527199991</v>
      </c>
      <c r="L119" s="85"/>
      <c r="M119" s="85"/>
      <c r="N119" s="35"/>
    </row>
    <row r="120" spans="1:14" s="36" customFormat="1" x14ac:dyDescent="0.25">
      <c r="A120" s="88">
        <f t="shared" si="8"/>
        <v>3</v>
      </c>
      <c r="B120" s="88"/>
      <c r="C120" s="88" t="s">
        <v>194</v>
      </c>
      <c r="D120" s="88"/>
      <c r="E120" s="88"/>
      <c r="F120" s="88"/>
      <c r="G120" s="88"/>
      <c r="H120" s="88"/>
      <c r="I120" s="35"/>
      <c r="J120" s="35">
        <f t="shared" si="7"/>
        <v>0</v>
      </c>
      <c r="L120" s="85"/>
      <c r="M120" s="85"/>
      <c r="N120" s="35"/>
    </row>
    <row r="121" spans="1:14" s="36" customFormat="1" x14ac:dyDescent="0.25">
      <c r="A121" s="88">
        <f t="shared" si="8"/>
        <v>4</v>
      </c>
      <c r="B121" s="88"/>
      <c r="C121" s="41" t="s">
        <v>193</v>
      </c>
      <c r="D121" s="54">
        <f>(72.12)*10.764</f>
        <v>776.29967999999997</v>
      </c>
      <c r="E121" s="54">
        <v>0</v>
      </c>
      <c r="F121" s="41">
        <f>D121*(($F$99)+1)+(IF(E121&lt;101,E121,IF(E121&lt;201,E121/2,IF(E121&lt;=301,E121/3,E121/4))))</f>
        <v>1203.264504</v>
      </c>
      <c r="G121" s="88"/>
      <c r="H121" s="88"/>
      <c r="I121" s="35">
        <f>21400000/F121</f>
        <v>17784.950797484838</v>
      </c>
      <c r="J121" s="36">
        <f>21400000/F121</f>
        <v>17784.950797484838</v>
      </c>
      <c r="K121" s="36" t="s">
        <v>205</v>
      </c>
      <c r="L121" s="85"/>
      <c r="M121" s="85"/>
      <c r="N121" s="35"/>
    </row>
    <row r="122" spans="1:14" s="36" customFormat="1" x14ac:dyDescent="0.25">
      <c r="A122" s="88">
        <f t="shared" si="8"/>
        <v>5</v>
      </c>
      <c r="B122" s="88"/>
      <c r="C122" s="41" t="s">
        <v>193</v>
      </c>
      <c r="D122" s="54">
        <f>(72.12)*10.764</f>
        <v>776.29967999999997</v>
      </c>
      <c r="E122" s="54">
        <v>0</v>
      </c>
      <c r="F122" s="41">
        <f>D122*(($F$99)+1)+(IF(E122&lt;101,E122,IF(E122&lt;201,E122/2,IF(E122&lt;=301,E122/3,E122/4))))</f>
        <v>1203.264504</v>
      </c>
      <c r="G122" s="88"/>
      <c r="H122" s="88"/>
      <c r="I122" s="35">
        <f>22330360/F122</f>
        <v>18558.147378043159</v>
      </c>
      <c r="J122" s="36">
        <f>21400000/F122</f>
        <v>17784.950797484838</v>
      </c>
      <c r="K122" s="36" t="s">
        <v>205</v>
      </c>
      <c r="L122" s="85"/>
      <c r="M122" s="85"/>
      <c r="N122" s="35"/>
    </row>
    <row r="123" spans="1:14" s="34" customFormat="1" x14ac:dyDescent="0.25">
      <c r="A123" s="87" t="s">
        <v>70</v>
      </c>
      <c r="B123" s="87"/>
      <c r="C123" s="87"/>
      <c r="D123" s="87"/>
      <c r="E123" s="87"/>
      <c r="F123" s="87"/>
      <c r="G123" s="87"/>
      <c r="H123" s="87"/>
    </row>
    <row r="124" spans="1:14" s="52" customFormat="1" ht="30.75" customHeight="1" x14ac:dyDescent="0.25">
      <c r="A124" s="51" t="s">
        <v>154</v>
      </c>
      <c r="B124" s="160" t="s">
        <v>225</v>
      </c>
      <c r="C124" s="160"/>
      <c r="D124" s="160"/>
      <c r="E124" s="160"/>
      <c r="F124" s="160"/>
      <c r="G124" s="160"/>
      <c r="H124" s="160"/>
      <c r="J124" s="20"/>
    </row>
    <row r="125" spans="1:14" s="34" customFormat="1" x14ac:dyDescent="0.25">
      <c r="A125" s="58" t="s">
        <v>154</v>
      </c>
      <c r="B125" s="160" t="str">
        <f>(IF(F98="Saleable area Loading :","We have considered Saleable area of Flats as per our Calculation.","We considered Saleable area of Flat as per Builder area Sheet."))</f>
        <v>We have considered Saleable area of Flats as per our Calculation.</v>
      </c>
      <c r="C125" s="160"/>
      <c r="D125" s="160"/>
      <c r="E125" s="160"/>
      <c r="F125" s="160"/>
      <c r="G125" s="160"/>
      <c r="H125" s="160"/>
    </row>
    <row r="126" spans="1:14" s="34" customFormat="1" x14ac:dyDescent="0.25">
      <c r="A126" s="58" t="s">
        <v>154</v>
      </c>
      <c r="B126" s="86" t="s">
        <v>125</v>
      </c>
      <c r="C126" s="86"/>
      <c r="D126" s="86"/>
      <c r="E126" s="86"/>
      <c r="F126" s="86"/>
      <c r="G126" s="86"/>
      <c r="H126" s="86"/>
    </row>
    <row r="127" spans="1:14" s="34" customFormat="1" x14ac:dyDescent="0.25">
      <c r="A127" s="44" t="s">
        <v>154</v>
      </c>
      <c r="B127" s="60" t="s">
        <v>195</v>
      </c>
      <c r="C127" s="61"/>
      <c r="D127" s="61"/>
      <c r="E127" s="61"/>
      <c r="F127" s="61"/>
      <c r="G127" s="61"/>
      <c r="H127" s="62"/>
    </row>
    <row r="128" spans="1:14" s="34" customFormat="1" x14ac:dyDescent="0.25">
      <c r="A128" s="44" t="s">
        <v>154</v>
      </c>
      <c r="B128" s="60" t="s">
        <v>153</v>
      </c>
      <c r="C128" s="61"/>
      <c r="D128" s="61"/>
      <c r="E128" s="61"/>
      <c r="F128" s="61"/>
      <c r="G128" s="61"/>
      <c r="H128" s="62"/>
    </row>
    <row r="129" spans="1:8" s="34" customFormat="1" x14ac:dyDescent="0.25">
      <c r="A129" s="44" t="s">
        <v>154</v>
      </c>
      <c r="B129" s="60" t="s">
        <v>126</v>
      </c>
      <c r="C129" s="61"/>
      <c r="D129" s="61"/>
      <c r="E129" s="61"/>
      <c r="F129" s="61"/>
      <c r="G129" s="61"/>
      <c r="H129" s="62"/>
    </row>
    <row r="130" spans="1:8" s="34" customFormat="1" ht="34.5" customHeight="1" x14ac:dyDescent="0.25">
      <c r="A130" s="44" t="s">
        <v>154</v>
      </c>
      <c r="B130" s="60" t="s">
        <v>155</v>
      </c>
      <c r="C130" s="61"/>
      <c r="D130" s="61"/>
      <c r="E130" s="61"/>
      <c r="F130" s="61"/>
      <c r="G130" s="61"/>
      <c r="H130" s="62"/>
    </row>
    <row r="131" spans="1:8" s="34" customFormat="1" x14ac:dyDescent="0.25">
      <c r="A131" s="44" t="s">
        <v>154</v>
      </c>
      <c r="B131" s="60" t="s">
        <v>127</v>
      </c>
      <c r="C131" s="61"/>
      <c r="D131" s="61"/>
      <c r="E131" s="61"/>
      <c r="F131" s="61"/>
      <c r="G131" s="61"/>
      <c r="H131" s="62"/>
    </row>
    <row r="132" spans="1:8" s="34" customFormat="1" x14ac:dyDescent="0.25">
      <c r="A132" s="44" t="s">
        <v>154</v>
      </c>
      <c r="B132" s="60" t="s">
        <v>218</v>
      </c>
      <c r="C132" s="61"/>
      <c r="D132" s="61"/>
      <c r="E132" s="61"/>
      <c r="F132" s="61"/>
      <c r="G132" s="61"/>
      <c r="H132" s="62"/>
    </row>
    <row r="133" spans="1:8" s="34" customFormat="1" x14ac:dyDescent="0.25">
      <c r="A133" s="44" t="s">
        <v>154</v>
      </c>
      <c r="B133" s="60" t="s">
        <v>211</v>
      </c>
      <c r="C133" s="61"/>
      <c r="D133" s="61"/>
      <c r="E133" s="61"/>
      <c r="F133" s="61"/>
      <c r="G133" s="61"/>
      <c r="H133" s="62"/>
    </row>
    <row r="134" spans="1:8" x14ac:dyDescent="0.25">
      <c r="A134" s="128" t="s">
        <v>63</v>
      </c>
      <c r="B134" s="128"/>
      <c r="C134" s="128"/>
      <c r="D134" s="128"/>
      <c r="E134" s="128"/>
      <c r="F134" s="128"/>
      <c r="G134" s="128"/>
      <c r="H134" s="128"/>
    </row>
    <row r="135" spans="1:8" x14ac:dyDescent="0.25">
      <c r="A135" s="64" t="s">
        <v>64</v>
      </c>
      <c r="B135" s="64"/>
      <c r="C135" s="64"/>
      <c r="D135" s="64"/>
      <c r="E135" s="64"/>
      <c r="F135" s="64"/>
      <c r="G135" s="64"/>
      <c r="H135" s="64"/>
    </row>
    <row r="136" spans="1:8" ht="15.75" customHeight="1" x14ac:dyDescent="0.25">
      <c r="A136" s="127" t="s">
        <v>65</v>
      </c>
      <c r="B136" s="127"/>
      <c r="C136" s="127"/>
      <c r="D136" s="127"/>
      <c r="E136" s="127"/>
      <c r="F136" s="127"/>
      <c r="G136" s="127"/>
      <c r="H136" s="127"/>
    </row>
    <row r="137" spans="1:8" x14ac:dyDescent="0.25">
      <c r="A137" s="64" t="s">
        <v>66</v>
      </c>
      <c r="B137" s="64"/>
      <c r="C137" s="64"/>
      <c r="D137" s="64"/>
      <c r="E137" s="64"/>
      <c r="F137" s="64"/>
      <c r="G137" s="64"/>
      <c r="H137" s="64"/>
    </row>
    <row r="138" spans="1:8" x14ac:dyDescent="0.25">
      <c r="A138" s="64" t="s">
        <v>67</v>
      </c>
      <c r="B138" s="64"/>
      <c r="C138" s="64"/>
      <c r="D138" s="64"/>
      <c r="E138" s="64"/>
      <c r="F138" s="64"/>
      <c r="G138" s="64"/>
      <c r="H138" s="64"/>
    </row>
    <row r="139" spans="1:8" x14ac:dyDescent="0.25">
      <c r="A139" s="64" t="s">
        <v>128</v>
      </c>
      <c r="B139" s="64"/>
      <c r="C139" s="64"/>
      <c r="D139" s="64"/>
      <c r="E139" s="64"/>
      <c r="F139" s="64"/>
      <c r="G139" s="64"/>
      <c r="H139" s="64"/>
    </row>
    <row r="140" spans="1:8" x14ac:dyDescent="0.25">
      <c r="A140" s="80" t="s">
        <v>129</v>
      </c>
      <c r="B140" s="80"/>
      <c r="C140" s="80"/>
      <c r="D140" s="80"/>
      <c r="E140" s="80"/>
      <c r="F140" s="80"/>
      <c r="G140" s="80"/>
      <c r="H140" s="80"/>
    </row>
    <row r="141" spans="1:8" x14ac:dyDescent="0.25">
      <c r="A141" s="122" t="s">
        <v>79</v>
      </c>
      <c r="B141" s="122"/>
      <c r="C141" s="122" t="s">
        <v>221</v>
      </c>
      <c r="D141" s="122"/>
      <c r="E141" s="122" t="s">
        <v>109</v>
      </c>
      <c r="F141" s="122"/>
      <c r="G141" s="122" t="s">
        <v>224</v>
      </c>
      <c r="H141" s="122"/>
    </row>
    <row r="142" spans="1:8" x14ac:dyDescent="0.25">
      <c r="A142" s="121" t="s">
        <v>81</v>
      </c>
      <c r="B142" s="121"/>
      <c r="C142" s="121"/>
      <c r="D142" s="121"/>
      <c r="E142" s="121"/>
      <c r="F142" s="121"/>
      <c r="G142" s="121"/>
      <c r="H142" s="121"/>
    </row>
    <row r="143" spans="1:8" x14ac:dyDescent="0.25">
      <c r="A143" s="121"/>
      <c r="B143" s="121"/>
      <c r="C143" s="121"/>
      <c r="D143" s="121"/>
      <c r="E143" s="121"/>
      <c r="F143" s="121"/>
      <c r="G143" s="121"/>
      <c r="H143" s="121"/>
    </row>
    <row r="144" spans="1:8" x14ac:dyDescent="0.25">
      <c r="A144" s="121"/>
      <c r="B144" s="121"/>
      <c r="C144" s="121"/>
      <c r="D144" s="121"/>
      <c r="E144" s="121"/>
      <c r="F144" s="121"/>
      <c r="G144" s="121"/>
      <c r="H144" s="121"/>
    </row>
    <row r="145" spans="1:8" x14ac:dyDescent="0.25">
      <c r="A145" s="121"/>
      <c r="B145" s="121"/>
      <c r="C145" s="121"/>
      <c r="D145" s="121"/>
      <c r="E145" s="121"/>
      <c r="F145" s="121"/>
      <c r="G145" s="121"/>
      <c r="H145" s="121"/>
    </row>
    <row r="146" spans="1:8" x14ac:dyDescent="0.25">
      <c r="A146" s="37" t="s">
        <v>68</v>
      </c>
      <c r="B146" s="38"/>
      <c r="C146" s="38"/>
      <c r="D146" s="37" t="str">
        <f>E8</f>
        <v>Nami CHS Ltd</v>
      </c>
      <c r="F146" s="38"/>
      <c r="G146" s="38"/>
      <c r="H146" s="38"/>
    </row>
    <row r="147" spans="1:8" x14ac:dyDescent="0.25">
      <c r="A147" s="38"/>
      <c r="B147" s="38"/>
      <c r="C147" s="38"/>
      <c r="D147" s="38"/>
      <c r="E147" s="38"/>
      <c r="F147" s="38"/>
      <c r="G147" s="38"/>
      <c r="H147" s="38"/>
    </row>
    <row r="148" spans="1:8" x14ac:dyDescent="0.25">
      <c r="A148" s="38"/>
      <c r="B148" s="38"/>
      <c r="C148" s="38"/>
      <c r="D148" s="38"/>
      <c r="E148" s="38"/>
      <c r="F148" s="38"/>
      <c r="G148" s="38"/>
      <c r="H148" s="38"/>
    </row>
    <row r="149" spans="1:8" ht="15" customHeight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93" spans="1:1" hidden="1" x14ac:dyDescent="0.25"/>
    <row r="194" spans="1:1" hidden="1" x14ac:dyDescent="0.25"/>
    <row r="195" spans="1:1" hidden="1" x14ac:dyDescent="0.25"/>
    <row r="196" spans="1:1" hidden="1" x14ac:dyDescent="0.25"/>
    <row r="197" spans="1:1" hidden="1" x14ac:dyDescent="0.25"/>
    <row r="198" spans="1:1" hidden="1" x14ac:dyDescent="0.25"/>
    <row r="199" spans="1:1" hidden="1" x14ac:dyDescent="0.25"/>
    <row r="202" spans="1:1" x14ac:dyDescent="0.25">
      <c r="A202" s="40" t="s">
        <v>207</v>
      </c>
    </row>
    <row r="230" spans="1:1" x14ac:dyDescent="0.25">
      <c r="A230" s="40" t="s">
        <v>69</v>
      </c>
    </row>
    <row r="273" spans="1:1" x14ac:dyDescent="0.25">
      <c r="A273" s="40"/>
    </row>
  </sheetData>
  <mergeCells count="265">
    <mergeCell ref="A102:H102"/>
    <mergeCell ref="A119:B119"/>
    <mergeCell ref="A120:B120"/>
    <mergeCell ref="A109:H109"/>
    <mergeCell ref="A116:H116"/>
    <mergeCell ref="L111:M111"/>
    <mergeCell ref="A112:B112"/>
    <mergeCell ref="B133:H133"/>
    <mergeCell ref="G111:H115"/>
    <mergeCell ref="A121:B121"/>
    <mergeCell ref="A122:B122"/>
    <mergeCell ref="B124:H124"/>
    <mergeCell ref="B125:H125"/>
    <mergeCell ref="B132:H132"/>
    <mergeCell ref="A117:H117"/>
    <mergeCell ref="A103:H103"/>
    <mergeCell ref="G104:H108"/>
    <mergeCell ref="A113:B113"/>
    <mergeCell ref="A114:B114"/>
    <mergeCell ref="A118:B118"/>
    <mergeCell ref="G118:H122"/>
    <mergeCell ref="L107:M107"/>
    <mergeCell ref="L104:M104"/>
    <mergeCell ref="L105:M105"/>
    <mergeCell ref="A76:B76"/>
    <mergeCell ref="A16:B16"/>
    <mergeCell ref="C16:H16"/>
    <mergeCell ref="E41:H41"/>
    <mergeCell ref="A41:D41"/>
    <mergeCell ref="A48:B48"/>
    <mergeCell ref="C48:E48"/>
    <mergeCell ref="G48:H48"/>
    <mergeCell ref="G50:H50"/>
    <mergeCell ref="D54:H54"/>
    <mergeCell ref="C50:E50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C37:H37"/>
    <mergeCell ref="A96:H96"/>
    <mergeCell ref="A98:A99"/>
    <mergeCell ref="B98:B99"/>
    <mergeCell ref="D98:D99"/>
    <mergeCell ref="E98:E99"/>
    <mergeCell ref="G98:H99"/>
    <mergeCell ref="A80:E80"/>
    <mergeCell ref="F79:H79"/>
    <mergeCell ref="F84:H84"/>
    <mergeCell ref="A85:E85"/>
    <mergeCell ref="F85:H85"/>
    <mergeCell ref="A86:E86"/>
    <mergeCell ref="F82:H82"/>
    <mergeCell ref="A89:E89"/>
    <mergeCell ref="C98:C99"/>
    <mergeCell ref="F89:H89"/>
    <mergeCell ref="F80:H80"/>
    <mergeCell ref="G95:H95"/>
    <mergeCell ref="D62:H62"/>
    <mergeCell ref="A63:C63"/>
    <mergeCell ref="D63:H63"/>
    <mergeCell ref="A69:B69"/>
    <mergeCell ref="G68:H68"/>
    <mergeCell ref="A74:B74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57:C57"/>
    <mergeCell ref="A64:C64"/>
    <mergeCell ref="D64:H64"/>
    <mergeCell ref="E69:F78"/>
    <mergeCell ref="G69:H78"/>
    <mergeCell ref="A77:B77"/>
    <mergeCell ref="A78:B78"/>
    <mergeCell ref="A142:H145"/>
    <mergeCell ref="A141:B141"/>
    <mergeCell ref="E141:F141"/>
    <mergeCell ref="C141:D141"/>
    <mergeCell ref="G141:H141"/>
    <mergeCell ref="A91:E91"/>
    <mergeCell ref="F91:H91"/>
    <mergeCell ref="A92:E92"/>
    <mergeCell ref="F92:H92"/>
    <mergeCell ref="A95:B95"/>
    <mergeCell ref="A137:H137"/>
    <mergeCell ref="A93:H93"/>
    <mergeCell ref="A140:H140"/>
    <mergeCell ref="A138:H138"/>
    <mergeCell ref="C95:D95"/>
    <mergeCell ref="E95:F95"/>
    <mergeCell ref="A115:B115"/>
    <mergeCell ref="A100:H100"/>
    <mergeCell ref="A101:H101"/>
    <mergeCell ref="A111:B111"/>
    <mergeCell ref="A139:H139"/>
    <mergeCell ref="A136:H136"/>
    <mergeCell ref="A94:B94"/>
    <mergeCell ref="A134:H134"/>
    <mergeCell ref="A135:H135"/>
    <mergeCell ref="E94:F94"/>
    <mergeCell ref="B131:H131"/>
    <mergeCell ref="B129:H129"/>
    <mergeCell ref="A68:B68"/>
    <mergeCell ref="A71:B71"/>
    <mergeCell ref="A67:B67"/>
    <mergeCell ref="A65:B65"/>
    <mergeCell ref="C65:H65"/>
    <mergeCell ref="A73:B73"/>
    <mergeCell ref="A79:E79"/>
    <mergeCell ref="F83:H83"/>
    <mergeCell ref="A90:E90"/>
    <mergeCell ref="C94:D94"/>
    <mergeCell ref="G94:H94"/>
    <mergeCell ref="B130:H130"/>
    <mergeCell ref="A88:E88"/>
    <mergeCell ref="A87:E87"/>
    <mergeCell ref="A82:E82"/>
    <mergeCell ref="F87:H87"/>
    <mergeCell ref="F90:H90"/>
    <mergeCell ref="F88:H88"/>
    <mergeCell ref="A97:H97"/>
    <mergeCell ref="F86:H8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19:B19"/>
    <mergeCell ref="C19:D19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38:B38"/>
    <mergeCell ref="C38:H38"/>
    <mergeCell ref="A47:B47"/>
    <mergeCell ref="C47:H47"/>
    <mergeCell ref="A106:B106"/>
    <mergeCell ref="L106:M106"/>
    <mergeCell ref="B126:H126"/>
    <mergeCell ref="B127:H127"/>
    <mergeCell ref="A123:H123"/>
    <mergeCell ref="A107:B107"/>
    <mergeCell ref="A104:B104"/>
    <mergeCell ref="A108:B108"/>
    <mergeCell ref="L112:M112"/>
    <mergeCell ref="L113:M113"/>
    <mergeCell ref="L114:M114"/>
    <mergeCell ref="L115:M115"/>
    <mergeCell ref="L108:M108"/>
    <mergeCell ref="L118:M118"/>
    <mergeCell ref="L119:M119"/>
    <mergeCell ref="L120:M120"/>
    <mergeCell ref="L121:M121"/>
    <mergeCell ref="L122:M122"/>
    <mergeCell ref="C120:F120"/>
    <mergeCell ref="A110:H110"/>
    <mergeCell ref="B128:H128"/>
    <mergeCell ref="F81:H81"/>
    <mergeCell ref="A81:E81"/>
    <mergeCell ref="A83:E83"/>
    <mergeCell ref="A84:E84"/>
    <mergeCell ref="A40:D40"/>
    <mergeCell ref="E40:H40"/>
    <mergeCell ref="A45:D45"/>
    <mergeCell ref="A46:H46"/>
    <mergeCell ref="D56:H56"/>
    <mergeCell ref="A56:C56"/>
    <mergeCell ref="G49:H49"/>
    <mergeCell ref="A50:B51"/>
    <mergeCell ref="A75:B75"/>
    <mergeCell ref="A60:C60"/>
    <mergeCell ref="D60:H60"/>
    <mergeCell ref="C67:H67"/>
    <mergeCell ref="A70:B70"/>
    <mergeCell ref="A72:B72"/>
    <mergeCell ref="E68:F68"/>
    <mergeCell ref="A61:C61"/>
    <mergeCell ref="D61:H61"/>
    <mergeCell ref="A105:B105"/>
    <mergeCell ref="A62:C62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22" max="16383" man="1"/>
    <brk id="145" max="16383" man="1"/>
    <brk id="201" max="16383" man="1"/>
    <brk id="229" max="16383" man="1"/>
    <brk id="2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" zoomScale="85" zoomScaleNormal="85" workbookViewId="0">
      <selection activeCell="B80" sqref="B8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1" t="s">
        <v>110</v>
      </c>
      <c r="C3" s="161"/>
      <c r="D3" s="161"/>
      <c r="E3" s="161"/>
      <c r="F3" s="161"/>
      <c r="G3" s="161"/>
      <c r="H3" s="161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K14" sqref="K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2025-08-19T08:27:18Z</cp:lastPrinted>
  <dcterms:created xsi:type="dcterms:W3CDTF">2019-07-16T09:29:46Z</dcterms:created>
  <dcterms:modified xsi:type="dcterms:W3CDTF">2025-08-19T08:28:53Z</dcterms:modified>
</cp:coreProperties>
</file>