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20-08-2025\Axis Sanpada\"/>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5" i="1" l="1"/>
  <c r="I207" i="1"/>
  <c r="M159" i="1"/>
  <c r="L159" i="1"/>
  <c r="M158" i="1"/>
  <c r="L158" i="1"/>
  <c r="M157" i="1"/>
  <c r="L157" i="1"/>
  <c r="M156" i="1"/>
  <c r="L156" i="1"/>
  <c r="M155" i="1"/>
  <c r="L155" i="1"/>
  <c r="E174" i="1"/>
  <c r="D174" i="1"/>
  <c r="E173" i="1"/>
  <c r="M174" i="1"/>
  <c r="M173" i="1"/>
  <c r="M172" i="1"/>
  <c r="M171" i="1"/>
  <c r="M170" i="1"/>
  <c r="D173" i="1"/>
  <c r="D172" i="1"/>
  <c r="D171" i="1"/>
  <c r="D170" i="1"/>
  <c r="C138" i="1" s="1"/>
  <c r="I169" i="1"/>
  <c r="L174" i="1"/>
  <c r="L173" i="1"/>
  <c r="L172" i="1"/>
  <c r="L171" i="1"/>
  <c r="L170" i="1"/>
  <c r="K171" i="1"/>
  <c r="I171" i="1" l="1"/>
  <c r="J171" i="1" s="1"/>
  <c r="D150" i="1"/>
  <c r="D161" i="1" l="1"/>
  <c r="D160" i="1"/>
  <c r="F160" i="1" s="1"/>
  <c r="H160" i="1" s="1"/>
  <c r="D159" i="1"/>
  <c r="D158" i="1"/>
  <c r="E158" i="1" s="1"/>
  <c r="D157" i="1"/>
  <c r="E157" i="1" s="1"/>
  <c r="D156" i="1"/>
  <c r="E156" i="1" s="1"/>
  <c r="D155" i="1"/>
  <c r="I158" i="1"/>
  <c r="I157" i="1"/>
  <c r="C134" i="1"/>
  <c r="J159" i="1"/>
  <c r="J158" i="1"/>
  <c r="J157" i="1"/>
  <c r="K157" i="1" s="1"/>
  <c r="J156" i="1"/>
  <c r="J155" i="1"/>
  <c r="I156" i="1"/>
  <c r="I160" i="1"/>
  <c r="K160" i="1" s="1"/>
  <c r="I161" i="1"/>
  <c r="K161" i="1" s="1"/>
  <c r="I159" i="1"/>
  <c r="I155" i="1"/>
  <c r="F161" i="1"/>
  <c r="H161" i="1" s="1"/>
  <c r="G134" i="1" s="1"/>
  <c r="K158" i="1" l="1"/>
  <c r="K155" i="1"/>
  <c r="K159" i="1"/>
  <c r="C133" i="1"/>
  <c r="K156" i="1"/>
  <c r="E159" i="1"/>
  <c r="F159" i="1" s="1"/>
  <c r="H159" i="1" s="1"/>
  <c r="E134" i="1"/>
  <c r="I173" i="1"/>
  <c r="I170" i="1"/>
  <c r="F174" i="1" l="1"/>
  <c r="H174" i="1" s="1"/>
  <c r="N174" i="1" s="1"/>
  <c r="D149" i="1"/>
  <c r="F149" i="1" s="1"/>
  <c r="H149" i="1" s="1"/>
  <c r="K149" i="1" s="1"/>
  <c r="D148" i="1"/>
  <c r="C132" i="1" s="1"/>
  <c r="C135" i="1" s="1"/>
  <c r="C141" i="1" s="1"/>
  <c r="I150" i="1"/>
  <c r="I148" i="1"/>
  <c r="F151" i="1"/>
  <c r="H151" i="1" s="1"/>
  <c r="F150" i="1"/>
  <c r="H150" i="1" s="1"/>
  <c r="A149" i="1"/>
  <c r="A150" i="1" s="1"/>
  <c r="A151" i="1" s="1"/>
  <c r="F179" i="1"/>
  <c r="H179" i="1" s="1"/>
  <c r="F178" i="1"/>
  <c r="H178" i="1" s="1"/>
  <c r="F177" i="1"/>
  <c r="H177" i="1" s="1"/>
  <c r="A177" i="1"/>
  <c r="A178" i="1" s="1"/>
  <c r="A179" i="1" s="1"/>
  <c r="F176" i="1"/>
  <c r="H176" i="1" s="1"/>
  <c r="E43" i="1"/>
  <c r="F148" i="1" l="1"/>
  <c r="H148" i="1" s="1"/>
  <c r="G132" i="1" s="1"/>
  <c r="C103" i="1"/>
  <c r="C89" i="1"/>
  <c r="E132" i="1" l="1"/>
  <c r="F155" i="1"/>
  <c r="H155" i="1" s="1"/>
  <c r="E31" i="1" l="1"/>
  <c r="E26" i="1"/>
  <c r="F170" i="1" l="1"/>
  <c r="H170" i="1" l="1"/>
  <c r="N170"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D44" i="7" s="1"/>
  <c r="I42" i="7"/>
  <c r="H42" i="7" s="1"/>
  <c r="L42" i="7"/>
  <c r="K42" i="7" s="1"/>
  <c r="E44" i="7" l="1"/>
  <c r="B206" i="1"/>
  <c r="F156" i="1" l="1"/>
  <c r="F157" i="1"/>
  <c r="H157" i="1" s="1"/>
  <c r="F158" i="1"/>
  <c r="H158" i="1" s="1"/>
  <c r="H156" i="1" l="1"/>
  <c r="G133" i="1" s="1"/>
  <c r="G135" i="1" s="1"/>
  <c r="E133" i="1"/>
  <c r="E135" i="1" s="1"/>
  <c r="G58" i="1"/>
  <c r="C58" i="1"/>
  <c r="G56" i="1"/>
  <c r="C56" i="1"/>
  <c r="C54" i="1"/>
  <c r="S33" i="1" l="1"/>
  <c r="F11" i="5" l="1"/>
  <c r="G11" i="5" s="1"/>
  <c r="F10" i="5"/>
  <c r="G10" i="5" s="1"/>
  <c r="F9" i="5"/>
  <c r="G9" i="5" s="1"/>
  <c r="F8" i="5"/>
  <c r="G8" i="5" s="1"/>
  <c r="F7" i="5"/>
  <c r="G7" i="5" s="1"/>
  <c r="F6" i="5"/>
  <c r="G6" i="5" s="1"/>
  <c r="F5" i="5"/>
  <c r="G5" i="5" s="1"/>
  <c r="G12" i="5" s="1"/>
  <c r="D233" i="1"/>
  <c r="B207" i="1"/>
  <c r="F203" i="1"/>
  <c r="H203" i="1" s="1"/>
  <c r="F202" i="1"/>
  <c r="H202" i="1" s="1"/>
  <c r="F201" i="1"/>
  <c r="H201" i="1" s="1"/>
  <c r="F200" i="1"/>
  <c r="H200" i="1" s="1"/>
  <c r="F199" i="1"/>
  <c r="H199" i="1" s="1"/>
  <c r="F197" i="1"/>
  <c r="H197" i="1" s="1"/>
  <c r="F196" i="1"/>
  <c r="H196" i="1" s="1"/>
  <c r="F195" i="1"/>
  <c r="H195" i="1" s="1"/>
  <c r="F194" i="1"/>
  <c r="H194" i="1" s="1"/>
  <c r="F193" i="1"/>
  <c r="H193" i="1" s="1"/>
  <c r="F191" i="1"/>
  <c r="H191" i="1" s="1"/>
  <c r="F190" i="1"/>
  <c r="H190" i="1" s="1"/>
  <c r="F189" i="1"/>
  <c r="H189" i="1" s="1"/>
  <c r="F188" i="1"/>
  <c r="H188" i="1" s="1"/>
  <c r="F187" i="1"/>
  <c r="H187" i="1" s="1"/>
  <c r="F185" i="1"/>
  <c r="H185" i="1" s="1"/>
  <c r="F184" i="1"/>
  <c r="H184" i="1" s="1"/>
  <c r="F183" i="1"/>
  <c r="H183" i="1" s="1"/>
  <c r="F182" i="1"/>
  <c r="H182" i="1" s="1"/>
  <c r="F181" i="1"/>
  <c r="H181" i="1" s="1"/>
  <c r="A181" i="1"/>
  <c r="A182" i="1" s="1"/>
  <c r="A183" i="1" s="1"/>
  <c r="A184" i="1" s="1"/>
  <c r="A185" i="1" s="1"/>
  <c r="F173" i="1"/>
  <c r="H173" i="1" s="1"/>
  <c r="N173" i="1" s="1"/>
  <c r="F172" i="1"/>
  <c r="H172" i="1" s="1"/>
  <c r="N172" i="1" s="1"/>
  <c r="F171" i="1"/>
  <c r="A171" i="1"/>
  <c r="A172" i="1" s="1"/>
  <c r="A173" i="1" s="1"/>
  <c r="A174" i="1" s="1"/>
  <c r="A156" i="1"/>
  <c r="A157" i="1" s="1"/>
  <c r="A158" i="1" s="1"/>
  <c r="A159" i="1" s="1"/>
  <c r="A160" i="1" s="1"/>
  <c r="F129" i="1"/>
  <c r="C75" i="1"/>
  <c r="B76" i="1" s="1"/>
  <c r="D62" i="1"/>
  <c r="G51" i="1"/>
  <c r="G52" i="1" s="1"/>
  <c r="C51" i="1"/>
  <c r="C52" i="1" s="1"/>
  <c r="E44" i="1"/>
  <c r="E45" i="1" s="1"/>
  <c r="E28" i="1"/>
  <c r="C16" i="1"/>
  <c r="I15" i="1"/>
  <c r="Z13" i="1"/>
  <c r="E8" i="1"/>
  <c r="E3" i="1"/>
  <c r="D69" i="1" s="1"/>
  <c r="A193" i="1"/>
  <c r="A187" i="1"/>
  <c r="H76" i="1"/>
  <c r="A199" i="1"/>
  <c r="H171" i="1" l="1"/>
  <c r="E138" i="1"/>
  <c r="E141" i="1" s="1"/>
  <c r="J75" i="1"/>
  <c r="J77" i="1" s="1"/>
  <c r="J78" i="1"/>
  <c r="J79" i="1"/>
  <c r="J80" i="1"/>
  <c r="C79" i="1" s="1"/>
  <c r="D83" i="1"/>
  <c r="D85" i="1"/>
  <c r="D84" i="1"/>
  <c r="D88" i="1"/>
  <c r="D82" i="1"/>
  <c r="D87" i="1"/>
  <c r="D81" i="1"/>
  <c r="D86" i="1"/>
  <c r="J81" i="1"/>
  <c r="A188" i="1"/>
  <c r="A200" i="1"/>
  <c r="A194" i="1"/>
  <c r="G138" i="1" l="1"/>
  <c r="G141" i="1" s="1"/>
  <c r="N171" i="1"/>
  <c r="D79" i="1"/>
  <c r="J85" i="1"/>
  <c r="J83" i="1"/>
  <c r="J84" i="1"/>
  <c r="J82" i="1"/>
  <c r="J87" i="1" s="1"/>
  <c r="J88" i="1" s="1"/>
  <c r="C80" i="1" s="1"/>
  <c r="J86" i="1"/>
  <c r="A195" i="1"/>
  <c r="A189" i="1"/>
  <c r="A201" i="1"/>
  <c r="J76" i="1" l="1"/>
  <c r="E79" i="1"/>
  <c r="D80" i="1"/>
  <c r="G79" i="1"/>
  <c r="D73" i="1" s="1"/>
  <c r="A196" i="1"/>
  <c r="A202" i="1"/>
  <c r="A190" i="1"/>
  <c r="H9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203" i="1"/>
  <c r="A191" i="1"/>
  <c r="A197"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<sst xmlns="http://schemas.openxmlformats.org/spreadsheetml/2006/main" count="703" uniqueCount="416">
  <si>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</si>
  <si>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</si>
  <si>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</si>
  <si>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</si>
  <si>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</si>
  <si>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</si>
  <si>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</si>
  <si>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</si>
  <si>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</si>
  <si>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</si>
  <si>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</si>
  <si>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</si>
  <si>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</si>
  <si>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</si>
  <si>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</si>
  <si>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</si>
  <si>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</si>
  <si>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</si>
  <si>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</si>
  <si>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</si>
  <si>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</si>
  <si>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</si>
  <si>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</si>
  <si>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</si>
  <si>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</si>
  <si>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</si>
  <si>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</si>
  <si>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</si>
  <si>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</si>
  <si>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</si>
  <si>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</si>
  <si>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</si>
  <si>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</si>
  <si>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</si>
  <si>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</si>
  <si>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</si>
  <si>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</si>
  <si>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</si>
  <si>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</si>
  <si>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</si>
  <si>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</si>
  <si>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</si>
  <si>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</si>
  <si>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</si>
  <si>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</si>
  <si>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</si>
  <si>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</si>
  <si>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</si>
  <si>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</si>
  <si>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</si>
  <si>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</si>
  <si>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</si>
  <si>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</si>
  <si>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</si>
  <si>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</si>
  <si>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</si>
  <si>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</si>
  <si>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</si>
  <si>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</si>
  <si>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</si>
  <si>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</si>
  <si>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</si>
  <si>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</si>
  <si>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</si>
  <si>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</si>
  <si>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</si>
  <si>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</si>
  <si>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</si>
  <si>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</si>
  <si>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</si>
  <si>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</si>
  <si>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</si>
  <si>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</si>
  <si>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</si>
  <si>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</si>
  <si>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</si>
  <si>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</si>
  <si>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</si>
  <si>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</si>
  <si>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</si>
  <si>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</si>
  <si>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</si>
  <si>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</si>
  <si>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</si>
  <si>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</si>
  <si>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</si>
  <si>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</si>
  <si>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</si>
  <si>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</si>
  <si>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</si>
  <si>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</si>
  <si>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</si>
  <si>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</si>
  <si>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</si>
  <si>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</si>
  <si>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</si>
  <si>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</si>
  <si>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</si>
  <si>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</si>
  <si>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</si>
  <si>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</si>
  <si>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</si>
  <si>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</si>
  <si>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</si>
  <si>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</si>
  <si>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</si>
  <si>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</si>
  <si>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</si>
  <si>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</si>
  <si>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</si>
  <si>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</si>
  <si>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</si>
  <si>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</si>
  <si>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</si>
  <si>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</si>
  <si>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</si>
  <si>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</si>
  <si>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</si>
  <si>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</si>
  <si>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</si>
  <si>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</si>
  <si>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</si>
  <si>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</si>
  <si>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</si>
  <si>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</si>
  <si>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</si>
  <si>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</si>
  <si>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</si>
  <si>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</si>
  <si>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</si>
  <si>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</si>
  <si>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</si>
  <si>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</si>
  <si>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</si>
  <si>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</si>
  <si>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</si>
  <si>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</si>
  <si>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</si>
  <si>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</si>
  <si>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</si>
  <si>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</si>
  <si>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</si>
  <si>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</si>
  <si>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</si>
  <si>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</si>
  <si>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</si>
  <si>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</si>
  <si>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</si>
  <si>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</si>
  <si>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</si>
  <si>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</si>
  <si>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</si>
  <si>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</si>
  <si>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</si>
  <si>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</si>
  <si>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</si>
  <si>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</si>
  <si>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</si>
  <si>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</si>
  <si>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</si>
  <si>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</si>
  <si>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</si>
  <si>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</si>
  <si>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</si>
  <si>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</si>
  <si>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</si>
  <si>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</si>
  <si>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</si>
  <si>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</si>
  <si>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</si>
  <si>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</si>
  <si>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</si>
  <si>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</si>
  <si>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</si>
  <si>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</si>
  <si>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</si>
  <si>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</si>
  <si>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</si>
  <si>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</si>
  <si>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</si>
  <si>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</si>
  <si>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</si>
  <si>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</si>
  <si>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</si>
  <si>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</si>
  <si>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</si>
  <si>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</si>
  <si>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</si>
  <si>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</si>
  <si>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</si>
  <si>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</si>
  <si>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</si>
  <si>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</si>
  <si>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</si>
  <si>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</si>
  <si>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</si>
  <si>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</si>
  <si>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</si>
  <si>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</si>
  <si>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</si>
  <si>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</si>
  <si>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</si>
  <si>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</si>
  <si>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</si>
  <si>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</si>
  <si>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</si>
  <si>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</si>
  <si>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</si>
  <si>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</si>
  <si>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</si>
  <si>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</si>
  <si>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</si>
  <si>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</si>
  <si>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</si>
  <si>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</si>
  <si>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</si>
  <si>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</si>
  <si>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</si>
  <si>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</si>
  <si>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</si>
  <si>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</si>
  <si>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</si>
  <si>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</si>
  <si>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</si>
  <si>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</si>
  <si>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</si>
  <si>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</si>
  <si>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</si>
  <si>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</si>
  <si>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</si>
  <si>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</si>
  <si>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</si>
  <si>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</si>
  <si>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</si>
  <si>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</si>
  <si>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</si>
  <si>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</si>
  <si>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</si>
  <si>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</si>
  <si>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</si>
  <si>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</si>
  <si>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</si>
  <si>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</si>
  <si>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</si>
  <si>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</si>
  <si>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</si>
  <si>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</si>
  <si>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</si>
  <si>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</si>
  <si>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</si>
  <si>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</si>
  <si>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</si>
  <si>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</si>
  <si>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</si>
  <si>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</si>
  <si>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</si>
  <si>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</si>
  <si>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</si>
  <si>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</si>
  <si>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</si>
  <si>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</si>
  <si>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</si>
  <si>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</si>
  <si>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</si>
  <si>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</si>
  <si>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</si>
  <si>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</si>
  <si>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</si>
  <si>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</si>
  <si>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</si>
  <si>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</si>
  <si>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</si>
  <si>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</si>
  <si>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</si>
  <si>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</si>
  <si>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</si>
  <si>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</si>
  <si>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</si>
  <si>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</si>
  <si>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</si>
  <si>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</si>
  <si>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</si>
  <si>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</si>
  <si>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</si>
  <si>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</si>
  <si>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</si>
  <si>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</si>
  <si>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</si>
  <si>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</si>
  <si>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</si>
  <si>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</si>
  <si>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</si>
  <si>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</si>
  <si>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</si>
  <si>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</si>
  <si>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</si>
  <si>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</si>
  <si>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</si>
  <si>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</si>
  <si>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</si>
  <si>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</si>
  <si>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</si>
  <si>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</si>
  <si>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</si>
  <si>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</si>
  <si>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</si>
  <si>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</si>
  <si>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</si>
  <si>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</si>
  <si>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</si>
  <si>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</si>
  <si>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</si>
  <si>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</si>
  <si>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</si>
  <si>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</si>
  <si>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</si>
  <si>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</si>
  <si>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</si>
  <si>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</si>
  <si>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</si>
  <si>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</si>
  <si>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</si>
  <si>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</si>
  <si>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</si>
  <si>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</si>
  <si>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</si>
  <si>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</si>
  <si>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</si>
  <si>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</si>
  <si>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</si>
  <si>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</si>
  <si>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</si>
  <si>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</si>
  <si>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</si>
  <si>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</si>
  <si>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</si>
  <si>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</si>
  <si>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</si>
  <si>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</si>
  <si>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</si>
  <si>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</si>
  <si>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</si>
  <si>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</si>
  <si>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</si>
  <si>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</si>
  <si>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</si>
  <si>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</si>
  <si>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</si>
  <si>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</si>
  <si>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</si>
  <si>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</si>
  <si>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</si>
  <si>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P51700055337</t>
  </si>
  <si>
    <t>Laxmi Kamal Associates</t>
  </si>
  <si>
    <t>Shankar Heights Phase 5</t>
  </si>
  <si>
    <t>Deepak 7498921182</t>
  </si>
  <si>
    <t>Plot No</t>
  </si>
  <si>
    <t>B, S No.5, H No.24, CTS No.31/15, S No.2, H No.2, CTS No.55/1, S No.2, H No.3, CTS No.55/2</t>
  </si>
  <si>
    <t>Ambernath West</t>
  </si>
  <si>
    <t>02 Buildings</t>
  </si>
  <si>
    <t>As per RERA - 30/12/2026</t>
  </si>
  <si>
    <t xml:space="preserve">Vitrified tiles flooring, Granite Kitchen Platform, Decorative Entrance, etc.
</t>
  </si>
  <si>
    <t>Wing A</t>
  </si>
  <si>
    <t>Ground Floor For Commercial, Entrance Lobby, Society Office, Driver Room &amp; Parking</t>
  </si>
  <si>
    <t>RERA Carpet area</t>
  </si>
  <si>
    <t>Shop</t>
  </si>
  <si>
    <t>1st to 7th Floor For Residential</t>
  </si>
  <si>
    <t>1BHK</t>
  </si>
  <si>
    <t>2BHK</t>
  </si>
  <si>
    <t>We considered Gross carpet area = Net carpet + Enclose balcony + AP Area.</t>
  </si>
  <si>
    <t>Office</t>
  </si>
  <si>
    <t>Ground Floor For Commercial &amp; Entrance Lobby</t>
  </si>
  <si>
    <t>1st to 3rd Floor For Mangal karyalaya &amp; Dinning Area</t>
  </si>
  <si>
    <t>4th Floor For Restaurant</t>
  </si>
  <si>
    <t>Flats - 35, Shops - 09, Offices - 01</t>
  </si>
  <si>
    <t>Basement Floor For Parking</t>
  </si>
  <si>
    <t>Sudhir Bhosale</t>
  </si>
  <si>
    <t>19.219065,73.200305</t>
  </si>
  <si>
    <t>https://maps.app.goo.gl/v2cMkdWxtb2hFv8Q9</t>
  </si>
  <si>
    <t>80 Feet Road</t>
  </si>
  <si>
    <t>Shankar Heights Phase 1</t>
  </si>
  <si>
    <t>Orchid Woods Nettle Wing/ 
Hindu Temple</t>
  </si>
  <si>
    <t>Galaxy Bldg</t>
  </si>
  <si>
    <t>24.00 M Wide DP Road</t>
  </si>
  <si>
    <t>CTS No.65/ CTS No.31/15/CTS No.31/16</t>
  </si>
  <si>
    <t>CTS No.31/14</t>
  </si>
  <si>
    <t>3KM from Ambernath Railway Station</t>
  </si>
  <si>
    <t>Orchid Woods</t>
  </si>
  <si>
    <t>ANP/NRV/BP/21-22/1564/9287/163</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</si>
  <si>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</si>
  <si>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</si>
  <si>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AP Area</t>
  </si>
  <si>
    <t>Name Of Building</t>
  </si>
  <si>
    <t>As per Builder</t>
  </si>
  <si>
    <t>As per Plan</t>
  </si>
  <si>
    <t>Deep</t>
  </si>
  <si>
    <t>Kiran</t>
  </si>
  <si>
    <t>Bldg A</t>
  </si>
  <si>
    <t xml:space="preserve">Shankar Heights 
Phase V
</t>
  </si>
  <si>
    <t>Building A</t>
  </si>
  <si>
    <t>Building B</t>
  </si>
  <si>
    <t>Bldg A &amp; B</t>
  </si>
  <si>
    <t>Bldg A = Gr.(Pt) / Stilt (Pt) + 1st to 7th Floor
Bldg B = Basement + Gr.(Pt)/ Stilt(Pt) + 1st to 4th Floor</t>
  </si>
  <si>
    <t>Bldg A = Gr.(Pt) / Stilt (Pt) + 1st to 7th Floor</t>
  </si>
  <si>
    <t>Bldg B = Basement + Gr.(Pt)/ Stilt(Pt) + 1st to 4th Floor</t>
  </si>
  <si>
    <t>Bldg B(Shops)</t>
  </si>
  <si>
    <t>Bldg B(Office)</t>
  </si>
  <si>
    <t>Building A (Deep)</t>
  </si>
  <si>
    <t>Building B (Kiran)</t>
  </si>
  <si>
    <t>Khoj khuntavali</t>
  </si>
  <si>
    <t>As per the approved plan in Building B (Kiran), the ground floor is allotted for shops &amp; Office, and the 1st to 4th floors are allotted for marriage hall.</t>
  </si>
  <si>
    <t>Grill Charges</t>
  </si>
  <si>
    <t>Recommended Rates/Other Charges of the Property have been revised on 17/02/2025</t>
  </si>
  <si>
    <t>4450 to 4500, OC 3L &amp; P3L by bhargav on 17/02/2025 cost sheet</t>
  </si>
  <si>
    <t>Pooja Kawale</t>
  </si>
  <si>
    <t>Wing A = Construction work is in process at the time of Visit.
Wing B = Construction work has recently resumed.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</si>
</sst>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1" fontId="8" fillId="0" borderId="17" xfId="0" applyNumberFormat="1" applyFont="1" applyBorder="1" applyAlignment="1" applyProtection="1">
      <alignment horizontal="center" vertical="top" wrapText="1"/>
      <protection locked="0"/>
    </xf>
    <xf numFmtId="1" fontId="8" fillId="0" borderId="24" xfId="0" applyNumberFormat="1" applyFont="1" applyBorder="1" applyAlignment="1" applyProtection="1">
      <alignment horizontal="center" vertical="top" wrapText="1"/>
      <protection locked="0"/>
    </xf>
    <xf numFmtId="1" fontId="8" fillId="0" borderId="18" xfId="0" applyNumberFormat="1" applyFont="1" applyBorder="1" applyAlignment="1" applyProtection="1">
      <alignment horizontal="center" vertical="top" wrapText="1"/>
      <protection locked="0"/>
    </xf>
    <xf numFmtId="1" fontId="8" fillId="0" borderId="19" xfId="0" applyNumberFormat="1" applyFont="1" applyBorder="1" applyAlignment="1" applyProtection="1">
      <alignment horizontal="center" vertical="top" wrapText="1"/>
      <protection locked="0"/>
    </xf>
    <xf numFmtId="1" fontId="8" fillId="0" borderId="20"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10"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788598</xdr:colOff>
      <xdr:row>277</xdr:row>
      <xdr:rowOff>19050</xdr:rowOff>
    </xdr:from>
    <xdr:to>
      <xdr:col>6</xdr:col>
      <xdr:colOff>122373</xdr:colOff>
      <xdr:row>293</xdr:row>
      <xdr:rowOff>49071</xdr:rowOff>
    </xdr:to>
    <xdr:pic>
      <xdr:nvPicPr>
        <xdr:cNvPr id="2" name="Picture 1"/>
        <xdr:cNvPicPr>
          <a:picLocks noChangeAspect="1"/>
        </xdr:cNvPicPr>
      </xdr:nvPicPr>
      <xdr:blipFill>
        <a:blip xmlns:r="http://schemas.openxmlformats.org/officeDocument/2006/relationships" r:embed="rId1"/>
        <a:stretch>
          <a:fillRect/>
        </a:stretch>
      </xdr:blipFill>
      <xdr:spPr>
        <a:xfrm>
          <a:off x="1550598" y="48320325"/>
          <a:ext cx="3420000" cy="3230421"/>
        </a:xfrm>
        <a:prstGeom prst="rect">
          <a:avLst/>
        </a:prstGeom>
        <a:ln>
          <a:solidFill>
            <a:schemeClr val="tx1"/>
          </a:solidFill>
        </a:ln>
      </xdr:spPr>
    </xdr:pic>
    <xdr:clientData/>
  </xdr:twoCellAnchor>
  <xdr:twoCellAnchor>
    <xdr:from>
      <xdr:col>1</xdr:col>
      <xdr:colOff>428625</xdr:colOff>
      <xdr:row>294</xdr:row>
      <xdr:rowOff>157251</xdr:rowOff>
    </xdr:from>
    <xdr:to>
      <xdr:col>6</xdr:col>
      <xdr:colOff>561975</xdr:colOff>
      <xdr:row>312</xdr:row>
      <xdr:rowOff>62001</xdr:rowOff>
    </xdr:to>
    <xdr:grpSp>
      <xdr:nvGrpSpPr>
        <xdr:cNvPr id="3" name="Group 2"/>
        <xdr:cNvGrpSpPr/>
      </xdr:nvGrpSpPr>
      <xdr:grpSpPr>
        <a:xfrm>
          <a:off x="1228725" y="50976301"/>
          <a:ext cx="4419600" cy="3448050"/>
          <a:chOff x="1491740" y="4289485"/>
          <a:chExt cx="4219575" cy="3505200"/>
        </a:xfrm>
      </xdr:grpSpPr>
      <xdr:pic>
        <xdr:nvPicPr>
          <xdr:cNvPr id="4" name="Picture 3"/>
          <xdr:cNvPicPr>
            <a:picLocks noChangeAspect="1"/>
          </xdr:cNvPicPr>
        </xdr:nvPicPr>
        <xdr:blipFill>
          <a:blip xmlns:r="http://schemas.openxmlformats.org/officeDocument/2006/relationships" r:embed="rId2"/>
          <a:stretch>
            <a:fillRect/>
          </a:stretch>
        </xdr:blipFill>
        <xdr:spPr>
          <a:xfrm>
            <a:off x="1491740" y="4289485"/>
            <a:ext cx="4219575" cy="3505200"/>
          </a:xfrm>
          <a:prstGeom prst="rect">
            <a:avLst/>
          </a:prstGeom>
          <a:ln>
            <a:solidFill>
              <a:schemeClr val="tx1"/>
            </a:solidFill>
          </a:ln>
        </xdr:spPr>
      </xdr:pic>
      <xdr:sp macro="" textlink="">
        <xdr:nvSpPr>
          <xdr:cNvPr id="5" name="Rectangle 4"/>
          <xdr:cNvSpPr/>
        </xdr:nvSpPr>
        <xdr:spPr>
          <a:xfrm>
            <a:off x="2946400" y="4584700"/>
            <a:ext cx="2336800" cy="85090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Rectangle 5"/>
          <xdr:cNvSpPr/>
        </xdr:nvSpPr>
        <xdr:spPr>
          <a:xfrm>
            <a:off x="1866900" y="4584700"/>
            <a:ext cx="1079500" cy="201930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TextBox 6"/>
          <xdr:cNvSpPr txBox="1"/>
        </xdr:nvSpPr>
        <xdr:spPr>
          <a:xfrm>
            <a:off x="3153342" y="7366001"/>
            <a:ext cx="2557973" cy="276999"/>
          </a:xfrm>
          <a:prstGeom prst="rect">
            <a:avLst/>
          </a:prstGeom>
          <a:solidFill>
            <a:srgbClr val="92D050"/>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Shankar Heights Phase 5(Wing A &amp; B)</a:t>
            </a:r>
            <a:endParaRPr lang="en-IN" sz="1200" b="1">
              <a:solidFill>
                <a:srgbClr val="FF0000"/>
              </a:solidFill>
            </a:endParaRPr>
          </a:p>
        </xdr:txBody>
      </xdr:sp>
      <xdr:sp macro="" textlink="">
        <xdr:nvSpPr>
          <xdr:cNvPr id="8" name="TextBox 7"/>
          <xdr:cNvSpPr txBox="1"/>
        </xdr:nvSpPr>
        <xdr:spPr>
          <a:xfrm>
            <a:off x="2950946" y="5743190"/>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9" name="Rectangle 8"/>
          <xdr:cNvSpPr/>
        </xdr:nvSpPr>
        <xdr:spPr>
          <a:xfrm>
            <a:off x="4988043" y="5385573"/>
            <a:ext cx="357790" cy="46166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grpSp>
    <xdr:clientData/>
  </xdr:twoCellAnchor>
  <xdr:twoCellAnchor editAs="oneCell">
    <xdr:from>
      <xdr:col>1</xdr:col>
      <xdr:colOff>314425</xdr:colOff>
      <xdr:row>321</xdr:row>
      <xdr:rowOff>114300</xdr:rowOff>
    </xdr:from>
    <xdr:to>
      <xdr:col>6</xdr:col>
      <xdr:colOff>368200</xdr:colOff>
      <xdr:row>334</xdr:row>
      <xdr:rowOff>25123</xdr:rowOff>
    </xdr:to>
    <xdr:pic>
      <xdr:nvPicPr>
        <xdr:cNvPr id="10" name="Picture 9"/>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76425" y="57416700"/>
          <a:ext cx="4140000" cy="2511148"/>
        </a:xfrm>
        <a:prstGeom prst="rect">
          <a:avLst/>
        </a:prstGeom>
        <a:ln>
          <a:solidFill>
            <a:schemeClr val="tx1"/>
          </a:solidFill>
        </a:ln>
      </xdr:spPr>
    </xdr:pic>
    <xdr:clientData/>
  </xdr:twoCellAnchor>
  <xdr:twoCellAnchor>
    <xdr:from>
      <xdr:col>1</xdr:col>
      <xdr:colOff>238125</xdr:colOff>
      <xdr:row>336</xdr:row>
      <xdr:rowOff>136524</xdr:rowOff>
    </xdr:from>
    <xdr:to>
      <xdr:col>6</xdr:col>
      <xdr:colOff>444500</xdr:colOff>
      <xdr:row>350</xdr:row>
      <xdr:rowOff>168275</xdr:rowOff>
    </xdr:to>
    <xdr:grpSp>
      <xdr:nvGrpSpPr>
        <xdr:cNvPr id="11" name="Group 10"/>
        <xdr:cNvGrpSpPr/>
      </xdr:nvGrpSpPr>
      <xdr:grpSpPr>
        <a:xfrm>
          <a:off x="1038225" y="59223274"/>
          <a:ext cx="4492625" cy="2787651"/>
          <a:chOff x="1320800" y="5270499"/>
          <a:chExt cx="4292600" cy="2832101"/>
        </a:xfrm>
      </xdr:grpSpPr>
      <xdr:pic>
        <xdr:nvPicPr>
          <xdr:cNvPr id="12" name="Picture 11"/>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20800" y="5270499"/>
            <a:ext cx="4292600" cy="2832101"/>
          </a:xfrm>
          <a:prstGeom prst="rect">
            <a:avLst/>
          </a:prstGeom>
          <a:ln>
            <a:solidFill>
              <a:schemeClr val="tx1"/>
            </a:solidFill>
          </a:ln>
        </xdr:spPr>
      </xdr:pic>
      <xdr:sp macro="" textlink="">
        <xdr:nvSpPr>
          <xdr:cNvPr id="13" name="Freeform 12"/>
          <xdr:cNvSpPr/>
        </xdr:nvSpPr>
        <xdr:spPr>
          <a:xfrm>
            <a:off x="3016250" y="5867400"/>
            <a:ext cx="831850" cy="996950"/>
          </a:xfrm>
          <a:custGeom>
            <a:avLst/>
            <a:gdLst>
              <a:gd name="connsiteX0" fmla="*/ 0 w 831850"/>
              <a:gd name="connsiteY0" fmla="*/ 133350 h 996950"/>
              <a:gd name="connsiteX1" fmla="*/ 425450 w 831850"/>
              <a:gd name="connsiteY1" fmla="*/ 0 h 996950"/>
              <a:gd name="connsiteX2" fmla="*/ 831850 w 831850"/>
              <a:gd name="connsiteY2" fmla="*/ 914400 h 996950"/>
              <a:gd name="connsiteX3" fmla="*/ 558800 w 831850"/>
              <a:gd name="connsiteY3" fmla="*/ 996950 h 996950"/>
              <a:gd name="connsiteX4" fmla="*/ 273050 w 831850"/>
              <a:gd name="connsiteY4" fmla="*/ 381000 h 996950"/>
              <a:gd name="connsiteX5" fmla="*/ 57150 w 831850"/>
              <a:gd name="connsiteY5" fmla="*/ 463550 h 996950"/>
              <a:gd name="connsiteX6" fmla="*/ 0 w 831850"/>
              <a:gd name="connsiteY6" fmla="*/ 133350 h 996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1850" h="996950">
                <a:moveTo>
                  <a:pt x="0" y="133350"/>
                </a:moveTo>
                <a:lnTo>
                  <a:pt x="425450" y="0"/>
                </a:lnTo>
                <a:lnTo>
                  <a:pt x="831850" y="914400"/>
                </a:lnTo>
                <a:lnTo>
                  <a:pt x="558800" y="996950"/>
                </a:lnTo>
                <a:lnTo>
                  <a:pt x="273050" y="381000"/>
                </a:lnTo>
                <a:lnTo>
                  <a:pt x="57150" y="463550"/>
                </a:lnTo>
                <a:lnTo>
                  <a:pt x="0" y="13335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4" name="TextBox 15"/>
          <xdr:cNvSpPr txBox="1"/>
        </xdr:nvSpPr>
        <xdr:spPr>
          <a:xfrm>
            <a:off x="3609966" y="7794823"/>
            <a:ext cx="2003434" cy="307777"/>
          </a:xfrm>
          <a:prstGeom prst="rect">
            <a:avLst/>
          </a:prstGeom>
          <a:solidFill>
            <a:srgbClr val="FFC000"/>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Shankar Heights Phase 5</a:t>
            </a:r>
            <a:endParaRPr lang="en-IN" sz="1400" b="1">
              <a:solidFill>
                <a:srgbClr val="FFFF00"/>
              </a:solidFill>
            </a:endParaRPr>
          </a:p>
        </xdr:txBody>
      </xdr:sp>
      <xdr:sp macro="" textlink="">
        <xdr:nvSpPr>
          <xdr:cNvPr id="15" name="TextBox 16"/>
          <xdr:cNvSpPr txBox="1"/>
        </xdr:nvSpPr>
        <xdr:spPr>
          <a:xfrm>
            <a:off x="2730454" y="6025634"/>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a:t>
            </a:r>
            <a:endParaRPr lang="en-IN" b="1">
              <a:solidFill>
                <a:srgbClr val="FFFF00"/>
              </a:solidFill>
            </a:endParaRPr>
          </a:p>
        </xdr:txBody>
      </xdr:sp>
      <xdr:sp macro="" textlink="">
        <xdr:nvSpPr>
          <xdr:cNvPr id="16" name="Rectangle 15"/>
          <xdr:cNvSpPr/>
        </xdr:nvSpPr>
        <xdr:spPr>
          <a:xfrm>
            <a:off x="3657322" y="6210300"/>
            <a:ext cx="31451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a:t>
            </a:r>
            <a:endParaRPr lang="en-IN" b="1">
              <a:solidFill>
                <a:srgbClr val="FFFF00"/>
              </a:solidFill>
            </a:endParaRPr>
          </a:p>
        </xdr:txBody>
      </xdr:sp>
    </xdr:grpSp>
    <xdr:clientData/>
  </xdr:twoCellAnchor>
  <xdr:twoCellAnchor editAs="oneCell">
    <xdr:from>
      <xdr:col>8</xdr:col>
      <xdr:colOff>742950</xdr:colOff>
      <xdr:row>15</xdr:row>
      <xdr:rowOff>180976</xdr:rowOff>
    </xdr:from>
    <xdr:to>
      <xdr:col>14</xdr:col>
      <xdr:colOff>781350</xdr:colOff>
      <xdr:row>16</xdr:row>
      <xdr:rowOff>100941</xdr:rowOff>
    </xdr:to>
    <xdr:pic>
      <xdr:nvPicPr>
        <xdr:cNvPr id="35" name="Picture 3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058025" y="3562351"/>
          <a:ext cx="5220000" cy="739115"/>
        </a:xfrm>
        <a:prstGeom prst="rect">
          <a:avLst/>
        </a:prstGeom>
        <a:ln>
          <a:solidFill>
            <a:schemeClr val="tx1"/>
          </a:solidFill>
        </a:ln>
      </xdr:spPr>
    </xdr:pic>
    <xdr:clientData/>
  </xdr:twoCellAnchor>
  <xdr:twoCellAnchor editAs="oneCell">
    <xdr:from>
      <xdr:col>8</xdr:col>
      <xdr:colOff>733425</xdr:colOff>
      <xdr:row>43</xdr:row>
      <xdr:rowOff>19050</xdr:rowOff>
    </xdr:from>
    <xdr:to>
      <xdr:col>11</xdr:col>
      <xdr:colOff>804525</xdr:colOff>
      <xdr:row>49</xdr:row>
      <xdr:rowOff>82148</xdr:rowOff>
    </xdr:to>
    <xdr:pic>
      <xdr:nvPicPr>
        <xdr:cNvPr id="36" name="Picture 35"/>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048500" y="10287000"/>
          <a:ext cx="2700000" cy="1491848"/>
        </a:xfrm>
        <a:prstGeom prst="rect">
          <a:avLst/>
        </a:prstGeom>
        <a:ln>
          <a:solidFill>
            <a:schemeClr val="tx1"/>
          </a:solidFill>
        </a:ln>
      </xdr:spPr>
    </xdr:pic>
    <xdr:clientData/>
  </xdr:twoCellAnchor>
  <xdr:twoCellAnchor editAs="oneCell">
    <xdr:from>
      <xdr:col>11</xdr:col>
      <xdr:colOff>419100</xdr:colOff>
      <xdr:row>173</xdr:row>
      <xdr:rowOff>161925</xdr:rowOff>
    </xdr:from>
    <xdr:to>
      <xdr:col>14</xdr:col>
      <xdr:colOff>342590</xdr:colOff>
      <xdr:row>211</xdr:row>
      <xdr:rowOff>152151</xdr:rowOff>
    </xdr:to>
    <xdr:pic>
      <xdr:nvPicPr>
        <xdr:cNvPr id="37" name="Picture 36"/>
        <xdr:cNvPicPr>
          <a:picLocks noChangeAspect="1"/>
        </xdr:cNvPicPr>
      </xdr:nvPicPr>
      <xdr:blipFill>
        <a:blip xmlns:r="http://schemas.openxmlformats.org/officeDocument/2006/relationships" r:embed="rId7"/>
        <a:stretch>
          <a:fillRect/>
        </a:stretch>
      </xdr:blipFill>
      <xdr:spPr>
        <a:xfrm>
          <a:off x="9363075" y="33918525"/>
          <a:ext cx="2476190" cy="1990476"/>
        </a:xfrm>
        <a:prstGeom prst="rect">
          <a:avLst/>
        </a:prstGeom>
        <a:ln>
          <a:solidFill>
            <a:schemeClr val="tx1"/>
          </a:solidFill>
        </a:ln>
      </xdr:spPr>
    </xdr:pic>
    <xdr:clientData/>
  </xdr:twoCellAnchor>
  <xdr:twoCellAnchor editAs="oneCell">
    <xdr:from>
      <xdr:col>8</xdr:col>
      <xdr:colOff>485775</xdr:colOff>
      <xdr:row>51</xdr:row>
      <xdr:rowOff>76200</xdr:rowOff>
    </xdr:from>
    <xdr:to>
      <xdr:col>13</xdr:col>
      <xdr:colOff>642375</xdr:colOff>
      <xdr:row>52</xdr:row>
      <xdr:rowOff>247015</xdr:rowOff>
    </xdr:to>
    <xdr:pic>
      <xdr:nvPicPr>
        <xdr:cNvPr id="38" name="Picture 37"/>
        <xdr:cNvPicPr>
          <a:picLocks noChangeAspect="1"/>
        </xdr:cNvPicPr>
      </xdr:nvPicPr>
      <xdr:blipFill>
        <a:blip xmlns:r="http://schemas.openxmlformats.org/officeDocument/2006/relationships" r:embed="rId8"/>
        <a:stretch>
          <a:fillRect/>
        </a:stretch>
      </xdr:blipFill>
      <xdr:spPr>
        <a:xfrm>
          <a:off x="6800850" y="12172950"/>
          <a:ext cx="4500000" cy="370840"/>
        </a:xfrm>
        <a:prstGeom prst="rect">
          <a:avLst/>
        </a:prstGeom>
        <a:ln>
          <a:solidFill>
            <a:schemeClr val="tx1"/>
          </a:solidFill>
        </a:ln>
      </xdr:spPr>
    </xdr:pic>
    <xdr:clientData/>
  </xdr:twoCellAnchor>
  <xdr:twoCellAnchor editAs="oneCell">
    <xdr:from>
      <xdr:col>8</xdr:col>
      <xdr:colOff>552450</xdr:colOff>
      <xdr:row>60</xdr:row>
      <xdr:rowOff>76201</xdr:rowOff>
    </xdr:from>
    <xdr:to>
      <xdr:col>14</xdr:col>
      <xdr:colOff>590850</xdr:colOff>
      <xdr:row>62</xdr:row>
      <xdr:rowOff>80740</xdr:rowOff>
    </xdr:to>
    <xdr:pic>
      <xdr:nvPicPr>
        <xdr:cNvPr id="39" name="Picture 38"/>
        <xdr:cNvPicPr>
          <a:picLocks noChangeAspect="1"/>
        </xdr:cNvPicPr>
      </xdr:nvPicPr>
      <xdr:blipFill>
        <a:blip xmlns:r="http://schemas.openxmlformats.org/officeDocument/2006/relationships" r:embed="rId9"/>
        <a:stretch>
          <a:fillRect/>
        </a:stretch>
      </xdr:blipFill>
      <xdr:spPr>
        <a:xfrm>
          <a:off x="6867525" y="12801601"/>
          <a:ext cx="5220000" cy="404589"/>
        </a:xfrm>
        <a:prstGeom prst="rect">
          <a:avLst/>
        </a:prstGeom>
        <a:ln>
          <a:solidFill>
            <a:schemeClr val="tx1"/>
          </a:solidFill>
        </a:ln>
      </xdr:spPr>
    </xdr:pic>
    <xdr:clientData/>
  </xdr:twoCellAnchor>
  <xdr:twoCellAnchor>
    <xdr:from>
      <xdr:col>8</xdr:col>
      <xdr:colOff>295275</xdr:colOff>
      <xdr:row>233</xdr:row>
      <xdr:rowOff>31750</xdr:rowOff>
    </xdr:from>
    <xdr:to>
      <xdr:col>15</xdr:col>
      <xdr:colOff>539751</xdr:colOff>
      <xdr:row>274</xdr:row>
      <xdr:rowOff>82550</xdr:rowOff>
    </xdr:to>
    <xdr:grpSp>
      <xdr:nvGrpSpPr>
        <xdr:cNvPr id="19" name="Group 18"/>
        <xdr:cNvGrpSpPr/>
      </xdr:nvGrpSpPr>
      <xdr:grpSpPr>
        <a:xfrm>
          <a:off x="7127875" y="38849300"/>
          <a:ext cx="6518276" cy="8115300"/>
          <a:chOff x="57150" y="37896800"/>
          <a:chExt cx="6508751" cy="8115300"/>
        </a:xfrm>
      </xdr:grpSpPr>
      <xdr:pic>
        <xdr:nvPicPr>
          <xdr:cNvPr id="43" name="Picture 4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79311" y="45083278"/>
            <a:ext cx="1432695" cy="928822"/>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32306" y="37896800"/>
            <a:ext cx="2030649" cy="27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814898" y="45083278"/>
            <a:ext cx="1438001" cy="928822"/>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332605" y="43505152"/>
            <a:ext cx="2149043" cy="1497298"/>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608061" y="43505152"/>
            <a:ext cx="1957840" cy="1497298"/>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35298" y="37896800"/>
            <a:ext cx="2030649" cy="270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32306" y="40700976"/>
            <a:ext cx="2030649" cy="270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35297" y="40700976"/>
            <a:ext cx="2030649" cy="270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7150" y="43505152"/>
            <a:ext cx="2149043" cy="1497298"/>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83802" y="37896800"/>
            <a:ext cx="2030649" cy="27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283802" y="40700976"/>
            <a:ext cx="2030649" cy="2700000"/>
          </a:xfrm>
          <a:prstGeom prst="rect">
            <a:avLst/>
          </a:prstGeom>
          <a:ln>
            <a:solidFill>
              <a:schemeClr val="tx1"/>
            </a:solidFill>
          </a:ln>
        </xdr:spPr>
      </xdr:pic>
      <xdr:sp macro="" textlink="">
        <xdr:nvSpPr>
          <xdr:cNvPr id="54" name="TextBox 53"/>
          <xdr:cNvSpPr txBox="1"/>
        </xdr:nvSpPr>
        <xdr:spPr>
          <a:xfrm>
            <a:off x="132306" y="3789680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5" name="TextBox 54"/>
          <xdr:cNvSpPr txBox="1"/>
        </xdr:nvSpPr>
        <xdr:spPr>
          <a:xfrm>
            <a:off x="3414102" y="3803015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6" name="TextBox 55"/>
          <xdr:cNvSpPr txBox="1"/>
        </xdr:nvSpPr>
        <xdr:spPr>
          <a:xfrm>
            <a:off x="5679898" y="3804920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7" name="TextBox 56"/>
          <xdr:cNvSpPr txBox="1"/>
        </xdr:nvSpPr>
        <xdr:spPr>
          <a:xfrm>
            <a:off x="3122002" y="40720026"/>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8" name="TextBox 57"/>
          <xdr:cNvSpPr txBox="1"/>
        </xdr:nvSpPr>
        <xdr:spPr>
          <a:xfrm>
            <a:off x="2410802" y="41672526"/>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59" name="TextBox 58"/>
          <xdr:cNvSpPr txBox="1"/>
        </xdr:nvSpPr>
        <xdr:spPr>
          <a:xfrm>
            <a:off x="360906" y="41094676"/>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twoCellAnchor>
    <xdr:from>
      <xdr:col>0</xdr:col>
      <xdr:colOff>133350</xdr:colOff>
      <xdr:row>234</xdr:row>
      <xdr:rowOff>57150</xdr:rowOff>
    </xdr:from>
    <xdr:to>
      <xdr:col>7</xdr:col>
      <xdr:colOff>839183</xdr:colOff>
      <xdr:row>269</xdr:row>
      <xdr:rowOff>172708</xdr:rowOff>
    </xdr:to>
    <xdr:grpSp>
      <xdr:nvGrpSpPr>
        <xdr:cNvPr id="20" name="Group 19"/>
        <xdr:cNvGrpSpPr/>
      </xdr:nvGrpSpPr>
      <xdr:grpSpPr>
        <a:xfrm>
          <a:off x="133350" y="39071550"/>
          <a:ext cx="6560533" cy="6998958"/>
          <a:chOff x="133350" y="38906450"/>
          <a:chExt cx="6560533" cy="6998958"/>
        </a:xfrm>
      </xdr:grpSpPr>
      <xdr:pic>
        <xdr:nvPicPr>
          <xdr:cNvPr id="60" name="Picture 5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600604" y="38906450"/>
            <a:ext cx="2030649" cy="270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478176" y="43853408"/>
            <a:ext cx="1543294" cy="2052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150589" y="41703929"/>
            <a:ext cx="1543294" cy="2052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5153804" y="43853408"/>
            <a:ext cx="1536863" cy="2052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800011" y="43853408"/>
            <a:ext cx="1543294" cy="2052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33350" y="43853408"/>
            <a:ext cx="1543294" cy="2052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404408" y="38906450"/>
            <a:ext cx="2030649" cy="2700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478176" y="41703929"/>
            <a:ext cx="1543294" cy="2052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33350" y="41703929"/>
            <a:ext cx="1543294" cy="2052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1805763" y="41703929"/>
            <a:ext cx="1543294" cy="2052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208212" y="38906450"/>
            <a:ext cx="2030649" cy="2700000"/>
          </a:xfrm>
          <a:prstGeom prst="rect">
            <a:avLst/>
          </a:prstGeom>
          <a:ln>
            <a:solidFill>
              <a:schemeClr val="tx1"/>
            </a:solidFill>
          </a:ln>
        </xdr:spPr>
      </xdr:pic>
      <xdr:sp macro="" textlink="">
        <xdr:nvSpPr>
          <xdr:cNvPr id="81" name="TextBox 80"/>
          <xdr:cNvSpPr txBox="1"/>
        </xdr:nvSpPr>
        <xdr:spPr>
          <a:xfrm>
            <a:off x="1325812" y="38982650"/>
            <a:ext cx="6350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82" name="TextBox 81"/>
          <xdr:cNvSpPr txBox="1"/>
        </xdr:nvSpPr>
        <xdr:spPr>
          <a:xfrm>
            <a:off x="2461558" y="39052500"/>
            <a:ext cx="6350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83" name="TextBox 82"/>
          <xdr:cNvSpPr txBox="1"/>
        </xdr:nvSpPr>
        <xdr:spPr>
          <a:xfrm>
            <a:off x="4683154" y="39039800"/>
            <a:ext cx="6350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84" name="TextBox 83"/>
          <xdr:cNvSpPr txBox="1"/>
        </xdr:nvSpPr>
        <xdr:spPr>
          <a:xfrm>
            <a:off x="279400" y="41818229"/>
            <a:ext cx="6350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2cMkdWxtb2hFv8Q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9"/>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7" width="11" style="40" customWidth="1"/>
    <col min="8" max="8" width="14"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29" t="s">
        <v>165</v>
      </c>
      <c r="B1" s="229"/>
      <c r="C1" s="229"/>
      <c r="D1" s="229"/>
      <c r="E1" s="229"/>
      <c r="F1" s="229"/>
      <c r="G1" s="229"/>
      <c r="H1" s="229"/>
    </row>
    <row r="2" spans="1:26" ht="16.5" customHeight="1" x14ac:dyDescent="0.35">
      <c r="A2" s="230" t="s">
        <v>0</v>
      </c>
      <c r="B2" s="230"/>
      <c r="C2" s="230"/>
      <c r="D2" s="230"/>
      <c r="E2" s="230"/>
      <c r="F2" s="230"/>
      <c r="G2" s="230"/>
      <c r="H2" s="230"/>
    </row>
    <row r="3" spans="1:26" x14ac:dyDescent="0.35">
      <c r="A3" s="214" t="s">
        <v>1</v>
      </c>
      <c r="B3" s="214"/>
      <c r="C3" s="214"/>
      <c r="D3" s="214"/>
      <c r="E3" s="214" t="str">
        <f ca="1">TEXT(TODAY(),"DD/MM/YYYY")</f>
        <v>20/08/2025</v>
      </c>
      <c r="F3" s="214"/>
      <c r="G3" s="214"/>
      <c r="H3" s="214"/>
      <c r="K3" s="56" t="s">
        <v>238</v>
      </c>
      <c r="L3" s="53" t="s">
        <v>236</v>
      </c>
      <c r="M3" s="53" t="s">
        <v>241</v>
      </c>
      <c r="N3" s="53" t="s">
        <v>239</v>
      </c>
      <c r="O3" s="53" t="s">
        <v>344</v>
      </c>
      <c r="P3" s="53" t="s">
        <v>242</v>
      </c>
    </row>
    <row r="4" spans="1:26" ht="15" customHeight="1" x14ac:dyDescent="0.35">
      <c r="A4" s="214" t="s">
        <v>235</v>
      </c>
      <c r="B4" s="214"/>
      <c r="C4" s="214"/>
      <c r="D4" s="214"/>
      <c r="E4" s="190" t="s">
        <v>236</v>
      </c>
      <c r="F4" s="190"/>
      <c r="G4" s="190"/>
      <c r="H4" s="190"/>
      <c r="K4" s="52" t="s">
        <v>237</v>
      </c>
      <c r="L4" s="53" t="s">
        <v>172</v>
      </c>
      <c r="M4" s="53" t="s">
        <v>246</v>
      </c>
      <c r="N4" s="53" t="s">
        <v>248</v>
      </c>
      <c r="O4" s="53" t="s">
        <v>345</v>
      </c>
      <c r="P4" s="53"/>
    </row>
    <row r="5" spans="1:26" ht="15" customHeight="1" x14ac:dyDescent="0.35">
      <c r="A5" s="214" t="s">
        <v>2</v>
      </c>
      <c r="B5" s="214"/>
      <c r="C5" s="214"/>
      <c r="D5" s="214"/>
      <c r="E5" s="190" t="s">
        <v>245</v>
      </c>
      <c r="F5" s="190"/>
      <c r="G5" s="190"/>
      <c r="H5" s="190"/>
      <c r="K5" s="52"/>
      <c r="L5" s="53" t="s">
        <v>243</v>
      </c>
      <c r="M5" s="53" t="s">
        <v>247</v>
      </c>
      <c r="N5" s="53" t="s">
        <v>249</v>
      </c>
      <c r="O5" s="53" t="s">
        <v>346</v>
      </c>
      <c r="P5" s="53"/>
    </row>
    <row r="6" spans="1:26" x14ac:dyDescent="0.35">
      <c r="A6" s="214" t="s">
        <v>3</v>
      </c>
      <c r="B6" s="214"/>
      <c r="C6" s="214"/>
      <c r="D6" s="214"/>
      <c r="E6" s="231">
        <v>45880</v>
      </c>
      <c r="F6" s="190"/>
      <c r="G6" s="190"/>
      <c r="H6" s="190"/>
      <c r="K6" s="52"/>
      <c r="L6" s="53" t="s">
        <v>244</v>
      </c>
      <c r="M6" s="53"/>
      <c r="N6" s="53"/>
      <c r="O6" s="53" t="s">
        <v>347</v>
      </c>
      <c r="P6" s="53"/>
    </row>
    <row r="7" spans="1:26" ht="16.5" customHeight="1" x14ac:dyDescent="0.35">
      <c r="A7" s="214" t="s">
        <v>4</v>
      </c>
      <c r="B7" s="214"/>
      <c r="C7" s="214"/>
      <c r="D7" s="214"/>
      <c r="E7" s="190" t="s">
        <v>353</v>
      </c>
      <c r="F7" s="190"/>
      <c r="G7" s="190"/>
      <c r="H7" s="190"/>
      <c r="K7" s="52"/>
      <c r="L7" s="53" t="s">
        <v>245</v>
      </c>
      <c r="M7" s="53"/>
      <c r="N7" s="53"/>
      <c r="O7" s="53" t="s">
        <v>347</v>
      </c>
      <c r="P7" s="53"/>
    </row>
    <row r="8" spans="1:26" ht="15" customHeight="1" x14ac:dyDescent="0.35">
      <c r="A8" s="214" t="s">
        <v>5</v>
      </c>
      <c r="B8" s="214"/>
      <c r="C8" s="214"/>
      <c r="D8" s="214"/>
      <c r="E8" s="190" t="str">
        <f>E7</f>
        <v>Laxmi Kamal Associates</v>
      </c>
      <c r="F8" s="190"/>
      <c r="G8" s="190"/>
      <c r="H8" s="190"/>
      <c r="K8" s="52"/>
      <c r="L8" s="53"/>
      <c r="M8" s="53"/>
      <c r="N8" s="53"/>
      <c r="O8" s="53" t="s">
        <v>348</v>
      </c>
      <c r="P8" s="53"/>
    </row>
    <row r="9" spans="1:26" x14ac:dyDescent="0.35">
      <c r="A9" s="214" t="s">
        <v>6</v>
      </c>
      <c r="B9" s="214"/>
      <c r="C9" s="214"/>
      <c r="D9" s="214"/>
      <c r="E9" s="178" t="s">
        <v>354</v>
      </c>
      <c r="F9" s="178"/>
      <c r="G9" s="178"/>
      <c r="H9" s="178"/>
      <c r="K9" s="52"/>
      <c r="L9" s="53"/>
      <c r="M9" s="53"/>
      <c r="N9" s="53"/>
      <c r="O9" s="53" t="s">
        <v>349</v>
      </c>
      <c r="P9" s="53"/>
    </row>
    <row r="10" spans="1:26" x14ac:dyDescent="0.35">
      <c r="A10" s="214" t="s">
        <v>168</v>
      </c>
      <c r="B10" s="214"/>
      <c r="C10" s="214"/>
      <c r="D10" s="214"/>
      <c r="E10" s="190" t="s">
        <v>355</v>
      </c>
      <c r="F10" s="190"/>
      <c r="G10" s="190"/>
      <c r="H10" s="190"/>
      <c r="K10" s="52"/>
      <c r="L10" s="53"/>
      <c r="M10" s="53"/>
      <c r="N10" s="53"/>
      <c r="O10" s="53" t="s">
        <v>350</v>
      </c>
      <c r="P10" s="53"/>
    </row>
    <row r="11" spans="1:26" x14ac:dyDescent="0.35">
      <c r="A11" s="214" t="s">
        <v>169</v>
      </c>
      <c r="B11" s="214"/>
      <c r="C11" s="214"/>
      <c r="D11" s="214"/>
      <c r="E11" s="190" t="s">
        <v>28</v>
      </c>
      <c r="F11" s="190"/>
      <c r="G11" s="190"/>
      <c r="H11" s="190"/>
      <c r="O11" s="53" t="s">
        <v>351</v>
      </c>
    </row>
    <row r="12" spans="1:26" x14ac:dyDescent="0.35">
      <c r="A12" s="214" t="s">
        <v>7</v>
      </c>
      <c r="B12" s="214"/>
      <c r="C12" s="214"/>
      <c r="D12" s="214"/>
      <c r="E12" s="190" t="s">
        <v>401</v>
      </c>
      <c r="F12" s="190"/>
      <c r="G12" s="190"/>
      <c r="H12" s="190"/>
    </row>
    <row r="13" spans="1:26" x14ac:dyDescent="0.35">
      <c r="A13" s="214" t="s">
        <v>173</v>
      </c>
      <c r="B13" s="214"/>
      <c r="C13" s="214"/>
      <c r="D13" s="214"/>
      <c r="E13" s="190" t="s">
        <v>28</v>
      </c>
      <c r="F13" s="190"/>
      <c r="G13" s="190"/>
      <c r="H13" s="190"/>
      <c r="S13" s="53" t="s">
        <v>182</v>
      </c>
      <c r="T13" s="53" t="s">
        <v>191</v>
      </c>
      <c r="U13" s="53" t="s">
        <v>174</v>
      </c>
      <c r="V13" s="53" t="s">
        <v>196</v>
      </c>
      <c r="W13" s="53" t="s">
        <v>214</v>
      </c>
      <c r="X13"/>
      <c r="Y13" t="s">
        <v>196</v>
      </c>
      <c r="Z13" t="e">
        <f ca="1">OFFSET($S$13,1,MATCH($G20,$S$13:$W$13,0)-1,15,1)</f>
        <v>#VALUE!</v>
      </c>
    </row>
    <row r="14" spans="1:26" x14ac:dyDescent="0.35">
      <c r="A14" s="148" t="s">
        <v>281</v>
      </c>
      <c r="B14" s="148"/>
      <c r="C14" s="148"/>
      <c r="D14" s="148"/>
      <c r="E14" s="189" t="s">
        <v>229</v>
      </c>
      <c r="F14" s="189"/>
      <c r="G14" s="189"/>
      <c r="H14" s="189"/>
      <c r="S14" s="53" t="s">
        <v>182</v>
      </c>
      <c r="T14" s="53" t="s">
        <v>189</v>
      </c>
      <c r="U14" s="53" t="s">
        <v>211</v>
      </c>
      <c r="V14" s="53" t="s">
        <v>197</v>
      </c>
      <c r="W14" s="53" t="s">
        <v>215</v>
      </c>
      <c r="X14"/>
      <c r="Y14"/>
      <c r="Z14"/>
    </row>
    <row r="15" spans="1:26" x14ac:dyDescent="0.35">
      <c r="A15" s="148" t="s">
        <v>8</v>
      </c>
      <c r="B15" s="148"/>
      <c r="C15" s="148"/>
      <c r="D15" s="148"/>
      <c r="E15" s="189" t="s">
        <v>352</v>
      </c>
      <c r="F15" s="190"/>
      <c r="G15" s="190"/>
      <c r="H15" s="190"/>
      <c r="I15" s="250" t="e">
        <f ca="1">OFFSET($D$5,1,MATCH($J13,$D$5:$H$5,0)-1,15,1)</f>
        <v>#N/A</v>
      </c>
      <c r="J15" s="251"/>
      <c r="K15" s="251"/>
      <c r="L15" s="251"/>
      <c r="M15" s="251"/>
      <c r="N15" s="251"/>
      <c r="O15" s="251"/>
      <c r="P15" s="251"/>
      <c r="S15" s="53" t="s">
        <v>183</v>
      </c>
      <c r="T15" s="53" t="s">
        <v>190</v>
      </c>
      <c r="U15" s="53" t="s">
        <v>212</v>
      </c>
      <c r="V15" s="53" t="s">
        <v>198</v>
      </c>
      <c r="W15" s="53" t="s">
        <v>228</v>
      </c>
      <c r="X15"/>
      <c r="Y15"/>
      <c r="Z15"/>
    </row>
    <row r="16" spans="1:26" ht="64.5" customHeight="1" x14ac:dyDescent="0.35">
      <c r="A16" s="197" t="s">
        <v>9</v>
      </c>
      <c r="B16" s="197"/>
      <c r="C16" s="197" t="str">
        <f>CONCATENATE((IF(OR(E9="",E9="NA"),"",E9)),", ",(IF(OR(A17="",A17="NA"),"",A17)),".",(IF(OR(C17="",C17="NA"),"",C17)),", near ",(IF(OR(C22="",C22="NA"),"",C22)),", ",(IF(OR(C19="",C19="NA"),"",C19)),", ",(IF(OR(C18="",C18="NA"),"",C18)),", ",(IF(OR(G19="",G19="NA"),"",G19)),", ",(IF(OR(C20="",C20="NA"),"",C20)),", ",(IF(OR(C21="",C21="NA"),"",C21)),", ",(IF(OR(G20="",G20="NA"),"",G20))," - ",(IF(OR(G21="",G21="NA"),"",G21)),".")</f>
        <v>Shankar Heights Phase 5, Plot No.B, S No.5, H No.24, CTS No.31/15, S No.2, H No.2, CTS No.55/1, S No.2, H No.3, CTS No.55/2, near Shankar Heights Phase 1, 80 Feet Road, , Khoj khuntavali, Ambernath West, Ambernath, Thane - 421505.</v>
      </c>
      <c r="D16" s="197"/>
      <c r="E16" s="197"/>
      <c r="F16" s="197"/>
      <c r="G16" s="197"/>
      <c r="H16" s="197"/>
      <c r="S16" s="53" t="s">
        <v>184</v>
      </c>
      <c r="T16" s="53" t="s">
        <v>192</v>
      </c>
      <c r="U16" s="53" t="s">
        <v>213</v>
      </c>
      <c r="V16" s="53" t="s">
        <v>199</v>
      </c>
      <c r="W16" s="53" t="s">
        <v>216</v>
      </c>
      <c r="X16"/>
      <c r="Y16"/>
      <c r="Z16"/>
    </row>
    <row r="17" spans="1:26" ht="32.25" customHeight="1" x14ac:dyDescent="0.35">
      <c r="A17" s="189" t="s">
        <v>356</v>
      </c>
      <c r="B17" s="189"/>
      <c r="C17" s="189" t="s">
        <v>357</v>
      </c>
      <c r="D17" s="189"/>
      <c r="E17" s="189"/>
      <c r="F17" s="189"/>
      <c r="G17" s="189"/>
      <c r="H17" s="189"/>
      <c r="S17" s="53" t="s">
        <v>185</v>
      </c>
      <c r="T17" s="53" t="s">
        <v>193</v>
      </c>
      <c r="U17" s="53" t="s">
        <v>174</v>
      </c>
      <c r="V17" s="53" t="s">
        <v>200</v>
      </c>
      <c r="W17" s="53" t="s">
        <v>217</v>
      </c>
      <c r="X17"/>
      <c r="Y17"/>
      <c r="Z17"/>
    </row>
    <row r="18" spans="1:26" ht="15.75" customHeight="1" x14ac:dyDescent="0.35">
      <c r="A18" s="161" t="s">
        <v>163</v>
      </c>
      <c r="B18" s="161"/>
      <c r="C18" s="189" t="s">
        <v>28</v>
      </c>
      <c r="D18" s="189"/>
      <c r="E18" s="189"/>
      <c r="F18" s="189"/>
      <c r="G18" s="189"/>
      <c r="H18" s="189"/>
      <c r="S18" s="53" t="s">
        <v>186</v>
      </c>
      <c r="T18" s="53" t="s">
        <v>191</v>
      </c>
      <c r="U18" s="53"/>
      <c r="V18" s="53" t="s">
        <v>201</v>
      </c>
      <c r="W18" s="53" t="s">
        <v>218</v>
      </c>
      <c r="X18"/>
      <c r="Y18"/>
      <c r="Z18"/>
    </row>
    <row r="19" spans="1:26" ht="15.75" customHeight="1" x14ac:dyDescent="0.35">
      <c r="A19" s="197" t="s">
        <v>10</v>
      </c>
      <c r="B19" s="197"/>
      <c r="C19" s="190" t="s">
        <v>379</v>
      </c>
      <c r="D19" s="190"/>
      <c r="E19" s="189" t="s">
        <v>70</v>
      </c>
      <c r="F19" s="189"/>
      <c r="G19" s="189" t="s">
        <v>409</v>
      </c>
      <c r="H19" s="189"/>
      <c r="S19" s="53" t="s">
        <v>187</v>
      </c>
      <c r="T19" s="53" t="s">
        <v>194</v>
      </c>
      <c r="U19" s="53"/>
      <c r="V19" s="53" t="s">
        <v>202</v>
      </c>
      <c r="W19" s="53" t="s">
        <v>219</v>
      </c>
      <c r="X19"/>
      <c r="Y19"/>
      <c r="Z19"/>
    </row>
    <row r="20" spans="1:26" x14ac:dyDescent="0.35">
      <c r="A20" s="148" t="s">
        <v>12</v>
      </c>
      <c r="B20" s="148"/>
      <c r="C20" s="189" t="s">
        <v>358</v>
      </c>
      <c r="D20" s="189"/>
      <c r="E20" s="189" t="s">
        <v>11</v>
      </c>
      <c r="F20" s="189"/>
      <c r="G20" s="228" t="s">
        <v>182</v>
      </c>
      <c r="H20" s="228"/>
      <c r="S20" s="53" t="s">
        <v>188</v>
      </c>
      <c r="T20" s="53" t="s">
        <v>195</v>
      </c>
      <c r="U20" s="53"/>
      <c r="V20" s="53" t="s">
        <v>203</v>
      </c>
      <c r="W20" s="53" t="s">
        <v>220</v>
      </c>
      <c r="X20"/>
      <c r="Y20"/>
      <c r="Z20"/>
    </row>
    <row r="21" spans="1:26" x14ac:dyDescent="0.35">
      <c r="A21" s="148" t="s">
        <v>71</v>
      </c>
      <c r="B21" s="148"/>
      <c r="C21" s="189" t="s">
        <v>187</v>
      </c>
      <c r="D21" s="189"/>
      <c r="E21" s="189" t="s">
        <v>13</v>
      </c>
      <c r="F21" s="189"/>
      <c r="G21" s="189">
        <v>421505</v>
      </c>
      <c r="H21" s="189"/>
      <c r="S21" s="53"/>
      <c r="T21" s="53"/>
      <c r="U21" s="53"/>
      <c r="V21" s="53" t="s">
        <v>204</v>
      </c>
      <c r="W21" s="53" t="s">
        <v>221</v>
      </c>
      <c r="X21"/>
      <c r="Y21"/>
      <c r="Z21"/>
    </row>
    <row r="22" spans="1:26" ht="32.25" customHeight="1" x14ac:dyDescent="0.35">
      <c r="A22" s="148" t="s">
        <v>119</v>
      </c>
      <c r="B22" s="148"/>
      <c r="C22" s="189" t="s">
        <v>380</v>
      </c>
      <c r="D22" s="189"/>
      <c r="E22" s="189" t="s">
        <v>14</v>
      </c>
      <c r="F22" s="189"/>
      <c r="G22" s="189" t="s">
        <v>386</v>
      </c>
      <c r="H22" s="189"/>
      <c r="S22" s="53"/>
      <c r="T22" s="53"/>
      <c r="U22" s="53"/>
      <c r="V22" s="53" t="s">
        <v>205</v>
      </c>
      <c r="W22" s="53" t="s">
        <v>222</v>
      </c>
      <c r="X22"/>
      <c r="Y22"/>
      <c r="Z22"/>
    </row>
    <row r="23" spans="1:26" ht="15" customHeight="1" x14ac:dyDescent="0.35">
      <c r="A23" s="197" t="s">
        <v>73</v>
      </c>
      <c r="B23" s="197"/>
      <c r="C23" s="197"/>
      <c r="D23" s="197"/>
      <c r="E23" s="214" t="s">
        <v>15</v>
      </c>
      <c r="F23" s="214"/>
      <c r="G23" s="214"/>
      <c r="H23" s="214"/>
      <c r="S23" s="53"/>
      <c r="T23" s="53"/>
      <c r="U23" s="53"/>
      <c r="V23" s="53" t="s">
        <v>206</v>
      </c>
      <c r="W23" s="53" t="s">
        <v>223</v>
      </c>
      <c r="X23"/>
      <c r="Y23"/>
      <c r="Z23"/>
    </row>
    <row r="24" spans="1:26" ht="18.75" customHeight="1" x14ac:dyDescent="0.35">
      <c r="A24" s="197"/>
      <c r="B24" s="197"/>
      <c r="C24" s="197"/>
      <c r="D24" s="197"/>
      <c r="E24" s="214"/>
      <c r="F24" s="214"/>
      <c r="G24" s="214"/>
      <c r="H24" s="214"/>
      <c r="S24" s="53"/>
      <c r="T24" s="53"/>
      <c r="U24" s="53"/>
      <c r="V24" s="53" t="s">
        <v>207</v>
      </c>
      <c r="W24" s="53" t="s">
        <v>224</v>
      </c>
      <c r="X24"/>
      <c r="Y24"/>
      <c r="Z24"/>
    </row>
    <row r="25" spans="1:26" ht="15" customHeight="1" x14ac:dyDescent="0.35">
      <c r="A25" s="197" t="s">
        <v>16</v>
      </c>
      <c r="B25" s="197"/>
      <c r="C25" s="197"/>
      <c r="D25" s="197"/>
      <c r="E25" s="161" t="s">
        <v>17</v>
      </c>
      <c r="F25" s="161"/>
      <c r="G25" s="161"/>
      <c r="H25" s="161"/>
      <c r="S25" s="53"/>
      <c r="T25" s="53"/>
      <c r="U25" s="53"/>
      <c r="V25" s="53" t="s">
        <v>208</v>
      </c>
      <c r="W25" s="53" t="s">
        <v>225</v>
      </c>
      <c r="X25"/>
      <c r="Y25"/>
      <c r="Z25"/>
    </row>
    <row r="26" spans="1:26" ht="15" customHeight="1" x14ac:dyDescent="0.35">
      <c r="A26" s="148" t="s">
        <v>18</v>
      </c>
      <c r="B26" s="148"/>
      <c r="C26" s="148"/>
      <c r="D26" s="148"/>
      <c r="E26" s="161" t="str">
        <f>IF(AND(G20="Mumbai"),"Upper Class","Middle Class")</f>
        <v>Middle Class</v>
      </c>
      <c r="F26" s="161"/>
      <c r="G26" s="161"/>
      <c r="H26" s="161"/>
      <c r="S26" s="53"/>
      <c r="T26" s="53"/>
      <c r="U26" s="53"/>
      <c r="V26" s="53" t="s">
        <v>209</v>
      </c>
      <c r="W26" s="53" t="s">
        <v>226</v>
      </c>
      <c r="X26"/>
      <c r="Y26"/>
      <c r="Z26"/>
    </row>
    <row r="27" spans="1:26" x14ac:dyDescent="0.35">
      <c r="A27" s="148" t="s">
        <v>19</v>
      </c>
      <c r="B27" s="148"/>
      <c r="C27" s="148"/>
      <c r="D27" s="148"/>
      <c r="E27" s="161" t="s">
        <v>20</v>
      </c>
      <c r="F27" s="161"/>
      <c r="G27" s="161"/>
      <c r="H27" s="161"/>
      <c r="S27" s="53"/>
      <c r="T27" s="53"/>
      <c r="U27" s="53"/>
      <c r="V27" s="53" t="s">
        <v>210</v>
      </c>
      <c r="W27" s="53" t="s">
        <v>227</v>
      </c>
      <c r="X27"/>
      <c r="Y27"/>
      <c r="Z27"/>
    </row>
    <row r="28" spans="1:26" ht="15.75" customHeight="1" x14ac:dyDescent="0.35">
      <c r="A28" s="148" t="s">
        <v>21</v>
      </c>
      <c r="B28" s="148"/>
      <c r="C28" s="148"/>
      <c r="D28" s="148"/>
      <c r="E28" s="161" t="str">
        <f>IF(AND(G20="Mumbai"),"Developed","Developing")</f>
        <v>Developing</v>
      </c>
      <c r="F28" s="161"/>
      <c r="G28" s="161"/>
      <c r="H28" s="161"/>
    </row>
    <row r="29" spans="1:26" x14ac:dyDescent="0.35">
      <c r="A29" s="148" t="s">
        <v>22</v>
      </c>
      <c r="B29" s="148"/>
      <c r="C29" s="148"/>
      <c r="D29" s="148"/>
      <c r="E29" s="161" t="s">
        <v>23</v>
      </c>
      <c r="F29" s="161"/>
      <c r="G29" s="161"/>
      <c r="H29" s="161"/>
    </row>
    <row r="30" spans="1:26" ht="15.75" customHeight="1" x14ac:dyDescent="0.35">
      <c r="A30" s="148" t="s">
        <v>78</v>
      </c>
      <c r="B30" s="148"/>
      <c r="C30" s="148"/>
      <c r="D30" s="148"/>
      <c r="E30" s="161" t="s">
        <v>79</v>
      </c>
      <c r="F30" s="161"/>
      <c r="G30" s="161"/>
      <c r="H30" s="161"/>
    </row>
    <row r="31" spans="1:26" ht="15" customHeight="1" x14ac:dyDescent="0.35">
      <c r="A31" s="148" t="s">
        <v>30</v>
      </c>
      <c r="B31" s="148"/>
      <c r="C31" s="148"/>
      <c r="D31" s="148"/>
      <c r="E31" s="16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1"/>
      <c r="G31" s="161"/>
      <c r="H31" s="161"/>
    </row>
    <row r="32" spans="1:26" ht="15.75" customHeight="1" x14ac:dyDescent="0.35">
      <c r="A32" s="148" t="s">
        <v>90</v>
      </c>
      <c r="B32" s="148"/>
      <c r="C32" s="148"/>
      <c r="D32" s="148"/>
      <c r="E32" s="161" t="s">
        <v>31</v>
      </c>
      <c r="F32" s="161"/>
      <c r="G32" s="161"/>
      <c r="H32" s="161"/>
    </row>
    <row r="33" spans="1:19" s="22" customFormat="1" x14ac:dyDescent="0.35">
      <c r="A33" s="227" t="s">
        <v>91</v>
      </c>
      <c r="B33" s="227"/>
      <c r="C33" s="224" t="s">
        <v>175</v>
      </c>
      <c r="D33" s="225"/>
      <c r="E33" s="226"/>
      <c r="F33" s="224" t="s">
        <v>29</v>
      </c>
      <c r="G33" s="225"/>
      <c r="H33" s="226"/>
      <c r="S33" s="22" t="e">
        <f ca="1">OFFSET($S$13,1,MATCH($G20,$S$13:$W$13,0)-1,15,1)</f>
        <v>#VALUE!</v>
      </c>
    </row>
    <row r="34" spans="1:19" s="22" customFormat="1" x14ac:dyDescent="0.35">
      <c r="A34" s="222" t="s">
        <v>24</v>
      </c>
      <c r="B34" s="222" t="s">
        <v>28</v>
      </c>
      <c r="C34" s="223" t="s">
        <v>383</v>
      </c>
      <c r="D34" s="199"/>
      <c r="E34" s="200"/>
      <c r="F34" s="223" t="s">
        <v>379</v>
      </c>
      <c r="G34" s="199"/>
      <c r="H34" s="200"/>
    </row>
    <row r="35" spans="1:19" x14ac:dyDescent="0.35">
      <c r="A35" s="222" t="s">
        <v>25</v>
      </c>
      <c r="B35" s="222" t="s">
        <v>28</v>
      </c>
      <c r="C35" s="223" t="s">
        <v>384</v>
      </c>
      <c r="D35" s="199"/>
      <c r="E35" s="200"/>
      <c r="F35" s="223" t="s">
        <v>387</v>
      </c>
      <c r="G35" s="199"/>
      <c r="H35" s="200"/>
    </row>
    <row r="36" spans="1:19" s="22" customFormat="1" x14ac:dyDescent="0.35">
      <c r="A36" s="222" t="s">
        <v>27</v>
      </c>
      <c r="B36" s="222" t="s">
        <v>28</v>
      </c>
      <c r="C36" s="223" t="s">
        <v>385</v>
      </c>
      <c r="D36" s="199"/>
      <c r="E36" s="200"/>
      <c r="F36" s="223" t="s">
        <v>382</v>
      </c>
      <c r="G36" s="199"/>
      <c r="H36" s="200"/>
    </row>
    <row r="37" spans="1:19" ht="35.25" customHeight="1" x14ac:dyDescent="0.35">
      <c r="A37" s="191" t="s">
        <v>26</v>
      </c>
      <c r="B37" s="191" t="s">
        <v>28</v>
      </c>
      <c r="C37" s="192" t="s">
        <v>385</v>
      </c>
      <c r="D37" s="193"/>
      <c r="E37" s="194"/>
      <c r="F37" s="198" t="s">
        <v>381</v>
      </c>
      <c r="G37" s="199"/>
      <c r="H37" s="200"/>
    </row>
    <row r="38" spans="1:19" x14ac:dyDescent="0.35">
      <c r="A38" s="148" t="s">
        <v>282</v>
      </c>
      <c r="B38" s="148"/>
      <c r="C38" s="148"/>
      <c r="D38" s="148"/>
      <c r="E38" s="148"/>
      <c r="F38" s="148"/>
      <c r="G38" s="148"/>
      <c r="H38" s="148"/>
    </row>
    <row r="39" spans="1:19" ht="15.75" customHeight="1" x14ac:dyDescent="0.35">
      <c r="A39" s="148" t="s">
        <v>166</v>
      </c>
      <c r="B39" s="148"/>
      <c r="C39" s="196" t="s">
        <v>377</v>
      </c>
      <c r="D39" s="196"/>
      <c r="E39" s="196"/>
      <c r="F39" s="196"/>
      <c r="G39" s="196"/>
      <c r="H39" s="196"/>
    </row>
    <row r="40" spans="1:19" x14ac:dyDescent="0.35">
      <c r="A40" s="148" t="s">
        <v>162</v>
      </c>
      <c r="B40" s="148"/>
      <c r="C40" s="160" t="s">
        <v>378</v>
      </c>
      <c r="D40" s="161"/>
      <c r="E40" s="161"/>
      <c r="F40" s="161"/>
      <c r="G40" s="161"/>
      <c r="H40" s="161"/>
    </row>
    <row r="41" spans="1:19" x14ac:dyDescent="0.35">
      <c r="A41" s="196" t="s">
        <v>32</v>
      </c>
      <c r="B41" s="196"/>
      <c r="C41" s="196"/>
      <c r="D41" s="196"/>
      <c r="E41" s="196"/>
      <c r="F41" s="196"/>
      <c r="G41" s="196"/>
      <c r="H41" s="196"/>
    </row>
    <row r="42" spans="1:19" x14ac:dyDescent="0.35">
      <c r="A42" s="148" t="s">
        <v>33</v>
      </c>
      <c r="B42" s="148"/>
      <c r="C42" s="148"/>
      <c r="D42" s="148"/>
      <c r="E42" s="195">
        <v>1141.9000000000001</v>
      </c>
      <c r="F42" s="195"/>
      <c r="G42" s="195"/>
      <c r="H42" s="195"/>
    </row>
    <row r="43" spans="1:19" x14ac:dyDescent="0.35">
      <c r="A43" s="148" t="s">
        <v>34</v>
      </c>
      <c r="B43" s="148"/>
      <c r="C43" s="148"/>
      <c r="D43" s="148"/>
      <c r="E43" s="216">
        <f>1256.09/E42</f>
        <v>1.0999999999999999</v>
      </c>
      <c r="F43" s="216"/>
      <c r="G43" s="216"/>
      <c r="H43" s="216"/>
    </row>
    <row r="44" spans="1:19" x14ac:dyDescent="0.35">
      <c r="A44" s="148" t="s">
        <v>35</v>
      </c>
      <c r="B44" s="148"/>
      <c r="C44" s="148"/>
      <c r="D44" s="148"/>
      <c r="E44" s="216">
        <f>E46/E42-E43</f>
        <v>2.4399246869252993</v>
      </c>
      <c r="F44" s="216"/>
      <c r="G44" s="216"/>
      <c r="H44" s="216"/>
    </row>
    <row r="45" spans="1:19" x14ac:dyDescent="0.35">
      <c r="A45" s="148" t="s">
        <v>36</v>
      </c>
      <c r="B45" s="148"/>
      <c r="C45" s="148"/>
      <c r="D45" s="148"/>
      <c r="E45" s="216">
        <f>E43+E44</f>
        <v>3.5399246869252989</v>
      </c>
      <c r="F45" s="216"/>
      <c r="G45" s="216"/>
      <c r="H45" s="216"/>
    </row>
    <row r="46" spans="1:19" x14ac:dyDescent="0.35">
      <c r="A46" s="148" t="s">
        <v>89</v>
      </c>
      <c r="B46" s="148"/>
      <c r="C46" s="148"/>
      <c r="D46" s="148"/>
      <c r="E46" s="217">
        <v>4042.24</v>
      </c>
      <c r="F46" s="217"/>
      <c r="G46" s="217"/>
      <c r="H46" s="217"/>
    </row>
    <row r="47" spans="1:19" x14ac:dyDescent="0.35">
      <c r="A47" s="214" t="s">
        <v>37</v>
      </c>
      <c r="B47" s="214"/>
      <c r="C47" s="214"/>
      <c r="D47" s="214"/>
      <c r="E47" s="190" t="s">
        <v>359</v>
      </c>
      <c r="F47" s="190"/>
      <c r="G47" s="190"/>
      <c r="H47" s="190"/>
    </row>
    <row r="48" spans="1:19" x14ac:dyDescent="0.35">
      <c r="A48" s="196" t="s">
        <v>38</v>
      </c>
      <c r="B48" s="196"/>
      <c r="C48" s="196"/>
      <c r="D48" s="196"/>
      <c r="E48" s="196"/>
      <c r="F48" s="196"/>
      <c r="G48" s="196"/>
      <c r="H48" s="196"/>
    </row>
    <row r="49" spans="1:24" ht="33.75" customHeight="1" x14ac:dyDescent="0.35">
      <c r="A49" s="201" t="s">
        <v>151</v>
      </c>
      <c r="B49" s="203"/>
      <c r="C49" s="218" t="s">
        <v>266</v>
      </c>
      <c r="D49" s="219"/>
      <c r="E49" s="219"/>
      <c r="F49" s="219"/>
      <c r="G49" s="219"/>
      <c r="H49" s="220"/>
      <c r="R49" t="s">
        <v>255</v>
      </c>
      <c r="S49" s="57" t="s">
        <v>174</v>
      </c>
      <c r="T49" s="57" t="s">
        <v>182</v>
      </c>
      <c r="U49" s="57" t="s">
        <v>196</v>
      </c>
      <c r="V49" s="57" t="s">
        <v>191</v>
      </c>
    </row>
    <row r="50" spans="1:24" ht="15.75" customHeight="1" x14ac:dyDescent="0.35">
      <c r="A50" s="201" t="s">
        <v>39</v>
      </c>
      <c r="B50" s="203"/>
      <c r="C50" s="201" t="s">
        <v>388</v>
      </c>
      <c r="D50" s="202"/>
      <c r="E50" s="203"/>
      <c r="F50" s="18" t="s">
        <v>40</v>
      </c>
      <c r="G50" s="204">
        <v>44651</v>
      </c>
      <c r="H50" s="203"/>
      <c r="R50"/>
      <c r="S50" s="57" t="s">
        <v>256</v>
      </c>
      <c r="T50" s="57" t="s">
        <v>261</v>
      </c>
      <c r="U50" s="57" t="s">
        <v>272</v>
      </c>
      <c r="V50" s="57" t="s">
        <v>277</v>
      </c>
    </row>
    <row r="51" spans="1:24" x14ac:dyDescent="0.35">
      <c r="A51" s="201" t="s">
        <v>41</v>
      </c>
      <c r="B51" s="203"/>
      <c r="C51" s="201" t="str">
        <f>C50</f>
        <v>ANP/NRV/BP/21-22/1564/9287/163</v>
      </c>
      <c r="D51" s="202"/>
      <c r="E51" s="203"/>
      <c r="F51" s="18" t="s">
        <v>40</v>
      </c>
      <c r="G51" s="204">
        <f>G50</f>
        <v>44651</v>
      </c>
      <c r="H51" s="209"/>
      <c r="R51"/>
      <c r="S51" s="57" t="s">
        <v>257</v>
      </c>
      <c r="T51" s="57" t="s">
        <v>262</v>
      </c>
      <c r="U51" s="57" t="s">
        <v>270</v>
      </c>
      <c r="V51" s="57" t="s">
        <v>278</v>
      </c>
    </row>
    <row r="52" spans="1:24" s="23" customFormat="1" ht="15.75" customHeight="1" x14ac:dyDescent="0.35">
      <c r="A52" s="210" t="s">
        <v>155</v>
      </c>
      <c r="B52" s="211"/>
      <c r="C52" s="201" t="str">
        <f>C51</f>
        <v>ANP/NRV/BP/21-22/1564/9287/163</v>
      </c>
      <c r="D52" s="202"/>
      <c r="E52" s="203"/>
      <c r="F52" s="18" t="s">
        <v>40</v>
      </c>
      <c r="G52" s="204">
        <f>G51</f>
        <v>44651</v>
      </c>
      <c r="H52" s="209"/>
      <c r="R52"/>
      <c r="S52" s="57" t="s">
        <v>258</v>
      </c>
      <c r="T52" s="57" t="s">
        <v>263</v>
      </c>
      <c r="U52" s="57" t="s">
        <v>260</v>
      </c>
      <c r="V52" s="57" t="s">
        <v>279</v>
      </c>
    </row>
    <row r="53" spans="1:24" s="23" customFormat="1" ht="33.75" customHeight="1" x14ac:dyDescent="0.35">
      <c r="A53" s="212"/>
      <c r="B53" s="213"/>
      <c r="C53" s="201" t="s">
        <v>402</v>
      </c>
      <c r="D53" s="202"/>
      <c r="E53" s="202"/>
      <c r="F53" s="202"/>
      <c r="G53" s="202"/>
      <c r="H53" s="203"/>
      <c r="R53"/>
      <c r="S53" s="57" t="s">
        <v>259</v>
      </c>
      <c r="T53" s="57" t="s">
        <v>266</v>
      </c>
      <c r="U53" s="57" t="s">
        <v>273</v>
      </c>
      <c r="V53" s="79"/>
    </row>
    <row r="54" spans="1:24" s="23" customFormat="1" hidden="1" x14ac:dyDescent="0.35">
      <c r="A54" s="205" t="s">
        <v>283</v>
      </c>
      <c r="B54" s="206"/>
      <c r="C54" s="201" t="str">
        <f>C53</f>
        <v>Bldg A = Gr.(Pt) / Stilt (Pt) + 1st to 7th Floor
Bldg B = Basement + Gr.(Pt)/ Stilt(Pt) + 1st to 4th Floor</v>
      </c>
      <c r="D54" s="202"/>
      <c r="E54" s="203"/>
      <c r="F54" s="18" t="s">
        <v>40</v>
      </c>
      <c r="G54" s="201"/>
      <c r="H54" s="203"/>
      <c r="R54"/>
      <c r="S54" s="57" t="s">
        <v>258</v>
      </c>
      <c r="T54" s="57" t="s">
        <v>263</v>
      </c>
      <c r="U54" s="57" t="s">
        <v>260</v>
      </c>
      <c r="V54" s="57" t="s">
        <v>279</v>
      </c>
    </row>
    <row r="55" spans="1:24" s="23" customFormat="1" ht="32.25" hidden="1" customHeight="1" x14ac:dyDescent="0.35">
      <c r="A55" s="207"/>
      <c r="B55" s="208"/>
      <c r="C55" s="166"/>
      <c r="D55" s="167"/>
      <c r="E55" s="167"/>
      <c r="F55" s="167"/>
      <c r="G55" s="167"/>
      <c r="H55" s="168"/>
      <c r="R55"/>
      <c r="S55" s="57" t="s">
        <v>260</v>
      </c>
      <c r="T55" s="57" t="s">
        <v>264</v>
      </c>
      <c r="U55" s="57" t="s">
        <v>274</v>
      </c>
      <c r="V55" s="80"/>
      <c r="W55" s="21"/>
      <c r="X55" s="21"/>
    </row>
    <row r="56" spans="1:24" s="23" customFormat="1" ht="34.5" hidden="1" customHeight="1" x14ac:dyDescent="0.35">
      <c r="A56" s="205" t="s">
        <v>284</v>
      </c>
      <c r="B56" s="206"/>
      <c r="C56" s="201">
        <f>C55</f>
        <v>0</v>
      </c>
      <c r="D56" s="202"/>
      <c r="E56" s="203"/>
      <c r="F56" s="18" t="s">
        <v>40</v>
      </c>
      <c r="G56" s="201">
        <f>G55</f>
        <v>0</v>
      </c>
      <c r="H56" s="203"/>
      <c r="R56"/>
      <c r="S56" s="80"/>
      <c r="T56" s="57" t="s">
        <v>265</v>
      </c>
      <c r="U56" s="57" t="s">
        <v>275</v>
      </c>
      <c r="V56" s="80"/>
      <c r="W56" s="21"/>
      <c r="X56" s="21"/>
    </row>
    <row r="57" spans="1:24" s="23" customFormat="1" ht="41.25" hidden="1" customHeight="1" x14ac:dyDescent="0.35">
      <c r="A57" s="207"/>
      <c r="B57" s="208"/>
      <c r="C57" s="201"/>
      <c r="D57" s="202"/>
      <c r="E57" s="202"/>
      <c r="F57" s="202"/>
      <c r="G57" s="202"/>
      <c r="H57" s="203"/>
      <c r="R57"/>
      <c r="S57" s="80"/>
      <c r="T57" s="57" t="s">
        <v>267</v>
      </c>
      <c r="U57" s="57" t="s">
        <v>276</v>
      </c>
      <c r="V57" s="80"/>
      <c r="W57" s="21"/>
      <c r="X57" s="21"/>
    </row>
    <row r="58" spans="1:24" s="23" customFormat="1" ht="15.75" hidden="1" customHeight="1" x14ac:dyDescent="0.35">
      <c r="A58" s="205" t="s">
        <v>285</v>
      </c>
      <c r="B58" s="206"/>
      <c r="C58" s="201">
        <f>C57</f>
        <v>0</v>
      </c>
      <c r="D58" s="202"/>
      <c r="E58" s="203"/>
      <c r="F58" s="18" t="s">
        <v>40</v>
      </c>
      <c r="G58" s="201">
        <f>G57</f>
        <v>0</v>
      </c>
      <c r="H58" s="203"/>
      <c r="R58"/>
      <c r="S58" s="80"/>
      <c r="T58" s="57" t="s">
        <v>268</v>
      </c>
      <c r="U58" s="80" t="s">
        <v>299</v>
      </c>
      <c r="V58" s="80"/>
      <c r="W58" s="21"/>
      <c r="X58" s="21"/>
    </row>
    <row r="59" spans="1:24" s="23" customFormat="1" ht="33.75" hidden="1" customHeight="1" x14ac:dyDescent="0.35">
      <c r="A59" s="207"/>
      <c r="B59" s="208"/>
      <c r="C59" s="201"/>
      <c r="D59" s="202"/>
      <c r="E59" s="202"/>
      <c r="F59" s="202"/>
      <c r="G59" s="202"/>
      <c r="H59" s="203"/>
      <c r="R59"/>
      <c r="S59" s="80"/>
      <c r="T59" s="57" t="s">
        <v>269</v>
      </c>
      <c r="U59" s="80"/>
      <c r="V59" s="80"/>
      <c r="W59" s="21"/>
      <c r="X59" s="21"/>
    </row>
    <row r="60" spans="1:24" ht="39.75" hidden="1" customHeight="1" x14ac:dyDescent="0.35">
      <c r="A60" s="253" t="s">
        <v>42</v>
      </c>
      <c r="B60" s="254"/>
      <c r="C60" s="253" t="s">
        <v>102</v>
      </c>
      <c r="D60" s="255"/>
      <c r="E60" s="254"/>
      <c r="F60" s="43" t="s">
        <v>40</v>
      </c>
      <c r="G60" s="256" t="s">
        <v>28</v>
      </c>
      <c r="H60" s="257"/>
      <c r="R60"/>
      <c r="S60" s="80"/>
      <c r="T60" s="57" t="s">
        <v>271</v>
      </c>
      <c r="U60" s="80"/>
      <c r="V60" s="80"/>
    </row>
    <row r="61" spans="1:24" x14ac:dyDescent="0.35">
      <c r="A61" s="221" t="s">
        <v>44</v>
      </c>
      <c r="B61" s="221"/>
      <c r="C61" s="221"/>
      <c r="D61" s="221"/>
      <c r="E61" s="221"/>
      <c r="F61" s="221"/>
      <c r="G61" s="221"/>
      <c r="H61" s="221"/>
      <c r="S61" s="80"/>
      <c r="T61" s="57" t="s">
        <v>280</v>
      </c>
      <c r="U61" s="80"/>
      <c r="V61" s="80"/>
    </row>
    <row r="62" spans="1:24" x14ac:dyDescent="0.35">
      <c r="A62" s="197" t="s">
        <v>88</v>
      </c>
      <c r="B62" s="197"/>
      <c r="C62" s="197"/>
      <c r="D62" s="148">
        <f>E46</f>
        <v>4042.24</v>
      </c>
      <c r="E62" s="148"/>
      <c r="F62" s="148"/>
      <c r="G62" s="148"/>
      <c r="H62" s="148"/>
      <c r="R62"/>
    </row>
    <row r="63" spans="1:24" x14ac:dyDescent="0.35">
      <c r="A63" s="189" t="s">
        <v>45</v>
      </c>
      <c r="B63" s="190"/>
      <c r="C63" s="190"/>
      <c r="D63" s="190" t="s">
        <v>374</v>
      </c>
      <c r="E63" s="190"/>
      <c r="F63" s="190"/>
      <c r="G63" s="190"/>
      <c r="H63" s="190"/>
      <c r="I63" s="24"/>
      <c r="R63"/>
    </row>
    <row r="64" spans="1:24" ht="36" customHeight="1" x14ac:dyDescent="0.35">
      <c r="A64" s="189" t="s">
        <v>46</v>
      </c>
      <c r="B64" s="189"/>
      <c r="C64" s="189"/>
      <c r="D64" s="189" t="s">
        <v>402</v>
      </c>
      <c r="E64" s="190"/>
      <c r="F64" s="190"/>
      <c r="G64" s="190"/>
      <c r="H64" s="190"/>
      <c r="R64"/>
    </row>
    <row r="65" spans="1:19" ht="15.75" customHeight="1" x14ac:dyDescent="0.35">
      <c r="A65" s="189" t="s">
        <v>86</v>
      </c>
      <c r="B65" s="189"/>
      <c r="C65" s="189"/>
      <c r="D65" s="190" t="s">
        <v>403</v>
      </c>
      <c r="E65" s="190"/>
      <c r="F65" s="190"/>
      <c r="G65" s="190"/>
      <c r="H65" s="190"/>
      <c r="R65"/>
    </row>
    <row r="66" spans="1:19" ht="15.75" customHeight="1" x14ac:dyDescent="0.35">
      <c r="A66" s="189"/>
      <c r="B66" s="189"/>
      <c r="C66" s="189"/>
      <c r="D66" s="190" t="s">
        <v>404</v>
      </c>
      <c r="E66" s="190"/>
      <c r="F66" s="190"/>
      <c r="G66" s="190"/>
      <c r="H66" s="190"/>
      <c r="R66"/>
    </row>
    <row r="67" spans="1:19" ht="15.75" hidden="1" customHeight="1" x14ac:dyDescent="0.35">
      <c r="A67" s="189"/>
      <c r="B67" s="189"/>
      <c r="C67" s="189"/>
      <c r="D67" s="190" t="s">
        <v>170</v>
      </c>
      <c r="E67" s="190"/>
      <c r="F67" s="190"/>
      <c r="G67" s="190"/>
      <c r="H67" s="190"/>
      <c r="S67"/>
    </row>
    <row r="68" spans="1:19" ht="15.75" customHeight="1" x14ac:dyDescent="0.35">
      <c r="A68" s="148" t="s">
        <v>43</v>
      </c>
      <c r="B68" s="148"/>
      <c r="C68" s="148"/>
      <c r="D68" s="197" t="s">
        <v>360</v>
      </c>
      <c r="E68" s="197"/>
      <c r="F68" s="197"/>
      <c r="G68" s="197"/>
      <c r="H68" s="197"/>
      <c r="J68" s="25"/>
      <c r="K68" s="24"/>
      <c r="N68" s="24"/>
      <c r="S68"/>
    </row>
    <row r="69" spans="1:19" ht="15.75" customHeight="1" x14ac:dyDescent="0.35">
      <c r="A69" s="148" t="s">
        <v>84</v>
      </c>
      <c r="B69" s="148"/>
      <c r="C69" s="148"/>
      <c r="D69" s="215" t="str">
        <f>(IF(G60="NA","60 Years After Completion",IF(G60&lt;&gt;"NA",""&amp;60-ROUNDDOWN((E3-G60)/360,0)&amp;" Years"," ")))</f>
        <v>60 Years After Completion</v>
      </c>
      <c r="E69" s="215"/>
      <c r="F69" s="215"/>
      <c r="G69" s="215"/>
      <c r="H69" s="215"/>
      <c r="N69" s="24"/>
      <c r="S69"/>
    </row>
    <row r="70" spans="1:19" ht="15.75" customHeight="1" x14ac:dyDescent="0.35">
      <c r="A70" s="148" t="s">
        <v>85</v>
      </c>
      <c r="B70" s="148"/>
      <c r="C70" s="148"/>
      <c r="D70" s="197" t="s">
        <v>23</v>
      </c>
      <c r="E70" s="197"/>
      <c r="F70" s="197"/>
      <c r="G70" s="197"/>
      <c r="H70" s="197"/>
      <c r="J70" s="26"/>
      <c r="K70" s="26"/>
      <c r="S70"/>
    </row>
    <row r="71" spans="1:19" ht="30.75" customHeight="1" x14ac:dyDescent="0.35">
      <c r="A71" s="190" t="s">
        <v>389</v>
      </c>
      <c r="B71" s="190"/>
      <c r="C71" s="190"/>
      <c r="D71" s="161" t="s">
        <v>361</v>
      </c>
      <c r="E71" s="197"/>
      <c r="F71" s="197"/>
      <c r="G71" s="197"/>
      <c r="H71" s="197"/>
      <c r="S71"/>
    </row>
    <row r="72" spans="1:19" x14ac:dyDescent="0.35">
      <c r="A72" s="197" t="s">
        <v>147</v>
      </c>
      <c r="B72" s="197"/>
      <c r="C72" s="197"/>
      <c r="D72" s="197" t="s">
        <v>28</v>
      </c>
      <c r="E72" s="197"/>
      <c r="F72" s="197"/>
      <c r="G72" s="197"/>
      <c r="H72" s="197"/>
      <c r="I72" s="27"/>
      <c r="J72" s="27"/>
      <c r="K72" s="27"/>
      <c r="L72" s="27"/>
      <c r="M72" s="27"/>
      <c r="N72" s="27"/>
    </row>
    <row r="73" spans="1:19" ht="15.75" customHeight="1" x14ac:dyDescent="0.35">
      <c r="A73" s="148" t="s">
        <v>83</v>
      </c>
      <c r="B73" s="148"/>
      <c r="C73" s="148"/>
      <c r="D73" s="161" t="str">
        <f ca="1">(IF(G79&gt;95%,"Nothing",IF(G79&gt;0%,"Cement, Aggregate, Steel, etc",IF(G79=0%,"Work not yet Started"))))</f>
        <v>Cement, Aggregate, Steel, etc</v>
      </c>
      <c r="E73" s="161"/>
      <c r="F73" s="161"/>
      <c r="G73" s="161"/>
      <c r="H73" s="161"/>
      <c r="J73" s="26"/>
      <c r="S73"/>
    </row>
    <row r="74" spans="1:19" ht="33.75" customHeight="1" thickBot="1" x14ac:dyDescent="0.4">
      <c r="A74" s="197" t="s">
        <v>115</v>
      </c>
      <c r="B74" s="197"/>
      <c r="C74" s="197"/>
      <c r="D74" s="161" t="str">
        <f ca="1">(IF(D73="Nothing","Yes",IF(D73="Cement, Aggregate, Steel, etc","Under Construction",IF(D73="Work not yet Started","Work not yet Started"))))</f>
        <v>Under Construction</v>
      </c>
      <c r="E74" s="161"/>
      <c r="F74" s="161" t="str">
        <f ca="1">(IF(D73="Nothing","Yes",IF(D73="Cement, Aggregate, Steel, etc","Under Construction",IF(D73="Work not yet Started","Work not yet Started"))))</f>
        <v>Under Construction</v>
      </c>
      <c r="G74" s="161"/>
      <c r="H74" s="161"/>
      <c r="S74"/>
    </row>
    <row r="75" spans="1:19" ht="15.75" customHeight="1" x14ac:dyDescent="0.35">
      <c r="A75" s="174" t="s">
        <v>137</v>
      </c>
      <c r="B75" s="174"/>
      <c r="C75" s="174" t="str">
        <f>D65</f>
        <v>Bldg A = Gr.(Pt) / Stilt (Pt) + 1st to 7th Floor</v>
      </c>
      <c r="D75" s="174"/>
      <c r="E75" s="174"/>
      <c r="F75" s="174"/>
      <c r="G75" s="174"/>
      <c r="H75" s="174"/>
      <c r="I75" s="103" t="str">
        <f ca="1">IF(D88=100%,"All work Completed. Possession granted to the Building.",IF(D87=100%,"All work Completed, Waiting for OC",I76&amp;""&amp;I77&amp;""&amp;J76&amp;""&amp;J75&amp;" "&amp;J77))</f>
        <v>Excavation, Plinth, RCC Slab, Brickwork, Internal Plaster Completed, External Plaster upto 5 Floor, Flooring upto 2 Floor, Painting upto 3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5 Floor, Flooring upto 2 Floor, Painting upto 3 Floor</v>
      </c>
      <c r="S75"/>
    </row>
    <row r="76" spans="1:19" x14ac:dyDescent="0.35">
      <c r="A76" s="100" t="s">
        <v>139</v>
      </c>
      <c r="B76" s="100">
        <f>IF(AND(ISNUMBER(SEARCH("1B",C75))),1,IF(AND(ISNUMBER(SEARCH("2B",C75))),2,IF(AND(ISNUMBER(SEARCH("3B",C75))),3,IF(AND(ISNUMBER(SEARCH("4B",C75))),4,IF(ISNUMBER(SEARCH("5B",C75)),5,0)))))</f>
        <v>0</v>
      </c>
      <c r="C76" s="100" t="s">
        <v>69</v>
      </c>
      <c r="D76" s="100">
        <v>1</v>
      </c>
      <c r="E76" s="100" t="s">
        <v>68</v>
      </c>
      <c r="F76" s="100">
        <v>0</v>
      </c>
      <c r="G76" s="100" t="s">
        <v>77</v>
      </c>
      <c r="H76" s="100">
        <f ca="1">--TRIM(RIGHT(SUBSTITUTE(LEFT(C75,_xlfn.AGGREGATE(16,6,FIND({0,1,2,3,4,5,6,7,8,9},C75,ROW(INDIRECT("1:"&amp;LEN(C75)))),1))," ",REPT(" ",LEN(C75))),LEN(C75)))</f>
        <v>7</v>
      </c>
      <c r="I76" s="104"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5" customHeight="1" x14ac:dyDescent="0.35">
      <c r="A77" s="177" t="s">
        <v>87</v>
      </c>
      <c r="B77" s="178"/>
      <c r="C77" s="174" t="str">
        <f ca="1">I75</f>
        <v>Excavation, Plinth, RCC Slab, Brickwork, Internal Plaster Completed, External Plaster upto 5 Floor, Flooring upto 2 Floor, Painting upto 3 Floor Completed</v>
      </c>
      <c r="D77" s="174"/>
      <c r="E77" s="174"/>
      <c r="F77" s="174"/>
      <c r="G77" s="174"/>
      <c r="H77" s="175"/>
      <c r="I77" s="48" t="str">
        <f ca="1">IF(I76&lt;&gt;""," Completed","")</f>
        <v xml:space="preserve"> Completed</v>
      </c>
      <c r="J77" s="49" t="str">
        <f ca="1">IF(J75&lt;&gt;"","Completed","")</f>
        <v>Completed</v>
      </c>
      <c r="S77"/>
    </row>
    <row r="78" spans="1:19" ht="15.75" customHeight="1" x14ac:dyDescent="0.35">
      <c r="A78" s="141" t="s">
        <v>47</v>
      </c>
      <c r="B78" s="142"/>
      <c r="C78" s="94" t="s">
        <v>136</v>
      </c>
      <c r="D78" s="94" t="s">
        <v>80</v>
      </c>
      <c r="E78" s="142" t="s">
        <v>82</v>
      </c>
      <c r="F78" s="142"/>
      <c r="G78" s="142" t="s">
        <v>81</v>
      </c>
      <c r="H78" s="188"/>
      <c r="I78" s="13" t="s">
        <v>138</v>
      </c>
      <c r="J78" s="28">
        <f ca="1">H76*25%</f>
        <v>1.75</v>
      </c>
      <c r="S78"/>
    </row>
    <row r="79" spans="1:19" x14ac:dyDescent="0.35">
      <c r="A79" s="141" t="s">
        <v>125</v>
      </c>
      <c r="B79" s="142"/>
      <c r="C79" s="94">
        <f ca="1">J80</f>
        <v>7</v>
      </c>
      <c r="D79" s="19">
        <f ca="1">((100/H76)*C79)/100</f>
        <v>1</v>
      </c>
      <c r="E79" s="132">
        <f ca="1">(((C80/H76*10)+(40/(D76+F76+H76)*C81)+(7.5/(H76)*C82)+(7.5/(H76)*C83)+(10/H76*C84)+(10/H76*C85)+(5/H76*C86)+(5/H76*C87)+(5/H76*C88))/100)</f>
        <v>0.77142857142857135</v>
      </c>
      <c r="F79" s="133"/>
      <c r="G79" s="132">
        <f ca="1">((((C79/H76)*20)+((C80/H76)*25)+(30/(H76+F76+D76)*C81)+(5/H76*C82)+(5/H76*C83)+(5/H76*C84)+(5/H76*C85)+(0/H76*C86)+(0/H76*C87)+(5/H76*C88))/100)</f>
        <v>0.9</v>
      </c>
      <c r="H79" s="138"/>
      <c r="I79" s="13" t="s">
        <v>97</v>
      </c>
      <c r="J79" s="29">
        <f ca="1">H76*50%</f>
        <v>3.5</v>
      </c>
    </row>
    <row r="80" spans="1:19" x14ac:dyDescent="0.35">
      <c r="A80" s="141" t="s">
        <v>48</v>
      </c>
      <c r="B80" s="142"/>
      <c r="C80" s="94">
        <f ca="1">J88</f>
        <v>7</v>
      </c>
      <c r="D80" s="19">
        <f ca="1">((100/H76)*C80)/100</f>
        <v>1</v>
      </c>
      <c r="E80" s="134"/>
      <c r="F80" s="135"/>
      <c r="G80" s="134"/>
      <c r="H80" s="139"/>
      <c r="I80" s="13" t="s">
        <v>98</v>
      </c>
      <c r="J80" s="29">
        <f ca="1">H76</f>
        <v>7</v>
      </c>
      <c r="S80"/>
    </row>
    <row r="81" spans="1:19" ht="15.75" customHeight="1" x14ac:dyDescent="0.35">
      <c r="A81" s="141" t="s">
        <v>126</v>
      </c>
      <c r="B81" s="142"/>
      <c r="C81" s="94">
        <v>8</v>
      </c>
      <c r="D81" s="19">
        <f ca="1">((100/(D76+F76+H76))*C81)/100</f>
        <v>1</v>
      </c>
      <c r="E81" s="134"/>
      <c r="F81" s="135"/>
      <c r="G81" s="134"/>
      <c r="H81" s="139"/>
      <c r="I81" s="13" t="s">
        <v>99</v>
      </c>
      <c r="J81" s="30">
        <f ca="1">(IF(B76&gt;1,(H76/(B76+2)),H76/4))</f>
        <v>1.75</v>
      </c>
      <c r="S81"/>
    </row>
    <row r="82" spans="1:19" ht="15.75" customHeight="1" x14ac:dyDescent="0.35">
      <c r="A82" s="141" t="s">
        <v>133</v>
      </c>
      <c r="B82" s="142" t="s">
        <v>127</v>
      </c>
      <c r="C82" s="94">
        <v>7</v>
      </c>
      <c r="D82" s="19">
        <f ca="1">((100/H76)*C82)/100</f>
        <v>1</v>
      </c>
      <c r="E82" s="134"/>
      <c r="F82" s="135"/>
      <c r="G82" s="134"/>
      <c r="H82" s="139"/>
      <c r="I82" s="13" t="s">
        <v>100</v>
      </c>
      <c r="J82" s="30">
        <f ca="1">(IF(B76&gt;1,(H76/(B76+2)+J81),H76/4+J81))</f>
        <v>3.5</v>
      </c>
    </row>
    <row r="83" spans="1:19" ht="15.75" customHeight="1" x14ac:dyDescent="0.35">
      <c r="A83" s="141" t="s">
        <v>134</v>
      </c>
      <c r="B83" s="142" t="s">
        <v>127</v>
      </c>
      <c r="C83" s="94">
        <v>7</v>
      </c>
      <c r="D83" s="19">
        <f ca="1">((100/H76)*C83)/100</f>
        <v>1</v>
      </c>
      <c r="E83" s="134"/>
      <c r="F83" s="135"/>
      <c r="G83" s="134"/>
      <c r="H83" s="139"/>
      <c r="I83" s="13" t="s">
        <v>145</v>
      </c>
      <c r="J83" s="30">
        <f>(IF(B76&gt;1,(H76/(B76+2)+J82),0))</f>
        <v>0</v>
      </c>
    </row>
    <row r="84" spans="1:19" ht="15" customHeight="1" x14ac:dyDescent="0.35">
      <c r="A84" s="141" t="s">
        <v>132</v>
      </c>
      <c r="B84" s="142" t="s">
        <v>129</v>
      </c>
      <c r="C84" s="94">
        <v>5</v>
      </c>
      <c r="D84" s="19">
        <f ca="1">((100/(H76))*C84)/100</f>
        <v>0.7142857142857143</v>
      </c>
      <c r="E84" s="134"/>
      <c r="F84" s="135"/>
      <c r="G84" s="134"/>
      <c r="H84" s="139"/>
      <c r="I84" s="13" t="s">
        <v>140</v>
      </c>
      <c r="J84" s="30">
        <f>(IF(B76&gt;2,(H76/(B76+2)+J83),0))</f>
        <v>0</v>
      </c>
    </row>
    <row r="85" spans="1:19" ht="15.75" customHeight="1" x14ac:dyDescent="0.35">
      <c r="A85" s="141" t="s">
        <v>128</v>
      </c>
      <c r="B85" s="142" t="s">
        <v>128</v>
      </c>
      <c r="C85" s="94">
        <v>2</v>
      </c>
      <c r="D85" s="19">
        <f ca="1">((100/H76)*C85)/100</f>
        <v>0.28571428571428575</v>
      </c>
      <c r="E85" s="134"/>
      <c r="F85" s="135"/>
      <c r="G85" s="134"/>
      <c r="H85" s="139"/>
      <c r="I85" s="13" t="s">
        <v>141</v>
      </c>
      <c r="J85" s="31">
        <f>(IF(B76&gt;3,(H76/(B76+2)+J84),0))</f>
        <v>0</v>
      </c>
    </row>
    <row r="86" spans="1:19" ht="15.75" customHeight="1" x14ac:dyDescent="0.35">
      <c r="A86" s="141" t="s">
        <v>135</v>
      </c>
      <c r="B86" s="142"/>
      <c r="C86" s="94">
        <v>3</v>
      </c>
      <c r="D86" s="19">
        <f ca="1">((100/H76)*C86)/100</f>
        <v>0.4285714285714286</v>
      </c>
      <c r="E86" s="134"/>
      <c r="F86" s="135"/>
      <c r="G86" s="134"/>
      <c r="H86" s="139"/>
      <c r="I86" s="13" t="s">
        <v>142</v>
      </c>
      <c r="J86" s="30">
        <f>(IF(B76&gt;4,(H76/(B76+2)+J85),0))</f>
        <v>0</v>
      </c>
    </row>
    <row r="87" spans="1:19" ht="15.75" customHeight="1" x14ac:dyDescent="0.35">
      <c r="A87" s="141" t="s">
        <v>130</v>
      </c>
      <c r="B87" s="142" t="s">
        <v>130</v>
      </c>
      <c r="C87" s="94">
        <v>0</v>
      </c>
      <c r="D87" s="19">
        <f ca="1">((100/(H76))*C87)/100</f>
        <v>0</v>
      </c>
      <c r="E87" s="134"/>
      <c r="F87" s="135"/>
      <c r="G87" s="134"/>
      <c r="H87" s="139"/>
      <c r="I87" s="13" t="s">
        <v>146</v>
      </c>
      <c r="J87" s="30">
        <f ca="1">(IF(B76=1,(H76/(B76+3)+J82),IF(B76=0,(H76/4+J82),IF(B76&gt;1,0))))</f>
        <v>5.25</v>
      </c>
    </row>
    <row r="88" spans="1:19" ht="16" thickBot="1" x14ac:dyDescent="0.4">
      <c r="A88" s="121" t="s">
        <v>131</v>
      </c>
      <c r="B88" s="122"/>
      <c r="C88" s="93">
        <v>0</v>
      </c>
      <c r="D88" s="20">
        <f ca="1">((100/(H76))*C88)/100</f>
        <v>0</v>
      </c>
      <c r="E88" s="136"/>
      <c r="F88" s="137"/>
      <c r="G88" s="136"/>
      <c r="H88" s="140"/>
      <c r="I88" s="15" t="s">
        <v>101</v>
      </c>
      <c r="J88" s="32">
        <f ca="1">(IF(B76&gt;1.5,(H76/(B76+2)+J82+MAX(0,J83-J82)+MAX(0,J84-J83)+MAX(0,J85-J84)+MAX(0,J86-J85)+MAX(0,J87-J86)),IF(B76=1,(H76/(B76+3)+J87),IF(B76=0,H76/4+J87))))</f>
        <v>7</v>
      </c>
    </row>
    <row r="89" spans="1:19" ht="15.75" customHeight="1" x14ac:dyDescent="0.35">
      <c r="A89" s="169" t="s">
        <v>137</v>
      </c>
      <c r="B89" s="170"/>
      <c r="C89" s="171" t="str">
        <f>D66</f>
        <v>Bldg B = Basement + Gr.(Pt)/ Stilt(Pt) + 1st to 4th Floor</v>
      </c>
      <c r="D89" s="172"/>
      <c r="E89" s="172"/>
      <c r="F89" s="172"/>
      <c r="G89" s="172"/>
      <c r="H89" s="173"/>
      <c r="I89" s="46" t="str">
        <f ca="1">IF(D102=100%,"All work Completed. Possession granted to the Building.",IF(D101=100%,"All work Completed, Waiting for OC",I90&amp;""&amp;I91&amp;""&amp;J90&amp;""&amp;J89&amp;" "&amp;J91))</f>
        <v xml:space="preserve">Excavation, Plinth, RCC Slab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35">
      <c r="A90" s="99" t="s">
        <v>139</v>
      </c>
      <c r="B90" s="100">
        <v>1</v>
      </c>
      <c r="C90" s="100" t="s">
        <v>69</v>
      </c>
      <c r="D90" s="100">
        <v>1</v>
      </c>
      <c r="E90" s="100" t="s">
        <v>68</v>
      </c>
      <c r="F90" s="100">
        <v>0</v>
      </c>
      <c r="G90" s="100" t="s">
        <v>77</v>
      </c>
      <c r="H90" s="101">
        <f ca="1">--TRIM(RIGHT(SUBSTITUTE(LEFT(C89,_xlfn.AGGREGATE(16,6,FIND({0,1,2,3,4,5,6,7,8,9},C89,ROW(INDIRECT("1:"&amp;LEN(C89)))),1))," ",REPT(" ",LEN(C89))),LEN(C89)))</f>
        <v>4</v>
      </c>
      <c r="I90" s="48" t="str">
        <f ca="1">IF(D93=100%,"Excavation","")&amp;IF(D94=100%,", Plinth","")&amp;IF(D95=100%,", RCC Slab","")&amp;IF(D96=100%,", Brickwork","")&amp;IF(D97=100%,", Internal Plaster","")&amp;IF(D98=100%,", External Plaster","")&amp;IF(D99=100%,", Flooring","")&amp;IF(D100=100%,", Painting","")&amp;IF(D101=100%,", Building common Amenities","")</f>
        <v>Excavation, Plinth, RCC Slab</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5">
      <c r="A91" s="177" t="s">
        <v>87</v>
      </c>
      <c r="B91" s="178"/>
      <c r="C91" s="174" t="str">
        <f ca="1">I89</f>
        <v xml:space="preserve">Excavation, Plinth, RCC Slab Completed </v>
      </c>
      <c r="D91" s="174"/>
      <c r="E91" s="174"/>
      <c r="F91" s="174"/>
      <c r="G91" s="174"/>
      <c r="H91" s="175"/>
      <c r="I91" s="48" t="str">
        <f ca="1">IF(I90&lt;&gt;""," Completed","")</f>
        <v xml:space="preserve"> Completed</v>
      </c>
      <c r="J91" s="49" t="str">
        <f ca="1">IF(J89&lt;&gt;"","Completed","")</f>
        <v/>
      </c>
      <c r="S91"/>
    </row>
    <row r="92" spans="1:19" ht="15.75" customHeight="1" x14ac:dyDescent="0.35">
      <c r="A92" s="141" t="s">
        <v>47</v>
      </c>
      <c r="B92" s="142"/>
      <c r="C92" s="94" t="s">
        <v>136</v>
      </c>
      <c r="D92" s="94" t="s">
        <v>80</v>
      </c>
      <c r="E92" s="142" t="s">
        <v>82</v>
      </c>
      <c r="F92" s="142"/>
      <c r="G92" s="142" t="s">
        <v>81</v>
      </c>
      <c r="H92" s="188"/>
      <c r="I92" s="13" t="s">
        <v>138</v>
      </c>
      <c r="J92" s="28">
        <f ca="1">H90*25%</f>
        <v>1</v>
      </c>
      <c r="S92"/>
    </row>
    <row r="93" spans="1:19" x14ac:dyDescent="0.35">
      <c r="A93" s="141" t="s">
        <v>125</v>
      </c>
      <c r="B93" s="142"/>
      <c r="C93" s="94">
        <f ca="1">J94</f>
        <v>4</v>
      </c>
      <c r="D93" s="19">
        <f ca="1">((100/H90)*C93)/100</f>
        <v>1</v>
      </c>
      <c r="E93" s="132">
        <f ca="1">(((C94/H90*10)+(40/(D90+F90+H90)*C95)+(7.5/(H90)*C96)+(7.5/(H90)*C97)+(10/H90*C98)+(10/H90*C99)+(5/H90*C100)+(5/H90*C101)+(5/H90*C102))/100)</f>
        <v>0.5</v>
      </c>
      <c r="F93" s="133"/>
      <c r="G93" s="132">
        <f ca="1">((((C93/H90)*20)+((C94/H90)*25)+(30/(H90+F90+D90)*C95)+(5/H90*C96)+(5/H90*C97)+(5/H90*C98)+(5/H90*C99)+(0/H90*C100)+(0/H90*C101)+(5/H90*C102))/100)</f>
        <v>0.75</v>
      </c>
      <c r="H93" s="138"/>
      <c r="I93" s="13" t="s">
        <v>97</v>
      </c>
      <c r="J93" s="29">
        <f ca="1">H90*50%</f>
        <v>2</v>
      </c>
    </row>
    <row r="94" spans="1:19" x14ac:dyDescent="0.35">
      <c r="A94" s="141" t="s">
        <v>48</v>
      </c>
      <c r="B94" s="142"/>
      <c r="C94" s="94">
        <f ca="1">J102</f>
        <v>4</v>
      </c>
      <c r="D94" s="19">
        <f ca="1">((100/H90)*C94)/100</f>
        <v>1</v>
      </c>
      <c r="E94" s="134"/>
      <c r="F94" s="135"/>
      <c r="G94" s="134"/>
      <c r="H94" s="139"/>
      <c r="I94" s="13" t="s">
        <v>98</v>
      </c>
      <c r="J94" s="29">
        <f ca="1">H90</f>
        <v>4</v>
      </c>
      <c r="S94"/>
    </row>
    <row r="95" spans="1:19" ht="15.75" customHeight="1" x14ac:dyDescent="0.35">
      <c r="A95" s="141" t="s">
        <v>126</v>
      </c>
      <c r="B95" s="142"/>
      <c r="C95" s="94">
        <v>5</v>
      </c>
      <c r="D95" s="19">
        <f ca="1">((100/(D90+F90+H90))*C95)/100</f>
        <v>1</v>
      </c>
      <c r="E95" s="134"/>
      <c r="F95" s="135"/>
      <c r="G95" s="134"/>
      <c r="H95" s="139"/>
      <c r="I95" s="13" t="s">
        <v>99</v>
      </c>
      <c r="J95" s="30">
        <f ca="1">(IF(B90&gt;1,(H90/(B90+2)),H90/4))</f>
        <v>1</v>
      </c>
      <c r="S95"/>
    </row>
    <row r="96" spans="1:19" ht="15.75" customHeight="1" x14ac:dyDescent="0.35">
      <c r="A96" s="141" t="s">
        <v>133</v>
      </c>
      <c r="B96" s="142" t="s">
        <v>127</v>
      </c>
      <c r="C96" s="94">
        <v>0</v>
      </c>
      <c r="D96" s="19">
        <f ca="1">((100/H90)*C96)/100</f>
        <v>0</v>
      </c>
      <c r="E96" s="134"/>
      <c r="F96" s="135"/>
      <c r="G96" s="134"/>
      <c r="H96" s="139"/>
      <c r="I96" s="13" t="s">
        <v>100</v>
      </c>
      <c r="J96" s="30">
        <f ca="1">(IF(B90&gt;1,(H90/(B90+2)+J95),H90/4+J95))</f>
        <v>2</v>
      </c>
    </row>
    <row r="97" spans="1:19" ht="15.75" customHeight="1" x14ac:dyDescent="0.35">
      <c r="A97" s="141" t="s">
        <v>134</v>
      </c>
      <c r="B97" s="142" t="s">
        <v>127</v>
      </c>
      <c r="C97" s="94">
        <v>0</v>
      </c>
      <c r="D97" s="19">
        <f ca="1">((100/H90)*C97)/100</f>
        <v>0</v>
      </c>
      <c r="E97" s="134"/>
      <c r="F97" s="135"/>
      <c r="G97" s="134"/>
      <c r="H97" s="139"/>
      <c r="I97" s="13" t="s">
        <v>145</v>
      </c>
      <c r="J97" s="30">
        <f>(IF(B90&gt;1,(H90/(B90+2)+J96),0))</f>
        <v>0</v>
      </c>
    </row>
    <row r="98" spans="1:19" ht="15" customHeight="1" x14ac:dyDescent="0.35">
      <c r="A98" s="141" t="s">
        <v>132</v>
      </c>
      <c r="B98" s="142" t="s">
        <v>129</v>
      </c>
      <c r="C98" s="94">
        <v>0</v>
      </c>
      <c r="D98" s="19">
        <f ca="1">((100/(H90))*C98)/100</f>
        <v>0</v>
      </c>
      <c r="E98" s="134"/>
      <c r="F98" s="135"/>
      <c r="G98" s="134"/>
      <c r="H98" s="139"/>
      <c r="I98" s="13" t="s">
        <v>140</v>
      </c>
      <c r="J98" s="30">
        <f>(IF(B90&gt;2,(H90/(B90+2)+J97),0))</f>
        <v>0</v>
      </c>
    </row>
    <row r="99" spans="1:19" ht="15.75" customHeight="1" x14ac:dyDescent="0.35">
      <c r="A99" s="141" t="s">
        <v>128</v>
      </c>
      <c r="B99" s="142" t="s">
        <v>128</v>
      </c>
      <c r="C99" s="94">
        <v>0</v>
      </c>
      <c r="D99" s="19">
        <f ca="1">((100/H90)*C99)/100</f>
        <v>0</v>
      </c>
      <c r="E99" s="134"/>
      <c r="F99" s="135"/>
      <c r="G99" s="134"/>
      <c r="H99" s="139"/>
      <c r="I99" s="13" t="s">
        <v>141</v>
      </c>
      <c r="J99" s="31">
        <f>(IF(B90&gt;3,(H90/(B90+2)+J98),0))</f>
        <v>0</v>
      </c>
    </row>
    <row r="100" spans="1:19" ht="15.75" customHeight="1" x14ac:dyDescent="0.35">
      <c r="A100" s="141" t="s">
        <v>135</v>
      </c>
      <c r="B100" s="142"/>
      <c r="C100" s="94">
        <v>0</v>
      </c>
      <c r="D100" s="19">
        <f ca="1">((100/H90)*C100)/100</f>
        <v>0</v>
      </c>
      <c r="E100" s="134"/>
      <c r="F100" s="135"/>
      <c r="G100" s="134"/>
      <c r="H100" s="139"/>
      <c r="I100" s="13" t="s">
        <v>142</v>
      </c>
      <c r="J100" s="30">
        <f>(IF(B90&gt;4,(H90/(B90+2)+J99),0))</f>
        <v>0</v>
      </c>
    </row>
    <row r="101" spans="1:19" ht="15.75" customHeight="1" x14ac:dyDescent="0.35">
      <c r="A101" s="141" t="s">
        <v>130</v>
      </c>
      <c r="B101" s="142" t="s">
        <v>130</v>
      </c>
      <c r="C101" s="94">
        <v>0</v>
      </c>
      <c r="D101" s="19">
        <f ca="1">((100/(H90))*C101)/100</f>
        <v>0</v>
      </c>
      <c r="E101" s="134"/>
      <c r="F101" s="135"/>
      <c r="G101" s="134"/>
      <c r="H101" s="139"/>
      <c r="I101" s="13" t="s">
        <v>146</v>
      </c>
      <c r="J101" s="30">
        <f ca="1">(IF(B90=1,(H90/(B90+3)+J96),IF(B90=0,(H90/4+J96),IF(B90&gt;1,0))))</f>
        <v>3</v>
      </c>
    </row>
    <row r="102" spans="1:19" ht="16" thickBot="1" x14ac:dyDescent="0.4">
      <c r="A102" s="121" t="s">
        <v>131</v>
      </c>
      <c r="B102" s="122"/>
      <c r="C102" s="93">
        <v>0</v>
      </c>
      <c r="D102" s="20">
        <f ca="1">((100/(H90))*C102)/100</f>
        <v>0</v>
      </c>
      <c r="E102" s="136"/>
      <c r="F102" s="137"/>
      <c r="G102" s="136"/>
      <c r="H102" s="140"/>
      <c r="I102" s="15" t="s">
        <v>101</v>
      </c>
      <c r="J102" s="32">
        <f ca="1">(IF(B90&gt;1.5,(H90/(B90+2)+J96+MAX(0,J97-J96)+MAX(0,J98-J97)+MAX(0,J99-J98)+MAX(0,J100-J99)+MAX(0,J101-J100)),IF(B90=1,(H90/(B90+3)+J101),IF(B90=0,H90/4+J101))))</f>
        <v>4</v>
      </c>
    </row>
    <row r="103" spans="1:19" ht="15.75" hidden="1" customHeight="1" x14ac:dyDescent="0.35">
      <c r="A103" s="179" t="s">
        <v>137</v>
      </c>
      <c r="B103" s="180"/>
      <c r="C103" s="181" t="str">
        <f>D67</f>
        <v>C Wing = 1B + G + 1st to 20th Floor</v>
      </c>
      <c r="D103" s="182"/>
      <c r="E103" s="182"/>
      <c r="F103" s="182"/>
      <c r="G103" s="182"/>
      <c r="H103" s="183"/>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139</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184" t="s">
        <v>87</v>
      </c>
      <c r="B105" s="185"/>
      <c r="C105" s="186" t="str">
        <f ca="1">I103</f>
        <v xml:space="preserve">Excavation, Plinth Completed </v>
      </c>
      <c r="D105" s="186"/>
      <c r="E105" s="186"/>
      <c r="F105" s="186"/>
      <c r="G105" s="186"/>
      <c r="H105" s="187"/>
      <c r="I105" s="48" t="str">
        <f ca="1">IF(I104&lt;&gt;""," Completed","")</f>
        <v xml:space="preserve"> Completed</v>
      </c>
      <c r="J105" s="49" t="str">
        <f ca="1">IF(J103&lt;&gt;"","Completed","")</f>
        <v/>
      </c>
      <c r="S105"/>
    </row>
    <row r="106" spans="1:19" ht="15.75" hidden="1" customHeight="1" x14ac:dyDescent="0.35">
      <c r="A106" s="141" t="s">
        <v>47</v>
      </c>
      <c r="B106" s="142"/>
      <c r="C106" s="82" t="s">
        <v>136</v>
      </c>
      <c r="D106" s="82" t="s">
        <v>80</v>
      </c>
      <c r="E106" s="142" t="s">
        <v>82</v>
      </c>
      <c r="F106" s="142"/>
      <c r="G106" s="142" t="s">
        <v>81</v>
      </c>
      <c r="H106" s="188"/>
      <c r="I106" s="13" t="s">
        <v>138</v>
      </c>
      <c r="J106" s="28">
        <f ca="1">H104*25%</f>
        <v>5</v>
      </c>
      <c r="S106"/>
    </row>
    <row r="107" spans="1:19" hidden="1" x14ac:dyDescent="0.35">
      <c r="A107" s="141" t="s">
        <v>125</v>
      </c>
      <c r="B107" s="142"/>
      <c r="C107" s="61">
        <f ca="1">J108</f>
        <v>20</v>
      </c>
      <c r="D107" s="19">
        <f ca="1">((100/H104)*C107)/100</f>
        <v>1</v>
      </c>
      <c r="E107" s="132">
        <f ca="1">(((C108/H104*10)+(40/(D104+F104+H104)*C109)+(7.5/(H104)*C110)+(7.5/(H104)*C111)+(10/H104*C112)+(10/H104*C113)+(5/H104*C114)+(5/H104*C115)+(5/H104*C116))/100)</f>
        <v>0.1</v>
      </c>
      <c r="F107" s="133"/>
      <c r="G107" s="132">
        <f ca="1">((((C107/H104)*20)+((C108/H104)*25)+(30/(H104+F104+D104)*C109)+(5/H104*C110)+(5/H104*C111)+(5/H104*C112)+(5/H104*C113)+(0/H104*C114)+(0/H104*C115)+(5/H104*C116))/100)</f>
        <v>0.45</v>
      </c>
      <c r="H107" s="138"/>
      <c r="I107" s="13" t="s">
        <v>97</v>
      </c>
      <c r="J107" s="29">
        <f ca="1">H104*50%</f>
        <v>10</v>
      </c>
    </row>
    <row r="108" spans="1:19" hidden="1" x14ac:dyDescent="0.35">
      <c r="A108" s="141" t="s">
        <v>48</v>
      </c>
      <c r="B108" s="142"/>
      <c r="C108" s="82">
        <f ca="1">J116</f>
        <v>20</v>
      </c>
      <c r="D108" s="19">
        <f ca="1">((100/H104)*C108)/100</f>
        <v>1</v>
      </c>
      <c r="E108" s="134"/>
      <c r="F108" s="135"/>
      <c r="G108" s="134"/>
      <c r="H108" s="139"/>
      <c r="I108" s="13" t="s">
        <v>98</v>
      </c>
      <c r="J108" s="29">
        <f ca="1">H104</f>
        <v>20</v>
      </c>
      <c r="S108"/>
    </row>
    <row r="109" spans="1:19" ht="15.75" hidden="1" customHeight="1" x14ac:dyDescent="0.35">
      <c r="A109" s="141" t="s">
        <v>126</v>
      </c>
      <c r="B109" s="142"/>
      <c r="C109" s="82">
        <v>0</v>
      </c>
      <c r="D109" s="19">
        <f ca="1">((100/(D104+F104+H104))*C109)/100</f>
        <v>0</v>
      </c>
      <c r="E109" s="134"/>
      <c r="F109" s="135"/>
      <c r="G109" s="134"/>
      <c r="H109" s="139"/>
      <c r="I109" s="13" t="s">
        <v>99</v>
      </c>
      <c r="J109" s="30">
        <f ca="1">(IF(B104&gt;1,(H104/(B104+2)),H104/4))</f>
        <v>5</v>
      </c>
      <c r="S109"/>
    </row>
    <row r="110" spans="1:19" ht="15.75" hidden="1" customHeight="1" x14ac:dyDescent="0.35">
      <c r="A110" s="141" t="s">
        <v>133</v>
      </c>
      <c r="B110" s="142" t="s">
        <v>127</v>
      </c>
      <c r="C110" s="82">
        <v>0</v>
      </c>
      <c r="D110" s="19">
        <f ca="1">((100/H104)*C110)/100</f>
        <v>0</v>
      </c>
      <c r="E110" s="134"/>
      <c r="F110" s="135"/>
      <c r="G110" s="134"/>
      <c r="H110" s="139"/>
      <c r="I110" s="13" t="s">
        <v>100</v>
      </c>
      <c r="J110" s="30">
        <f ca="1">(IF(B104&gt;1,(H104/(B104+2)+J109),H104/4+J109))</f>
        <v>10</v>
      </c>
    </row>
    <row r="111" spans="1:19" ht="15.75" hidden="1" customHeight="1" x14ac:dyDescent="0.35">
      <c r="A111" s="141" t="s">
        <v>134</v>
      </c>
      <c r="B111" s="142" t="s">
        <v>127</v>
      </c>
      <c r="C111" s="82">
        <v>0</v>
      </c>
      <c r="D111" s="19">
        <f ca="1">((100/H104)*C111)/100</f>
        <v>0</v>
      </c>
      <c r="E111" s="134"/>
      <c r="F111" s="135"/>
      <c r="G111" s="134"/>
      <c r="H111" s="139"/>
      <c r="I111" s="13" t="s">
        <v>145</v>
      </c>
      <c r="J111" s="30">
        <f>(IF(B104&gt;1,(H104/(B104+2)+J110),0))</f>
        <v>0</v>
      </c>
    </row>
    <row r="112" spans="1:19" ht="15" hidden="1" customHeight="1" x14ac:dyDescent="0.35">
      <c r="A112" s="141" t="s">
        <v>132</v>
      </c>
      <c r="B112" s="142" t="s">
        <v>129</v>
      </c>
      <c r="C112" s="82">
        <v>0</v>
      </c>
      <c r="D112" s="19">
        <f ca="1">((100/(H104))*C112)/100</f>
        <v>0</v>
      </c>
      <c r="E112" s="134"/>
      <c r="F112" s="135"/>
      <c r="G112" s="134"/>
      <c r="H112" s="139"/>
      <c r="I112" s="13" t="s">
        <v>140</v>
      </c>
      <c r="J112" s="30">
        <f>(IF(B104&gt;2,(H104/(B104+2)+J111),0))</f>
        <v>0</v>
      </c>
    </row>
    <row r="113" spans="1:22" ht="15.75" hidden="1" customHeight="1" x14ac:dyDescent="0.35">
      <c r="A113" s="141" t="s">
        <v>128</v>
      </c>
      <c r="B113" s="142" t="s">
        <v>128</v>
      </c>
      <c r="C113" s="82">
        <v>0</v>
      </c>
      <c r="D113" s="19">
        <f ca="1">((100/H104)*C113)/100</f>
        <v>0</v>
      </c>
      <c r="E113" s="134"/>
      <c r="F113" s="135"/>
      <c r="G113" s="134"/>
      <c r="H113" s="139"/>
      <c r="I113" s="13" t="s">
        <v>141</v>
      </c>
      <c r="J113" s="31">
        <f>(IF(B104&gt;3,(H104/(B104+2)+J112),0))</f>
        <v>0</v>
      </c>
    </row>
    <row r="114" spans="1:22" ht="15.75" hidden="1" customHeight="1" x14ac:dyDescent="0.35">
      <c r="A114" s="141" t="s">
        <v>135</v>
      </c>
      <c r="B114" s="142"/>
      <c r="C114" s="82">
        <v>0</v>
      </c>
      <c r="D114" s="19">
        <f ca="1">((100/H104)*C114)/100</f>
        <v>0</v>
      </c>
      <c r="E114" s="134"/>
      <c r="F114" s="135"/>
      <c r="G114" s="134"/>
      <c r="H114" s="139"/>
      <c r="I114" s="13" t="s">
        <v>142</v>
      </c>
      <c r="J114" s="30">
        <f>(IF(B104&gt;4,(H104/(B104+2)+J113),0))</f>
        <v>0</v>
      </c>
    </row>
    <row r="115" spans="1:22" ht="15.75" hidden="1" customHeight="1" x14ac:dyDescent="0.35">
      <c r="A115" s="141" t="s">
        <v>130</v>
      </c>
      <c r="B115" s="142" t="s">
        <v>130</v>
      </c>
      <c r="C115" s="82">
        <v>0</v>
      </c>
      <c r="D115" s="19">
        <f ca="1">((100/(H104))*C115)/100</f>
        <v>0</v>
      </c>
      <c r="E115" s="134"/>
      <c r="F115" s="135"/>
      <c r="G115" s="134"/>
      <c r="H115" s="139"/>
      <c r="I115" s="13" t="s">
        <v>146</v>
      </c>
      <c r="J115" s="30">
        <f ca="1">(IF(B104=1,(H104/(B104+3)+J110),IF(B104=0,(H104/4+J110),IF(B104&gt;1,0))))</f>
        <v>15</v>
      </c>
    </row>
    <row r="116" spans="1:22" ht="16" hidden="1" thickBot="1" x14ac:dyDescent="0.4">
      <c r="A116" s="121" t="s">
        <v>131</v>
      </c>
      <c r="B116" s="122"/>
      <c r="C116" s="81">
        <v>0</v>
      </c>
      <c r="D116" s="20">
        <f ca="1">((100/(H104))*C116)/100</f>
        <v>0</v>
      </c>
      <c r="E116" s="136"/>
      <c r="F116" s="137"/>
      <c r="G116" s="136"/>
      <c r="H116" s="140"/>
      <c r="I116" s="15" t="s">
        <v>101</v>
      </c>
      <c r="J116" s="32">
        <f ca="1">(IF(B104&gt;1.5,(H104/(B104+2)+J110+MAX(0,J111-J110)+MAX(0,J112-J111)+MAX(0,J113-J112)+MAX(0,J114-J113)+MAX(0,J115-J114)),IF(B104=1,(H104/(B104+3)+J115),IF(B104=0,H104/4+J115))))</f>
        <v>20</v>
      </c>
    </row>
    <row r="117" spans="1:22" x14ac:dyDescent="0.35">
      <c r="A117" s="259" t="s">
        <v>157</v>
      </c>
      <c r="B117" s="259"/>
      <c r="C117" s="259"/>
      <c r="D117" s="259"/>
      <c r="E117" s="259"/>
      <c r="F117" s="237" t="s">
        <v>161</v>
      </c>
      <c r="G117" s="237"/>
      <c r="H117" s="237"/>
      <c r="R117" t="s">
        <v>255</v>
      </c>
      <c r="S117" t="s">
        <v>174</v>
      </c>
      <c r="T117" t="s">
        <v>182</v>
      </c>
      <c r="U117" t="s">
        <v>196</v>
      </c>
      <c r="V117" t="s">
        <v>191</v>
      </c>
    </row>
    <row r="118" spans="1:22" x14ac:dyDescent="0.35">
      <c r="A118" s="148" t="s">
        <v>159</v>
      </c>
      <c r="B118" s="148"/>
      <c r="C118" s="148"/>
      <c r="D118" s="148"/>
      <c r="E118" s="148"/>
      <c r="F118" s="176">
        <v>4500</v>
      </c>
      <c r="G118" s="176"/>
      <c r="H118" s="176"/>
      <c r="I118" s="21" t="s">
        <v>413</v>
      </c>
      <c r="R118"/>
      <c r="S118">
        <v>800000</v>
      </c>
      <c r="T118">
        <v>150000</v>
      </c>
      <c r="U118">
        <v>100000</v>
      </c>
      <c r="V118">
        <v>100000</v>
      </c>
    </row>
    <row r="119" spans="1:22" x14ac:dyDescent="0.35">
      <c r="A119" s="148" t="s">
        <v>158</v>
      </c>
      <c r="B119" s="148"/>
      <c r="C119" s="148"/>
      <c r="D119" s="148"/>
      <c r="E119" s="148"/>
      <c r="F119" s="176">
        <v>10000</v>
      </c>
      <c r="G119" s="176"/>
      <c r="H119" s="176"/>
      <c r="R119"/>
      <c r="S119">
        <v>900000</v>
      </c>
      <c r="T119">
        <v>200000</v>
      </c>
      <c r="U119">
        <v>150000</v>
      </c>
      <c r="V119">
        <v>150000</v>
      </c>
    </row>
    <row r="120" spans="1:22" x14ac:dyDescent="0.35">
      <c r="A120" s="148" t="s">
        <v>160</v>
      </c>
      <c r="B120" s="148"/>
      <c r="C120" s="148"/>
      <c r="D120" s="148"/>
      <c r="E120" s="148"/>
      <c r="F120" s="176">
        <v>7000</v>
      </c>
      <c r="G120" s="176"/>
      <c r="H120" s="176"/>
      <c r="R120"/>
      <c r="S120">
        <v>1000000</v>
      </c>
      <c r="T120">
        <v>250000</v>
      </c>
      <c r="U120">
        <v>200000</v>
      </c>
      <c r="V120">
        <v>200000</v>
      </c>
    </row>
    <row r="121" spans="1:22" s="33" customFormat="1" ht="15.75" hidden="1" customHeight="1" x14ac:dyDescent="0.35">
      <c r="A121" s="148" t="s">
        <v>177</v>
      </c>
      <c r="B121" s="148"/>
      <c r="C121" s="148"/>
      <c r="D121" s="148"/>
      <c r="E121" s="148"/>
      <c r="F121" s="176"/>
      <c r="G121" s="176"/>
      <c r="H121" s="176"/>
      <c r="R121"/>
      <c r="S121">
        <v>1100000</v>
      </c>
      <c r="T121">
        <v>300000</v>
      </c>
      <c r="U121">
        <v>250000</v>
      </c>
      <c r="V121" s="23">
        <v>250000</v>
      </c>
    </row>
    <row r="122" spans="1:22" s="33" customFormat="1" x14ac:dyDescent="0.35">
      <c r="A122" s="148" t="s">
        <v>92</v>
      </c>
      <c r="B122" s="148"/>
      <c r="C122" s="148"/>
      <c r="D122" s="148"/>
      <c r="E122" s="148"/>
      <c r="F122" s="176">
        <v>260000</v>
      </c>
      <c r="G122" s="176"/>
      <c r="H122" s="176"/>
      <c r="R122"/>
      <c r="S122">
        <v>1200000</v>
      </c>
      <c r="T122">
        <v>350000</v>
      </c>
      <c r="U122">
        <v>300000</v>
      </c>
      <c r="V122">
        <v>300000</v>
      </c>
    </row>
    <row r="123" spans="1:22" s="33" customFormat="1" x14ac:dyDescent="0.35">
      <c r="A123" s="148" t="s">
        <v>411</v>
      </c>
      <c r="B123" s="148"/>
      <c r="C123" s="148"/>
      <c r="D123" s="148"/>
      <c r="E123" s="148"/>
      <c r="F123" s="176">
        <v>40000</v>
      </c>
      <c r="G123" s="176"/>
      <c r="H123" s="176"/>
      <c r="R123"/>
      <c r="S123">
        <v>1300000</v>
      </c>
      <c r="T123">
        <v>400000</v>
      </c>
      <c r="U123">
        <v>350000</v>
      </c>
      <c r="V123" s="23">
        <v>400000</v>
      </c>
    </row>
    <row r="124" spans="1:22" s="33" customFormat="1" hidden="1" x14ac:dyDescent="0.35">
      <c r="A124" s="148" t="s">
        <v>93</v>
      </c>
      <c r="B124" s="148"/>
      <c r="C124" s="148"/>
      <c r="D124" s="148"/>
      <c r="E124" s="148"/>
      <c r="F124" s="176"/>
      <c r="G124" s="176"/>
      <c r="H124" s="176"/>
      <c r="R124"/>
      <c r="S124">
        <v>1400000</v>
      </c>
      <c r="T124">
        <v>500000</v>
      </c>
      <c r="U124">
        <v>400000</v>
      </c>
      <c r="V124"/>
    </row>
    <row r="125" spans="1:22" s="33" customFormat="1" hidden="1" x14ac:dyDescent="0.35">
      <c r="A125" s="148" t="s">
        <v>94</v>
      </c>
      <c r="B125" s="148"/>
      <c r="C125" s="148"/>
      <c r="D125" s="148"/>
      <c r="E125" s="148"/>
      <c r="F125" s="176"/>
      <c r="G125" s="176"/>
      <c r="H125" s="176"/>
      <c r="R125"/>
      <c r="S125">
        <v>1500000</v>
      </c>
      <c r="T125">
        <v>600000</v>
      </c>
      <c r="U125">
        <v>500000</v>
      </c>
      <c r="V125" s="23"/>
    </row>
    <row r="126" spans="1:22" s="33" customFormat="1" hidden="1" x14ac:dyDescent="0.35">
      <c r="A126" s="148" t="s">
        <v>95</v>
      </c>
      <c r="B126" s="148"/>
      <c r="C126" s="148"/>
      <c r="D126" s="148"/>
      <c r="E126" s="148"/>
      <c r="F126" s="176"/>
      <c r="G126" s="176"/>
      <c r="H126" s="176"/>
      <c r="R126"/>
      <c r="S126">
        <v>1600000</v>
      </c>
      <c r="T126">
        <v>700000</v>
      </c>
      <c r="U126">
        <v>600000</v>
      </c>
      <c r="V126"/>
    </row>
    <row r="127" spans="1:22" s="33" customFormat="1" hidden="1" x14ac:dyDescent="0.35">
      <c r="A127" s="148" t="s">
        <v>96</v>
      </c>
      <c r="B127" s="148"/>
      <c r="C127" s="148"/>
      <c r="D127" s="148"/>
      <c r="E127" s="148"/>
      <c r="F127" s="176"/>
      <c r="G127" s="176"/>
      <c r="H127" s="176"/>
      <c r="R127"/>
      <c r="S127">
        <v>1700000</v>
      </c>
      <c r="T127">
        <v>800000</v>
      </c>
      <c r="U127"/>
      <c r="V127" s="23"/>
    </row>
    <row r="128" spans="1:22" x14ac:dyDescent="0.35">
      <c r="A128" s="148" t="s">
        <v>49</v>
      </c>
      <c r="B128" s="148"/>
      <c r="C128" s="148"/>
      <c r="D128" s="148"/>
      <c r="E128" s="148"/>
      <c r="F128" s="235">
        <v>300000</v>
      </c>
      <c r="G128" s="235"/>
      <c r="H128" s="235"/>
      <c r="R128"/>
      <c r="S128">
        <v>1800000</v>
      </c>
      <c r="T128">
        <v>900000</v>
      </c>
      <c r="U128"/>
    </row>
    <row r="129" spans="1:22" s="34" customFormat="1" x14ac:dyDescent="0.35">
      <c r="A129" s="196" t="s">
        <v>50</v>
      </c>
      <c r="B129" s="196"/>
      <c r="C129" s="196"/>
      <c r="D129" s="196"/>
      <c r="E129" s="196"/>
      <c r="F129" s="176">
        <f>F118*0.8</f>
        <v>3600</v>
      </c>
      <c r="G129" s="176"/>
      <c r="H129" s="176"/>
      <c r="R129" s="21"/>
      <c r="S129" s="21"/>
      <c r="T129">
        <v>1000000</v>
      </c>
      <c r="U129"/>
      <c r="V129" s="21"/>
    </row>
    <row r="130" spans="1:22" s="35" customFormat="1" ht="15.75" customHeight="1" x14ac:dyDescent="0.35">
      <c r="A130" s="152" t="s">
        <v>72</v>
      </c>
      <c r="B130" s="152"/>
      <c r="C130" s="152"/>
      <c r="D130" s="152"/>
      <c r="E130" s="152"/>
      <c r="F130" s="152"/>
      <c r="G130" s="152"/>
      <c r="H130" s="152"/>
      <c r="R130"/>
      <c r="S130" s="21"/>
      <c r="T130"/>
      <c r="U130"/>
      <c r="V130" s="21"/>
    </row>
    <row r="131" spans="1:22" s="35" customFormat="1" ht="15.75" customHeight="1" x14ac:dyDescent="0.35">
      <c r="A131" s="108" t="s">
        <v>51</v>
      </c>
      <c r="B131" s="108"/>
      <c r="C131" s="154" t="s">
        <v>75</v>
      </c>
      <c r="D131" s="154"/>
      <c r="E131" s="239" t="s">
        <v>52</v>
      </c>
      <c r="F131" s="239"/>
      <c r="G131" s="108" t="s">
        <v>53</v>
      </c>
      <c r="H131" s="108"/>
      <c r="R131"/>
      <c r="S131" s="21"/>
      <c r="T131"/>
      <c r="U131" s="21"/>
      <c r="V131" s="21"/>
    </row>
    <row r="132" spans="1:22" s="35" customFormat="1" x14ac:dyDescent="0.35">
      <c r="A132" s="155" t="s">
        <v>397</v>
      </c>
      <c r="B132" s="155"/>
      <c r="C132" s="116">
        <f>COUNT(D148:D150)</f>
        <v>3</v>
      </c>
      <c r="D132" s="117"/>
      <c r="E132" s="116">
        <f t="shared" ref="E132" si="0">SUM(F148:F150)</f>
        <v>467.69579999999996</v>
      </c>
      <c r="F132" s="117"/>
      <c r="G132" s="116">
        <f t="shared" ref="G132" si="1">SUM(H148:H150)</f>
        <v>701.54369999999994</v>
      </c>
      <c r="H132" s="117"/>
      <c r="R132"/>
      <c r="S132" s="21"/>
      <c r="T132"/>
      <c r="U132" s="21"/>
      <c r="V132" s="21"/>
    </row>
    <row r="133" spans="1:22" s="35" customFormat="1" x14ac:dyDescent="0.35">
      <c r="A133" s="155" t="s">
        <v>405</v>
      </c>
      <c r="B133" s="155"/>
      <c r="C133" s="116">
        <f>COUNT(D155:D160)</f>
        <v>6</v>
      </c>
      <c r="D133" s="117"/>
      <c r="E133" s="116">
        <f>SUM(F155:F160)</f>
        <v>2988.9542474999998</v>
      </c>
      <c r="F133" s="117"/>
      <c r="G133" s="116">
        <f>SUM(H155:H160)</f>
        <v>4483.4313712500007</v>
      </c>
      <c r="H133" s="117"/>
      <c r="R133"/>
      <c r="S133" s="21"/>
      <c r="T133"/>
      <c r="U133" s="21"/>
      <c r="V133" s="21"/>
    </row>
    <row r="134" spans="1:22" s="35" customFormat="1" x14ac:dyDescent="0.35">
      <c r="A134" s="155" t="s">
        <v>406</v>
      </c>
      <c r="B134" s="155"/>
      <c r="C134" s="116">
        <f>COUNT(D161)</f>
        <v>1</v>
      </c>
      <c r="D134" s="117"/>
      <c r="E134" s="116">
        <f t="shared" ref="E134" si="2">SUM(F161)</f>
        <v>209.95181999999997</v>
      </c>
      <c r="F134" s="117"/>
      <c r="G134" s="116">
        <f t="shared" ref="G134" si="3">SUM(H161)</f>
        <v>314.92772999999994</v>
      </c>
      <c r="H134" s="117"/>
      <c r="R134"/>
      <c r="S134" s="21"/>
      <c r="T134"/>
      <c r="U134" s="21"/>
      <c r="V134" s="21"/>
    </row>
    <row r="135" spans="1:22" s="35" customFormat="1" x14ac:dyDescent="0.35">
      <c r="A135" s="152" t="s">
        <v>150</v>
      </c>
      <c r="B135" s="152"/>
      <c r="C135" s="153">
        <f>C133+C132</f>
        <v>9</v>
      </c>
      <c r="D135" s="154"/>
      <c r="E135" s="153">
        <f t="shared" ref="E135" si="4">E133+E132</f>
        <v>3456.6500474999998</v>
      </c>
      <c r="F135" s="154"/>
      <c r="G135" s="153">
        <f t="shared" ref="G135" si="5">G133+G132</f>
        <v>5184.9750712500008</v>
      </c>
      <c r="H135" s="154"/>
      <c r="R135"/>
      <c r="S135" s="21"/>
      <c r="T135"/>
      <c r="U135" s="21"/>
      <c r="V135" s="21"/>
    </row>
    <row r="136" spans="1:22" s="35" customFormat="1" x14ac:dyDescent="0.35">
      <c r="A136" s="152" t="s">
        <v>67</v>
      </c>
      <c r="B136" s="152"/>
      <c r="C136" s="152"/>
      <c r="D136" s="152"/>
      <c r="E136" s="152"/>
      <c r="F136" s="152"/>
      <c r="G136" s="152"/>
      <c r="H136" s="152"/>
      <c r="T136"/>
    </row>
    <row r="137" spans="1:22" s="35" customFormat="1" ht="15.75" customHeight="1" x14ac:dyDescent="0.35">
      <c r="A137" s="108" t="s">
        <v>51</v>
      </c>
      <c r="B137" s="108"/>
      <c r="C137" s="154" t="s">
        <v>75</v>
      </c>
      <c r="D137" s="154"/>
      <c r="E137" s="239" t="s">
        <v>52</v>
      </c>
      <c r="F137" s="239"/>
      <c r="G137" s="108" t="s">
        <v>53</v>
      </c>
      <c r="H137" s="108"/>
      <c r="T137"/>
    </row>
    <row r="138" spans="1:22" s="35" customFormat="1" ht="16" thickBot="1" x14ac:dyDescent="0.4">
      <c r="A138" s="155" t="s">
        <v>362</v>
      </c>
      <c r="B138" s="155"/>
      <c r="C138" s="116">
        <f>COUNT(D170:D174)*7</f>
        <v>35</v>
      </c>
      <c r="D138" s="116"/>
      <c r="E138" s="116">
        <f t="shared" ref="E138" si="6">SUM(F170:F174)*7</f>
        <v>16772.653169999994</v>
      </c>
      <c r="F138" s="116"/>
      <c r="G138" s="116">
        <f t="shared" ref="G138" si="7">SUM(H170:H174)*7</f>
        <v>24320.347096499998</v>
      </c>
      <c r="H138" s="116"/>
      <c r="T138"/>
    </row>
    <row r="139" spans="1:22" s="35" customFormat="1" hidden="1" x14ac:dyDescent="0.35">
      <c r="A139" s="155"/>
      <c r="B139" s="155"/>
      <c r="C139" s="117"/>
      <c r="D139" s="117"/>
      <c r="E139" s="156"/>
      <c r="F139" s="156"/>
      <c r="G139" s="157"/>
      <c r="H139" s="157"/>
      <c r="T139"/>
    </row>
    <row r="140" spans="1:22" s="35" customFormat="1" ht="16" hidden="1" thickBot="1" x14ac:dyDescent="0.4">
      <c r="A140" s="149" t="s">
        <v>150</v>
      </c>
      <c r="B140" s="149"/>
      <c r="C140" s="246"/>
      <c r="D140" s="246"/>
      <c r="E140" s="150"/>
      <c r="F140" s="150"/>
      <c r="G140" s="151"/>
      <c r="H140" s="151"/>
      <c r="T140"/>
    </row>
    <row r="141" spans="1:22" s="35" customFormat="1" ht="16" thickBot="1" x14ac:dyDescent="0.4">
      <c r="A141" s="243" t="s">
        <v>167</v>
      </c>
      <c r="B141" s="244"/>
      <c r="C141" s="164">
        <f>C135+C140+C138+C134</f>
        <v>45</v>
      </c>
      <c r="D141" s="165"/>
      <c r="E141" s="164">
        <f t="shared" ref="E141" si="8">E135+E140+E138+E134</f>
        <v>20439.255037499992</v>
      </c>
      <c r="F141" s="165"/>
      <c r="G141" s="164">
        <f t="shared" ref="G141" si="9">G135+G140+G138+G134</f>
        <v>29820.249897749996</v>
      </c>
      <c r="H141" s="165"/>
      <c r="T141"/>
    </row>
    <row r="142" spans="1:22" s="34" customFormat="1" x14ac:dyDescent="0.35">
      <c r="A142" s="240" t="s">
        <v>54</v>
      </c>
      <c r="B142" s="240"/>
      <c r="C142" s="240"/>
      <c r="D142" s="240"/>
      <c r="E142" s="240"/>
      <c r="F142" s="240"/>
      <c r="G142" s="240"/>
      <c r="H142" s="240"/>
      <c r="T142" s="35"/>
    </row>
    <row r="143" spans="1:22" x14ac:dyDescent="0.35">
      <c r="A143" s="252" t="s">
        <v>176</v>
      </c>
      <c r="B143" s="252"/>
      <c r="C143" s="252"/>
      <c r="D143" s="252"/>
      <c r="E143" s="252"/>
      <c r="F143" s="252"/>
      <c r="G143" s="252"/>
      <c r="H143" s="252"/>
      <c r="T143" s="35"/>
    </row>
    <row r="144" spans="1:22" ht="47.25" customHeight="1" x14ac:dyDescent="0.35">
      <c r="A144" s="123" t="s">
        <v>390</v>
      </c>
      <c r="B144" s="123" t="s">
        <v>178</v>
      </c>
      <c r="C144" s="123" t="s">
        <v>55</v>
      </c>
      <c r="D144" s="123" t="s">
        <v>364</v>
      </c>
      <c r="E144" s="143" t="s">
        <v>156</v>
      </c>
      <c r="F144" s="123" t="s">
        <v>56</v>
      </c>
      <c r="G144" s="143" t="s">
        <v>57</v>
      </c>
      <c r="H144" s="96" t="s">
        <v>148</v>
      </c>
      <c r="T144" s="35"/>
    </row>
    <row r="145" spans="1:20" s="37" customFormat="1" x14ac:dyDescent="0.35">
      <c r="A145" s="124"/>
      <c r="B145" s="124"/>
      <c r="C145" s="124"/>
      <c r="D145" s="124"/>
      <c r="E145" s="144"/>
      <c r="F145" s="124"/>
      <c r="G145" s="144"/>
      <c r="H145" s="97">
        <v>0.5</v>
      </c>
      <c r="T145" s="35"/>
    </row>
    <row r="146" spans="1:20" s="87" customFormat="1" x14ac:dyDescent="0.35">
      <c r="A146" s="118" t="s">
        <v>407</v>
      </c>
      <c r="B146" s="119"/>
      <c r="C146" s="119"/>
      <c r="D146" s="119"/>
      <c r="E146" s="119"/>
      <c r="F146" s="119"/>
      <c r="G146" s="119"/>
      <c r="H146" s="120"/>
      <c r="J146" s="36"/>
    </row>
    <row r="147" spans="1:20" s="87" customFormat="1" x14ac:dyDescent="0.35">
      <c r="A147" s="118" t="s">
        <v>363</v>
      </c>
      <c r="B147" s="119"/>
      <c r="C147" s="119"/>
      <c r="D147" s="119"/>
      <c r="E147" s="119"/>
      <c r="F147" s="119"/>
      <c r="G147" s="119"/>
      <c r="H147" s="120"/>
      <c r="J147" s="86">
        <v>10.763999999999999</v>
      </c>
      <c r="T147" s="35"/>
    </row>
    <row r="148" spans="1:20" s="87" customFormat="1" ht="15.75" customHeight="1" x14ac:dyDescent="0.35">
      <c r="A148" s="130">
        <v>1</v>
      </c>
      <c r="B148" s="131"/>
      <c r="C148" s="86" t="s">
        <v>365</v>
      </c>
      <c r="D148" s="86">
        <f>(13.85)*10.764</f>
        <v>149.08139999999997</v>
      </c>
      <c r="E148" s="86">
        <v>0</v>
      </c>
      <c r="F148" s="86">
        <f>D148+(IF(E148&lt;201,E148,IF(E148&lt;301,E148/2,E148/3)))</f>
        <v>149.08139999999997</v>
      </c>
      <c r="G148" s="63">
        <v>0</v>
      </c>
      <c r="H148" s="86">
        <f>(F148+(IF(G148&lt;101,G148,IF(G148&lt;201,G148/2,IF(G148&lt;=301,G148/3,G148/4)))))*(($H$145)+1)</f>
        <v>223.62209999999996</v>
      </c>
      <c r="I148" s="36">
        <f>2.75*5.035</f>
        <v>13.846250000000001</v>
      </c>
      <c r="L148" s="158"/>
      <c r="M148" s="158"/>
      <c r="N148" s="36"/>
      <c r="T148" s="35"/>
    </row>
    <row r="149" spans="1:20" s="87" customFormat="1" ht="15.75" customHeight="1" x14ac:dyDescent="0.35">
      <c r="A149" s="130">
        <f>A148+1</f>
        <v>2</v>
      </c>
      <c r="B149" s="131"/>
      <c r="C149" s="86" t="s">
        <v>365</v>
      </c>
      <c r="D149" s="86">
        <f>(14.1)*10.764</f>
        <v>151.77239999999998</v>
      </c>
      <c r="E149" s="86">
        <v>0</v>
      </c>
      <c r="F149" s="86">
        <f t="shared" ref="F149:F151" si="10">D149+(IF(E149&lt;201,E149,IF(E149&lt;301,E149/2,E149/3)))</f>
        <v>151.77239999999998</v>
      </c>
      <c r="G149" s="86">
        <v>0</v>
      </c>
      <c r="H149" s="86">
        <f t="shared" ref="H149:H151" si="11">(F149+(IF(G149&lt;101,G149,IF(G149&lt;201,G149/2,IF(G149&lt;=301,G149/3,G149/4)))))*(($H$145)+1)</f>
        <v>227.65859999999998</v>
      </c>
      <c r="I149" s="36"/>
      <c r="K149" s="87">
        <f>H149*10000</f>
        <v>2276586</v>
      </c>
      <c r="L149" s="158"/>
      <c r="M149" s="158"/>
      <c r="N149" s="36"/>
      <c r="T149" s="34"/>
    </row>
    <row r="150" spans="1:20" s="87" customFormat="1" ht="15.75" customHeight="1" x14ac:dyDescent="0.35">
      <c r="A150" s="130">
        <f>A149+1</f>
        <v>3</v>
      </c>
      <c r="B150" s="131"/>
      <c r="C150" s="86" t="s">
        <v>365</v>
      </c>
      <c r="D150" s="86">
        <f>(15.5)*10.764</f>
        <v>166.84199999999998</v>
      </c>
      <c r="E150" s="86">
        <v>0</v>
      </c>
      <c r="F150" s="86">
        <f t="shared" si="10"/>
        <v>166.84199999999998</v>
      </c>
      <c r="G150" s="86">
        <v>0</v>
      </c>
      <c r="H150" s="86">
        <f t="shared" si="11"/>
        <v>250.26299999999998</v>
      </c>
      <c r="I150" s="98">
        <f>2.75*5.635</f>
        <v>15.49625</v>
      </c>
      <c r="L150" s="158"/>
      <c r="M150" s="158"/>
      <c r="N150" s="36"/>
      <c r="T150" s="21"/>
    </row>
    <row r="151" spans="1:20" s="87" customFormat="1" ht="15.75" hidden="1" customHeight="1" x14ac:dyDescent="0.35">
      <c r="A151" s="130">
        <f>A150+1</f>
        <v>4</v>
      </c>
      <c r="B151" s="131"/>
      <c r="C151" s="86"/>
      <c r="D151" s="86"/>
      <c r="E151" s="86">
        <v>0</v>
      </c>
      <c r="F151" s="86">
        <f t="shared" si="10"/>
        <v>0</v>
      </c>
      <c r="G151" s="86">
        <v>0</v>
      </c>
      <c r="H151" s="86">
        <f t="shared" si="11"/>
        <v>0</v>
      </c>
      <c r="I151" s="36"/>
      <c r="L151" s="158"/>
      <c r="M151" s="158"/>
      <c r="N151" s="36"/>
      <c r="T151" s="21"/>
    </row>
    <row r="152" spans="1:20" s="87" customFormat="1" x14ac:dyDescent="0.35">
      <c r="A152" s="118" t="s">
        <v>408</v>
      </c>
      <c r="B152" s="119"/>
      <c r="C152" s="119"/>
      <c r="D152" s="119"/>
      <c r="E152" s="119"/>
      <c r="F152" s="119"/>
      <c r="G152" s="119"/>
      <c r="H152" s="120"/>
      <c r="J152" s="36"/>
      <c r="T152" s="35"/>
    </row>
    <row r="153" spans="1:20" s="88" customFormat="1" x14ac:dyDescent="0.35">
      <c r="A153" s="118" t="s">
        <v>375</v>
      </c>
      <c r="B153" s="119"/>
      <c r="C153" s="119"/>
      <c r="D153" s="119"/>
      <c r="E153" s="119"/>
      <c r="F153" s="119"/>
      <c r="G153" s="119"/>
      <c r="H153" s="120"/>
      <c r="J153" s="36"/>
      <c r="T153" s="35"/>
    </row>
    <row r="154" spans="1:20" s="37" customFormat="1" x14ac:dyDescent="0.35">
      <c r="A154" s="118" t="s">
        <v>371</v>
      </c>
      <c r="B154" s="119"/>
      <c r="C154" s="119"/>
      <c r="D154" s="119"/>
      <c r="E154" s="119"/>
      <c r="F154" s="119"/>
      <c r="G154" s="119"/>
      <c r="H154" s="120"/>
      <c r="J154" s="36"/>
      <c r="T154" s="35"/>
    </row>
    <row r="155" spans="1:20" s="37" customFormat="1" ht="15.75" customHeight="1" x14ac:dyDescent="0.35">
      <c r="A155" s="130">
        <v>4</v>
      </c>
      <c r="B155" s="131"/>
      <c r="C155" s="42" t="s">
        <v>365</v>
      </c>
      <c r="D155" s="89">
        <f>(3.1*9.2+3.2*3.9)*10.764</f>
        <v>441.32399999999996</v>
      </c>
      <c r="E155" s="63">
        <f>(6.3*3.9)*10.764</f>
        <v>264.47147999999999</v>
      </c>
      <c r="F155" s="62">
        <f>D155+(IF(E155&lt;201,E155,IF(E155&lt;301,E155/2,E155/3)))</f>
        <v>573.55973999999992</v>
      </c>
      <c r="G155" s="63">
        <v>0</v>
      </c>
      <c r="H155" s="62">
        <f>(F155+(IF(G155&lt;101,G155,IF(G155&lt;201,G155/2,IF(G155&lt;=301,G155/3,G155/4)))))*(($H$145)+1)</f>
        <v>860.33960999999988</v>
      </c>
      <c r="I155" s="36">
        <f>3.1*9.2+3.2*3.9</f>
        <v>41</v>
      </c>
      <c r="J155" s="90">
        <f>0.5*(3.1*9.2+3.2*3.9)</f>
        <v>20.5</v>
      </c>
      <c r="K155" s="91">
        <f>J155+I155</f>
        <v>61.5</v>
      </c>
      <c r="L155" s="95">
        <f t="shared" ref="L155:M155" si="12">(0.5*(3.1*9.2+3.2*3.9))*10.764</f>
        <v>220.66199999999998</v>
      </c>
      <c r="M155" s="95">
        <f t="shared" si="12"/>
        <v>220.66199999999998</v>
      </c>
      <c r="N155" s="36"/>
      <c r="T155" s="35"/>
    </row>
    <row r="156" spans="1:20" s="37" customFormat="1" ht="15.75" customHeight="1" x14ac:dyDescent="0.35">
      <c r="A156" s="130">
        <f>A155+1</f>
        <v>5</v>
      </c>
      <c r="B156" s="131"/>
      <c r="C156" s="89" t="s">
        <v>365</v>
      </c>
      <c r="D156" s="89">
        <f>(3.35*11.15)*10.764</f>
        <v>402.06230999999997</v>
      </c>
      <c r="E156" s="95">
        <f t="shared" ref="E156:E159" si="13">D156/2</f>
        <v>201.03115499999998</v>
      </c>
      <c r="F156" s="62">
        <f t="shared" ref="F156:F158" si="14">D156+(IF(E156&lt;201,E156,IF(E156&lt;301,E156/2,E156/3)))</f>
        <v>502.57788749999997</v>
      </c>
      <c r="G156" s="54">
        <v>0</v>
      </c>
      <c r="H156" s="62">
        <f t="shared" ref="H156:H158" si="15">(F156+(IF(G156&lt;101,G156,IF(G156&lt;201,G156/2,IF(G156&lt;=301,G156/3,G156/4)))))*(($H$145)+1)</f>
        <v>753.8668312499999</v>
      </c>
      <c r="I156" s="36">
        <f>3.35*11.15</f>
        <v>37.352499999999999</v>
      </c>
      <c r="J156" s="90">
        <f>0.5*(3.35*11.15)</f>
        <v>18.67625</v>
      </c>
      <c r="K156" s="91">
        <f t="shared" ref="K156:K161" si="16">J156+I156</f>
        <v>56.028750000000002</v>
      </c>
      <c r="L156" s="95">
        <f t="shared" ref="L156:M156" si="17">(0.5*(3.35*11.15))*10.764</f>
        <v>201.03115499999998</v>
      </c>
      <c r="M156" s="95">
        <f t="shared" si="17"/>
        <v>201.03115499999998</v>
      </c>
      <c r="N156" s="36"/>
      <c r="T156" s="34"/>
    </row>
    <row r="157" spans="1:20" s="37" customFormat="1" ht="15.75" customHeight="1" x14ac:dyDescent="0.35">
      <c r="A157" s="130">
        <f>A156+1</f>
        <v>6</v>
      </c>
      <c r="B157" s="131"/>
      <c r="C157" s="89" t="s">
        <v>365</v>
      </c>
      <c r="D157" s="89">
        <f>(3.65*11.15)*10.764</f>
        <v>438.06788999999998</v>
      </c>
      <c r="E157" s="95">
        <f t="shared" si="13"/>
        <v>219.03394499999999</v>
      </c>
      <c r="F157" s="62">
        <f t="shared" si="14"/>
        <v>547.58486249999999</v>
      </c>
      <c r="G157" s="54">
        <v>0</v>
      </c>
      <c r="H157" s="62">
        <f t="shared" si="15"/>
        <v>821.37729375000004</v>
      </c>
      <c r="I157" s="36">
        <f>3.65*11.15</f>
        <v>40.697499999999998</v>
      </c>
      <c r="J157" s="90">
        <f>0.5*(3.65*11.15)</f>
        <v>20.348749999999999</v>
      </c>
      <c r="K157" s="91">
        <f t="shared" si="16"/>
        <v>61.046250000000001</v>
      </c>
      <c r="L157" s="95">
        <f t="shared" ref="L157:M158" si="18">(0.5*(3.65*11.15))*10.764</f>
        <v>219.03394499999999</v>
      </c>
      <c r="M157" s="95">
        <f t="shared" si="18"/>
        <v>219.03394499999999</v>
      </c>
      <c r="N157" s="36"/>
      <c r="T157" s="21"/>
    </row>
    <row r="158" spans="1:20" s="37" customFormat="1" ht="15.75" customHeight="1" x14ac:dyDescent="0.35">
      <c r="A158" s="130">
        <f>A157+1</f>
        <v>7</v>
      </c>
      <c r="B158" s="131"/>
      <c r="C158" s="89" t="s">
        <v>365</v>
      </c>
      <c r="D158" s="89">
        <f>(3.65*11.15)*10.764</f>
        <v>438.06788999999998</v>
      </c>
      <c r="E158" s="95">
        <f t="shared" si="13"/>
        <v>219.03394499999999</v>
      </c>
      <c r="F158" s="62">
        <f t="shared" si="14"/>
        <v>547.58486249999999</v>
      </c>
      <c r="G158" s="54">
        <v>0</v>
      </c>
      <c r="H158" s="62">
        <f t="shared" si="15"/>
        <v>821.37729375000004</v>
      </c>
      <c r="I158" s="36">
        <f>3.65*11.15</f>
        <v>40.697499999999998</v>
      </c>
      <c r="J158" s="90">
        <f>0.5*(3.65*11.15)</f>
        <v>20.348749999999999</v>
      </c>
      <c r="K158" s="91">
        <f t="shared" si="16"/>
        <v>61.046250000000001</v>
      </c>
      <c r="L158" s="95">
        <f t="shared" si="18"/>
        <v>219.03394499999999</v>
      </c>
      <c r="M158" s="95">
        <f t="shared" si="18"/>
        <v>219.03394499999999</v>
      </c>
      <c r="N158" s="36"/>
      <c r="T158" s="21"/>
    </row>
    <row r="159" spans="1:20" s="88" customFormat="1" ht="15.75" customHeight="1" x14ac:dyDescent="0.35">
      <c r="A159" s="130">
        <f>A158+1</f>
        <v>8</v>
      </c>
      <c r="B159" s="131"/>
      <c r="C159" s="89" t="s">
        <v>365</v>
      </c>
      <c r="D159" s="89">
        <f>(3.65*11.3)*10.764</f>
        <v>443.96118000000001</v>
      </c>
      <c r="E159" s="95">
        <f t="shared" si="13"/>
        <v>221.98059000000001</v>
      </c>
      <c r="F159" s="89">
        <f t="shared" ref="F159" si="19">D159+(IF(E159&lt;201,E159,IF(E159&lt;301,E159/2,E159/3)))</f>
        <v>554.95147500000007</v>
      </c>
      <c r="G159" s="89">
        <v>0</v>
      </c>
      <c r="H159" s="89">
        <f t="shared" ref="H159" si="20">(F159+(IF(G159&lt;101,G159,IF(G159&lt;201,G159/2,IF(G159&lt;=301,G159/3,G159/4)))))*(($H$145)+1)</f>
        <v>832.42721250000011</v>
      </c>
      <c r="I159" s="36">
        <f>3.65*11.3</f>
        <v>41.245000000000005</v>
      </c>
      <c r="J159" s="90">
        <f>0.5*(3.65*11.3)</f>
        <v>20.622500000000002</v>
      </c>
      <c r="K159" s="91">
        <f t="shared" si="16"/>
        <v>61.867500000000007</v>
      </c>
      <c r="L159" s="95">
        <f t="shared" ref="L159:M159" si="21">(0.5*(3.65*11.3))*10.764</f>
        <v>221.98059000000001</v>
      </c>
      <c r="M159" s="95">
        <f t="shared" si="21"/>
        <v>221.98059000000001</v>
      </c>
      <c r="N159" s="36"/>
      <c r="T159" s="21"/>
    </row>
    <row r="160" spans="1:20" s="88" customFormat="1" ht="15.75" customHeight="1" x14ac:dyDescent="0.35">
      <c r="A160" s="130">
        <f>A159+1</f>
        <v>9</v>
      </c>
      <c r="B160" s="131"/>
      <c r="C160" s="89" t="s">
        <v>365</v>
      </c>
      <c r="D160" s="89">
        <f>(3.7*5+1.285*(1.5+1.5)+2.05*1)*10.764</f>
        <v>262.69542000000001</v>
      </c>
      <c r="E160" s="89">
        <v>0</v>
      </c>
      <c r="F160" s="89">
        <f t="shared" ref="F160" si="22">D160+(IF(E160&lt;201,E160,IF(E160&lt;301,E160/2,E160/3)))</f>
        <v>262.69542000000001</v>
      </c>
      <c r="G160" s="89">
        <v>0</v>
      </c>
      <c r="H160" s="89">
        <f t="shared" ref="H160" si="23">(F160+(IF(G160&lt;101,G160,IF(G160&lt;201,G160/2,IF(G160&lt;=301,G160/3,G160/4)))))*(($H$145)+1)</f>
        <v>394.04313000000002</v>
      </c>
      <c r="I160" s="36">
        <f>3.7*5+1.285*(1.5+1.5)+2.05*1</f>
        <v>24.405000000000001</v>
      </c>
      <c r="J160" s="90">
        <v>0</v>
      </c>
      <c r="K160" s="91">
        <f t="shared" si="16"/>
        <v>24.405000000000001</v>
      </c>
      <c r="L160" s="158"/>
      <c r="M160" s="158"/>
      <c r="N160" s="36"/>
      <c r="T160" s="21"/>
    </row>
    <row r="161" spans="1:20" s="88" customFormat="1" ht="15.75" customHeight="1" x14ac:dyDescent="0.35">
      <c r="A161" s="130">
        <v>1</v>
      </c>
      <c r="B161" s="131"/>
      <c r="C161" s="89" t="s">
        <v>370</v>
      </c>
      <c r="D161" s="89">
        <f>(4.1*3.9+1.85*1.9)*10.764</f>
        <v>209.95181999999997</v>
      </c>
      <c r="E161" s="89">
        <v>0</v>
      </c>
      <c r="F161" s="89">
        <f t="shared" ref="F161" si="24">D161+(IF(E161&lt;201,E161,IF(E161&lt;301,E161/2,E161/3)))</f>
        <v>209.95181999999997</v>
      </c>
      <c r="G161" s="89">
        <v>0</v>
      </c>
      <c r="H161" s="89">
        <f t="shared" ref="H161" si="25">(F161+(IF(G161&lt;101,G161,IF(G161&lt;201,G161/2,IF(G161&lt;=301,G161/3,G161/4)))))*(($H$145)+1)</f>
        <v>314.92772999999994</v>
      </c>
      <c r="I161" s="36">
        <f>4.1*3.9+1.85*1.9</f>
        <v>19.504999999999999</v>
      </c>
      <c r="J161" s="88">
        <v>0</v>
      </c>
      <c r="K161" s="91">
        <f t="shared" si="16"/>
        <v>19.504999999999999</v>
      </c>
      <c r="L161" s="158"/>
      <c r="M161" s="158"/>
      <c r="N161" s="36"/>
      <c r="T161" s="21"/>
    </row>
    <row r="162" spans="1:20" s="88" customFormat="1" x14ac:dyDescent="0.35">
      <c r="A162" s="118" t="s">
        <v>372</v>
      </c>
      <c r="B162" s="119"/>
      <c r="C162" s="119"/>
      <c r="D162" s="119"/>
      <c r="E162" s="119"/>
      <c r="F162" s="119"/>
      <c r="G162" s="119"/>
      <c r="H162" s="120"/>
      <c r="J162" s="36"/>
      <c r="T162" s="35"/>
    </row>
    <row r="163" spans="1:20" s="88" customFormat="1" x14ac:dyDescent="0.35">
      <c r="A163" s="118" t="s">
        <v>373</v>
      </c>
      <c r="B163" s="119"/>
      <c r="C163" s="119"/>
      <c r="D163" s="119"/>
      <c r="E163" s="119"/>
      <c r="F163" s="119"/>
      <c r="G163" s="119"/>
      <c r="H163" s="120"/>
      <c r="J163" s="36"/>
      <c r="T163" s="35"/>
    </row>
    <row r="164" spans="1:20" s="37" customFormat="1" x14ac:dyDescent="0.35">
      <c r="A164" s="130"/>
      <c r="B164" s="238"/>
      <c r="C164" s="238"/>
      <c r="D164" s="238"/>
      <c r="E164" s="238"/>
      <c r="F164" s="238"/>
      <c r="G164" s="238"/>
      <c r="H164" s="131"/>
      <c r="I164" s="36"/>
      <c r="N164" s="36"/>
    </row>
    <row r="165" spans="1:20" ht="47.25" customHeight="1" x14ac:dyDescent="0.35">
      <c r="A165" s="241" t="s">
        <v>118</v>
      </c>
      <c r="B165" s="125" t="s">
        <v>179</v>
      </c>
      <c r="C165" s="125" t="s">
        <v>55</v>
      </c>
      <c r="D165" s="123" t="s">
        <v>364</v>
      </c>
      <c r="E165" s="125" t="s">
        <v>391</v>
      </c>
      <c r="F165" s="125" t="s">
        <v>56</v>
      </c>
      <c r="G165" s="162" t="s">
        <v>57</v>
      </c>
      <c r="H165" s="68" t="s">
        <v>148</v>
      </c>
      <c r="I165" s="36"/>
      <c r="T165" s="37"/>
    </row>
    <row r="166" spans="1:20" s="37" customFormat="1" x14ac:dyDescent="0.35">
      <c r="A166" s="242"/>
      <c r="B166" s="126"/>
      <c r="C166" s="126"/>
      <c r="D166" s="124"/>
      <c r="E166" s="126"/>
      <c r="F166" s="126"/>
      <c r="G166" s="163"/>
      <c r="H166" s="97">
        <v>0.45</v>
      </c>
      <c r="I166" s="36"/>
    </row>
    <row r="167" spans="1:20" s="87" customFormat="1" x14ac:dyDescent="0.35">
      <c r="A167" s="118" t="s">
        <v>407</v>
      </c>
      <c r="B167" s="119"/>
      <c r="C167" s="119"/>
      <c r="D167" s="119"/>
      <c r="E167" s="119"/>
      <c r="F167" s="119"/>
      <c r="G167" s="119"/>
      <c r="H167" s="120"/>
      <c r="J167" s="36"/>
    </row>
    <row r="168" spans="1:20" s="87" customFormat="1" x14ac:dyDescent="0.35">
      <c r="A168" s="118" t="s">
        <v>363</v>
      </c>
      <c r="B168" s="119"/>
      <c r="C168" s="119"/>
      <c r="D168" s="119"/>
      <c r="E168" s="119"/>
      <c r="F168" s="119"/>
      <c r="G168" s="119"/>
      <c r="H168" s="120"/>
      <c r="J168" s="86">
        <v>10.763999999999999</v>
      </c>
      <c r="T168" s="35"/>
    </row>
    <row r="169" spans="1:20" s="37" customFormat="1" x14ac:dyDescent="0.35">
      <c r="A169" s="118" t="s">
        <v>366</v>
      </c>
      <c r="B169" s="119"/>
      <c r="C169" s="119"/>
      <c r="D169" s="119"/>
      <c r="E169" s="119"/>
      <c r="F169" s="119"/>
      <c r="G169" s="119"/>
      <c r="H169" s="120"/>
      <c r="I169" s="37">
        <f>2.75*4.6+2.15*3.05+3.385*2.9+2.15*1.2+2.15*1.2</f>
        <v>34.18399999999999</v>
      </c>
      <c r="J169" s="36"/>
      <c r="N169" s="37">
        <v>4450</v>
      </c>
    </row>
    <row r="170" spans="1:20" s="37" customFormat="1" ht="15.75" customHeight="1" x14ac:dyDescent="0.35">
      <c r="A170" s="130">
        <v>1</v>
      </c>
      <c r="B170" s="131"/>
      <c r="C170" s="42" t="s">
        <v>367</v>
      </c>
      <c r="D170" s="89">
        <f>(2.75*4.6+2.15*3.05+3.385*2.9+2.15*1.2+2.15*1.2+1.1*0.3)*10.764</f>
        <v>371.50869599999987</v>
      </c>
      <c r="E170" s="89">
        <v>0</v>
      </c>
      <c r="F170" s="42">
        <f>D170+E170</f>
        <v>371.50869599999987</v>
      </c>
      <c r="G170" s="54">
        <v>0</v>
      </c>
      <c r="H170" s="54">
        <f>F170*(($H$166)+1)+(IF(G170&lt;101,G170,IF(G170&lt;201,G170/2,IF(G170&lt;=301,G170/3,G170/4))))</f>
        <v>538.68760919999977</v>
      </c>
      <c r="I170" s="36">
        <f>2.75*4.6+2.15*3.05+3.365*2.9+1.2*(2.15+2.15)+0.9*0.5-2.75*1.54-2.15*1</f>
        <v>28.190999999999995</v>
      </c>
      <c r="L170" s="95">
        <f t="shared" ref="L170" si="26">(30.27)*10.764</f>
        <v>325.82628</v>
      </c>
      <c r="M170" s="95">
        <f>(2.75*1.53+1*(2.15+2.9))*10.764</f>
        <v>99.647729999999996</v>
      </c>
      <c r="N170" s="36">
        <f>N$169*H170</f>
        <v>2397159.8609399991</v>
      </c>
    </row>
    <row r="171" spans="1:20" s="37" customFormat="1" ht="15.75" customHeight="1" x14ac:dyDescent="0.35">
      <c r="A171" s="130">
        <f>A170+1</f>
        <v>2</v>
      </c>
      <c r="B171" s="131"/>
      <c r="C171" s="42" t="s">
        <v>368</v>
      </c>
      <c r="D171" s="89">
        <f>(2.75*4.6+1.5*1.8+2.75*2.3+2.75*3.05+3.05*3.5+2.15*1.2+2*1.2+2.9*0.9)*10.764</f>
        <v>520.19720999999993</v>
      </c>
      <c r="E171" s="89">
        <v>0</v>
      </c>
      <c r="F171" s="54">
        <f>D171+E171</f>
        <v>520.19720999999993</v>
      </c>
      <c r="G171" s="54">
        <v>0</v>
      </c>
      <c r="H171" s="54">
        <f>F171*(($H$166)+1)+(IF(G171&lt;101,G171,IF(G171&lt;201,G171/2,IF(G171&lt;=301,G171/3,G171/4))))</f>
        <v>754.28595449999989</v>
      </c>
      <c r="I171" s="36">
        <f>2.74*4.6+2.75*3.05+3.05*3.5+2.15*1.2+2*1.2+2.75*2.3+1.5*1.7</f>
        <v>45.521499999999989</v>
      </c>
      <c r="J171" s="37">
        <f>I171-(1.53*2.75+2.75+1.11*3.05)</f>
        <v>35.178499999999985</v>
      </c>
      <c r="K171" s="37">
        <f>41.73+2.75*1.53+2.75*1+3.05*1.1</f>
        <v>52.042499999999997</v>
      </c>
      <c r="L171" s="95">
        <f t="shared" ref="L171" si="27">(41.73)*10.764</f>
        <v>449.18171999999993</v>
      </c>
      <c r="M171" s="95">
        <f>(2.75*1.53+2.75*1+3.05*1.1)*10.764</f>
        <v>111.00375</v>
      </c>
      <c r="N171" s="36">
        <f t="shared" ref="N171:N174" si="28">N$169*H171</f>
        <v>3356572.4975249995</v>
      </c>
    </row>
    <row r="172" spans="1:20" s="37" customFormat="1" ht="15.75" customHeight="1" x14ac:dyDescent="0.35">
      <c r="A172" s="130">
        <f>A171+1</f>
        <v>3</v>
      </c>
      <c r="B172" s="131"/>
      <c r="C172" s="42" t="s">
        <v>367</v>
      </c>
      <c r="D172" s="89">
        <f>(2.75*4.7+3.05*2.25+3.8*2.75+2.15*1.2+2.15*1.2+0.9*1.2)*10.764</f>
        <v>392.64380999999997</v>
      </c>
      <c r="E172" s="89">
        <v>0</v>
      </c>
      <c r="F172" s="54">
        <f>D172+E172</f>
        <v>392.64380999999997</v>
      </c>
      <c r="G172" s="54">
        <v>0</v>
      </c>
      <c r="H172" s="54">
        <f>F172*(($H$166)+1)+(IF(G172&lt;101,G172,IF(G172&lt;201,G172/2,IF(G172&lt;=301,G172/3,G172/4))))</f>
        <v>569.33352449999995</v>
      </c>
      <c r="I172" s="36"/>
      <c r="L172" s="95">
        <f t="shared" ref="L172" si="29">(33.89)*10.764</f>
        <v>364.79195999999996</v>
      </c>
      <c r="M172" s="95">
        <f>(1*(2.75+2.25))*10.764</f>
        <v>53.819999999999993</v>
      </c>
      <c r="N172" s="36">
        <f t="shared" si="28"/>
        <v>2533534.1840249998</v>
      </c>
    </row>
    <row r="173" spans="1:20" s="37" customFormat="1" ht="15.75" customHeight="1" x14ac:dyDescent="0.35">
      <c r="A173" s="130">
        <f>A172+1</f>
        <v>4</v>
      </c>
      <c r="B173" s="131"/>
      <c r="C173" s="42" t="s">
        <v>368</v>
      </c>
      <c r="D173" s="89">
        <f>(1.4*1.9+2.75*4.7+3.05*2.15+3.165*2.9+3.65*2.9+2.15*1.2+2.15*1.2+0.9*1.2)*10.764</f>
        <v>518.24354399999993</v>
      </c>
      <c r="E173" s="89">
        <f>(1*(2.75+2.15))*10.764</f>
        <v>52.743600000000001</v>
      </c>
      <c r="F173" s="54">
        <f>D173+E173</f>
        <v>570.98714399999994</v>
      </c>
      <c r="G173" s="54">
        <v>0</v>
      </c>
      <c r="H173" s="54">
        <f>F173*(($H$166)+1)+(IF(G173&lt;101,G173,IF(G173&lt;201,G173/2,IF(G173&lt;=301,G173/3,G173/4))))</f>
        <v>827.93135879999988</v>
      </c>
      <c r="I173" s="36">
        <f>2.75*4.7+3.05*2.15+2.9*(3.165+3.65)+1.2*(2.15+2.15)+0.9*1.45+1.5*3.25-2.9*1.2</f>
        <v>47.105999999999995</v>
      </c>
      <c r="L173" s="95">
        <f t="shared" ref="L173" si="30">(49.58)*10.764</f>
        <v>533.6791199999999</v>
      </c>
      <c r="M173" s="95">
        <f>(1*(2.75+2.15)+2.9*1.2)*10.764</f>
        <v>90.20232</v>
      </c>
      <c r="N173" s="36">
        <f t="shared" si="28"/>
        <v>3684294.5466599995</v>
      </c>
      <c r="T173" s="21"/>
    </row>
    <row r="174" spans="1:20" s="87" customFormat="1" ht="15.75" customHeight="1" x14ac:dyDescent="0.35">
      <c r="A174" s="130">
        <f>A173+1</f>
        <v>5</v>
      </c>
      <c r="B174" s="131"/>
      <c r="C174" s="86" t="s">
        <v>368</v>
      </c>
      <c r="D174" s="89">
        <f>(4.6*2.75+2.15*2.9+3.985*2.75+2.15*1.2+2.15*1.2+3.365*2.75+0.9*1.2)*10.764</f>
        <v>488.0128499999999</v>
      </c>
      <c r="E174" s="89">
        <f>((2.15+2.75)*1)*10.764</f>
        <v>52.743600000000001</v>
      </c>
      <c r="F174" s="86">
        <f>D174+E174</f>
        <v>540.75644999999986</v>
      </c>
      <c r="G174" s="86">
        <v>0</v>
      </c>
      <c r="H174" s="86">
        <f>F174*(($H$166)+1)+(IF(G174&lt;101,G174,IF(G174&lt;201,G174/2,IF(G174&lt;=301,G174/3,G174/4))))</f>
        <v>784.09685249999973</v>
      </c>
      <c r="I174" s="36"/>
      <c r="L174" s="95">
        <f t="shared" ref="L174" si="31">(44.7)*10.764</f>
        <v>481.1508</v>
      </c>
      <c r="M174" s="95">
        <f>(2.75*1.05+(2.15+2.75)*1)*10.764</f>
        <v>83.824650000000005</v>
      </c>
      <c r="N174" s="36">
        <f t="shared" si="28"/>
        <v>3489230.9936249987</v>
      </c>
      <c r="T174" s="21"/>
    </row>
    <row r="175" spans="1:20" s="87" customFormat="1" hidden="1" x14ac:dyDescent="0.35">
      <c r="A175" s="118" t="s">
        <v>116</v>
      </c>
      <c r="B175" s="119"/>
      <c r="C175" s="119"/>
      <c r="D175" s="119"/>
      <c r="E175" s="119"/>
      <c r="F175" s="119"/>
      <c r="G175" s="119"/>
      <c r="H175" s="120"/>
      <c r="J175" s="36"/>
    </row>
    <row r="176" spans="1:20" s="87" customFormat="1" ht="15.75" hidden="1" customHeight="1" x14ac:dyDescent="0.35">
      <c r="A176" s="130">
        <v>1</v>
      </c>
      <c r="B176" s="131"/>
      <c r="C176" s="86"/>
      <c r="D176" s="86"/>
      <c r="E176" s="86">
        <v>0</v>
      </c>
      <c r="F176" s="86">
        <f>D176+E176</f>
        <v>0</v>
      </c>
      <c r="G176" s="86">
        <v>0</v>
      </c>
      <c r="H176" s="86">
        <f>F176*(($H$166)+1)+(IF(G176&lt;101,G176,IF(G176&lt;201,G176/2,IF(G176&lt;=301,G176/3,G176/4))))</f>
        <v>0</v>
      </c>
      <c r="I176" s="36"/>
      <c r="L176" s="158"/>
      <c r="M176" s="158"/>
      <c r="N176" s="36"/>
    </row>
    <row r="177" spans="1:20" s="87" customFormat="1" ht="15.75" hidden="1" customHeight="1" x14ac:dyDescent="0.35">
      <c r="A177" s="130">
        <f>A176+1</f>
        <v>2</v>
      </c>
      <c r="B177" s="131"/>
      <c r="C177" s="86"/>
      <c r="D177" s="86"/>
      <c r="E177" s="86">
        <v>0</v>
      </c>
      <c r="F177" s="86">
        <f>D177+E177</f>
        <v>0</v>
      </c>
      <c r="G177" s="86">
        <v>0</v>
      </c>
      <c r="H177" s="86">
        <f>F177*(($H$166)+1)+(IF(G177&lt;101,G177,IF(G177&lt;201,G177/2,IF(G177&lt;=301,G177/3,G177/4))))</f>
        <v>0</v>
      </c>
      <c r="I177" s="36"/>
      <c r="L177" s="158"/>
      <c r="M177" s="158"/>
      <c r="N177" s="36"/>
    </row>
    <row r="178" spans="1:20" s="87" customFormat="1" ht="15.75" hidden="1" customHeight="1" x14ac:dyDescent="0.35">
      <c r="A178" s="130">
        <f>A177+1</f>
        <v>3</v>
      </c>
      <c r="B178" s="131"/>
      <c r="C178" s="86"/>
      <c r="D178" s="86"/>
      <c r="E178" s="86">
        <v>0</v>
      </c>
      <c r="F178" s="86">
        <f>D178+E178</f>
        <v>0</v>
      </c>
      <c r="G178" s="86">
        <v>0</v>
      </c>
      <c r="H178" s="86">
        <f>F178*(($H$166)+1)+(IF(G178&lt;101,G178,IF(G178&lt;201,G178/2,IF(G178&lt;=301,G178/3,G178/4))))</f>
        <v>0</v>
      </c>
      <c r="I178" s="36"/>
      <c r="L178" s="158"/>
      <c r="M178" s="158"/>
      <c r="N178" s="36"/>
    </row>
    <row r="179" spans="1:20" s="87" customFormat="1" ht="15.75" hidden="1" customHeight="1" x14ac:dyDescent="0.35">
      <c r="A179" s="130">
        <f>A178+1</f>
        <v>4</v>
      </c>
      <c r="B179" s="131"/>
      <c r="C179" s="86"/>
      <c r="D179" s="86"/>
      <c r="E179" s="86">
        <v>0</v>
      </c>
      <c r="F179" s="86">
        <f>D179+E179</f>
        <v>0</v>
      </c>
      <c r="G179" s="86">
        <v>0</v>
      </c>
      <c r="H179" s="86">
        <f>F179*(($H$166)+1)+(IF(G179&lt;101,G179,IF(G179&lt;201,G179/2,IF(G179&lt;=301,G179/3,G179/4))))</f>
        <v>0</v>
      </c>
      <c r="I179" s="36"/>
      <c r="L179" s="158"/>
      <c r="M179" s="158"/>
      <c r="N179" s="36"/>
      <c r="T179" s="21"/>
    </row>
    <row r="180" spans="1:20" s="37" customFormat="1" hidden="1" x14ac:dyDescent="0.35">
      <c r="A180" s="236" t="s">
        <v>117</v>
      </c>
      <c r="B180" s="236"/>
      <c r="C180" s="236"/>
      <c r="D180" s="236"/>
      <c r="E180" s="236"/>
      <c r="F180" s="236"/>
      <c r="G180" s="236"/>
      <c r="H180" s="236"/>
      <c r="I180" s="36"/>
      <c r="L180" s="158"/>
      <c r="M180" s="158"/>
    </row>
    <row r="181" spans="1:20" s="37" customFormat="1" hidden="1" x14ac:dyDescent="0.35">
      <c r="A181" s="159">
        <f>LEFT(A180,SUM(LEN(A180)-LEN(SUBSTITUTE(A180,{"0","1","2","3","4","5","6","7","8","9"},""))))*100+1</f>
        <v>201</v>
      </c>
      <c r="B181" s="159"/>
      <c r="C181" s="42"/>
      <c r="D181" s="42"/>
      <c r="E181" s="54">
        <v>0</v>
      </c>
      <c r="F181" s="54">
        <f>D181+E181</f>
        <v>0</v>
      </c>
      <c r="G181" s="54">
        <v>0</v>
      </c>
      <c r="H181" s="54">
        <f>F181*(($H$166)+1)+(IF(G181&lt;101,G181,IF(G181&lt;201,G181/2,IF(G181&lt;=301,G181/3,G181/4))))</f>
        <v>0</v>
      </c>
      <c r="I181" s="36"/>
      <c r="N181" s="36"/>
    </row>
    <row r="182" spans="1:20" s="37" customFormat="1" hidden="1" x14ac:dyDescent="0.35">
      <c r="A182" s="159">
        <f>A181+1</f>
        <v>202</v>
      </c>
      <c r="B182" s="159"/>
      <c r="C182" s="42"/>
      <c r="D182" s="42"/>
      <c r="E182" s="54">
        <v>0</v>
      </c>
      <c r="F182" s="54">
        <f>D182+E182</f>
        <v>0</v>
      </c>
      <c r="G182" s="54">
        <v>0</v>
      </c>
      <c r="H182" s="54">
        <f>F182*(($H$166)+1)+(IF(G182&lt;101,G182,IF(G182&lt;201,G182/2,IF(G182&lt;=301,G182/3,G182/4))))</f>
        <v>0</v>
      </c>
      <c r="I182" s="36"/>
      <c r="N182" s="36"/>
    </row>
    <row r="183" spans="1:20" s="37" customFormat="1" hidden="1" x14ac:dyDescent="0.35">
      <c r="A183" s="159">
        <f>A182+1</f>
        <v>203</v>
      </c>
      <c r="B183" s="159"/>
      <c r="C183" s="42"/>
      <c r="D183" s="42"/>
      <c r="E183" s="54">
        <v>0</v>
      </c>
      <c r="F183" s="54">
        <f>D183+E183</f>
        <v>0</v>
      </c>
      <c r="G183" s="54">
        <v>0</v>
      </c>
      <c r="H183" s="54">
        <f>F183*(($H$166)+1)+(IF(G183&lt;101,G183,IF(G183&lt;201,G183/2,IF(G183&lt;=301,G183/3,G183/4))))</f>
        <v>0</v>
      </c>
      <c r="I183" s="36"/>
      <c r="N183" s="36"/>
    </row>
    <row r="184" spans="1:20" s="37" customFormat="1" hidden="1" x14ac:dyDescent="0.35">
      <c r="A184" s="159">
        <f>A183+1</f>
        <v>204</v>
      </c>
      <c r="B184" s="159"/>
      <c r="C184" s="42"/>
      <c r="D184" s="42"/>
      <c r="E184" s="54">
        <v>0</v>
      </c>
      <c r="F184" s="54">
        <f>D184+E184</f>
        <v>0</v>
      </c>
      <c r="G184" s="54">
        <v>0</v>
      </c>
      <c r="H184" s="54">
        <f>F184*(($H$166)+1)+(IF(G184&lt;101,G184,IF(G184&lt;201,G184/2,IF(G184&lt;=301,G184/3,G184/4))))</f>
        <v>0</v>
      </c>
      <c r="I184" s="36"/>
      <c r="N184" s="36"/>
    </row>
    <row r="185" spans="1:20" s="37" customFormat="1" hidden="1" x14ac:dyDescent="0.35">
      <c r="A185" s="159">
        <f>A184+1</f>
        <v>205</v>
      </c>
      <c r="B185" s="159"/>
      <c r="C185" s="42"/>
      <c r="D185" s="42"/>
      <c r="E185" s="54">
        <v>0</v>
      </c>
      <c r="F185" s="54">
        <f>D185+E185</f>
        <v>0</v>
      </c>
      <c r="G185" s="54">
        <v>0</v>
      </c>
      <c r="H185" s="54">
        <f>F185*(($H$166)+1)+(IF(G185&lt;101,G185,IF(G185&lt;201,G185/2,IF(G185&lt;=301,G185/3,G185/4))))</f>
        <v>0</v>
      </c>
      <c r="I185" s="36"/>
      <c r="N185" s="36"/>
    </row>
    <row r="186" spans="1:20" s="37" customFormat="1" ht="15.75" hidden="1" customHeight="1" x14ac:dyDescent="0.35">
      <c r="A186" s="118" t="s">
        <v>149</v>
      </c>
      <c r="B186" s="119"/>
      <c r="C186" s="119"/>
      <c r="D186" s="119"/>
      <c r="E186" s="119"/>
      <c r="F186" s="119"/>
      <c r="G186" s="119"/>
      <c r="H186" s="120"/>
      <c r="I186" s="36"/>
    </row>
    <row r="187" spans="1:20" s="37" customFormat="1" ht="15.75" hidden="1" customHeight="1" x14ac:dyDescent="0.35">
      <c r="A187" s="13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301 ,.., 1501</v>
      </c>
      <c r="B187" s="131"/>
      <c r="C187" s="42"/>
      <c r="D187" s="42"/>
      <c r="E187" s="54">
        <v>0</v>
      </c>
      <c r="F187" s="54">
        <f>D187+E187</f>
        <v>0</v>
      </c>
      <c r="G187" s="54">
        <v>0</v>
      </c>
      <c r="H187" s="54">
        <f>F187*(($H$166)+1)+(IF(G187&lt;101,G187,IF(G187&lt;201,G187/2,IF(G187&lt;=301,G187/3,G187/4))))</f>
        <v>0</v>
      </c>
      <c r="I187" s="36"/>
    </row>
    <row r="188" spans="1:20" s="37" customFormat="1" ht="15.75" hidden="1" customHeight="1" x14ac:dyDescent="0.35">
      <c r="A188" s="13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302 ,.., 1502</v>
      </c>
      <c r="B188" s="131"/>
      <c r="C188" s="42"/>
      <c r="D188" s="42"/>
      <c r="E188" s="54">
        <v>0</v>
      </c>
      <c r="F188" s="54">
        <f>D188+E188</f>
        <v>0</v>
      </c>
      <c r="G188" s="54">
        <v>0</v>
      </c>
      <c r="H188" s="54">
        <f>F188*(($H$166)+1)+(IF(G188&lt;101,G188,IF(G188&lt;201,G188/2,IF(G188&lt;=301,G188/3,G188/4))))</f>
        <v>0</v>
      </c>
      <c r="I188" s="36"/>
    </row>
    <row r="189" spans="1:20" s="37" customFormat="1" ht="15.75" hidden="1" customHeight="1" x14ac:dyDescent="0.35">
      <c r="A189" s="13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303 ,.., 1503</v>
      </c>
      <c r="B189" s="131"/>
      <c r="C189" s="42"/>
      <c r="D189" s="42"/>
      <c r="E189" s="54">
        <v>0</v>
      </c>
      <c r="F189" s="54">
        <f>D189+E189</f>
        <v>0</v>
      </c>
      <c r="G189" s="54">
        <v>0</v>
      </c>
      <c r="H189" s="54">
        <f>F189*(($H$166)+1)+(IF(G189&lt;101,G189,IF(G189&lt;201,G189/2,IF(G189&lt;=301,G189/3,G189/4))))</f>
        <v>0</v>
      </c>
      <c r="I189" s="36"/>
    </row>
    <row r="190" spans="1:20" s="37" customFormat="1" ht="15.75" hidden="1" customHeight="1" x14ac:dyDescent="0.35">
      <c r="A190" s="13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304 ,.., 1504</v>
      </c>
      <c r="B190" s="131"/>
      <c r="C190" s="42"/>
      <c r="D190" s="42"/>
      <c r="E190" s="54">
        <v>0</v>
      </c>
      <c r="F190" s="54">
        <f>D190+E190</f>
        <v>0</v>
      </c>
      <c r="G190" s="54">
        <v>0</v>
      </c>
      <c r="H190" s="54">
        <f>F190*(($H$166)+1)+(IF(G190&lt;101,G190,IF(G190&lt;201,G190/2,IF(G190&lt;=301,G190/3,G190/4))))</f>
        <v>0</v>
      </c>
      <c r="I190" s="36"/>
    </row>
    <row r="191" spans="1:20" s="37" customFormat="1" ht="15.75" hidden="1" customHeight="1" x14ac:dyDescent="0.35">
      <c r="A191" s="13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305 ,.., 1505</v>
      </c>
      <c r="B191" s="131"/>
      <c r="C191" s="42"/>
      <c r="D191" s="42"/>
      <c r="E191" s="54">
        <v>0</v>
      </c>
      <c r="F191" s="54">
        <f>D191+E191</f>
        <v>0</v>
      </c>
      <c r="G191" s="54">
        <v>0</v>
      </c>
      <c r="H191" s="54">
        <f>F191*(($H$166)+1)+(IF(G191&lt;101,G191,IF(G191&lt;201,G191/2,IF(G191&lt;=301,G191/3,G191/4))))</f>
        <v>0</v>
      </c>
      <c r="I191" s="36"/>
    </row>
    <row r="192" spans="1:20" s="37" customFormat="1" hidden="1" x14ac:dyDescent="0.35">
      <c r="A192" s="118" t="s">
        <v>143</v>
      </c>
      <c r="B192" s="119"/>
      <c r="C192" s="119"/>
      <c r="D192" s="119"/>
      <c r="E192" s="119"/>
      <c r="F192" s="119"/>
      <c r="G192" s="119"/>
      <c r="H192" s="120"/>
      <c r="I192" s="36"/>
    </row>
    <row r="193" spans="1:20" s="37" customFormat="1" ht="15.75" hidden="1" customHeight="1" x14ac:dyDescent="0.35">
      <c r="A193" s="13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10^ROW(INDIRECT("1:"&amp;LEN((LEFT(A192,SUM(LEN(A192)-LEN(SUBSTITUTE(A192,{"0","1","2"},""))))))))/10))*100+1&amp;""&amp;"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",LEN(A192))),LEN(A192)))))))/10))*100+1</f>
        <v>201 to 501</v>
      </c>
      <c r="B193" s="131"/>
      <c r="C193" s="42"/>
      <c r="D193" s="42"/>
      <c r="E193" s="54">
        <v>0</v>
      </c>
      <c r="F193" s="54">
        <f>D193+E193</f>
        <v>0</v>
      </c>
      <c r="G193" s="54">
        <v>0</v>
      </c>
      <c r="H193" s="54">
        <f>F193*(($H$166)+1)+(IF(G193&lt;101,G193,IF(G193&lt;201,G193/2,IF(G193&lt;=301,G193/3,G193/4))))</f>
        <v>0</v>
      </c>
      <c r="I193" s="36"/>
    </row>
    <row r="194" spans="1:20" s="37" customFormat="1" ht="15.75" hidden="1" customHeight="1" x14ac:dyDescent="0.35">
      <c r="A194" s="13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202 to 502</v>
      </c>
      <c r="B194" s="131"/>
      <c r="C194" s="42"/>
      <c r="D194" s="42"/>
      <c r="E194" s="54">
        <v>0</v>
      </c>
      <c r="F194" s="54">
        <f>D194+E194</f>
        <v>0</v>
      </c>
      <c r="G194" s="54">
        <v>0</v>
      </c>
      <c r="H194" s="54">
        <f>F194*(($H$166)+1)+(IF(G194&lt;101,G194,IF(G194&lt;201,G194/2,IF(G194&lt;=301,G194/3,G194/4))))</f>
        <v>0</v>
      </c>
      <c r="I194" s="36"/>
    </row>
    <row r="195" spans="1:20" s="37" customFormat="1" ht="15.75" hidden="1" customHeight="1" x14ac:dyDescent="0.35">
      <c r="A195" s="13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203 to 503</v>
      </c>
      <c r="B195" s="131"/>
      <c r="C195" s="42"/>
      <c r="D195" s="42"/>
      <c r="E195" s="54">
        <v>0</v>
      </c>
      <c r="F195" s="54">
        <f>D195+E195</f>
        <v>0</v>
      </c>
      <c r="G195" s="54">
        <v>0</v>
      </c>
      <c r="H195" s="54">
        <f>F195*(($H$166)+1)+(IF(G195&lt;101,G195,IF(G195&lt;201,G195/2,IF(G195&lt;=301,G195/3,G195/4))))</f>
        <v>0</v>
      </c>
      <c r="I195" s="36"/>
    </row>
    <row r="196" spans="1:20" s="37" customFormat="1" ht="15.75" hidden="1" customHeight="1" x14ac:dyDescent="0.35">
      <c r="A196" s="13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204 to 504</v>
      </c>
      <c r="B196" s="131"/>
      <c r="C196" s="42"/>
      <c r="D196" s="42"/>
      <c r="E196" s="54">
        <v>0</v>
      </c>
      <c r="F196" s="54">
        <f>D196+E196</f>
        <v>0</v>
      </c>
      <c r="G196" s="54">
        <v>0</v>
      </c>
      <c r="H196" s="54">
        <f>F196*(($H$166)+1)+(IF(G196&lt;101,G196,IF(G196&lt;201,G196/2,IF(G196&lt;=301,G196/3,G196/4))))</f>
        <v>0</v>
      </c>
      <c r="I196" s="36"/>
    </row>
    <row r="197" spans="1:20" s="37" customFormat="1" ht="15.75" hidden="1" customHeight="1" x14ac:dyDescent="0.35">
      <c r="A197" s="13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205 to 505</v>
      </c>
      <c r="B197" s="131"/>
      <c r="C197" s="42"/>
      <c r="D197" s="42"/>
      <c r="E197" s="54">
        <v>0</v>
      </c>
      <c r="F197" s="54">
        <f>D197+E197</f>
        <v>0</v>
      </c>
      <c r="G197" s="54">
        <v>0</v>
      </c>
      <c r="H197" s="54">
        <f>F197*(($H$166)+1)+(IF(G197&lt;101,G197,IF(G197&lt;201,G197/2,IF(G197&lt;=301,G197/3,G197/4))))</f>
        <v>0</v>
      </c>
      <c r="I197" s="36"/>
    </row>
    <row r="198" spans="1:20" s="37" customFormat="1" hidden="1" x14ac:dyDescent="0.35">
      <c r="A198" s="118" t="s">
        <v>144</v>
      </c>
      <c r="B198" s="119"/>
      <c r="C198" s="119"/>
      <c r="D198" s="119"/>
      <c r="E198" s="119"/>
      <c r="F198" s="119"/>
      <c r="G198" s="119"/>
      <c r="H198" s="120"/>
      <c r="I198" s="36"/>
    </row>
    <row r="199" spans="1:20" s="37" customFormat="1" ht="15.75" hidden="1" customHeight="1" x14ac:dyDescent="0.35">
      <c r="A199" s="13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10^ROW(INDIRECT("1:"&amp;LEN((LEFT(A198,SUM(LEN(A198)-LEN(SUBSTITUTE(A198,{"0","1","2"},""))))))))/10))*100+1&amp;""&amp;"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",LEN(A198))),LEN(A198)))))))/10))*100+1</f>
        <v>201 &amp; 501</v>
      </c>
      <c r="B199" s="131"/>
      <c r="C199" s="42"/>
      <c r="D199" s="42"/>
      <c r="E199" s="54">
        <v>0</v>
      </c>
      <c r="F199" s="54">
        <f>D199+E199</f>
        <v>0</v>
      </c>
      <c r="G199" s="54">
        <v>0</v>
      </c>
      <c r="H199" s="54">
        <f>F199*(($H$166)+1)+(IF(G199&lt;101,G199,IF(G199&lt;201,G199/2,IF(G199&lt;=301,G199/3,G199/4))))</f>
        <v>0</v>
      </c>
      <c r="I199" s="36"/>
    </row>
    <row r="200" spans="1:20" s="37" customFormat="1" ht="15.75" hidden="1" customHeight="1" x14ac:dyDescent="0.35">
      <c r="A200" s="13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202 &amp; 502</v>
      </c>
      <c r="B200" s="131"/>
      <c r="C200" s="42"/>
      <c r="D200" s="42"/>
      <c r="E200" s="54">
        <v>0</v>
      </c>
      <c r="F200" s="54">
        <f>D200+E200</f>
        <v>0</v>
      </c>
      <c r="G200" s="54">
        <v>0</v>
      </c>
      <c r="H200" s="54">
        <f>F200*(($H$166)+1)+(IF(G200&lt;101,G200,IF(G200&lt;201,G200/2,IF(G200&lt;=301,G200/3,G200/4))))</f>
        <v>0</v>
      </c>
      <c r="I200" s="36"/>
    </row>
    <row r="201" spans="1:20" s="37" customFormat="1" ht="15.75" hidden="1" customHeight="1" x14ac:dyDescent="0.35">
      <c r="A201" s="13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203 &amp; 503</v>
      </c>
      <c r="B201" s="131"/>
      <c r="C201" s="42"/>
      <c r="D201" s="42"/>
      <c r="E201" s="54">
        <v>0</v>
      </c>
      <c r="F201" s="54">
        <f>D201+E201</f>
        <v>0</v>
      </c>
      <c r="G201" s="54">
        <v>0</v>
      </c>
      <c r="H201" s="54">
        <f>F201*(($H$166)+1)+(IF(G201&lt;101,G201,IF(G201&lt;201,G201/2,IF(G201&lt;=301,G201/3,G201/4))))</f>
        <v>0</v>
      </c>
      <c r="I201" s="36"/>
    </row>
    <row r="202" spans="1:20" s="37" customFormat="1" ht="15.75" hidden="1" customHeight="1" x14ac:dyDescent="0.35">
      <c r="A202" s="13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204 &amp; 504</v>
      </c>
      <c r="B202" s="131"/>
      <c r="C202" s="42"/>
      <c r="D202" s="42"/>
      <c r="E202" s="54">
        <v>0</v>
      </c>
      <c r="F202" s="54">
        <f>D202+E202</f>
        <v>0</v>
      </c>
      <c r="G202" s="54">
        <v>0</v>
      </c>
      <c r="H202" s="54">
        <f>F202*(($H$166)+1)+(IF(G202&lt;101,G202,IF(G202&lt;201,G202/2,IF(G202&lt;=301,G202/3,G202/4))))</f>
        <v>0</v>
      </c>
      <c r="I202" s="36"/>
    </row>
    <row r="203" spans="1:20" s="37" customFormat="1" ht="15.75" hidden="1" customHeight="1" x14ac:dyDescent="0.35">
      <c r="A203" s="13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205 &amp; 505</v>
      </c>
      <c r="B203" s="131"/>
      <c r="C203" s="42"/>
      <c r="D203" s="42"/>
      <c r="E203" s="54">
        <v>0</v>
      </c>
      <c r="F203" s="54">
        <f>D203+E203</f>
        <v>0</v>
      </c>
      <c r="G203" s="54">
        <v>0</v>
      </c>
      <c r="H203" s="54">
        <f>F203*(($H$166)+1)+(IF(G203&lt;101,G203,IF(G203&lt;201,G203/2,IF(G203&lt;=301,G203/3,G203/4))))</f>
        <v>0</v>
      </c>
      <c r="I203" s="36"/>
    </row>
    <row r="204" spans="1:20" s="35" customFormat="1" x14ac:dyDescent="0.35">
      <c r="A204" s="258" t="s">
        <v>65</v>
      </c>
      <c r="B204" s="258"/>
      <c r="C204" s="258"/>
      <c r="D204" s="258"/>
      <c r="E204" s="258"/>
      <c r="F204" s="258"/>
      <c r="G204" s="258"/>
      <c r="H204" s="258"/>
      <c r="T204" s="37"/>
    </row>
    <row r="205" spans="1:20" s="35" customFormat="1" ht="31.5" customHeight="1" x14ac:dyDescent="0.35">
      <c r="A205" s="44" t="s">
        <v>153</v>
      </c>
      <c r="B205" s="247" t="s">
        <v>415</v>
      </c>
      <c r="C205" s="248"/>
      <c r="D205" s="248"/>
      <c r="E205" s="248"/>
      <c r="F205" s="248"/>
      <c r="G205" s="248"/>
      <c r="H205" s="249"/>
      <c r="T205" s="37"/>
    </row>
    <row r="206" spans="1:20" s="35" customFormat="1" x14ac:dyDescent="0.35">
      <c r="A206" s="44" t="s">
        <v>153</v>
      </c>
      <c r="B206" s="127" t="str">
        <f>(IF(H165="Saleable area Loading :","We have considered Saleable area of Flats as per our Calculation.","We considered Saleable area of Flat as per Builder area Sheet."))</f>
        <v>We have considered Saleable area of Flats as per our Calculation.</v>
      </c>
      <c r="C206" s="128"/>
      <c r="D206" s="128"/>
      <c r="E206" s="128"/>
      <c r="F206" s="128"/>
      <c r="G206" s="128"/>
      <c r="H206" s="129"/>
      <c r="T206" s="37"/>
    </row>
    <row r="207" spans="1:20" s="35" customFormat="1" x14ac:dyDescent="0.35">
      <c r="A207" s="44" t="s">
        <v>153</v>
      </c>
      <c r="B207" s="127" t="str">
        <f>(IF(H144="Saleable area Loading :","We have considered Saleable area of Commercial as per our Calculation.","We considered Saleable area of Commercial as per Builder area Sheet."))</f>
        <v>We have considered Saleable area of Commercial as per our Calculation.</v>
      </c>
      <c r="C207" s="128"/>
      <c r="D207" s="128"/>
      <c r="E207" s="128"/>
      <c r="F207" s="128"/>
      <c r="G207" s="128"/>
      <c r="H207" s="129"/>
      <c r="I207" s="35">
        <f>6500/1.45</f>
        <v>4482.7586206896549</v>
      </c>
      <c r="T207" s="37"/>
    </row>
    <row r="208" spans="1:20" s="35" customFormat="1" x14ac:dyDescent="0.35">
      <c r="A208" s="44" t="s">
        <v>153</v>
      </c>
      <c r="B208" s="105" t="s">
        <v>120</v>
      </c>
      <c r="C208" s="106"/>
      <c r="D208" s="106"/>
      <c r="E208" s="106"/>
      <c r="F208" s="106"/>
      <c r="G208" s="106"/>
      <c r="H208" s="107"/>
      <c r="T208" s="37"/>
    </row>
    <row r="209" spans="1:20" s="35" customFormat="1" x14ac:dyDescent="0.35">
      <c r="A209" s="44" t="s">
        <v>153</v>
      </c>
      <c r="B209" s="105" t="s">
        <v>369</v>
      </c>
      <c r="C209" s="106"/>
      <c r="D209" s="106"/>
      <c r="E209" s="106"/>
      <c r="F209" s="106"/>
      <c r="G209" s="106"/>
      <c r="H209" s="107"/>
      <c r="T209" s="37"/>
    </row>
    <row r="210" spans="1:20" s="35" customFormat="1" x14ac:dyDescent="0.35">
      <c r="A210" s="44" t="s">
        <v>153</v>
      </c>
      <c r="B210" s="105" t="s">
        <v>152</v>
      </c>
      <c r="C210" s="106"/>
      <c r="D210" s="106"/>
      <c r="E210" s="106"/>
      <c r="F210" s="106"/>
      <c r="G210" s="106"/>
      <c r="H210" s="107"/>
    </row>
    <row r="211" spans="1:20" s="35" customFormat="1" x14ac:dyDescent="0.35">
      <c r="A211" s="44" t="s">
        <v>153</v>
      </c>
      <c r="B211" s="105" t="s">
        <v>121</v>
      </c>
      <c r="C211" s="106"/>
      <c r="D211" s="106"/>
      <c r="E211" s="106"/>
      <c r="F211" s="106"/>
      <c r="G211" s="106"/>
      <c r="H211" s="107"/>
    </row>
    <row r="212" spans="1:20" s="35" customFormat="1" ht="34.5" customHeight="1" x14ac:dyDescent="0.35">
      <c r="A212" s="44" t="s">
        <v>153</v>
      </c>
      <c r="B212" s="105" t="s">
        <v>154</v>
      </c>
      <c r="C212" s="106"/>
      <c r="D212" s="106"/>
      <c r="E212" s="106"/>
      <c r="F212" s="106"/>
      <c r="G212" s="106"/>
      <c r="H212" s="107"/>
    </row>
    <row r="213" spans="1:20" s="35" customFormat="1" x14ac:dyDescent="0.35">
      <c r="A213" s="92" t="s">
        <v>153</v>
      </c>
      <c r="B213" s="105" t="s">
        <v>122</v>
      </c>
      <c r="C213" s="106"/>
      <c r="D213" s="106"/>
      <c r="E213" s="106"/>
      <c r="F213" s="106"/>
      <c r="G213" s="106"/>
      <c r="H213" s="107"/>
    </row>
    <row r="214" spans="1:20" s="35" customFormat="1" ht="32.25" customHeight="1" x14ac:dyDescent="0.35">
      <c r="A214" s="92" t="s">
        <v>153</v>
      </c>
      <c r="B214" s="105" t="s">
        <v>410</v>
      </c>
      <c r="C214" s="106"/>
      <c r="D214" s="106"/>
      <c r="E214" s="106"/>
      <c r="F214" s="106"/>
      <c r="G214" s="106"/>
      <c r="H214" s="107"/>
    </row>
    <row r="215" spans="1:20" s="35" customFormat="1" ht="15.75" customHeight="1" x14ac:dyDescent="0.35">
      <c r="A215" s="92" t="s">
        <v>153</v>
      </c>
      <c r="B215" s="108" t="s">
        <v>392</v>
      </c>
      <c r="C215" s="108"/>
      <c r="D215" s="108" t="s">
        <v>393</v>
      </c>
      <c r="E215" s="108"/>
      <c r="F215" s="108" t="s">
        <v>394</v>
      </c>
      <c r="G215" s="108"/>
      <c r="H215" s="108"/>
    </row>
    <row r="216" spans="1:20" s="35" customFormat="1" ht="15.75" customHeight="1" x14ac:dyDescent="0.35">
      <c r="A216" s="92" t="s">
        <v>153</v>
      </c>
      <c r="B216" s="111" t="s">
        <v>398</v>
      </c>
      <c r="C216" s="113"/>
      <c r="D216" s="109" t="s">
        <v>395</v>
      </c>
      <c r="E216" s="110"/>
      <c r="F216" s="111" t="s">
        <v>399</v>
      </c>
      <c r="G216" s="112"/>
      <c r="H216" s="112"/>
    </row>
    <row r="217" spans="1:20" s="35" customFormat="1" x14ac:dyDescent="0.35">
      <c r="A217" s="44" t="s">
        <v>153</v>
      </c>
      <c r="B217" s="114"/>
      <c r="C217" s="115"/>
      <c r="D217" s="109" t="s">
        <v>396</v>
      </c>
      <c r="E217" s="110"/>
      <c r="F217" s="111" t="s">
        <v>400</v>
      </c>
      <c r="G217" s="112"/>
      <c r="H217" s="112"/>
    </row>
    <row r="218" spans="1:20" s="35" customFormat="1" ht="32.25" hidden="1" customHeight="1" x14ac:dyDescent="0.35">
      <c r="A218" s="51" t="s">
        <v>153</v>
      </c>
      <c r="B218" s="145" t="s">
        <v>180</v>
      </c>
      <c r="C218" s="146"/>
      <c r="D218" s="146"/>
      <c r="E218" s="146"/>
      <c r="F218" s="146"/>
      <c r="G218" s="146"/>
      <c r="H218" s="147"/>
    </row>
    <row r="219" spans="1:20" s="35" customFormat="1" hidden="1" x14ac:dyDescent="0.35">
      <c r="A219" s="55" t="s">
        <v>153</v>
      </c>
      <c r="B219" s="145" t="s">
        <v>234</v>
      </c>
      <c r="C219" s="146"/>
      <c r="D219" s="146"/>
      <c r="E219" s="146"/>
      <c r="F219" s="146"/>
      <c r="G219" s="146"/>
      <c r="H219" s="147"/>
    </row>
    <row r="220" spans="1:20" s="35" customFormat="1" x14ac:dyDescent="0.35">
      <c r="A220" s="102" t="s">
        <v>153</v>
      </c>
      <c r="B220" s="105" t="s">
        <v>412</v>
      </c>
      <c r="C220" s="106"/>
      <c r="D220" s="106"/>
      <c r="E220" s="106"/>
      <c r="F220" s="106"/>
      <c r="G220" s="106"/>
      <c r="H220" s="107"/>
    </row>
    <row r="221" spans="1:20" x14ac:dyDescent="0.35">
      <c r="A221" s="221" t="s">
        <v>58</v>
      </c>
      <c r="B221" s="221"/>
      <c r="C221" s="221"/>
      <c r="D221" s="221"/>
      <c r="E221" s="221"/>
      <c r="F221" s="221"/>
      <c r="G221" s="221"/>
      <c r="H221" s="221"/>
      <c r="T221" s="35"/>
    </row>
    <row r="222" spans="1:20" x14ac:dyDescent="0.35">
      <c r="A222" s="148" t="s">
        <v>59</v>
      </c>
      <c r="B222" s="148"/>
      <c r="C222" s="148"/>
      <c r="D222" s="148"/>
      <c r="E222" s="148"/>
      <c r="F222" s="148"/>
      <c r="G222" s="148"/>
      <c r="H222" s="148"/>
      <c r="T222" s="35"/>
    </row>
    <row r="223" spans="1:20" ht="15.75" customHeight="1" x14ac:dyDescent="0.35">
      <c r="A223" s="245" t="s">
        <v>60</v>
      </c>
      <c r="B223" s="245"/>
      <c r="C223" s="245"/>
      <c r="D223" s="245"/>
      <c r="E223" s="245"/>
      <c r="F223" s="245"/>
      <c r="G223" s="245"/>
      <c r="H223" s="245"/>
      <c r="T223" s="35"/>
    </row>
    <row r="224" spans="1:20" x14ac:dyDescent="0.35">
      <c r="A224" s="148" t="s">
        <v>61</v>
      </c>
      <c r="B224" s="148"/>
      <c r="C224" s="148"/>
      <c r="D224" s="148"/>
      <c r="E224" s="148"/>
      <c r="F224" s="148"/>
      <c r="G224" s="148"/>
      <c r="H224" s="148"/>
      <c r="T224" s="35"/>
    </row>
    <row r="225" spans="1:20" x14ac:dyDescent="0.35">
      <c r="A225" s="148" t="s">
        <v>62</v>
      </c>
      <c r="B225" s="148"/>
      <c r="C225" s="148"/>
      <c r="D225" s="148"/>
      <c r="E225" s="148"/>
      <c r="F225" s="148"/>
      <c r="G225" s="148"/>
      <c r="H225" s="148"/>
      <c r="T225" s="35"/>
    </row>
    <row r="226" spans="1:20" x14ac:dyDescent="0.35">
      <c r="A226" s="148" t="s">
        <v>123</v>
      </c>
      <c r="B226" s="148"/>
      <c r="C226" s="148"/>
      <c r="D226" s="148"/>
      <c r="E226" s="148"/>
      <c r="F226" s="148"/>
      <c r="G226" s="148"/>
      <c r="H226" s="148"/>
      <c r="T226" s="35"/>
    </row>
    <row r="227" spans="1:20" ht="34" customHeight="1" x14ac:dyDescent="0.35">
      <c r="A227" s="197" t="s">
        <v>124</v>
      </c>
      <c r="B227" s="197"/>
      <c r="C227" s="197"/>
      <c r="D227" s="197"/>
      <c r="E227" s="197"/>
      <c r="F227" s="197"/>
      <c r="G227" s="197"/>
      <c r="H227" s="197"/>
    </row>
    <row r="228" spans="1:20" x14ac:dyDescent="0.35">
      <c r="A228" s="233" t="s">
        <v>74</v>
      </c>
      <c r="B228" s="233"/>
      <c r="C228" s="233" t="s">
        <v>376</v>
      </c>
      <c r="D228" s="233"/>
      <c r="E228" s="233" t="s">
        <v>103</v>
      </c>
      <c r="F228" s="233"/>
      <c r="G228" s="234" t="s">
        <v>414</v>
      </c>
      <c r="H228" s="234"/>
    </row>
    <row r="229" spans="1:20" x14ac:dyDescent="0.35">
      <c r="A229" s="232" t="s">
        <v>76</v>
      </c>
      <c r="B229" s="232"/>
      <c r="C229" s="232"/>
      <c r="D229" s="232"/>
      <c r="E229" s="232"/>
      <c r="F229" s="232"/>
      <c r="G229" s="232"/>
      <c r="H229" s="232"/>
    </row>
    <row r="230" spans="1:20" x14ac:dyDescent="0.35">
      <c r="A230" s="232"/>
      <c r="B230" s="232"/>
      <c r="C230" s="232"/>
      <c r="D230" s="232"/>
      <c r="E230" s="232"/>
      <c r="F230" s="232"/>
      <c r="G230" s="232"/>
      <c r="H230" s="232"/>
    </row>
    <row r="231" spans="1:20" x14ac:dyDescent="0.35">
      <c r="A231" s="232"/>
      <c r="B231" s="232"/>
      <c r="C231" s="232"/>
      <c r="D231" s="232"/>
      <c r="E231" s="232"/>
      <c r="F231" s="232"/>
      <c r="G231" s="232"/>
      <c r="H231" s="232"/>
    </row>
    <row r="232" spans="1:20" x14ac:dyDescent="0.35">
      <c r="A232" s="232"/>
      <c r="B232" s="232"/>
      <c r="C232" s="232"/>
      <c r="D232" s="232"/>
      <c r="E232" s="232"/>
      <c r="F232" s="232"/>
      <c r="G232" s="232"/>
      <c r="H232" s="232"/>
    </row>
    <row r="233" spans="1:20" x14ac:dyDescent="0.35">
      <c r="A233" s="38" t="s">
        <v>63</v>
      </c>
      <c r="B233" s="39"/>
      <c r="C233" s="39"/>
      <c r="D233" s="38" t="str">
        <f>E9</f>
        <v>Shankar Heights Phase 5</v>
      </c>
      <c r="F233" s="39"/>
      <c r="G233" s="39"/>
      <c r="H233" s="39"/>
    </row>
    <row r="234" spans="1:20" x14ac:dyDescent="0.35">
      <c r="A234" s="39"/>
      <c r="B234" s="39"/>
      <c r="C234" s="39"/>
      <c r="D234" s="39"/>
      <c r="E234" s="39"/>
      <c r="F234" s="39"/>
      <c r="G234" s="39"/>
      <c r="H234" s="39"/>
    </row>
    <row r="235" spans="1:20" x14ac:dyDescent="0.35">
      <c r="A235" s="39"/>
      <c r="B235" s="39"/>
      <c r="C235" s="39"/>
      <c r="D235" s="39"/>
      <c r="E235" s="39"/>
      <c r="F235" s="39"/>
      <c r="G235" s="39"/>
      <c r="H235" s="39"/>
    </row>
    <row r="236" spans="1:20" ht="15" customHeight="1" x14ac:dyDescent="0.35"/>
    <row r="276" spans="1:1" x14ac:dyDescent="0.35">
      <c r="A276" s="41" t="s">
        <v>164</v>
      </c>
    </row>
    <row r="319" spans="1:1" x14ac:dyDescent="0.35">
      <c r="A319" s="41" t="s">
        <v>64</v>
      </c>
    </row>
  </sheetData>
  <mergeCells count="397">
    <mergeCell ref="L179:M179"/>
    <mergeCell ref="A168:H168"/>
    <mergeCell ref="A167:H167"/>
    <mergeCell ref="A147:H147"/>
    <mergeCell ref="A148:B148"/>
    <mergeCell ref="L148:M148"/>
    <mergeCell ref="A149:B149"/>
    <mergeCell ref="L149:M149"/>
    <mergeCell ref="A150:B150"/>
    <mergeCell ref="L150:M150"/>
    <mergeCell ref="A151:B151"/>
    <mergeCell ref="L151:M151"/>
    <mergeCell ref="A174:B174"/>
    <mergeCell ref="A173:B173"/>
    <mergeCell ref="A159:B159"/>
    <mergeCell ref="A160:B160"/>
    <mergeCell ref="L160:M160"/>
    <mergeCell ref="A161:B161"/>
    <mergeCell ref="L161:M161"/>
    <mergeCell ref="A162:H162"/>
    <mergeCell ref="A163:H163"/>
    <mergeCell ref="C53:H53"/>
    <mergeCell ref="A152:H152"/>
    <mergeCell ref="A175:H175"/>
    <mergeCell ref="A176:B176"/>
    <mergeCell ref="L176:M176"/>
    <mergeCell ref="A177:B177"/>
    <mergeCell ref="L177:M177"/>
    <mergeCell ref="A178:B178"/>
    <mergeCell ref="L178:M178"/>
    <mergeCell ref="A146:H146"/>
    <mergeCell ref="A100:B100"/>
    <mergeCell ref="A101:B101"/>
    <mergeCell ref="A120:E120"/>
    <mergeCell ref="A117:E117"/>
    <mergeCell ref="F121:H121"/>
    <mergeCell ref="G92:H92"/>
    <mergeCell ref="A77:B77"/>
    <mergeCell ref="A75:B75"/>
    <mergeCell ref="C75:H75"/>
    <mergeCell ref="A70:C70"/>
    <mergeCell ref="D70:H70"/>
    <mergeCell ref="C77:H77"/>
    <mergeCell ref="A71:C71"/>
    <mergeCell ref="D71:H71"/>
    <mergeCell ref="E43:H43"/>
    <mergeCell ref="A43:D43"/>
    <mergeCell ref="A84:B84"/>
    <mergeCell ref="A50:B50"/>
    <mergeCell ref="D67:H67"/>
    <mergeCell ref="C52:E52"/>
    <mergeCell ref="A204:H204"/>
    <mergeCell ref="A196:B196"/>
    <mergeCell ref="A197:B197"/>
    <mergeCell ref="A192:H192"/>
    <mergeCell ref="A186:H186"/>
    <mergeCell ref="A201:B201"/>
    <mergeCell ref="A198:H198"/>
    <mergeCell ref="A72:C72"/>
    <mergeCell ref="D73:H73"/>
    <mergeCell ref="A79:B79"/>
    <mergeCell ref="G78:H78"/>
    <mergeCell ref="A87:B87"/>
    <mergeCell ref="A88:B88"/>
    <mergeCell ref="A83:B83"/>
    <mergeCell ref="A80:B80"/>
    <mergeCell ref="A82:B82"/>
    <mergeCell ref="E78:F78"/>
    <mergeCell ref="A85:B85"/>
    <mergeCell ref="I15:P15"/>
    <mergeCell ref="F127:H127"/>
    <mergeCell ref="F125:H125"/>
    <mergeCell ref="A188:B188"/>
    <mergeCell ref="A143:H143"/>
    <mergeCell ref="G131:H131"/>
    <mergeCell ref="A126:E126"/>
    <mergeCell ref="A156:B156"/>
    <mergeCell ref="A60:B60"/>
    <mergeCell ref="C60:E60"/>
    <mergeCell ref="D62:H62"/>
    <mergeCell ref="F126:H126"/>
    <mergeCell ref="E131:F131"/>
    <mergeCell ref="A131:B131"/>
    <mergeCell ref="A133:B133"/>
    <mergeCell ref="C137:D137"/>
    <mergeCell ref="D72:H72"/>
    <mergeCell ref="D63:H63"/>
    <mergeCell ref="G60:H60"/>
    <mergeCell ref="A54:B55"/>
    <mergeCell ref="C54:E54"/>
    <mergeCell ref="G54:H54"/>
    <mergeCell ref="A56:B57"/>
    <mergeCell ref="C56:E56"/>
    <mergeCell ref="A226:H226"/>
    <mergeCell ref="A223:H223"/>
    <mergeCell ref="A181:B181"/>
    <mergeCell ref="A137:B137"/>
    <mergeCell ref="D165:D166"/>
    <mergeCell ref="E165:E166"/>
    <mergeCell ref="A97:B97"/>
    <mergeCell ref="A99:B99"/>
    <mergeCell ref="F118:H118"/>
    <mergeCell ref="G132:H132"/>
    <mergeCell ref="A102:B102"/>
    <mergeCell ref="F124:H124"/>
    <mergeCell ref="C131:D131"/>
    <mergeCell ref="C140:D140"/>
    <mergeCell ref="A169:H169"/>
    <mergeCell ref="A190:B190"/>
    <mergeCell ref="B209:H209"/>
    <mergeCell ref="A199:B199"/>
    <mergeCell ref="A200:B200"/>
    <mergeCell ref="A203:B203"/>
    <mergeCell ref="A202:B202"/>
    <mergeCell ref="B205:H205"/>
    <mergeCell ref="B206:H206"/>
    <mergeCell ref="B208:H208"/>
    <mergeCell ref="A222:H222"/>
    <mergeCell ref="F117:H117"/>
    <mergeCell ref="F122:H122"/>
    <mergeCell ref="A170:B170"/>
    <mergeCell ref="A158:B158"/>
    <mergeCell ref="A157:B157"/>
    <mergeCell ref="A123:E123"/>
    <mergeCell ref="F123:H123"/>
    <mergeCell ref="A125:E125"/>
    <mergeCell ref="F120:H120"/>
    <mergeCell ref="A124:E124"/>
    <mergeCell ref="A164:H164"/>
    <mergeCell ref="E137:F137"/>
    <mergeCell ref="A142:H142"/>
    <mergeCell ref="A165:A166"/>
    <mergeCell ref="F165:F166"/>
    <mergeCell ref="A187:B187"/>
    <mergeCell ref="A155:B155"/>
    <mergeCell ref="B218:H218"/>
    <mergeCell ref="A141:B141"/>
    <mergeCell ref="C141:D141"/>
    <mergeCell ref="E141:F141"/>
    <mergeCell ref="B211:H211"/>
    <mergeCell ref="A134:B134"/>
    <mergeCell ref="A229:H232"/>
    <mergeCell ref="A228:B228"/>
    <mergeCell ref="E228:F228"/>
    <mergeCell ref="C228:D228"/>
    <mergeCell ref="G228:H228"/>
    <mergeCell ref="A130:H130"/>
    <mergeCell ref="A128:E128"/>
    <mergeCell ref="F128:H128"/>
    <mergeCell ref="A129:E129"/>
    <mergeCell ref="F129:H129"/>
    <mergeCell ref="A180:H180"/>
    <mergeCell ref="A138:B138"/>
    <mergeCell ref="A189:B189"/>
    <mergeCell ref="A132:B132"/>
    <mergeCell ref="A224:H224"/>
    <mergeCell ref="A136:H136"/>
    <mergeCell ref="A227:H227"/>
    <mergeCell ref="A225:H225"/>
    <mergeCell ref="A221:H221"/>
    <mergeCell ref="G137:H137"/>
    <mergeCell ref="B210:H210"/>
    <mergeCell ref="A195:B195"/>
    <mergeCell ref="A184:B184"/>
    <mergeCell ref="A191:B19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4:C74"/>
    <mergeCell ref="D74:H74"/>
    <mergeCell ref="A73:C73"/>
    <mergeCell ref="A47:D47"/>
    <mergeCell ref="D69:H69"/>
    <mergeCell ref="A44:D44"/>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G52:H52"/>
    <mergeCell ref="A61:H61"/>
    <mergeCell ref="A62:C62"/>
    <mergeCell ref="A63:C63"/>
    <mergeCell ref="A98:B98"/>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89:B89"/>
    <mergeCell ref="C89:H89"/>
    <mergeCell ref="A154:H154"/>
    <mergeCell ref="E144:E145"/>
    <mergeCell ref="A93:B93"/>
    <mergeCell ref="C91:H91"/>
    <mergeCell ref="A94:B94"/>
    <mergeCell ref="A95:B95"/>
    <mergeCell ref="G93:H102"/>
    <mergeCell ref="A96:B96"/>
    <mergeCell ref="F119:H119"/>
    <mergeCell ref="A119:E119"/>
    <mergeCell ref="D144:D145"/>
    <mergeCell ref="A91:B91"/>
    <mergeCell ref="A92:B92"/>
    <mergeCell ref="E92:F92"/>
    <mergeCell ref="E93:F102"/>
    <mergeCell ref="A103:B103"/>
    <mergeCell ref="C103:H103"/>
    <mergeCell ref="A105:B105"/>
    <mergeCell ref="C105:H105"/>
    <mergeCell ref="A106:B106"/>
    <mergeCell ref="E106:F106"/>
    <mergeCell ref="G106:H106"/>
    <mergeCell ref="L180:M180"/>
    <mergeCell ref="A185:B185"/>
    <mergeCell ref="A182:B182"/>
    <mergeCell ref="A183:B183"/>
    <mergeCell ref="A193:B193"/>
    <mergeCell ref="A40:B40"/>
    <mergeCell ref="C40:H40"/>
    <mergeCell ref="F144:F145"/>
    <mergeCell ref="C132:D132"/>
    <mergeCell ref="E132:F132"/>
    <mergeCell ref="B144:B145"/>
    <mergeCell ref="A144:A145"/>
    <mergeCell ref="C165:C166"/>
    <mergeCell ref="G165:G166"/>
    <mergeCell ref="A171:B171"/>
    <mergeCell ref="G141:H141"/>
    <mergeCell ref="A172:B172"/>
    <mergeCell ref="C55:H55"/>
    <mergeCell ref="A46:D46"/>
    <mergeCell ref="A78:B78"/>
    <mergeCell ref="A86:B86"/>
    <mergeCell ref="C138:D138"/>
    <mergeCell ref="E138:F138"/>
    <mergeCell ref="G138:H138"/>
    <mergeCell ref="A81:B81"/>
    <mergeCell ref="E79:F88"/>
    <mergeCell ref="G79:H88"/>
    <mergeCell ref="B219:H219"/>
    <mergeCell ref="A122:E122"/>
    <mergeCell ref="A140:B140"/>
    <mergeCell ref="E140:F140"/>
    <mergeCell ref="A127:E127"/>
    <mergeCell ref="G140:H140"/>
    <mergeCell ref="C133:D133"/>
    <mergeCell ref="E133:F133"/>
    <mergeCell ref="G133:H133"/>
    <mergeCell ref="A135:B135"/>
    <mergeCell ref="C135:D135"/>
    <mergeCell ref="E135:F135"/>
    <mergeCell ref="G135:H135"/>
    <mergeCell ref="A139:B139"/>
    <mergeCell ref="C139:D139"/>
    <mergeCell ref="E139:F139"/>
    <mergeCell ref="G139:H139"/>
    <mergeCell ref="A121:E121"/>
    <mergeCell ref="A107:B107"/>
    <mergeCell ref="B212:H212"/>
    <mergeCell ref="A118:E118"/>
    <mergeCell ref="C134:D134"/>
    <mergeCell ref="E134:F134"/>
    <mergeCell ref="G134:H134"/>
    <mergeCell ref="A153:H153"/>
    <mergeCell ref="A116:B116"/>
    <mergeCell ref="C144:C145"/>
    <mergeCell ref="B165:B166"/>
    <mergeCell ref="B207:H207"/>
    <mergeCell ref="A179:B179"/>
    <mergeCell ref="E107:F116"/>
    <mergeCell ref="G107:H116"/>
    <mergeCell ref="A108:B108"/>
    <mergeCell ref="A109:B109"/>
    <mergeCell ref="A110:B110"/>
    <mergeCell ref="A111:B111"/>
    <mergeCell ref="A112:B112"/>
    <mergeCell ref="A113:B113"/>
    <mergeCell ref="A114:B114"/>
    <mergeCell ref="A115:B115"/>
    <mergeCell ref="G144:G145"/>
    <mergeCell ref="A194:B194"/>
    <mergeCell ref="B220:H220"/>
    <mergeCell ref="B213:H213"/>
    <mergeCell ref="B214:H214"/>
    <mergeCell ref="B215:C215"/>
    <mergeCell ref="D215:E215"/>
    <mergeCell ref="F215:H215"/>
    <mergeCell ref="D216:E216"/>
    <mergeCell ref="D217:E217"/>
    <mergeCell ref="F216:H216"/>
    <mergeCell ref="F217:H217"/>
    <mergeCell ref="B216:C217"/>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28:H228">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4:B145">
      <formula1>"Shop No. (Sale Plan),Sale / Rehab,Sale / Mhada"</formula1>
    </dataValidation>
    <dataValidation type="list" allowBlank="1" showInputMessage="1" showErrorMessage="1" sqref="B165:B16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5:E166">
      <formula1>"Fungible area,Encl Balcony +AP Area,Chajja Area,Cornice Area,AP Area,WS Area"</formula1>
    </dataValidation>
    <dataValidation type="list" allowBlank="1" showInputMessage="1" showErrorMessage="1" sqref="H166 H14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H165">
      <formula1>"Saleable area Loading :,Builder Saleable Area"</formula1>
    </dataValidation>
    <dataValidation type="list" allowBlank="1" showInputMessage="1" showErrorMessage="1" sqref="D165:D166 D144:D14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7" man="1"/>
    <brk id="232" max="16383" man="1"/>
    <brk id="275" max="16383" man="1"/>
    <brk id="3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0" t="s">
        <v>104</v>
      </c>
      <c r="C3" s="260"/>
      <c r="D3" s="260"/>
      <c r="E3" s="260"/>
      <c r="F3" s="260"/>
      <c r="G3" s="260"/>
      <c r="H3" s="26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181</v>
      </c>
      <c r="E4" s="53" t="s">
        <v>191</v>
      </c>
      <c r="F4" s="53" t="s">
        <v>174</v>
      </c>
      <c r="G4" s="53" t="s">
        <v>196</v>
      </c>
      <c r="H4" s="53" t="s">
        <v>214</v>
      </c>
      <c r="J4" t="s">
        <v>196</v>
      </c>
      <c r="K4" t="s">
        <v>212</v>
      </c>
    </row>
    <row r="5" spans="2:11" x14ac:dyDescent="0.35">
      <c r="B5" s="52"/>
      <c r="C5" s="52"/>
      <c r="D5" s="53" t="s">
        <v>182</v>
      </c>
      <c r="E5" s="53" t="s">
        <v>189</v>
      </c>
      <c r="F5" s="53" t="s">
        <v>211</v>
      </c>
      <c r="G5" s="53" t="s">
        <v>197</v>
      </c>
      <c r="H5" s="53" t="s">
        <v>215</v>
      </c>
    </row>
    <row r="6" spans="2:11" x14ac:dyDescent="0.35">
      <c r="B6" s="52"/>
      <c r="C6" s="52"/>
      <c r="D6" s="53" t="s">
        <v>183</v>
      </c>
      <c r="E6" s="53" t="s">
        <v>190</v>
      </c>
      <c r="F6" s="53" t="s">
        <v>212</v>
      </c>
      <c r="G6" s="53" t="s">
        <v>198</v>
      </c>
      <c r="H6" s="53" t="s">
        <v>228</v>
      </c>
    </row>
    <row r="7" spans="2:11" x14ac:dyDescent="0.35">
      <c r="B7" s="52"/>
      <c r="C7" s="52"/>
      <c r="D7" s="53" t="s">
        <v>184</v>
      </c>
      <c r="E7" s="53" t="s">
        <v>192</v>
      </c>
      <c r="F7" s="53" t="s">
        <v>213</v>
      </c>
      <c r="G7" s="53" t="s">
        <v>199</v>
      </c>
      <c r="H7" s="53" t="s">
        <v>216</v>
      </c>
    </row>
    <row r="8" spans="2:11" x14ac:dyDescent="0.35">
      <c r="B8" s="52"/>
      <c r="C8" s="52"/>
      <c r="D8" s="53" t="s">
        <v>185</v>
      </c>
      <c r="E8" s="53" t="s">
        <v>193</v>
      </c>
      <c r="F8" s="53"/>
      <c r="G8" s="53" t="s">
        <v>200</v>
      </c>
      <c r="H8" s="53" t="s">
        <v>217</v>
      </c>
    </row>
    <row r="9" spans="2:11" x14ac:dyDescent="0.35">
      <c r="B9" s="52"/>
      <c r="C9" s="52"/>
      <c r="D9" s="53" t="s">
        <v>186</v>
      </c>
      <c r="E9" s="53" t="s">
        <v>191</v>
      </c>
      <c r="F9" s="53"/>
      <c r="G9" s="53" t="s">
        <v>201</v>
      </c>
      <c r="H9" s="53" t="s">
        <v>218</v>
      </c>
    </row>
    <row r="10" spans="2:11" x14ac:dyDescent="0.35">
      <c r="B10" s="52"/>
      <c r="C10" s="52"/>
      <c r="D10" s="53" t="s">
        <v>187</v>
      </c>
      <c r="E10" s="53" t="s">
        <v>194</v>
      </c>
      <c r="F10" s="53"/>
      <c r="G10" s="53" t="s">
        <v>202</v>
      </c>
      <c r="H10" s="53" t="s">
        <v>219</v>
      </c>
    </row>
    <row r="11" spans="2:11" x14ac:dyDescent="0.35">
      <c r="B11" s="52"/>
      <c r="C11" s="52"/>
      <c r="D11" s="53" t="s">
        <v>188</v>
      </c>
      <c r="E11" s="53" t="s">
        <v>195</v>
      </c>
      <c r="F11" s="53"/>
      <c r="G11" s="53" t="s">
        <v>203</v>
      </c>
      <c r="H11" s="53" t="s">
        <v>220</v>
      </c>
    </row>
    <row r="12" spans="2:11" x14ac:dyDescent="0.35">
      <c r="B12" s="52"/>
      <c r="C12" s="52"/>
      <c r="D12" s="53"/>
      <c r="E12" s="53"/>
      <c r="F12" s="53"/>
      <c r="G12" s="53" t="s">
        <v>204</v>
      </c>
      <c r="H12" s="53" t="s">
        <v>221</v>
      </c>
    </row>
    <row r="13" spans="2:11" x14ac:dyDescent="0.35">
      <c r="B13" s="52"/>
      <c r="C13" s="52"/>
      <c r="D13" s="53"/>
      <c r="E13" s="53"/>
      <c r="F13" s="53"/>
      <c r="G13" s="53" t="s">
        <v>205</v>
      </c>
      <c r="H13" s="53" t="s">
        <v>222</v>
      </c>
    </row>
    <row r="14" spans="2:11" x14ac:dyDescent="0.35">
      <c r="B14" s="52"/>
      <c r="C14" s="52"/>
      <c r="D14" s="53"/>
      <c r="E14" s="53"/>
      <c r="F14" s="53"/>
      <c r="G14" s="53" t="s">
        <v>206</v>
      </c>
      <c r="H14" s="53" t="s">
        <v>223</v>
      </c>
    </row>
    <row r="15" spans="2:11" x14ac:dyDescent="0.35">
      <c r="B15" s="52"/>
      <c r="C15" s="52"/>
      <c r="D15" s="53"/>
      <c r="E15" s="53"/>
      <c r="F15" s="53"/>
      <c r="G15" s="53" t="s">
        <v>207</v>
      </c>
      <c r="H15" s="53" t="s">
        <v>224</v>
      </c>
    </row>
    <row r="16" spans="2:11" x14ac:dyDescent="0.35">
      <c r="B16" s="52"/>
      <c r="C16" s="52"/>
      <c r="D16" s="53"/>
      <c r="E16" s="53"/>
      <c r="F16" s="53"/>
      <c r="G16" s="53" t="s">
        <v>208</v>
      </c>
      <c r="H16" s="53" t="s">
        <v>225</v>
      </c>
    </row>
    <row r="17" spans="2:8" x14ac:dyDescent="0.35">
      <c r="B17" s="52"/>
      <c r="C17" s="52"/>
      <c r="D17" s="53"/>
      <c r="E17" s="53"/>
      <c r="F17" s="53"/>
      <c r="G17" s="53" t="s">
        <v>209</v>
      </c>
      <c r="H17" s="53" t="s">
        <v>226</v>
      </c>
    </row>
    <row r="18" spans="2:8" x14ac:dyDescent="0.35">
      <c r="B18" s="52"/>
      <c r="C18" s="52"/>
      <c r="D18" s="53"/>
      <c r="E18" s="53"/>
      <c r="F18" s="53"/>
      <c r="G18" s="53" t="s">
        <v>210</v>
      </c>
      <c r="H18" s="53"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56" t="s">
        <v>238</v>
      </c>
      <c r="D34" s="53" t="s">
        <v>236</v>
      </c>
      <c r="E34" s="53" t="s">
        <v>241</v>
      </c>
      <c r="F34" s="53" t="s">
        <v>239</v>
      </c>
      <c r="G34" s="53" t="s">
        <v>240</v>
      </c>
      <c r="H34" s="53" t="s">
        <v>242</v>
      </c>
      <c r="J34" t="s">
        <v>196</v>
      </c>
      <c r="K34" t="s">
        <v>212</v>
      </c>
    </row>
    <row r="35" spans="3:11" x14ac:dyDescent="0.35">
      <c r="C35" s="52" t="s">
        <v>237</v>
      </c>
      <c r="D35" s="53" t="s">
        <v>172</v>
      </c>
      <c r="E35" s="53" t="s">
        <v>246</v>
      </c>
      <c r="F35" s="53" t="s">
        <v>248</v>
      </c>
      <c r="G35" s="53" t="s">
        <v>250</v>
      </c>
      <c r="H35" s="53"/>
    </row>
    <row r="36" spans="3:11" x14ac:dyDescent="0.35">
      <c r="C36" s="52"/>
      <c r="D36" s="53" t="s">
        <v>243</v>
      </c>
      <c r="E36" s="53" t="s">
        <v>247</v>
      </c>
      <c r="F36" s="53" t="s">
        <v>249</v>
      </c>
      <c r="G36" s="53" t="s">
        <v>251</v>
      </c>
      <c r="H36" s="53"/>
    </row>
    <row r="37" spans="3:11" x14ac:dyDescent="0.35">
      <c r="C37" s="52"/>
      <c r="D37" s="53" t="s">
        <v>244</v>
      </c>
      <c r="E37" s="53"/>
      <c r="F37" s="53"/>
      <c r="G37" s="53" t="s">
        <v>252</v>
      </c>
      <c r="H37" s="53"/>
    </row>
    <row r="38" spans="3:11" x14ac:dyDescent="0.35">
      <c r="C38" s="52"/>
      <c r="D38" s="53" t="s">
        <v>245</v>
      </c>
      <c r="E38" s="53"/>
      <c r="F38" s="53"/>
      <c r="G38" s="53" t="s">
        <v>252</v>
      </c>
      <c r="H38" s="53"/>
    </row>
    <row r="39" spans="3:11" x14ac:dyDescent="0.35">
      <c r="C39" s="52"/>
      <c r="D39" s="53"/>
      <c r="E39" s="53"/>
      <c r="F39" s="53"/>
      <c r="G39" s="53" t="s">
        <v>253</v>
      </c>
      <c r="H39" s="53"/>
    </row>
    <row r="40" spans="3:11" x14ac:dyDescent="0.35">
      <c r="C40" s="52"/>
      <c r="D40" s="53"/>
      <c r="E40" s="53"/>
      <c r="F40" s="53"/>
      <c r="G40" s="53" t="s">
        <v>254</v>
      </c>
      <c r="H40" s="53"/>
    </row>
    <row r="41" spans="3:11" x14ac:dyDescent="0.35">
      <c r="C41" s="52"/>
      <c r="D41" s="53"/>
      <c r="E41" s="53"/>
      <c r="F41" s="53"/>
      <c r="G41" s="53"/>
      <c r="H41" s="53"/>
    </row>
    <row r="43" spans="3:11" x14ac:dyDescent="0.35">
      <c r="C43" t="s">
        <v>255</v>
      </c>
    </row>
    <row r="44" spans="3:11" x14ac:dyDescent="0.35">
      <c r="C44" t="s">
        <v>174</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181</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196</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191</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7">
        <v>1</v>
      </c>
      <c r="C2" s="60" t="s">
        <v>286</v>
      </c>
    </row>
    <row r="3" spans="2:3" x14ac:dyDescent="0.35">
      <c r="B3" s="57">
        <v>2</v>
      </c>
      <c r="C3" s="58" t="s">
        <v>287</v>
      </c>
    </row>
    <row r="4" spans="2:3" x14ac:dyDescent="0.35">
      <c r="B4" s="57">
        <v>3</v>
      </c>
      <c r="C4" s="59" t="s">
        <v>288</v>
      </c>
    </row>
    <row r="5" spans="2:3" x14ac:dyDescent="0.35">
      <c r="B5" s="57">
        <v>4</v>
      </c>
      <c r="C5" s="58" t="s">
        <v>289</v>
      </c>
    </row>
    <row r="6" spans="2:3" x14ac:dyDescent="0.35">
      <c r="B6" s="57">
        <v>5</v>
      </c>
      <c r="C6" s="59" t="s">
        <v>290</v>
      </c>
    </row>
    <row r="7" spans="2:3" ht="29" x14ac:dyDescent="0.35">
      <c r="B7" s="57">
        <v>6</v>
      </c>
      <c r="C7" s="58" t="s">
        <v>291</v>
      </c>
    </row>
    <row r="8" spans="2:3" ht="72.5" x14ac:dyDescent="0.35">
      <c r="B8" s="57">
        <v>7</v>
      </c>
      <c r="C8" s="58" t="s">
        <v>292</v>
      </c>
    </row>
    <row r="9" spans="2:3" x14ac:dyDescent="0.35">
      <c r="B9" s="57">
        <v>8</v>
      </c>
      <c r="C9" s="59" t="s">
        <v>293</v>
      </c>
    </row>
    <row r="10" spans="2:3" x14ac:dyDescent="0.35">
      <c r="B10" s="57">
        <v>9</v>
      </c>
      <c r="C10" s="59" t="s">
        <v>294</v>
      </c>
    </row>
    <row r="11" spans="2:3" x14ac:dyDescent="0.35">
      <c r="B11" s="57">
        <v>10</v>
      </c>
      <c r="C11" s="59" t="s">
        <v>295</v>
      </c>
    </row>
    <row r="12" spans="2:3" x14ac:dyDescent="0.35">
      <c r="B12" s="57">
        <v>11</v>
      </c>
      <c r="C12" s="59" t="s">
        <v>296</v>
      </c>
    </row>
    <row r="13" spans="2:3" x14ac:dyDescent="0.35">
      <c r="B13" s="57">
        <v>12</v>
      </c>
      <c r="C13" s="59" t="s">
        <v>297</v>
      </c>
    </row>
    <row r="14" spans="2:3" x14ac:dyDescent="0.35">
      <c r="B14" s="57">
        <v>13</v>
      </c>
      <c r="C14" s="59" t="s">
        <v>298</v>
      </c>
    </row>
    <row r="15" spans="2:3" x14ac:dyDescent="0.35">
      <c r="B15" s="57">
        <v>14</v>
      </c>
      <c r="C15" s="59" t="s">
        <v>288</v>
      </c>
    </row>
    <row r="16" spans="2:3" x14ac:dyDescent="0.35">
      <c r="B16" s="57">
        <v>15</v>
      </c>
      <c r="C16" s="59" t="s">
        <v>300</v>
      </c>
    </row>
    <row r="17" spans="2:3" x14ac:dyDescent="0.35">
      <c r="B17" s="84">
        <v>16</v>
      </c>
      <c r="C17" s="66" t="s">
        <v>301</v>
      </c>
    </row>
    <row r="18" spans="2:3" x14ac:dyDescent="0.35">
      <c r="B18" s="65">
        <v>17</v>
      </c>
      <c r="C18" s="66" t="s">
        <v>302</v>
      </c>
    </row>
    <row r="19" spans="2:3" x14ac:dyDescent="0.35">
      <c r="B19" s="64">
        <v>18</v>
      </c>
      <c r="C19" s="57" t="s">
        <v>303</v>
      </c>
    </row>
    <row r="20" spans="2:3" x14ac:dyDescent="0.35">
      <c r="B20" s="65">
        <v>19</v>
      </c>
      <c r="C20" s="57" t="s">
        <v>339</v>
      </c>
    </row>
    <row r="21" spans="2:3" x14ac:dyDescent="0.35">
      <c r="B21" s="67">
        <v>20</v>
      </c>
      <c r="C21" s="57" t="s">
        <v>304</v>
      </c>
    </row>
    <row r="22" spans="2:3" x14ac:dyDescent="0.35">
      <c r="B22" s="65">
        <v>21</v>
      </c>
      <c r="C22" s="57" t="s">
        <v>303</v>
      </c>
    </row>
    <row r="23" spans="2:3" s="76" customFormat="1" ht="29.25" customHeight="1" x14ac:dyDescent="0.35">
      <c r="B23" s="75">
        <v>22</v>
      </c>
      <c r="C23" s="60" t="s">
        <v>331</v>
      </c>
    </row>
    <row r="24" spans="2:3" s="76" customFormat="1" ht="30.75" customHeight="1" x14ac:dyDescent="0.35">
      <c r="B24" s="77">
        <v>23</v>
      </c>
      <c r="C24" s="60" t="s">
        <v>332</v>
      </c>
    </row>
    <row r="25" spans="2:3" x14ac:dyDescent="0.35">
      <c r="B25" s="67">
        <v>24</v>
      </c>
      <c r="C25" s="57" t="s">
        <v>335</v>
      </c>
    </row>
    <row r="26" spans="2:3" x14ac:dyDescent="0.35">
      <c r="B26" s="65">
        <v>25</v>
      </c>
      <c r="C26" s="57" t="s">
        <v>333</v>
      </c>
    </row>
    <row r="27" spans="2:3" x14ac:dyDescent="0.35">
      <c r="B27" s="77">
        <v>26</v>
      </c>
      <c r="C27" s="67" t="s">
        <v>334</v>
      </c>
    </row>
    <row r="28" spans="2:3" x14ac:dyDescent="0.35">
      <c r="B28" s="78">
        <v>27</v>
      </c>
      <c r="C28" s="57" t="s">
        <v>336</v>
      </c>
    </row>
    <row r="29" spans="2:3" ht="43.5" x14ac:dyDescent="0.35">
      <c r="B29" s="83">
        <v>28</v>
      </c>
      <c r="C29" s="58" t="s">
        <v>337</v>
      </c>
    </row>
    <row r="30" spans="2:3" x14ac:dyDescent="0.35">
      <c r="B30" s="77">
        <v>29</v>
      </c>
      <c r="C30" s="57" t="s">
        <v>338</v>
      </c>
    </row>
    <row r="31" spans="2:3" ht="29" x14ac:dyDescent="0.35">
      <c r="B31" s="85">
        <v>30</v>
      </c>
      <c r="C31" s="58" t="s">
        <v>340</v>
      </c>
    </row>
    <row r="32" spans="2:3" x14ac:dyDescent="0.35">
      <c r="B32" s="77">
        <v>31</v>
      </c>
      <c r="C32" s="57" t="s">
        <v>341</v>
      </c>
    </row>
    <row r="33" spans="2:3" x14ac:dyDescent="0.35">
      <c r="B33" s="77">
        <v>32</v>
      </c>
      <c r="C33" s="57" t="s">
        <v>342</v>
      </c>
    </row>
    <row r="34" spans="2:3" ht="36.75" customHeight="1" x14ac:dyDescent="0.35">
      <c r="B34" s="85">
        <v>33</v>
      </c>
      <c r="C34" s="66" t="s">
        <v>343</v>
      </c>
    </row>
    <row r="35" spans="2:3" x14ac:dyDescent="0.35">
      <c r="B35" s="77">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9" t="s">
        <v>305</v>
      </c>
      <c r="C2" s="261"/>
      <c r="D2" s="261"/>
    </row>
    <row r="3" spans="1:12" x14ac:dyDescent="0.35">
      <c r="D3" s="70"/>
      <c r="E3" s="70"/>
      <c r="F3" s="70"/>
      <c r="G3" s="70"/>
      <c r="H3" s="70"/>
      <c r="I3" s="70"/>
    </row>
    <row r="4" spans="1:12" x14ac:dyDescent="0.35">
      <c r="A4" s="69" t="s">
        <v>66</v>
      </c>
      <c r="B4" s="71" t="s">
        <v>306</v>
      </c>
      <c r="C4" s="262" t="s">
        <v>307</v>
      </c>
      <c r="D4" s="262"/>
      <c r="E4" s="262"/>
      <c r="F4" s="71"/>
      <c r="G4" s="263" t="s">
        <v>308</v>
      </c>
      <c r="H4" s="263"/>
      <c r="I4" s="263"/>
      <c r="J4" s="264" t="s">
        <v>309</v>
      </c>
      <c r="K4" s="264"/>
      <c r="L4" s="264"/>
    </row>
    <row r="5" spans="1:12" x14ac:dyDescent="0.35">
      <c r="A5" s="69"/>
      <c r="B5" s="71"/>
      <c r="C5" s="71" t="s">
        <v>310</v>
      </c>
      <c r="D5" s="71" t="s">
        <v>311</v>
      </c>
      <c r="E5" s="71" t="s">
        <v>312</v>
      </c>
      <c r="F5" s="71"/>
      <c r="G5" s="71" t="s">
        <v>310</v>
      </c>
      <c r="H5" s="71" t="s">
        <v>311</v>
      </c>
      <c r="I5" s="71" t="s">
        <v>312</v>
      </c>
      <c r="J5" s="71" t="s">
        <v>310</v>
      </c>
      <c r="K5" s="71" t="s">
        <v>311</v>
      </c>
      <c r="L5" s="71" t="s">
        <v>312</v>
      </c>
    </row>
    <row r="6" spans="1:12" x14ac:dyDescent="0.35">
      <c r="B6" s="53" t="s">
        <v>313</v>
      </c>
      <c r="C6" s="53"/>
      <c r="D6" s="53"/>
      <c r="E6" s="53">
        <f>C6*D6</f>
        <v>0</v>
      </c>
      <c r="F6" s="53" t="s">
        <v>330</v>
      </c>
      <c r="G6" s="53"/>
      <c r="H6" s="53"/>
      <c r="I6" s="53">
        <f>G6*H6</f>
        <v>0</v>
      </c>
      <c r="J6" s="53"/>
      <c r="K6" s="53"/>
      <c r="L6" s="53">
        <f>J6*K6</f>
        <v>0</v>
      </c>
    </row>
    <row r="7" spans="1:12" x14ac:dyDescent="0.35">
      <c r="B7" s="53"/>
      <c r="C7" s="53"/>
      <c r="D7" s="53"/>
      <c r="E7" s="53">
        <f t="shared" ref="E7:E41" si="0">C7*D7</f>
        <v>0</v>
      </c>
      <c r="F7" s="53" t="s">
        <v>330</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314</v>
      </c>
      <c r="G9" s="53"/>
      <c r="H9" s="53"/>
      <c r="I9" s="53">
        <f t="shared" si="1"/>
        <v>0</v>
      </c>
      <c r="J9" s="53"/>
      <c r="K9" s="53"/>
      <c r="L9" s="53">
        <f t="shared" si="2"/>
        <v>0</v>
      </c>
    </row>
    <row r="10" spans="1:12" x14ac:dyDescent="0.35">
      <c r="B10" s="53" t="s">
        <v>315</v>
      </c>
      <c r="C10" s="53"/>
      <c r="D10" s="53"/>
      <c r="E10" s="53">
        <f t="shared" si="0"/>
        <v>0</v>
      </c>
      <c r="F10" s="53" t="s">
        <v>314</v>
      </c>
      <c r="G10" s="53"/>
      <c r="H10" s="53"/>
      <c r="I10" s="53">
        <f t="shared" si="1"/>
        <v>0</v>
      </c>
      <c r="J10" s="53"/>
      <c r="K10" s="53"/>
      <c r="L10" s="53">
        <f t="shared" si="2"/>
        <v>0</v>
      </c>
    </row>
    <row r="11" spans="1:12" x14ac:dyDescent="0.35">
      <c r="B11" s="53"/>
      <c r="C11" s="53"/>
      <c r="D11" s="53"/>
      <c r="E11" s="53">
        <f t="shared" si="0"/>
        <v>0</v>
      </c>
      <c r="F11" s="53" t="s">
        <v>316</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317</v>
      </c>
      <c r="C14" s="53"/>
      <c r="D14" s="53"/>
      <c r="E14" s="53">
        <f t="shared" si="0"/>
        <v>0</v>
      </c>
      <c r="F14" s="53" t="s">
        <v>314</v>
      </c>
      <c r="G14" s="53"/>
      <c r="H14" s="53"/>
      <c r="I14" s="53">
        <f t="shared" si="1"/>
        <v>0</v>
      </c>
      <c r="J14" s="53"/>
      <c r="K14" s="53"/>
      <c r="L14" s="53">
        <f t="shared" si="2"/>
        <v>0</v>
      </c>
    </row>
    <row r="15" spans="1:12" x14ac:dyDescent="0.35">
      <c r="B15" s="53"/>
      <c r="C15" s="53"/>
      <c r="D15" s="53"/>
      <c r="E15" s="53">
        <f t="shared" si="0"/>
        <v>0</v>
      </c>
      <c r="F15" s="53" t="s">
        <v>316</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318</v>
      </c>
      <c r="C18" s="53"/>
      <c r="D18" s="53"/>
      <c r="E18" s="53">
        <f t="shared" si="0"/>
        <v>0</v>
      </c>
      <c r="F18" s="53" t="s">
        <v>314</v>
      </c>
      <c r="G18" s="53"/>
      <c r="H18" s="53"/>
      <c r="I18" s="53">
        <f t="shared" si="1"/>
        <v>0</v>
      </c>
      <c r="J18" s="53"/>
      <c r="K18" s="53"/>
      <c r="L18" s="53">
        <f t="shared" si="2"/>
        <v>0</v>
      </c>
    </row>
    <row r="19" spans="2:12" x14ac:dyDescent="0.35">
      <c r="B19" s="53"/>
      <c r="C19" s="53"/>
      <c r="D19" s="53"/>
      <c r="E19" s="53">
        <f t="shared" si="0"/>
        <v>0</v>
      </c>
      <c r="F19" s="53" t="s">
        <v>316</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319</v>
      </c>
      <c r="C21" s="53"/>
      <c r="D21" s="53"/>
      <c r="E21" s="53">
        <f t="shared" si="0"/>
        <v>0</v>
      </c>
      <c r="F21" s="53" t="s">
        <v>314</v>
      </c>
      <c r="G21" s="53"/>
      <c r="H21" s="53"/>
      <c r="I21" s="53">
        <f t="shared" si="1"/>
        <v>0</v>
      </c>
      <c r="J21" s="53"/>
      <c r="K21" s="53"/>
      <c r="L21" s="53">
        <f t="shared" si="2"/>
        <v>0</v>
      </c>
    </row>
    <row r="22" spans="2:12" x14ac:dyDescent="0.35">
      <c r="B22" s="53"/>
      <c r="C22" s="53"/>
      <c r="D22" s="53"/>
      <c r="E22" s="53">
        <f t="shared" si="0"/>
        <v>0</v>
      </c>
      <c r="F22" s="53" t="s">
        <v>316</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320</v>
      </c>
      <c r="C24" s="53"/>
      <c r="D24" s="53"/>
      <c r="E24" s="53">
        <f t="shared" si="0"/>
        <v>0</v>
      </c>
      <c r="F24" s="53" t="s">
        <v>321</v>
      </c>
      <c r="G24" s="53"/>
      <c r="H24" s="53"/>
      <c r="I24" s="53">
        <f t="shared" si="1"/>
        <v>0</v>
      </c>
      <c r="J24" s="53"/>
      <c r="K24" s="53"/>
      <c r="L24" s="53">
        <f t="shared" si="2"/>
        <v>0</v>
      </c>
    </row>
    <row r="25" spans="2:12" x14ac:dyDescent="0.35">
      <c r="B25" s="53"/>
      <c r="C25" s="53"/>
      <c r="D25" s="53"/>
      <c r="E25" s="53">
        <f t="shared" ref="E25:E27" si="3">C25*D25</f>
        <v>0</v>
      </c>
      <c r="F25" s="53" t="s">
        <v>321</v>
      </c>
      <c r="G25" s="53"/>
      <c r="H25" s="53"/>
      <c r="I25" s="53">
        <f t="shared" ref="I25:I27" si="4">G25*H25</f>
        <v>0</v>
      </c>
      <c r="J25" s="53"/>
      <c r="K25" s="53"/>
      <c r="L25" s="53">
        <f t="shared" ref="L25:L27" si="5">J25*K25</f>
        <v>0</v>
      </c>
    </row>
    <row r="26" spans="2:12" x14ac:dyDescent="0.35">
      <c r="B26" s="53"/>
      <c r="C26" s="53"/>
      <c r="D26" s="53"/>
      <c r="E26" s="53">
        <f t="shared" si="3"/>
        <v>0</v>
      </c>
      <c r="F26" s="53" t="s">
        <v>321</v>
      </c>
      <c r="G26" s="53"/>
      <c r="H26" s="53"/>
      <c r="I26" s="53">
        <f t="shared" si="4"/>
        <v>0</v>
      </c>
      <c r="J26" s="53"/>
      <c r="K26" s="53"/>
      <c r="L26" s="53">
        <f t="shared" si="5"/>
        <v>0</v>
      </c>
    </row>
    <row r="27" spans="2:12" x14ac:dyDescent="0.35">
      <c r="B27" s="53"/>
      <c r="C27" s="53"/>
      <c r="D27" s="53"/>
      <c r="E27" s="53">
        <f t="shared" si="3"/>
        <v>0</v>
      </c>
      <c r="F27" s="53" t="s">
        <v>321</v>
      </c>
      <c r="G27" s="53"/>
      <c r="H27" s="53"/>
      <c r="I27" s="53">
        <f t="shared" si="4"/>
        <v>0</v>
      </c>
      <c r="J27" s="53"/>
      <c r="K27" s="53"/>
      <c r="L27" s="53">
        <f t="shared" si="5"/>
        <v>0</v>
      </c>
    </row>
    <row r="28" spans="2:12" x14ac:dyDescent="0.35">
      <c r="B28" s="53" t="s">
        <v>322</v>
      </c>
      <c r="C28" s="53"/>
      <c r="D28" s="53"/>
      <c r="E28" s="53">
        <f t="shared" si="0"/>
        <v>0</v>
      </c>
      <c r="F28" s="53" t="s">
        <v>321</v>
      </c>
      <c r="G28" s="53"/>
      <c r="H28" s="53"/>
      <c r="I28" s="53">
        <f t="shared" si="1"/>
        <v>0</v>
      </c>
      <c r="J28" s="53"/>
      <c r="K28" s="53"/>
      <c r="L28" s="53">
        <f t="shared" si="2"/>
        <v>0</v>
      </c>
    </row>
    <row r="29" spans="2:12" x14ac:dyDescent="0.35">
      <c r="B29" s="53" t="s">
        <v>323</v>
      </c>
      <c r="C29" s="53"/>
      <c r="D29" s="53"/>
      <c r="E29" s="53">
        <f t="shared" si="0"/>
        <v>0</v>
      </c>
      <c r="F29" s="53" t="s">
        <v>321</v>
      </c>
      <c r="G29" s="53"/>
      <c r="H29" s="53"/>
      <c r="I29" s="53">
        <f t="shared" si="1"/>
        <v>0</v>
      </c>
      <c r="J29" s="53"/>
      <c r="K29" s="53"/>
      <c r="L29" s="53">
        <f t="shared" si="2"/>
        <v>0</v>
      </c>
    </row>
    <row r="30" spans="2:12" x14ac:dyDescent="0.35">
      <c r="B30" s="53" t="s">
        <v>327</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324</v>
      </c>
      <c r="C33" s="53"/>
      <c r="D33" s="53"/>
      <c r="E33" s="53">
        <f t="shared" si="0"/>
        <v>0</v>
      </c>
      <c r="F33" s="53"/>
      <c r="G33" s="53"/>
      <c r="H33" s="53"/>
      <c r="I33" s="53">
        <f t="shared" si="1"/>
        <v>0</v>
      </c>
      <c r="J33" s="53"/>
      <c r="K33" s="53"/>
      <c r="L33" s="53">
        <f t="shared" si="2"/>
        <v>0</v>
      </c>
    </row>
    <row r="34" spans="2:12" x14ac:dyDescent="0.35">
      <c r="B34" s="53" t="s">
        <v>328</v>
      </c>
      <c r="C34" s="53"/>
      <c r="D34" s="53"/>
      <c r="E34" s="53">
        <f t="shared" si="0"/>
        <v>0</v>
      </c>
      <c r="F34" s="53"/>
      <c r="G34" s="53"/>
      <c r="H34" s="53"/>
      <c r="I34" s="53">
        <f t="shared" si="1"/>
        <v>0</v>
      </c>
      <c r="J34" s="53"/>
      <c r="K34" s="53"/>
      <c r="L34" s="53">
        <f t="shared" si="2"/>
        <v>0</v>
      </c>
    </row>
    <row r="35" spans="2:12" x14ac:dyDescent="0.35">
      <c r="B35" s="53" t="s">
        <v>325</v>
      </c>
      <c r="C35" s="53"/>
      <c r="D35" s="53"/>
      <c r="E35" s="53">
        <f t="shared" si="0"/>
        <v>0</v>
      </c>
      <c r="F35" s="53"/>
      <c r="G35" s="53"/>
      <c r="H35" s="53"/>
      <c r="I35" s="53">
        <f t="shared" si="1"/>
        <v>0</v>
      </c>
      <c r="J35" s="53"/>
      <c r="K35" s="53"/>
      <c r="L35" s="53">
        <f t="shared" si="2"/>
        <v>0</v>
      </c>
    </row>
    <row r="36" spans="2:12" x14ac:dyDescent="0.35">
      <c r="B36" s="53" t="s">
        <v>326</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329</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150</v>
      </c>
      <c r="C42" s="53"/>
      <c r="D42" s="53">
        <f>E42*10.764</f>
        <v>0</v>
      </c>
      <c r="E42" s="74">
        <f>SUM(E6:E41)</f>
        <v>0</v>
      </c>
      <c r="F42" s="53"/>
      <c r="G42" s="53"/>
      <c r="H42" s="53">
        <f>I42*10.764</f>
        <v>0</v>
      </c>
      <c r="I42" s="73">
        <f>SUM(I6:I41)</f>
        <v>0</v>
      </c>
      <c r="J42" s="53"/>
      <c r="K42" s="53">
        <f>L42*10.764</f>
        <v>0</v>
      </c>
      <c r="L42" s="72">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2025-08-20T09:31:27Z</cp:lastPrinted>
  <dcterms:created xsi:type="dcterms:W3CDTF">2019-07-16T09:29:46Z</dcterms:created>
  <dcterms:modified xsi:type="dcterms:W3CDTF">2025-08-20T09:32:12Z</dcterms:modified>
</cp:coreProperties>
</file>