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8F7D8731-5672-4212-AE54-1A466D7FA8E1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C74" i="1"/>
  <c r="C73" i="1"/>
  <c r="K132" i="1"/>
  <c r="D138" i="1" l="1"/>
  <c r="F138" i="1" s="1"/>
  <c r="D140" i="1"/>
  <c r="F140" i="1" s="1"/>
  <c r="D139" i="1"/>
  <c r="F139" i="1" s="1"/>
  <c r="G137" i="1"/>
  <c r="D129" i="1"/>
  <c r="D128" i="1"/>
  <c r="D135" i="1"/>
  <c r="D134" i="1"/>
  <c r="D133" i="1"/>
  <c r="D132" i="1"/>
  <c r="D130" i="1"/>
  <c r="D127" i="1"/>
  <c r="D120" i="1"/>
  <c r="D125" i="1" l="1"/>
  <c r="K125" i="1"/>
  <c r="D122" i="1"/>
  <c r="D117" i="1"/>
  <c r="E95" i="1" l="1"/>
  <c r="C95" i="1"/>
  <c r="L125" i="1"/>
  <c r="F125" i="1"/>
  <c r="A123" i="1"/>
  <c r="A124" i="1" s="1"/>
  <c r="A125" i="1" s="1"/>
  <c r="G122" i="1"/>
  <c r="F122" i="1"/>
  <c r="D111" i="1"/>
  <c r="F111" i="1" s="1"/>
  <c r="D110" i="1"/>
  <c r="F110" i="1" s="1"/>
  <c r="D109" i="1"/>
  <c r="F109" i="1" s="1"/>
  <c r="D108" i="1"/>
  <c r="D107" i="1"/>
  <c r="D106" i="1"/>
  <c r="D105" i="1"/>
  <c r="C90" i="1" l="1"/>
  <c r="C98" i="1" s="1"/>
  <c r="E90" i="1"/>
  <c r="E98" i="1" s="1"/>
  <c r="Z12" i="1"/>
  <c r="I14" i="1"/>
  <c r="F117" i="1" l="1"/>
  <c r="F105" i="1"/>
  <c r="E43" i="1" l="1"/>
  <c r="E44" i="1" s="1"/>
  <c r="C15" i="1" l="1"/>
  <c r="E30" i="1" l="1"/>
  <c r="F120" i="1" l="1"/>
  <c r="A118" i="1"/>
  <c r="A119" i="1" s="1"/>
  <c r="A120" i="1" s="1"/>
  <c r="G117" i="1"/>
  <c r="F87" i="1" l="1"/>
  <c r="F106" i="1" l="1"/>
  <c r="F107" i="1"/>
  <c r="F108" i="1"/>
  <c r="G90" i="1" l="1"/>
  <c r="B143" i="1"/>
  <c r="F135" i="1" l="1"/>
  <c r="F134" i="1"/>
  <c r="F133" i="1"/>
  <c r="F132" i="1"/>
  <c r="F130" i="1"/>
  <c r="F128" i="1"/>
  <c r="F127" i="1"/>
  <c r="F129" i="1"/>
  <c r="J127" i="1" l="1"/>
  <c r="G95" i="1"/>
  <c r="G98" i="1" s="1"/>
  <c r="B14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4" i="1"/>
  <c r="G132" i="1"/>
  <c r="G127" i="1"/>
  <c r="A129" i="1"/>
  <c r="A130" i="1" s="1"/>
  <c r="A106" i="1"/>
  <c r="A107" i="1" s="1"/>
  <c r="A108" i="1" s="1"/>
  <c r="A109" i="1" s="1"/>
  <c r="A110" i="1" s="1"/>
  <c r="A111" i="1" s="1"/>
  <c r="G105" i="1"/>
  <c r="G106" i="1" s="1"/>
  <c r="G107" i="1" s="1"/>
  <c r="G108" i="1" s="1"/>
  <c r="G109" i="1" s="1"/>
  <c r="G110" i="1" s="1"/>
  <c r="G111" i="1" s="1"/>
  <c r="C66" i="1"/>
  <c r="B67" i="1" s="1"/>
  <c r="G50" i="1"/>
  <c r="G51" i="1" s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3" i="1" l="1"/>
  <c r="J78" i="1" l="1"/>
  <c r="J79" i="1" s="1"/>
  <c r="C71" i="1" s="1"/>
  <c r="G70" i="1" s="1"/>
  <c r="D64" i="1" s="1"/>
  <c r="D65" i="1" s="1"/>
  <c r="D71" i="1" l="1"/>
  <c r="I67" i="1" s="1"/>
  <c r="I68" i="1" s="1"/>
  <c r="J67" i="1"/>
  <c r="E70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<sst xmlns="http://schemas.openxmlformats.org/spreadsheetml/2006/main" count="401" uniqueCount="280">
  <si>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</si>
  <si>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</si>
  <si>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</si>
  <si>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</si>
  <si>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</si>
  <si>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</si>
  <si>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</si>
  <si>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</si>
  <si>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</si>
  <si>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</si>
  <si>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</si>
  <si>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</si>
  <si>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</si>
  <si>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</si>
  <si>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</si>
  <si>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</si>
  <si>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</si>
  <si>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</si>
  <si>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</si>
  <si>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</si>
  <si>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</si>
  <si>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</si>
  <si>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</si>
  <si>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</si>
  <si>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</si>
  <si>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</si>
  <si>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</si>
  <si>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</si>
  <si>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</si>
  <si>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</si>
  <si>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</si>
  <si>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</si>
  <si>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</si>
  <si>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</si>
  <si>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</si>
  <si>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</si>
  <si>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</si>
  <si>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</si>
  <si>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</si>
  <si>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</si>
  <si>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</si>
  <si>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</si>
  <si>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</si>
  <si>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</si>
  <si>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</si>
  <si>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</si>
  <si>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</si>
  <si>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</si>
  <si>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</si>
  <si>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</si>
  <si>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</si>
  <si>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</si>
  <si>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</si>
  <si>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</si>
  <si>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</si>
  <si>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</si>
  <si>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</si>
  <si>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</si>
  <si>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</si>
  <si>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</si>
  <si>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</si>
  <si>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</si>
  <si>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</si>
  <si>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</si>
  <si>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</si>
  <si>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</si>
  <si>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</si>
  <si>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</si>
  <si>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</si>
  <si>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</si>
  <si>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</si>
  <si>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</si>
  <si>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</si>
  <si>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</si>
  <si>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</si>
  <si>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</si>
  <si>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</si>
  <si>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</si>
  <si>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</si>
  <si>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</si>
  <si>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</si>
  <si>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</si>
  <si>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</si>
  <si>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</si>
  <si>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</si>
  <si>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</si>
  <si>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</si>
  <si>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</si>
  <si>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</si>
  <si>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</si>
  <si>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</si>
  <si>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</si>
  <si>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</si>
  <si>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</si>
  <si>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</si>
  <si>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</si>
  <si>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</si>
  <si>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</si>
  <si>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</si>
  <si>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</si>
  <si>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</si>
  <si>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</si>
  <si>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</si>
  <si>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</si>
  <si>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</si>
  <si>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</si>
  <si>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</si>
  <si>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</si>
  <si>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</si>
  <si>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</si>
  <si>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</si>
  <si>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</si>
  <si>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</si>
  <si>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</si>
  <si>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</si>
  <si>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</si>
  <si>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</si>
  <si>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</si>
  <si>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</si>
  <si>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</si>
  <si>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</si>
  <si>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</si>
  <si>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</si>
  <si>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</si>
  <si>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</si>
  <si>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</si>
  <si>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</si>
  <si>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</si>
  <si>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</si>
  <si>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</si>
  <si>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</si>
  <si>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</si>
  <si>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</si>
  <si>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</si>
  <si>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</si>
  <si>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</si>
  <si>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</si>
  <si>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</si>
  <si>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</si>
  <si>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</si>
  <si>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</si>
  <si>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</si>
  <si>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</si>
  <si>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</si>
  <si>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</si>
  <si>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</si>
  <si>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</si>
  <si>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</si>
  <si>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</si>
  <si>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</si>
  <si>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</si>
  <si>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</si>
  <si>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</si>
  <si>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</si>
  <si>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</si>
  <si>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</si>
  <si>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</si>
  <si>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</si>
  <si>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</si>
  <si>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</si>
  <si>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</si>
  <si>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</si>
  <si>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</si>
  <si>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</si>
  <si>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</si>
  <si>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</si>
  <si>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</si>
  <si>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</si>
  <si>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</si>
  <si>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</si>
  <si>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</si>
  <si>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</si>
  <si>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</si>
  <si>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</si>
  <si>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</si>
  <si>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</si>
  <si>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</si>
  <si>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</si>
  <si>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</si>
  <si>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</si>
  <si>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</si>
  <si>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</si>
  <si>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</si>
  <si>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</si>
  <si>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</si>
  <si>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</si>
  <si>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</si>
  <si>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</si>
  <si>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</si>
  <si>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</si>
  <si>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</si>
  <si>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</si>
  <si>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</si>
  <si>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</si>
  <si>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</si>
  <si>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</si>
  <si>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</si>
  <si>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</si>
  <si>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</si>
  <si>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</si>
  <si>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</si>
  <si>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</si>
  <si>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</si>
  <si>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</si>
  <si>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</si>
  <si>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</si>
  <si>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</si>
  <si>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</si>
  <si>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</si>
  <si>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</si>
  <si>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</si>
  <si>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</si>
  <si>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</si>
  <si>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</si>
  <si>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</si>
  <si>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</si>
  <si>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</si>
  <si>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</si>
  <si>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</si>
  <si>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</si>
  <si>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</si>
  <si>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</si>
  <si>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</si>
  <si>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</si>
  <si>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</si>
  <si>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</si>
  <si>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Thane</t>
  </si>
  <si>
    <t>Macrotech Developers Limited</t>
  </si>
  <si>
    <t>Olivia Tower ­ B</t>
  </si>
  <si>
    <t>P51700052243</t>
  </si>
  <si>
    <t>Khoni</t>
  </si>
  <si>
    <t>Survey No</t>
  </si>
  <si>
    <t>63/1C Part, 64/1A, 37/1/A, 37/1B, 38/1,….148/14, 148/15A, 148/15B, 149/1, 149/2, 149/3, 149/4 &amp; Others</t>
  </si>
  <si>
    <t>8.9 KM from Dombivli Railway Station</t>
  </si>
  <si>
    <t>Dombivli East</t>
  </si>
  <si>
    <t>Lodha Serenity</t>
  </si>
  <si>
    <t>Katai Pipeline Road</t>
  </si>
  <si>
    <t>Casa Olivia by Lodha</t>
  </si>
  <si>
    <t>Internal Road</t>
  </si>
  <si>
    <t>Wing C</t>
  </si>
  <si>
    <t>Wing A</t>
  </si>
  <si>
    <t>Under Construction Building</t>
  </si>
  <si>
    <t>19.164688, 73.113430</t>
  </si>
  <si>
    <t>https://goo.gl/maps/WXhciZAsJVZatsuJ6</t>
  </si>
  <si>
    <t>Town Planning, Thane</t>
  </si>
  <si>
    <t>Ekatmik Nagarvasahat/ Mouje Antarli,
Khoni, Hedutane, KoleTaluka-Kalyan &amp; Mouje Umbroli, Taluka-Ambernath SSThane/2229</t>
  </si>
  <si>
    <t>Ekatmik Nagarvasahat/ Mouje Antarli,
Khoni &amp; others SSThane/2229</t>
  </si>
  <si>
    <t>Sector D Custer 4.02 Wing B (Type B6a) = G + 1st to 12th Floor.</t>
  </si>
  <si>
    <t>Wing B (Type B6a) = G + 1st to 12th Floor.</t>
  </si>
  <si>
    <t>As per RERA - 31/03/2027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</si>
  <si>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</si>
  <si>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1.Vitrified tiles flooring 2. Granite Kitchen Platform 3. Decorative Enternace etc.</t>
  </si>
  <si>
    <t>Ground Floor for Commercial &amp; Residential</t>
  </si>
  <si>
    <t>Shop (Duplex with 1st/Mezanini floor)</t>
  </si>
  <si>
    <t>3BHK</t>
  </si>
  <si>
    <t>2BHK</t>
  </si>
  <si>
    <t>Commercial</t>
  </si>
  <si>
    <t>1st Floor for Commercial &amp; Residential</t>
  </si>
  <si>
    <t>3rd to 7th, 9th to 12th Floor</t>
  </si>
  <si>
    <t>8th Floor (Part Refuge Area)</t>
  </si>
  <si>
    <t>Refuge Area</t>
  </si>
  <si>
    <t>5BHK</t>
  </si>
  <si>
    <t>We considered Gross carpet area = Net carpet + Open balcony + C.B Area.</t>
  </si>
  <si>
    <t>Flats - 47, Shops - 7</t>
  </si>
  <si>
    <t>Palava Phase 2</t>
  </si>
  <si>
    <t>Wing B</t>
  </si>
  <si>
    <t>Wing B Shop</t>
  </si>
  <si>
    <t>Wing B Flats</t>
  </si>
  <si>
    <t>Provisional Building Common Area Maintenance (CAM) Charges for 18 months</t>
  </si>
  <si>
    <t>Provisional Federation Common Area Maintenance (CAM) Charges for 60 months</t>
  </si>
  <si>
    <t>Utility/Infrastructure/Other Charges</t>
  </si>
  <si>
    <t>other charges add</t>
  </si>
  <si>
    <t>sanket</t>
  </si>
  <si>
    <t xml:space="preserve">Wing B </t>
  </si>
  <si>
    <t>Sector D Custer 4.02 Type B6a</t>
  </si>
  <si>
    <t>Construction work is same as last visit dtd.08/08/2024 (Internal photo was not allowed)</t>
  </si>
  <si>
    <t>Rajendra Giri 9820248856</t>
  </si>
  <si>
    <t>Construction work is in process at the time of Visit.</t>
  </si>
  <si>
    <t>Gaurav Panchal</t>
  </si>
  <si>
    <t>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</si>
</sst>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/>
    <xf numFmtId="0" fontId="25" fillId="0" borderId="5" xfId="0" applyFont="1" applyBorder="1"/>
    <xf numFmtId="0" fontId="7" fillId="2" borderId="0" xfId="1" applyFont="1" applyFill="1"/>
    <xf numFmtId="14" fontId="7" fillId="2" borderId="0" xfId="1" applyNumberFormat="1" applyFont="1" applyFill="1"/>
    <xf numFmtId="0" fontId="15" fillId="2" borderId="0" xfId="1" applyFont="1" applyFill="1"/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582706</xdr:colOff>
      <xdr:row>206</xdr:row>
      <xdr:rowOff>89647</xdr:rowOff>
    </xdr:from>
    <xdr:to>
      <xdr:col>7</xdr:col>
      <xdr:colOff>379500</xdr:colOff>
      <xdr:row>224</xdr:row>
      <xdr:rowOff>58942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2706" y="49967029"/>
          <a:ext cx="59040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262082</xdr:colOff>
      <xdr:row>215</xdr:row>
      <xdr:rowOff>74294</xdr:rowOff>
    </xdr:from>
    <xdr:to>
      <xdr:col>3</xdr:col>
      <xdr:colOff>271658</xdr:colOff>
      <xdr:row>217</xdr:row>
      <xdr:rowOff>40214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42964" y="51767029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002060"/>
              </a:solidFill>
            </a:rPr>
            <a:t>B Wing </a:t>
          </a:r>
        </a:p>
      </xdr:txBody>
    </xdr:sp>
    <xdr:clientData/>
  </xdr:twoCellAnchor>
  <xdr:twoCellAnchor>
    <xdr:from>
      <xdr:col>2</xdr:col>
      <xdr:colOff>517681</xdr:colOff>
      <xdr:row>216</xdr:row>
      <xdr:rowOff>180876</xdr:rowOff>
    </xdr:from>
    <xdr:to>
      <xdr:col>3</xdr:col>
      <xdr:colOff>271658</xdr:colOff>
      <xdr:row>219</xdr:row>
      <xdr:rowOff>93344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198563" y="52075317"/>
          <a:ext cx="672860" cy="517586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735611</xdr:colOff>
      <xdr:row>267</xdr:row>
      <xdr:rowOff>86295</xdr:rowOff>
    </xdr:from>
    <xdr:to>
      <xdr:col>7</xdr:col>
      <xdr:colOff>158348</xdr:colOff>
      <xdr:row>285</xdr:row>
      <xdr:rowOff>127703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5611" y="62671148"/>
          <a:ext cx="5529943" cy="36721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616324</xdr:colOff>
      <xdr:row>248</xdr:row>
      <xdr:rowOff>78442</xdr:rowOff>
    </xdr:from>
    <xdr:to>
      <xdr:col>7</xdr:col>
      <xdr:colOff>158348</xdr:colOff>
      <xdr:row>266</xdr:row>
      <xdr:rowOff>119737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6324" y="58830883"/>
          <a:ext cx="5649230" cy="367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896127</xdr:colOff>
      <xdr:row>276</xdr:row>
      <xdr:rowOff>106999</xdr:rowOff>
    </xdr:from>
    <xdr:to>
      <xdr:col>3</xdr:col>
      <xdr:colOff>425817</xdr:colOff>
      <xdr:row>280</xdr:row>
      <xdr:rowOff>162679</xdr:rowOff>
    </xdr:to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577009" y="64507205"/>
          <a:ext cx="448573" cy="862503"/>
        </a:xfrm>
        <a:prstGeom prst="rect">
          <a:avLst/>
        </a:prstGeom>
        <a:noFill/>
        <a:ln w="57150">
          <a:solidFill>
            <a:srgbClr val="FFFF0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1</xdr:col>
      <xdr:colOff>830521</xdr:colOff>
      <xdr:row>275</xdr:row>
      <xdr:rowOff>417</xdr:rowOff>
    </xdr:from>
    <xdr:to>
      <xdr:col>2</xdr:col>
      <xdr:colOff>896127</xdr:colOff>
      <xdr:row>276</xdr:row>
      <xdr:rowOff>168043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648550" y="64198917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FF00"/>
              </a:solidFill>
            </a:rPr>
            <a:t>B Wing </a:t>
          </a:r>
        </a:p>
      </xdr:txBody>
    </xdr:sp>
    <xdr:clientData/>
  </xdr:twoCellAnchor>
  <xdr:twoCellAnchor>
    <xdr:from>
      <xdr:col>2</xdr:col>
      <xdr:colOff>223267</xdr:colOff>
      <xdr:row>276</xdr:row>
      <xdr:rowOff>106999</xdr:rowOff>
    </xdr:from>
    <xdr:to>
      <xdr:col>2</xdr:col>
      <xdr:colOff>896127</xdr:colOff>
      <xdr:row>279</xdr:row>
      <xdr:rowOff>19466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904149" y="64507205"/>
          <a:ext cx="672860" cy="51758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217170</xdr:colOff>
      <xdr:row>163</xdr:row>
      <xdr:rowOff>192406</xdr:rowOff>
    </xdr:from>
    <xdr:to>
      <xdr:col>15</xdr:col>
      <xdr:colOff>478890</xdr:colOff>
      <xdr:row>199</xdr:row>
      <xdr:rowOff>38101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6598920" y="41997631"/>
          <a:ext cx="5967195" cy="7037070"/>
          <a:chOff x="192918" y="282329"/>
          <a:chExt cx="6119595" cy="7119817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312554" y="3288395"/>
            <a:ext cx="5880323" cy="2160000"/>
            <a:chOff x="432190" y="3288395"/>
            <a:chExt cx="5880323" cy="2160000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34798" y="3288395"/>
              <a:ext cx="2877715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190" y="3288395"/>
              <a:ext cx="2877715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1838862" y="5602146"/>
            <a:ext cx="2827706" cy="1800000"/>
            <a:chOff x="1955686" y="5602146"/>
            <a:chExt cx="2827706" cy="180000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34798" y="560214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55686" y="5602146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192918" y="282329"/>
            <a:ext cx="6119595" cy="2880000"/>
            <a:chOff x="192918" y="282329"/>
            <a:chExt cx="6119595" cy="2880000"/>
          </a:xfrm>
        </xdr:grpSpPr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2918" y="282329"/>
              <a:ext cx="3836953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54763" y="282329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9</xdr:col>
      <xdr:colOff>95250</xdr:colOff>
      <xdr:row>163</xdr:row>
      <xdr:rowOff>128588</xdr:rowOff>
    </xdr:from>
    <xdr:to>
      <xdr:col>17</xdr:col>
      <xdr:colOff>317071</xdr:colOff>
      <xdr:row>199</xdr:row>
      <xdr:rowOff>140699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39050" y="41933813"/>
          <a:ext cx="6155896" cy="7203486"/>
          <a:chOff x="104775" y="41857613"/>
          <a:chExt cx="6155896" cy="7203486"/>
        </a:xfrm>
      </xdr:grpSpPr>
      <xdr:pic>
        <xdr:nvPicPr>
          <xdr:cNvPr id="28" name="Picture 27" descr="https://vsjcllp.vsjadon.com/upload/insp-234010-1525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90976" y="47120174"/>
            <a:ext cx="1454178" cy="19409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4010-843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14401" y="47120174"/>
            <a:ext cx="1454178" cy="19409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4010-847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71725" y="41867136"/>
            <a:ext cx="3888946" cy="29194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4010-851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5" y="41857613"/>
            <a:ext cx="2197983" cy="29336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4010-862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86125" y="44872990"/>
            <a:ext cx="2879276" cy="216145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4010-860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850" y="4487703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4010-925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57450" y="47120174"/>
            <a:ext cx="1460243" cy="19409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400050</xdr:colOff>
      <xdr:row>165</xdr:row>
      <xdr:rowOff>9525</xdr:rowOff>
    </xdr:from>
    <xdr:to>
      <xdr:col>7</xdr:col>
      <xdr:colOff>342830</xdr:colOff>
      <xdr:row>193</xdr:row>
      <xdr:rowOff>27086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7B7482C6-FA6D-47BC-A3B7-A8585EF598A8}"/>
            </a:ext>
          </a:extLst>
        </xdr:cNvPr>
        <xdr:cNvGrpSpPr/>
      </xdr:nvGrpSpPr>
      <xdr:grpSpPr>
        <a:xfrm>
          <a:off x="400050" y="42214800"/>
          <a:ext cx="5619680" cy="5608736"/>
          <a:chOff x="649032" y="304800"/>
          <a:chExt cx="5619680" cy="5608736"/>
        </a:xfrm>
      </xdr:grpSpPr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5B8A96C4-A605-441C-844B-577FD76D47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9032" y="30480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4730C16D-5B8F-4775-8E7A-2C0607900A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1525" y="30480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D88B1193-45ED-4743-BA6F-9F6D1A2CFF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8441" y="4113536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C1C5A67D-4853-4634-8291-459485A1ED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1525" y="4113536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XhciZAsJVZatsuJ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48"/>
  <sheetViews>
    <sheetView tabSelected="1" view="pageBreakPreview" topLeftCell="A85" zoomScaleNormal="100" zoomScaleSheetLayoutView="100" zoomScalePageLayoutView="85" workbookViewId="0">
      <selection activeCell="J4" sqref="J4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.42578125" style="40" customWidth="1"/>
    <col min="8" max="8" width="10.5703125" style="40" customWidth="1"/>
    <col min="9" max="9" width="17.42578125" style="21" customWidth="1"/>
    <col min="10" max="10" width="11.42578125" style="21" customWidth="1"/>
    <col min="11" max="11" width="11.8554687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55" t="s">
        <v>160</v>
      </c>
      <c r="B1" s="155"/>
      <c r="C1" s="155"/>
      <c r="D1" s="155"/>
      <c r="E1" s="155"/>
      <c r="F1" s="155"/>
      <c r="G1" s="155"/>
      <c r="H1" s="155"/>
    </row>
    <row r="2" spans="1:26" ht="16.5" customHeight="1" x14ac:dyDescent="0.25">
      <c r="A2" s="78" t="s">
        <v>0</v>
      </c>
      <c r="B2" s="78"/>
      <c r="C2" s="78"/>
      <c r="D2" s="78"/>
      <c r="E2" s="78"/>
      <c r="F2" s="78"/>
      <c r="G2" s="78"/>
      <c r="H2" s="78"/>
    </row>
    <row r="3" spans="1:26" x14ac:dyDescent="0.25">
      <c r="A3" s="114" t="s">
        <v>1</v>
      </c>
      <c r="B3" s="114"/>
      <c r="C3" s="114"/>
      <c r="D3" s="114"/>
      <c r="E3" s="114" t="str">
        <f ca="1">TEXT(TODAY(),"DD/MM/YYYY")</f>
        <v>19/08/2025</v>
      </c>
      <c r="F3" s="114"/>
      <c r="G3" s="114"/>
      <c r="H3" s="114"/>
    </row>
    <row r="4" spans="1:26" ht="15" customHeight="1" x14ac:dyDescent="0.25">
      <c r="A4" s="114" t="s">
        <v>2</v>
      </c>
      <c r="B4" s="114"/>
      <c r="C4" s="114"/>
      <c r="D4" s="114"/>
      <c r="E4" s="114" t="s">
        <v>226</v>
      </c>
      <c r="F4" s="114"/>
      <c r="G4" s="114"/>
      <c r="H4" s="114"/>
    </row>
    <row r="5" spans="1:26" x14ac:dyDescent="0.25">
      <c r="A5" s="114" t="s">
        <v>3</v>
      </c>
      <c r="B5" s="114"/>
      <c r="C5" s="114"/>
      <c r="D5" s="114"/>
      <c r="E5" s="157">
        <v>45880</v>
      </c>
      <c r="F5" s="114"/>
      <c r="G5" s="114"/>
      <c r="H5" s="114"/>
    </row>
    <row r="6" spans="1:26" ht="16.5" customHeight="1" x14ac:dyDescent="0.25">
      <c r="A6" s="114" t="s">
        <v>4</v>
      </c>
      <c r="B6" s="114"/>
      <c r="C6" s="114"/>
      <c r="D6" s="114"/>
      <c r="E6" s="114" t="s">
        <v>227</v>
      </c>
      <c r="F6" s="114"/>
      <c r="G6" s="114"/>
      <c r="H6" s="114"/>
    </row>
    <row r="7" spans="1:26" ht="15" customHeight="1" x14ac:dyDescent="0.25">
      <c r="A7" s="114" t="s">
        <v>5</v>
      </c>
      <c r="B7" s="114"/>
      <c r="C7" s="114"/>
      <c r="D7" s="114"/>
      <c r="E7" s="114" t="str">
        <f>E6</f>
        <v>Macrotech Developers Limited</v>
      </c>
      <c r="F7" s="114"/>
      <c r="G7" s="114"/>
      <c r="H7" s="114"/>
    </row>
    <row r="8" spans="1:26" x14ac:dyDescent="0.25">
      <c r="A8" s="114" t="s">
        <v>6</v>
      </c>
      <c r="B8" s="114"/>
      <c r="C8" s="114"/>
      <c r="D8" s="114"/>
      <c r="E8" s="156" t="s">
        <v>228</v>
      </c>
      <c r="F8" s="156"/>
      <c r="G8" s="156"/>
      <c r="H8" s="156"/>
    </row>
    <row r="9" spans="1:26" x14ac:dyDescent="0.25">
      <c r="A9" s="114" t="s">
        <v>163</v>
      </c>
      <c r="B9" s="114"/>
      <c r="C9" s="114"/>
      <c r="D9" s="114"/>
      <c r="E9" s="114" t="s">
        <v>276</v>
      </c>
      <c r="F9" s="114"/>
      <c r="G9" s="114"/>
      <c r="H9" s="114"/>
    </row>
    <row r="10" spans="1:26" x14ac:dyDescent="0.25">
      <c r="A10" s="114" t="s">
        <v>164</v>
      </c>
      <c r="B10" s="114"/>
      <c r="C10" s="114"/>
      <c r="D10" s="114"/>
      <c r="E10" s="114" t="s">
        <v>276</v>
      </c>
      <c r="F10" s="114"/>
      <c r="G10" s="114"/>
      <c r="H10" s="114"/>
    </row>
    <row r="11" spans="1:26" x14ac:dyDescent="0.25">
      <c r="A11" s="114" t="s">
        <v>7</v>
      </c>
      <c r="B11" s="114"/>
      <c r="C11" s="114"/>
      <c r="D11" s="114"/>
      <c r="E11" s="114" t="s">
        <v>273</v>
      </c>
      <c r="F11" s="114"/>
      <c r="G11" s="114"/>
      <c r="H11" s="114"/>
      <c r="J11" s="21" t="s">
        <v>274</v>
      </c>
    </row>
    <row r="12" spans="1:26" x14ac:dyDescent="0.25">
      <c r="A12" s="114" t="s">
        <v>166</v>
      </c>
      <c r="B12" s="114"/>
      <c r="C12" s="114"/>
      <c r="D12" s="114"/>
      <c r="E12" s="114" t="s">
        <v>29</v>
      </c>
      <c r="F12" s="114"/>
      <c r="G12" s="114"/>
      <c r="H12" s="114"/>
      <c r="S12" s="55" t="s">
        <v>173</v>
      </c>
      <c r="T12" s="55" t="s">
        <v>183</v>
      </c>
      <c r="U12" s="55" t="s">
        <v>167</v>
      </c>
      <c r="V12" s="55" t="s">
        <v>188</v>
      </c>
      <c r="W12" s="55" t="s">
        <v>206</v>
      </c>
      <c r="X12"/>
      <c r="Y12" t="s">
        <v>188</v>
      </c>
      <c r="Z12" t="e">
        <f ca="1">OFFSET($S$12,1,MATCH($G19,$S$12:$W$12,0)-1,15,1)</f>
        <v>#VALUE!</v>
      </c>
    </row>
    <row r="13" spans="1:26" x14ac:dyDescent="0.25">
      <c r="A13" s="83" t="s">
        <v>8</v>
      </c>
      <c r="B13" s="83"/>
      <c r="C13" s="83"/>
      <c r="D13" s="83"/>
      <c r="E13" s="113" t="s">
        <v>221</v>
      </c>
      <c r="F13" s="113"/>
      <c r="G13" s="113"/>
      <c r="H13" s="113"/>
      <c r="S13" s="55" t="s">
        <v>174</v>
      </c>
      <c r="T13" s="55" t="s">
        <v>181</v>
      </c>
      <c r="U13" s="55" t="s">
        <v>203</v>
      </c>
      <c r="V13" s="55" t="s">
        <v>189</v>
      </c>
      <c r="W13" s="55" t="s">
        <v>207</v>
      </c>
      <c r="X13"/>
      <c r="Y13"/>
      <c r="Z13"/>
    </row>
    <row r="14" spans="1:26" x14ac:dyDescent="0.25">
      <c r="A14" s="83" t="s">
        <v>9</v>
      </c>
      <c r="B14" s="83"/>
      <c r="C14" s="83"/>
      <c r="D14" s="83"/>
      <c r="E14" s="113" t="s">
        <v>229</v>
      </c>
      <c r="F14" s="114"/>
      <c r="G14" s="114"/>
      <c r="H14" s="114"/>
      <c r="I14" s="76" t="e">
        <f ca="1">OFFSET($D$4,1,MATCH($J12,$D$4:$H$4,0)-1,15,1)</f>
        <v>#N/A</v>
      </c>
      <c r="J14" s="77"/>
      <c r="K14" s="77"/>
      <c r="L14" s="77"/>
      <c r="M14" s="77"/>
      <c r="N14" s="77"/>
      <c r="O14" s="77"/>
      <c r="P14" s="77"/>
      <c r="S14" s="55" t="s">
        <v>175</v>
      </c>
      <c r="T14" s="55" t="s">
        <v>182</v>
      </c>
      <c r="U14" s="55" t="s">
        <v>204</v>
      </c>
      <c r="V14" s="55" t="s">
        <v>190</v>
      </c>
      <c r="W14" s="55" t="s">
        <v>220</v>
      </c>
      <c r="X14"/>
      <c r="Y14"/>
      <c r="Z14"/>
    </row>
    <row r="15" spans="1:26" ht="64.5" customHeight="1" x14ac:dyDescent="0.25">
      <c r="A15" s="87" t="s">
        <v>10</v>
      </c>
      <c r="B15" s="87"/>
      <c r="C15" s="8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Olivia Tower ­ B, Survey No.63/1C Part, 64/1A, 37/1/A, 37/1B, 38/1,….148/14, 148/15A, 148/15B, 149/1, 149/2, 149/3, 149/4 &amp; Others, near Lodha Serenity, Katai Pipeline Road, Palava Phase 2, Khoni, Dombivli East, Kalyan, Thane  - 421204.</v>
      </c>
      <c r="D15" s="87"/>
      <c r="E15" s="87"/>
      <c r="F15" s="87"/>
      <c r="G15" s="87"/>
      <c r="H15" s="87"/>
      <c r="S15" s="55" t="s">
        <v>176</v>
      </c>
      <c r="T15" s="55" t="s">
        <v>184</v>
      </c>
      <c r="U15" s="55" t="s">
        <v>205</v>
      </c>
      <c r="V15" s="55" t="s">
        <v>191</v>
      </c>
      <c r="W15" s="55" t="s">
        <v>208</v>
      </c>
      <c r="X15"/>
      <c r="Y15"/>
      <c r="Z15"/>
    </row>
    <row r="16" spans="1:26" ht="33.75" customHeight="1" x14ac:dyDescent="0.25">
      <c r="A16" s="113" t="s">
        <v>231</v>
      </c>
      <c r="B16" s="113"/>
      <c r="C16" s="113" t="s">
        <v>232</v>
      </c>
      <c r="D16" s="113"/>
      <c r="E16" s="113"/>
      <c r="F16" s="113"/>
      <c r="G16" s="113"/>
      <c r="H16" s="113"/>
      <c r="S16" s="55" t="s">
        <v>177</v>
      </c>
      <c r="T16" s="55" t="s">
        <v>185</v>
      </c>
      <c r="U16" s="55"/>
      <c r="V16" s="55" t="s">
        <v>192</v>
      </c>
      <c r="W16" s="55" t="s">
        <v>209</v>
      </c>
      <c r="X16"/>
      <c r="Y16"/>
      <c r="Z16"/>
    </row>
    <row r="17" spans="1:26" ht="15.75" customHeight="1" x14ac:dyDescent="0.25">
      <c r="A17" s="113" t="s">
        <v>158</v>
      </c>
      <c r="B17" s="113"/>
      <c r="C17" s="113" t="s">
        <v>264</v>
      </c>
      <c r="D17" s="113"/>
      <c r="E17" s="113"/>
      <c r="F17" s="113"/>
      <c r="G17" s="113"/>
      <c r="H17" s="113"/>
      <c r="S17" s="55" t="s">
        <v>178</v>
      </c>
      <c r="T17" s="55" t="s">
        <v>183</v>
      </c>
      <c r="U17" s="55"/>
      <c r="V17" s="55" t="s">
        <v>193</v>
      </c>
      <c r="W17" s="55" t="s">
        <v>210</v>
      </c>
      <c r="X17"/>
      <c r="Y17"/>
      <c r="Z17"/>
    </row>
    <row r="18" spans="1:26" ht="15.75" customHeight="1" x14ac:dyDescent="0.25">
      <c r="A18" s="87" t="s">
        <v>11</v>
      </c>
      <c r="B18" s="87"/>
      <c r="C18" s="114" t="s">
        <v>236</v>
      </c>
      <c r="D18" s="114"/>
      <c r="E18" s="87" t="s">
        <v>73</v>
      </c>
      <c r="F18" s="87"/>
      <c r="G18" s="113" t="s">
        <v>230</v>
      </c>
      <c r="H18" s="113"/>
      <c r="S18" s="55" t="s">
        <v>179</v>
      </c>
      <c r="T18" s="55" t="s">
        <v>186</v>
      </c>
      <c r="U18" s="55"/>
      <c r="V18" s="55" t="s">
        <v>194</v>
      </c>
      <c r="W18" s="55" t="s">
        <v>211</v>
      </c>
      <c r="X18"/>
      <c r="Y18"/>
      <c r="Z18"/>
    </row>
    <row r="19" spans="1:26" x14ac:dyDescent="0.25">
      <c r="A19" s="83" t="s">
        <v>13</v>
      </c>
      <c r="B19" s="83"/>
      <c r="C19" s="113" t="s">
        <v>234</v>
      </c>
      <c r="D19" s="113"/>
      <c r="E19" s="87" t="s">
        <v>12</v>
      </c>
      <c r="F19" s="87"/>
      <c r="G19" s="158" t="s">
        <v>173</v>
      </c>
      <c r="H19" s="158"/>
      <c r="S19" s="55" t="s">
        <v>180</v>
      </c>
      <c r="T19" s="55" t="s">
        <v>187</v>
      </c>
      <c r="U19" s="55"/>
      <c r="V19" s="55" t="s">
        <v>195</v>
      </c>
      <c r="W19" s="55" t="s">
        <v>212</v>
      </c>
      <c r="X19"/>
      <c r="Y19"/>
      <c r="Z19"/>
    </row>
    <row r="20" spans="1:26" x14ac:dyDescent="0.25">
      <c r="A20" s="83" t="s">
        <v>74</v>
      </c>
      <c r="B20" s="83"/>
      <c r="C20" s="113" t="s">
        <v>176</v>
      </c>
      <c r="D20" s="113"/>
      <c r="E20" s="87" t="s">
        <v>14</v>
      </c>
      <c r="F20" s="87"/>
      <c r="G20" s="113">
        <v>421204</v>
      </c>
      <c r="H20" s="113"/>
      <c r="S20" s="55"/>
      <c r="T20" s="55"/>
      <c r="U20" s="55"/>
      <c r="V20" s="55" t="s">
        <v>196</v>
      </c>
      <c r="W20" s="55" t="s">
        <v>213</v>
      </c>
      <c r="X20"/>
      <c r="Y20"/>
      <c r="Z20"/>
    </row>
    <row r="21" spans="1:26" ht="48" customHeight="1" x14ac:dyDescent="0.25">
      <c r="A21" s="83" t="s">
        <v>118</v>
      </c>
      <c r="B21" s="83"/>
      <c r="C21" s="113" t="s">
        <v>235</v>
      </c>
      <c r="D21" s="113"/>
      <c r="E21" s="87" t="s">
        <v>15</v>
      </c>
      <c r="F21" s="87"/>
      <c r="G21" s="113" t="s">
        <v>233</v>
      </c>
      <c r="H21" s="113"/>
      <c r="S21" s="55"/>
      <c r="T21" s="55"/>
      <c r="U21" s="55"/>
      <c r="V21" s="55" t="s">
        <v>197</v>
      </c>
      <c r="W21" s="55" t="s">
        <v>214</v>
      </c>
      <c r="X21"/>
      <c r="Y21"/>
      <c r="Z21"/>
    </row>
    <row r="22" spans="1:26" ht="15" customHeight="1" x14ac:dyDescent="0.25">
      <c r="A22" s="87" t="s">
        <v>76</v>
      </c>
      <c r="B22" s="87"/>
      <c r="C22" s="87"/>
      <c r="D22" s="87"/>
      <c r="E22" s="114" t="s">
        <v>16</v>
      </c>
      <c r="F22" s="114"/>
      <c r="G22" s="114"/>
      <c r="H22" s="114"/>
      <c r="S22" s="55"/>
      <c r="T22" s="55"/>
      <c r="U22" s="55"/>
      <c r="V22" s="55" t="s">
        <v>198</v>
      </c>
      <c r="W22" s="55" t="s">
        <v>215</v>
      </c>
      <c r="X22"/>
      <c r="Y22"/>
      <c r="Z22"/>
    </row>
    <row r="23" spans="1:26" ht="18.75" customHeight="1" x14ac:dyDescent="0.25">
      <c r="A23" s="87"/>
      <c r="B23" s="87"/>
      <c r="C23" s="87"/>
      <c r="D23" s="87"/>
      <c r="E23" s="114"/>
      <c r="F23" s="114"/>
      <c r="G23" s="114"/>
      <c r="H23" s="114"/>
      <c r="S23" s="55"/>
      <c r="T23" s="55"/>
      <c r="U23" s="55"/>
      <c r="V23" s="55" t="s">
        <v>199</v>
      </c>
      <c r="W23" s="55" t="s">
        <v>216</v>
      </c>
      <c r="X23"/>
      <c r="Y23"/>
      <c r="Z23"/>
    </row>
    <row r="24" spans="1:26" ht="15" customHeight="1" x14ac:dyDescent="0.25">
      <c r="A24" s="87" t="s">
        <v>17</v>
      </c>
      <c r="B24" s="87"/>
      <c r="C24" s="87"/>
      <c r="D24" s="87"/>
      <c r="E24" s="113" t="s">
        <v>18</v>
      </c>
      <c r="F24" s="113"/>
      <c r="G24" s="113"/>
      <c r="H24" s="113"/>
      <c r="S24" s="55"/>
      <c r="T24" s="55"/>
      <c r="U24" s="55"/>
      <c r="V24" s="55" t="s">
        <v>200</v>
      </c>
      <c r="W24" s="55" t="s">
        <v>217</v>
      </c>
      <c r="X24"/>
      <c r="Y24"/>
      <c r="Z24"/>
    </row>
    <row r="25" spans="1:26" ht="15" customHeight="1" x14ac:dyDescent="0.25">
      <c r="A25" s="83" t="s">
        <v>19</v>
      </c>
      <c r="B25" s="83"/>
      <c r="C25" s="83"/>
      <c r="D25" s="83"/>
      <c r="E25" s="113" t="str">
        <f>IF(AND(G19="Mumbai"),"Upper Class","Middle Class")</f>
        <v>Middle Class</v>
      </c>
      <c r="F25" s="113"/>
      <c r="G25" s="113"/>
      <c r="H25" s="113"/>
      <c r="S25" s="55"/>
      <c r="T25" s="55"/>
      <c r="U25" s="55"/>
      <c r="V25" s="55" t="s">
        <v>201</v>
      </c>
      <c r="W25" s="55" t="s">
        <v>218</v>
      </c>
      <c r="X25"/>
      <c r="Y25"/>
      <c r="Z25"/>
    </row>
    <row r="26" spans="1:26" x14ac:dyDescent="0.25">
      <c r="A26" s="83" t="s">
        <v>20</v>
      </c>
      <c r="B26" s="83"/>
      <c r="C26" s="83"/>
      <c r="D26" s="83"/>
      <c r="E26" s="113" t="s">
        <v>21</v>
      </c>
      <c r="F26" s="113"/>
      <c r="G26" s="113"/>
      <c r="H26" s="113"/>
      <c r="S26" s="55"/>
      <c r="T26" s="55"/>
      <c r="U26" s="55"/>
      <c r="V26" s="55" t="s">
        <v>202</v>
      </c>
      <c r="W26" s="55" t="s">
        <v>219</v>
      </c>
      <c r="X26"/>
      <c r="Y26"/>
      <c r="Z26"/>
    </row>
    <row r="27" spans="1:26" ht="15.75" customHeight="1" x14ac:dyDescent="0.25">
      <c r="A27" s="83" t="s">
        <v>22</v>
      </c>
      <c r="B27" s="83"/>
      <c r="C27" s="83"/>
      <c r="D27" s="83"/>
      <c r="E27" s="113" t="str">
        <f>IF(AND(G19="Mumbai"),"Developed","Developing")</f>
        <v>Developing</v>
      </c>
      <c r="F27" s="113"/>
      <c r="G27" s="113"/>
      <c r="H27" s="113"/>
    </row>
    <row r="28" spans="1:26" x14ac:dyDescent="0.25">
      <c r="A28" s="83" t="s">
        <v>23</v>
      </c>
      <c r="B28" s="83"/>
      <c r="C28" s="83"/>
      <c r="D28" s="83"/>
      <c r="E28" s="113" t="s">
        <v>24</v>
      </c>
      <c r="F28" s="113"/>
      <c r="G28" s="113"/>
      <c r="H28" s="113"/>
    </row>
    <row r="29" spans="1:26" ht="15.75" customHeight="1" x14ac:dyDescent="0.25">
      <c r="A29" s="83" t="s">
        <v>81</v>
      </c>
      <c r="B29" s="83"/>
      <c r="C29" s="83"/>
      <c r="D29" s="83"/>
      <c r="E29" s="113" t="s">
        <v>82</v>
      </c>
      <c r="F29" s="113"/>
      <c r="G29" s="113"/>
      <c r="H29" s="113"/>
    </row>
    <row r="30" spans="1:26" ht="15" customHeight="1" x14ac:dyDescent="0.25">
      <c r="A30" s="83" t="s">
        <v>32</v>
      </c>
      <c r="B30" s="83"/>
      <c r="C30" s="83"/>
      <c r="D30" s="83"/>
      <c r="E30" s="11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13"/>
      <c r="G30" s="113"/>
      <c r="H30" s="113"/>
    </row>
    <row r="31" spans="1:26" ht="15.75" customHeight="1" x14ac:dyDescent="0.25">
      <c r="A31" s="83" t="s">
        <v>93</v>
      </c>
      <c r="B31" s="83"/>
      <c r="C31" s="83"/>
      <c r="D31" s="83"/>
      <c r="E31" s="113" t="s">
        <v>33</v>
      </c>
      <c r="F31" s="113"/>
      <c r="G31" s="113"/>
      <c r="H31" s="113"/>
    </row>
    <row r="32" spans="1:26" s="22" customFormat="1" x14ac:dyDescent="0.25">
      <c r="A32" s="166" t="s">
        <v>94</v>
      </c>
      <c r="B32" s="166"/>
      <c r="C32" s="163" t="s">
        <v>168</v>
      </c>
      <c r="D32" s="164"/>
      <c r="E32" s="165"/>
      <c r="F32" s="163" t="s">
        <v>30</v>
      </c>
      <c r="G32" s="164"/>
      <c r="H32" s="165"/>
    </row>
    <row r="33" spans="1:8" s="22" customFormat="1" x14ac:dyDescent="0.25">
      <c r="A33" s="159" t="s">
        <v>25</v>
      </c>
      <c r="B33" s="159" t="s">
        <v>29</v>
      </c>
      <c r="C33" s="160" t="s">
        <v>11</v>
      </c>
      <c r="D33" s="161"/>
      <c r="E33" s="162"/>
      <c r="F33" s="160" t="s">
        <v>11</v>
      </c>
      <c r="G33" s="161"/>
      <c r="H33" s="162"/>
    </row>
    <row r="34" spans="1:8" x14ac:dyDescent="0.25">
      <c r="A34" s="159" t="s">
        <v>26</v>
      </c>
      <c r="B34" s="159" t="s">
        <v>29</v>
      </c>
      <c r="C34" s="160" t="s">
        <v>238</v>
      </c>
      <c r="D34" s="161"/>
      <c r="E34" s="162"/>
      <c r="F34" s="160" t="s">
        <v>238</v>
      </c>
      <c r="G34" s="161"/>
      <c r="H34" s="162"/>
    </row>
    <row r="35" spans="1:8" s="22" customFormat="1" x14ac:dyDescent="0.25">
      <c r="A35" s="159" t="s">
        <v>28</v>
      </c>
      <c r="B35" s="159" t="s">
        <v>29</v>
      </c>
      <c r="C35" s="160" t="s">
        <v>240</v>
      </c>
      <c r="D35" s="161"/>
      <c r="E35" s="162"/>
      <c r="F35" s="160" t="s">
        <v>241</v>
      </c>
      <c r="G35" s="161"/>
      <c r="H35" s="162"/>
    </row>
    <row r="36" spans="1:8" x14ac:dyDescent="0.25">
      <c r="A36" s="159" t="s">
        <v>27</v>
      </c>
      <c r="B36" s="159" t="s">
        <v>29</v>
      </c>
      <c r="C36" s="160" t="s">
        <v>239</v>
      </c>
      <c r="D36" s="161"/>
      <c r="E36" s="162"/>
      <c r="F36" s="160" t="s">
        <v>237</v>
      </c>
      <c r="G36" s="161"/>
      <c r="H36" s="162"/>
    </row>
    <row r="37" spans="1:8" x14ac:dyDescent="0.25">
      <c r="A37" s="83" t="s">
        <v>31</v>
      </c>
      <c r="B37" s="83"/>
      <c r="C37" s="83"/>
      <c r="D37" s="83"/>
      <c r="E37" s="83"/>
      <c r="F37" s="83"/>
      <c r="G37" s="83"/>
      <c r="H37" s="83"/>
    </row>
    <row r="38" spans="1:8" ht="15.75" customHeight="1" x14ac:dyDescent="0.25">
      <c r="A38" s="83" t="s">
        <v>161</v>
      </c>
      <c r="B38" s="83"/>
      <c r="C38" s="152" t="s">
        <v>242</v>
      </c>
      <c r="D38" s="152"/>
      <c r="E38" s="152"/>
      <c r="F38" s="152"/>
      <c r="G38" s="152"/>
      <c r="H38" s="152"/>
    </row>
    <row r="39" spans="1:8" x14ac:dyDescent="0.25">
      <c r="A39" s="83" t="s">
        <v>157</v>
      </c>
      <c r="B39" s="83"/>
      <c r="C39" s="194" t="s">
        <v>243</v>
      </c>
      <c r="D39" s="113"/>
      <c r="E39" s="113"/>
      <c r="F39" s="113"/>
      <c r="G39" s="113"/>
      <c r="H39" s="113"/>
    </row>
    <row r="40" spans="1:8" x14ac:dyDescent="0.25">
      <c r="A40" s="152" t="s">
        <v>34</v>
      </c>
      <c r="B40" s="152"/>
      <c r="C40" s="152"/>
      <c r="D40" s="152"/>
      <c r="E40" s="152"/>
      <c r="F40" s="152"/>
      <c r="G40" s="152"/>
      <c r="H40" s="152"/>
    </row>
    <row r="41" spans="1:8" x14ac:dyDescent="0.25">
      <c r="A41" s="83" t="s">
        <v>35</v>
      </c>
      <c r="B41" s="83"/>
      <c r="C41" s="83"/>
      <c r="D41" s="83"/>
      <c r="E41" s="167">
        <v>213029.14</v>
      </c>
      <c r="F41" s="167"/>
      <c r="G41" s="167"/>
      <c r="H41" s="167"/>
    </row>
    <row r="42" spans="1:8" x14ac:dyDescent="0.25">
      <c r="A42" s="83" t="s">
        <v>36</v>
      </c>
      <c r="B42" s="83"/>
      <c r="C42" s="83"/>
      <c r="D42" s="83"/>
      <c r="E42" s="109">
        <v>1.8</v>
      </c>
      <c r="F42" s="109"/>
      <c r="G42" s="109"/>
      <c r="H42" s="109"/>
    </row>
    <row r="43" spans="1:8" x14ac:dyDescent="0.25">
      <c r="A43" s="83" t="s">
        <v>37</v>
      </c>
      <c r="B43" s="83"/>
      <c r="C43" s="83"/>
      <c r="D43" s="83"/>
      <c r="E43" s="109">
        <f>E45/E41-E42</f>
        <v>1.0326157163287608</v>
      </c>
      <c r="F43" s="109"/>
      <c r="G43" s="109"/>
      <c r="H43" s="109"/>
    </row>
    <row r="44" spans="1:8" x14ac:dyDescent="0.25">
      <c r="A44" s="83" t="s">
        <v>38</v>
      </c>
      <c r="B44" s="83"/>
      <c r="C44" s="83"/>
      <c r="D44" s="83"/>
      <c r="E44" s="109">
        <f>E42+E43</f>
        <v>2.8326157163287609</v>
      </c>
      <c r="F44" s="109"/>
      <c r="G44" s="109"/>
      <c r="H44" s="109"/>
    </row>
    <row r="45" spans="1:8" x14ac:dyDescent="0.25">
      <c r="A45" s="83" t="s">
        <v>92</v>
      </c>
      <c r="B45" s="83"/>
      <c r="C45" s="83"/>
      <c r="D45" s="83"/>
      <c r="E45" s="175">
        <v>603429.68999999994</v>
      </c>
      <c r="F45" s="175"/>
      <c r="G45" s="175"/>
      <c r="H45" s="175"/>
    </row>
    <row r="46" spans="1:8" x14ac:dyDescent="0.25">
      <c r="A46" s="114" t="s">
        <v>39</v>
      </c>
      <c r="B46" s="114"/>
      <c r="C46" s="114"/>
      <c r="D46" s="114"/>
      <c r="E46" s="114" t="s">
        <v>117</v>
      </c>
      <c r="F46" s="114"/>
      <c r="G46" s="114"/>
      <c r="H46" s="114"/>
    </row>
    <row r="47" spans="1:8" x14ac:dyDescent="0.25">
      <c r="A47" s="152" t="s">
        <v>40</v>
      </c>
      <c r="B47" s="152"/>
      <c r="C47" s="152"/>
      <c r="D47" s="152"/>
      <c r="E47" s="152"/>
      <c r="F47" s="152"/>
      <c r="G47" s="152"/>
      <c r="H47" s="152"/>
    </row>
    <row r="48" spans="1:8" ht="33.75" customHeight="1" x14ac:dyDescent="0.25">
      <c r="A48" s="92" t="s">
        <v>147</v>
      </c>
      <c r="B48" s="94"/>
      <c r="C48" s="195" t="s">
        <v>244</v>
      </c>
      <c r="D48" s="196"/>
      <c r="E48" s="196"/>
      <c r="F48" s="196"/>
      <c r="G48" s="196"/>
      <c r="H48" s="197"/>
    </row>
    <row r="49" spans="1:14" ht="65.25" customHeight="1" x14ac:dyDescent="0.25">
      <c r="A49" s="92" t="s">
        <v>41</v>
      </c>
      <c r="B49" s="94"/>
      <c r="C49" s="92" t="s">
        <v>245</v>
      </c>
      <c r="D49" s="93"/>
      <c r="E49" s="94"/>
      <c r="F49" s="18" t="s">
        <v>42</v>
      </c>
      <c r="G49" s="110">
        <v>44490</v>
      </c>
      <c r="H49" s="94"/>
    </row>
    <row r="50" spans="1:14" ht="65.25" customHeight="1" x14ac:dyDescent="0.25">
      <c r="A50" s="92" t="s">
        <v>43</v>
      </c>
      <c r="B50" s="94"/>
      <c r="C50" s="92" t="str">
        <f>C49</f>
        <v>Ekatmik Nagarvasahat/ Mouje Antarli,
Khoni, Hedutane, KoleTaluka-Kalyan &amp; Mouje Umbroli, Taluka-Ambernath SSThane/2229</v>
      </c>
      <c r="D50" s="93"/>
      <c r="E50" s="94"/>
      <c r="F50" s="18" t="s">
        <v>42</v>
      </c>
      <c r="G50" s="110">
        <f>G49</f>
        <v>44490</v>
      </c>
      <c r="H50" s="111"/>
    </row>
    <row r="51" spans="1:14" s="23" customFormat="1" ht="34.5" customHeight="1" x14ac:dyDescent="0.25">
      <c r="A51" s="170" t="s">
        <v>151</v>
      </c>
      <c r="B51" s="171"/>
      <c r="C51" s="92" t="s">
        <v>246</v>
      </c>
      <c r="D51" s="93"/>
      <c r="E51" s="94"/>
      <c r="F51" s="18" t="s">
        <v>42</v>
      </c>
      <c r="G51" s="110">
        <f>G50</f>
        <v>44490</v>
      </c>
      <c r="H51" s="111"/>
    </row>
    <row r="52" spans="1:14" s="23" customFormat="1" ht="17.25" customHeight="1" x14ac:dyDescent="0.25">
      <c r="A52" s="172"/>
      <c r="B52" s="173"/>
      <c r="C52" s="92" t="s">
        <v>247</v>
      </c>
      <c r="D52" s="93"/>
      <c r="E52" s="93"/>
      <c r="F52" s="93"/>
      <c r="G52" s="93"/>
      <c r="H52" s="94"/>
    </row>
    <row r="53" spans="1:14" x14ac:dyDescent="0.25">
      <c r="A53" s="80" t="s">
        <v>44</v>
      </c>
      <c r="B53" s="81"/>
      <c r="C53" s="80" t="s">
        <v>100</v>
      </c>
      <c r="D53" s="82"/>
      <c r="E53" s="81"/>
      <c r="F53" s="46" t="s">
        <v>42</v>
      </c>
      <c r="G53" s="115" t="s">
        <v>29</v>
      </c>
      <c r="H53" s="116"/>
    </row>
    <row r="54" spans="1:14" x14ac:dyDescent="0.25">
      <c r="A54" s="112" t="s">
        <v>46</v>
      </c>
      <c r="B54" s="112"/>
      <c r="C54" s="112"/>
      <c r="D54" s="112"/>
      <c r="E54" s="112"/>
      <c r="F54" s="112"/>
      <c r="G54" s="112"/>
      <c r="H54" s="112"/>
    </row>
    <row r="55" spans="1:14" x14ac:dyDescent="0.25">
      <c r="A55" s="87" t="s">
        <v>91</v>
      </c>
      <c r="B55" s="87"/>
      <c r="C55" s="87"/>
      <c r="D55" s="83">
        <v>3989.37</v>
      </c>
      <c r="E55" s="83"/>
      <c r="F55" s="83"/>
      <c r="G55" s="83"/>
      <c r="H55" s="83"/>
    </row>
    <row r="56" spans="1:14" x14ac:dyDescent="0.25">
      <c r="A56" s="113" t="s">
        <v>47</v>
      </c>
      <c r="B56" s="114"/>
      <c r="C56" s="114"/>
      <c r="D56" s="114" t="s">
        <v>263</v>
      </c>
      <c r="E56" s="114"/>
      <c r="F56" s="114"/>
      <c r="G56" s="114"/>
      <c r="H56" s="114"/>
      <c r="I56" s="24"/>
    </row>
    <row r="57" spans="1:14" x14ac:dyDescent="0.25">
      <c r="A57" s="97" t="s">
        <v>48</v>
      </c>
      <c r="B57" s="98"/>
      <c r="C57" s="169"/>
      <c r="D57" s="91" t="s">
        <v>248</v>
      </c>
      <c r="E57" s="168"/>
      <c r="F57" s="168"/>
      <c r="G57" s="168"/>
      <c r="H57" s="168"/>
    </row>
    <row r="58" spans="1:14" ht="15.75" customHeight="1" x14ac:dyDescent="0.25">
      <c r="A58" s="97" t="s">
        <v>89</v>
      </c>
      <c r="B58" s="98"/>
      <c r="C58" s="98"/>
      <c r="D58" s="99" t="s">
        <v>248</v>
      </c>
      <c r="E58" s="100"/>
      <c r="F58" s="100"/>
      <c r="G58" s="100"/>
      <c r="H58" s="101"/>
    </row>
    <row r="59" spans="1:14" ht="15.75" customHeight="1" x14ac:dyDescent="0.25">
      <c r="A59" s="83" t="s">
        <v>45</v>
      </c>
      <c r="B59" s="83"/>
      <c r="C59" s="83"/>
      <c r="D59" s="87" t="s">
        <v>249</v>
      </c>
      <c r="E59" s="87"/>
      <c r="F59" s="87"/>
      <c r="G59" s="87"/>
      <c r="H59" s="87"/>
      <c r="J59" s="25"/>
      <c r="K59" s="24"/>
      <c r="N59" s="24"/>
    </row>
    <row r="60" spans="1:14" ht="15.75" customHeight="1" x14ac:dyDescent="0.25">
      <c r="A60" s="83" t="s">
        <v>87</v>
      </c>
      <c r="B60" s="83"/>
      <c r="C60" s="83"/>
      <c r="D60" s="174" t="str">
        <f>(IF(G53="NA","60 Years After Completion",IF(G53&lt;&gt;"NA",""&amp;60-ROUNDDOWN((E3-G53)/360,0)&amp;" Years"," ")))</f>
        <v>60 Years After Completion</v>
      </c>
      <c r="E60" s="174"/>
      <c r="F60" s="174"/>
      <c r="G60" s="174"/>
      <c r="H60" s="174"/>
      <c r="N60" s="24"/>
    </row>
    <row r="61" spans="1:14" ht="15.75" customHeight="1" x14ac:dyDescent="0.25">
      <c r="A61" s="83" t="s">
        <v>88</v>
      </c>
      <c r="B61" s="83"/>
      <c r="C61" s="83"/>
      <c r="D61" s="87" t="s">
        <v>24</v>
      </c>
      <c r="E61" s="87"/>
      <c r="F61" s="87"/>
      <c r="G61" s="87"/>
      <c r="H61" s="87"/>
      <c r="J61" s="26"/>
      <c r="K61" s="26"/>
    </row>
    <row r="62" spans="1:14" ht="33" customHeight="1" x14ac:dyDescent="0.25">
      <c r="A62" s="114" t="s">
        <v>250</v>
      </c>
      <c r="B62" s="114"/>
      <c r="C62" s="114"/>
      <c r="D62" s="113" t="s">
        <v>251</v>
      </c>
      <c r="E62" s="87"/>
      <c r="F62" s="87"/>
      <c r="G62" s="87"/>
      <c r="H62" s="87"/>
    </row>
    <row r="63" spans="1:14" x14ac:dyDescent="0.25">
      <c r="A63" s="87" t="s">
        <v>144</v>
      </c>
      <c r="B63" s="87"/>
      <c r="C63" s="87"/>
      <c r="D63" s="87" t="s">
        <v>29</v>
      </c>
      <c r="E63" s="87"/>
      <c r="F63" s="87"/>
      <c r="G63" s="87"/>
      <c r="H63" s="87"/>
      <c r="I63" s="27"/>
      <c r="J63" s="27"/>
      <c r="K63" s="27"/>
      <c r="L63" s="27"/>
      <c r="M63" s="27"/>
      <c r="N63" s="27"/>
    </row>
    <row r="64" spans="1:14" ht="15.75" customHeight="1" x14ac:dyDescent="0.25">
      <c r="A64" s="88" t="s">
        <v>86</v>
      </c>
      <c r="B64" s="88"/>
      <c r="C64" s="88"/>
      <c r="D64" s="91" t="str">
        <f ca="1">(IF(G70&gt;95%,"Nothing",IF(G70&gt;0%,"Cement, Aggregate, Steel, etc",IF(G70=0%,"Work not yet Started"))))</f>
        <v>Cement, Aggregate, Steel, etc</v>
      </c>
      <c r="E64" s="91"/>
      <c r="F64" s="91"/>
      <c r="G64" s="91"/>
      <c r="H64" s="91"/>
      <c r="J64" s="26"/>
    </row>
    <row r="65" spans="1:15" ht="33.75" customHeight="1" thickBot="1" x14ac:dyDescent="0.3">
      <c r="A65" s="154" t="s">
        <v>113</v>
      </c>
      <c r="B65" s="154"/>
      <c r="C65" s="154"/>
      <c r="D65" s="91" t="str">
        <f ca="1">(IF(D64="Nothing","Yes",IF(D64="Cement, Aggregate, Steel, etc","Under Construction",IF(D64="Work not yet Started","Work not yet Started"))))</f>
        <v>Under Construction</v>
      </c>
      <c r="E65" s="91"/>
      <c r="F65" s="91" t="str">
        <f ca="1">(IF(D64="Nothing","Yes",IF(D64="Cement, Aggregate, Steel, etc","Under Construction",IF(D64="Work not yet Started","Work not yet Started"))))</f>
        <v>Under Construction</v>
      </c>
      <c r="G65" s="91"/>
      <c r="H65" s="91"/>
    </row>
    <row r="66" spans="1:15" ht="15.75" customHeight="1" x14ac:dyDescent="0.25">
      <c r="A66" s="183" t="s">
        <v>136</v>
      </c>
      <c r="B66" s="184"/>
      <c r="C66" s="126" t="str">
        <f>D58</f>
        <v>Wing B (Type B6a) = G + 1st to 12th Floor.</v>
      </c>
      <c r="D66" s="127"/>
      <c r="E66" s="127"/>
      <c r="F66" s="127"/>
      <c r="G66" s="127"/>
      <c r="H66" s="128"/>
      <c r="I66" s="48" t="str">
        <f ca="1">IF(D79=100%,"All work Completed. Possession granted to the Building.",IF(D78=100%,"All work Completed, Waiting for OC",I67&amp;""&amp;I68&amp;""&amp;J67&amp;""&amp;J66&amp;" "&amp;J68))</f>
        <v>Excavation, Plinth Completed, RCC upto 11 Slab, Brickwork upto 10 Floor, Internal Plaster upto 7.5 Floor, External Plaster upto 6.5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11 Slab, Brickwork upto 10 Floor, Internal Plaster upto 7.5 Floor, External Plaster upto 6.5 Floor</v>
      </c>
    </row>
    <row r="67" spans="1:15" s="23" customFormat="1" x14ac:dyDescent="0.25">
      <c r="A67" s="16" t="s">
        <v>138</v>
      </c>
      <c r="B67" s="52">
        <f>IF(AND(ISNUMBER(SEARCH("1B",C66))),1,IF(AND(ISNUMBER(SEARCH("2B",C66))),2,IF(AND(ISNUMBER(SEARCH("3B",C66))),3,IF(AND(ISNUMBER(SEARCH("4B",C66))),4,IF(ISNUMBER(SEARCH("5B",C66)),5,0)))))</f>
        <v>0</v>
      </c>
      <c r="C67" s="52" t="s">
        <v>72</v>
      </c>
      <c r="D67" s="52">
        <v>1</v>
      </c>
      <c r="E67" s="52" t="s">
        <v>71</v>
      </c>
      <c r="F67" s="52">
        <v>0</v>
      </c>
      <c r="G67" s="52" t="s">
        <v>80</v>
      </c>
      <c r="H67" s="17">
        <f ca="1">--TRIM(RIGHT(SUBSTITUTE(LEFT(C66,_xlfn.AGGREGATE(16,6,FIND({0,1,2,3,4,5,6,7,8,9},C66,ROW(INDIRECT("1:"&amp;LEN(C66)))),1))," ",REPT(" ",LEN(C66))),LEN(C66)))</f>
        <v>12</v>
      </c>
      <c r="I67" s="5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5" ht="33.75" customHeight="1" x14ac:dyDescent="0.25">
      <c r="A68" s="182" t="s">
        <v>90</v>
      </c>
      <c r="B68" s="156"/>
      <c r="C68" s="129" t="str">
        <f ca="1">I66</f>
        <v>Excavation, Plinth Completed, RCC upto 11 Slab, Brickwork upto 10 Floor, Internal Plaster upto 7.5 Floor, External Plaster upto 6.5 Floor Completed</v>
      </c>
      <c r="D68" s="129"/>
      <c r="E68" s="129"/>
      <c r="F68" s="129"/>
      <c r="G68" s="129"/>
      <c r="H68" s="130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5" ht="15.75" customHeight="1" x14ac:dyDescent="0.25">
      <c r="A69" s="102" t="s">
        <v>49</v>
      </c>
      <c r="B69" s="103"/>
      <c r="C69" s="44" t="s">
        <v>135</v>
      </c>
      <c r="D69" s="44" t="s">
        <v>83</v>
      </c>
      <c r="E69" s="103" t="s">
        <v>85</v>
      </c>
      <c r="F69" s="103"/>
      <c r="G69" s="103" t="s">
        <v>84</v>
      </c>
      <c r="H69" s="104"/>
      <c r="I69" s="14" t="s">
        <v>137</v>
      </c>
      <c r="J69" s="28">
        <f ca="1">H67*25%</f>
        <v>3</v>
      </c>
    </row>
    <row r="70" spans="1:15" x14ac:dyDescent="0.25">
      <c r="A70" s="102" t="s">
        <v>124</v>
      </c>
      <c r="B70" s="103"/>
      <c r="C70" s="44">
        <f ca="1">J71</f>
        <v>12</v>
      </c>
      <c r="D70" s="19">
        <f ca="1">((100/H67)*C70)/100</f>
        <v>1</v>
      </c>
      <c r="E70" s="117">
        <f ca="1">(((C71/H67*10)+(40/(D67+F67+H67)*C72)+(7.5/(H67)*C73)+(7.5/(H67)*C74)+(10/H67*C75)+(10/H67*C76)+(5/H67*C77)+(5/H67*C78)+(5/H67*C79))/100)</f>
        <v>0.60200320512820515</v>
      </c>
      <c r="F70" s="118"/>
      <c r="G70" s="117">
        <f ca="1">((((C70/H67)*20)+((C71/H67)*25)+(30/(H67+F67+D67)*C72)+(5/H67*C73)+(5/H67*C74)+(5/H67*C75)+(5/H67*C76)+(0/H67*C77)+(0/H67*C78)+(5/H67*C79))/100)</f>
        <v>0.80384615384615388</v>
      </c>
      <c r="H70" s="123"/>
      <c r="I70" s="14" t="s">
        <v>95</v>
      </c>
      <c r="J70" s="29">
        <f ca="1">H67*50%</f>
        <v>6</v>
      </c>
    </row>
    <row r="71" spans="1:15" x14ac:dyDescent="0.25">
      <c r="A71" s="102" t="s">
        <v>50</v>
      </c>
      <c r="B71" s="103"/>
      <c r="C71" s="53">
        <f ca="1">J79</f>
        <v>12</v>
      </c>
      <c r="D71" s="19">
        <f ca="1">((100/H67)*C71)/100</f>
        <v>1</v>
      </c>
      <c r="E71" s="119"/>
      <c r="F71" s="120"/>
      <c r="G71" s="119"/>
      <c r="H71" s="124"/>
      <c r="I71" s="14" t="s">
        <v>96</v>
      </c>
      <c r="J71" s="29">
        <f ca="1">H67</f>
        <v>12</v>
      </c>
    </row>
    <row r="72" spans="1:15" ht="15.75" customHeight="1" x14ac:dyDescent="0.25">
      <c r="A72" s="102" t="s">
        <v>125</v>
      </c>
      <c r="B72" s="103"/>
      <c r="C72" s="44">
        <v>11</v>
      </c>
      <c r="D72" s="19">
        <f ca="1">((100/(D67+F67+H67))*C72)/100</f>
        <v>0.84615384615384615</v>
      </c>
      <c r="E72" s="119"/>
      <c r="F72" s="120"/>
      <c r="G72" s="119"/>
      <c r="H72" s="124"/>
      <c r="I72" s="14" t="s">
        <v>97</v>
      </c>
      <c r="J72" s="30">
        <f ca="1">(IF(B67&gt;1,(H67/(B67+2)),H67/4))</f>
        <v>3</v>
      </c>
      <c r="L72" s="60"/>
      <c r="M72" s="60"/>
      <c r="N72" s="60"/>
      <c r="O72" s="60"/>
    </row>
    <row r="73" spans="1:15" ht="15.75" customHeight="1" x14ac:dyDescent="0.25">
      <c r="A73" s="102" t="s">
        <v>132</v>
      </c>
      <c r="B73" s="103" t="s">
        <v>126</v>
      </c>
      <c r="C73" s="44">
        <f>C72-D67</f>
        <v>10</v>
      </c>
      <c r="D73" s="19">
        <f ca="1">((100/H67)*C73)/100</f>
        <v>0.83333333333333348</v>
      </c>
      <c r="E73" s="119"/>
      <c r="F73" s="120"/>
      <c r="G73" s="119"/>
      <c r="H73" s="124"/>
      <c r="I73" s="14" t="s">
        <v>98</v>
      </c>
      <c r="J73" s="30">
        <f ca="1">(IF(B67&gt;1,(H67/(B67+2)+J72),H67/4+J72))</f>
        <v>6</v>
      </c>
    </row>
    <row r="74" spans="1:15" ht="15.75" customHeight="1" x14ac:dyDescent="0.25">
      <c r="A74" s="102" t="s">
        <v>133</v>
      </c>
      <c r="B74" s="103" t="s">
        <v>126</v>
      </c>
      <c r="C74" s="53">
        <f>C73*0.75</f>
        <v>7.5</v>
      </c>
      <c r="D74" s="19">
        <f ca="1">((100/H67)*C74)/100</f>
        <v>0.62500000000000011</v>
      </c>
      <c r="E74" s="119"/>
      <c r="F74" s="120"/>
      <c r="G74" s="119"/>
      <c r="H74" s="124"/>
      <c r="I74" s="14" t="s">
        <v>142</v>
      </c>
      <c r="J74" s="30">
        <f>(IF(B67&gt;1,(H67/(B67+2)+J73),0))</f>
        <v>0</v>
      </c>
    </row>
    <row r="75" spans="1:15" ht="15" customHeight="1" x14ac:dyDescent="0.25">
      <c r="A75" s="102" t="s">
        <v>131</v>
      </c>
      <c r="B75" s="103" t="s">
        <v>128</v>
      </c>
      <c r="C75" s="53">
        <f>C73*0.65</f>
        <v>6.5</v>
      </c>
      <c r="D75" s="19">
        <f ca="1">((100/(H67))*C75)/100</f>
        <v>0.54166666666666674</v>
      </c>
      <c r="E75" s="119"/>
      <c r="F75" s="120"/>
      <c r="G75" s="119"/>
      <c r="H75" s="124"/>
      <c r="I75" s="14" t="s">
        <v>139</v>
      </c>
      <c r="J75" s="30">
        <f>(IF(B67&gt;2,(H67/(B67+2)+J74),0))</f>
        <v>0</v>
      </c>
    </row>
    <row r="76" spans="1:15" ht="15.75" customHeight="1" x14ac:dyDescent="0.25">
      <c r="A76" s="102" t="s">
        <v>127</v>
      </c>
      <c r="B76" s="103" t="s">
        <v>127</v>
      </c>
      <c r="C76" s="44">
        <v>0</v>
      </c>
      <c r="D76" s="19">
        <f ca="1">((100/H67)*C76)/100</f>
        <v>0</v>
      </c>
      <c r="E76" s="119"/>
      <c r="F76" s="120"/>
      <c r="G76" s="119"/>
      <c r="H76" s="124"/>
      <c r="I76" s="14" t="s">
        <v>140</v>
      </c>
      <c r="J76" s="31">
        <f>(IF(B67&gt;3,(H67/(B67+2)+J75),0))</f>
        <v>0</v>
      </c>
    </row>
    <row r="77" spans="1:15" ht="15.75" customHeight="1" x14ac:dyDescent="0.25">
      <c r="A77" s="102" t="s">
        <v>134</v>
      </c>
      <c r="B77" s="103"/>
      <c r="C77" s="44">
        <v>0</v>
      </c>
      <c r="D77" s="19">
        <f ca="1">((100/H67)*C77)/100</f>
        <v>0</v>
      </c>
      <c r="E77" s="119"/>
      <c r="F77" s="120"/>
      <c r="G77" s="119"/>
      <c r="H77" s="124"/>
      <c r="I77" s="14" t="s">
        <v>141</v>
      </c>
      <c r="J77" s="30">
        <f>(IF(B67&gt;4,(H67/(B67+2)+J76),0))</f>
        <v>0</v>
      </c>
    </row>
    <row r="78" spans="1:15" ht="15.75" customHeight="1" x14ac:dyDescent="0.25">
      <c r="A78" s="102" t="s">
        <v>129</v>
      </c>
      <c r="B78" s="103" t="s">
        <v>129</v>
      </c>
      <c r="C78" s="44">
        <v>0</v>
      </c>
      <c r="D78" s="19">
        <f ca="1">((100/(H67))*C78)/100</f>
        <v>0</v>
      </c>
      <c r="E78" s="119"/>
      <c r="F78" s="120"/>
      <c r="G78" s="119"/>
      <c r="H78" s="124"/>
      <c r="I78" s="14" t="s">
        <v>143</v>
      </c>
      <c r="J78" s="30">
        <f ca="1">(IF(B67=1,(H67/(B67+3)+J73),IF(B67=0,(H67/4+J73),IF(B67&gt;1,0))))</f>
        <v>9</v>
      </c>
    </row>
    <row r="79" spans="1:15" ht="16.5" thickBot="1" x14ac:dyDescent="0.3">
      <c r="A79" s="180" t="s">
        <v>130</v>
      </c>
      <c r="B79" s="181"/>
      <c r="C79" s="45">
        <v>0</v>
      </c>
      <c r="D79" s="20">
        <f ca="1">((100/(H67))*C79)/100</f>
        <v>0</v>
      </c>
      <c r="E79" s="121"/>
      <c r="F79" s="122"/>
      <c r="G79" s="121"/>
      <c r="H79" s="125"/>
      <c r="I79" s="15" t="s">
        <v>99</v>
      </c>
      <c r="J79" s="32">
        <f ca="1">(IF(B67&gt;1.5,(H67/(B67+2)+J73+MAX(0,J74-J73)+MAX(0,J75-J74)+MAX(0,J76-J75)+MAX(0,J77-J76)+MAX(0,J78-J77)),IF(B67=1,(H67/(B67+3)+J78),IF(B67=0,H67/4+J78))))</f>
        <v>12</v>
      </c>
    </row>
    <row r="80" spans="1:15" x14ac:dyDescent="0.25">
      <c r="A80" s="191" t="s">
        <v>153</v>
      </c>
      <c r="B80" s="191"/>
      <c r="C80" s="191"/>
      <c r="D80" s="191"/>
      <c r="E80" s="191"/>
      <c r="F80" s="96" t="s">
        <v>156</v>
      </c>
      <c r="G80" s="96"/>
      <c r="H80" s="96"/>
    </row>
    <row r="81" spans="1:12" x14ac:dyDescent="0.25">
      <c r="A81" s="83" t="s">
        <v>155</v>
      </c>
      <c r="B81" s="83"/>
      <c r="C81" s="83"/>
      <c r="D81" s="83"/>
      <c r="E81" s="83"/>
      <c r="F81" s="105">
        <v>7500</v>
      </c>
      <c r="G81" s="105"/>
      <c r="H81" s="105"/>
    </row>
    <row r="82" spans="1:12" x14ac:dyDescent="0.25">
      <c r="A82" s="83" t="s">
        <v>154</v>
      </c>
      <c r="B82" s="83"/>
      <c r="C82" s="83"/>
      <c r="D82" s="83"/>
      <c r="E82" s="83"/>
      <c r="F82" s="105">
        <v>12500</v>
      </c>
      <c r="G82" s="105"/>
      <c r="H82" s="105"/>
      <c r="J82" s="58" t="s">
        <v>271</v>
      </c>
      <c r="K82" s="59">
        <v>45197</v>
      </c>
      <c r="L82" s="58" t="s">
        <v>272</v>
      </c>
    </row>
    <row r="83" spans="1:12" s="33" customFormat="1" ht="33" customHeight="1" x14ac:dyDescent="0.25">
      <c r="A83" s="87" t="s">
        <v>268</v>
      </c>
      <c r="B83" s="87"/>
      <c r="C83" s="87"/>
      <c r="D83" s="87"/>
      <c r="E83" s="87"/>
      <c r="F83" s="105">
        <v>92466</v>
      </c>
      <c r="G83" s="105"/>
      <c r="H83" s="105"/>
    </row>
    <row r="84" spans="1:12" s="33" customFormat="1" ht="31.5" customHeight="1" x14ac:dyDescent="0.25">
      <c r="A84" s="87" t="s">
        <v>269</v>
      </c>
      <c r="B84" s="87"/>
      <c r="C84" s="87"/>
      <c r="D84" s="87"/>
      <c r="E84" s="87"/>
      <c r="F84" s="105">
        <v>288606</v>
      </c>
      <c r="G84" s="105"/>
      <c r="H84" s="105"/>
    </row>
    <row r="85" spans="1:12" s="33" customFormat="1" x14ac:dyDescent="0.25">
      <c r="A85" s="83" t="s">
        <v>270</v>
      </c>
      <c r="B85" s="83"/>
      <c r="C85" s="83"/>
      <c r="D85" s="83"/>
      <c r="E85" s="83"/>
      <c r="F85" s="105">
        <v>127600</v>
      </c>
      <c r="G85" s="105"/>
      <c r="H85" s="105"/>
    </row>
    <row r="86" spans="1:12" x14ac:dyDescent="0.25">
      <c r="A86" s="83" t="s">
        <v>51</v>
      </c>
      <c r="B86" s="83"/>
      <c r="C86" s="83"/>
      <c r="D86" s="83"/>
      <c r="E86" s="83"/>
      <c r="F86" s="105">
        <v>500000</v>
      </c>
      <c r="G86" s="105"/>
      <c r="H86" s="105"/>
    </row>
    <row r="87" spans="1:12" s="34" customFormat="1" x14ac:dyDescent="0.25">
      <c r="A87" s="152" t="s">
        <v>52</v>
      </c>
      <c r="B87" s="152"/>
      <c r="C87" s="152"/>
      <c r="D87" s="152"/>
      <c r="E87" s="152"/>
      <c r="F87" s="105">
        <f>F81*0.8</f>
        <v>6000</v>
      </c>
      <c r="G87" s="105"/>
      <c r="H87" s="105"/>
    </row>
    <row r="88" spans="1:12" s="35" customFormat="1" ht="15.75" customHeight="1" x14ac:dyDescent="0.25">
      <c r="A88" s="151" t="s">
        <v>75</v>
      </c>
      <c r="B88" s="151"/>
      <c r="C88" s="151"/>
      <c r="D88" s="151"/>
      <c r="E88" s="151"/>
      <c r="F88" s="151"/>
      <c r="G88" s="151"/>
      <c r="H88" s="151"/>
    </row>
    <row r="89" spans="1:12" s="35" customFormat="1" ht="15.75" customHeight="1" x14ac:dyDescent="0.25">
      <c r="A89" s="79" t="s">
        <v>53</v>
      </c>
      <c r="B89" s="79"/>
      <c r="C89" s="86" t="s">
        <v>78</v>
      </c>
      <c r="D89" s="86"/>
      <c r="E89" s="84" t="s">
        <v>54</v>
      </c>
      <c r="F89" s="84"/>
      <c r="G89" s="79" t="s">
        <v>55</v>
      </c>
      <c r="H89" s="79"/>
    </row>
    <row r="90" spans="1:12" s="35" customFormat="1" x14ac:dyDescent="0.25">
      <c r="A90" s="85" t="s">
        <v>266</v>
      </c>
      <c r="B90" s="85"/>
      <c r="C90" s="176">
        <f>COUNT(D105:D111)</f>
        <v>7</v>
      </c>
      <c r="D90" s="178"/>
      <c r="E90" s="138">
        <f>SUM(D105:D111)</f>
        <v>6027.0865199999998</v>
      </c>
      <c r="F90" s="139"/>
      <c r="G90" s="138">
        <f>SUM(F105:F111)</f>
        <v>9643.3384320000005</v>
      </c>
      <c r="H90" s="139"/>
    </row>
    <row r="91" spans="1:12" s="35" customFormat="1" hidden="1" x14ac:dyDescent="0.25">
      <c r="A91" s="85"/>
      <c r="B91" s="85"/>
      <c r="C91" s="178"/>
      <c r="D91" s="178"/>
      <c r="E91" s="139"/>
      <c r="F91" s="139"/>
      <c r="G91" s="179"/>
      <c r="H91" s="179"/>
    </row>
    <row r="92" spans="1:12" s="35" customFormat="1" hidden="1" x14ac:dyDescent="0.25">
      <c r="A92" s="151" t="s">
        <v>146</v>
      </c>
      <c r="B92" s="151"/>
      <c r="C92" s="86"/>
      <c r="D92" s="86"/>
      <c r="E92" s="84"/>
      <c r="F92" s="84"/>
      <c r="G92" s="79"/>
      <c r="H92" s="79"/>
    </row>
    <row r="93" spans="1:12" s="35" customFormat="1" x14ac:dyDescent="0.25">
      <c r="A93" s="151" t="s">
        <v>70</v>
      </c>
      <c r="B93" s="151"/>
      <c r="C93" s="151"/>
      <c r="D93" s="151"/>
      <c r="E93" s="151"/>
      <c r="F93" s="151"/>
      <c r="G93" s="151"/>
      <c r="H93" s="151"/>
    </row>
    <row r="94" spans="1:12" s="35" customFormat="1" ht="15.75" customHeight="1" x14ac:dyDescent="0.25">
      <c r="A94" s="79" t="s">
        <v>53</v>
      </c>
      <c r="B94" s="79"/>
      <c r="C94" s="86" t="s">
        <v>78</v>
      </c>
      <c r="D94" s="86"/>
      <c r="E94" s="84" t="s">
        <v>54</v>
      </c>
      <c r="F94" s="84"/>
      <c r="G94" s="79" t="s">
        <v>55</v>
      </c>
      <c r="H94" s="79"/>
    </row>
    <row r="95" spans="1:12" s="35" customFormat="1" ht="16.5" thickBot="1" x14ac:dyDescent="0.3">
      <c r="A95" s="85" t="s">
        <v>267</v>
      </c>
      <c r="B95" s="85"/>
      <c r="C95" s="176">
        <f>COUNT(D117,D120)+COUNT(D122,D125)+COUNT(D127:D130)+COUNT(D132:D135)*9+COUNT(D138:D140)</f>
        <v>47</v>
      </c>
      <c r="D95" s="176"/>
      <c r="E95" s="138">
        <f>SUM(D117,D120)+SUM(D122,D125)+SUM(D127:D130)+SUM(D132:D135)*9+SUM(D138:D140)</f>
        <v>43159.366691999996</v>
      </c>
      <c r="F95" s="138"/>
      <c r="G95" s="138">
        <f>SUM(F117,F120)+SUM(F122,F125)+SUM(F127:F130)+SUM(F132:F135)*9+SUM(F138:F140)</f>
        <v>64739.050037999987</v>
      </c>
      <c r="H95" s="138"/>
    </row>
    <row r="96" spans="1:12" s="35" customFormat="1" hidden="1" x14ac:dyDescent="0.25">
      <c r="A96" s="85"/>
      <c r="B96" s="85"/>
      <c r="C96" s="178"/>
      <c r="D96" s="178"/>
      <c r="E96" s="139"/>
      <c r="F96" s="139"/>
      <c r="G96" s="179"/>
      <c r="H96" s="179"/>
    </row>
    <row r="97" spans="1:14" s="35" customFormat="1" ht="16.5" hidden="1" thickBot="1" x14ac:dyDescent="0.3">
      <c r="A97" s="192" t="s">
        <v>146</v>
      </c>
      <c r="B97" s="192"/>
      <c r="C97" s="140"/>
      <c r="D97" s="140"/>
      <c r="E97" s="193"/>
      <c r="F97" s="193"/>
      <c r="G97" s="177"/>
      <c r="H97" s="177"/>
    </row>
    <row r="98" spans="1:14" s="35" customFormat="1" ht="16.5" thickBot="1" x14ac:dyDescent="0.3">
      <c r="A98" s="147" t="s">
        <v>162</v>
      </c>
      <c r="B98" s="148"/>
      <c r="C98" s="185">
        <f>C90+C95</f>
        <v>54</v>
      </c>
      <c r="D98" s="186"/>
      <c r="E98" s="187">
        <f>E90+E95</f>
        <v>49186.453211999993</v>
      </c>
      <c r="F98" s="188"/>
      <c r="G98" s="189">
        <f>G90+G95</f>
        <v>74382.388469999991</v>
      </c>
      <c r="H98" s="190"/>
    </row>
    <row r="99" spans="1:14" s="34" customFormat="1" x14ac:dyDescent="0.25">
      <c r="A99" s="96" t="s">
        <v>56</v>
      </c>
      <c r="B99" s="96"/>
      <c r="C99" s="96"/>
      <c r="D99" s="96"/>
      <c r="E99" s="96"/>
      <c r="F99" s="96"/>
      <c r="G99" s="96"/>
      <c r="H99" s="96"/>
    </row>
    <row r="100" spans="1:14" x14ac:dyDescent="0.25">
      <c r="A100" s="78" t="s">
        <v>169</v>
      </c>
      <c r="B100" s="78"/>
      <c r="C100" s="78"/>
      <c r="D100" s="78"/>
      <c r="E100" s="78"/>
      <c r="F100" s="78"/>
      <c r="G100" s="78"/>
      <c r="H100" s="78"/>
    </row>
    <row r="101" spans="1:14" ht="47.25" customHeight="1" x14ac:dyDescent="0.25">
      <c r="A101" s="132" t="s">
        <v>115</v>
      </c>
      <c r="B101" s="132" t="s">
        <v>170</v>
      </c>
      <c r="C101" s="132" t="s">
        <v>57</v>
      </c>
      <c r="D101" s="132" t="s">
        <v>58</v>
      </c>
      <c r="E101" s="134" t="s">
        <v>152</v>
      </c>
      <c r="F101" s="43" t="s">
        <v>145</v>
      </c>
      <c r="G101" s="89" t="s">
        <v>60</v>
      </c>
      <c r="H101" s="136"/>
    </row>
    <row r="102" spans="1:14" s="37" customFormat="1" x14ac:dyDescent="0.25">
      <c r="A102" s="133"/>
      <c r="B102" s="133"/>
      <c r="C102" s="133"/>
      <c r="D102" s="133"/>
      <c r="E102" s="135"/>
      <c r="F102" s="13">
        <v>0.6</v>
      </c>
      <c r="G102" s="90"/>
      <c r="H102" s="137"/>
    </row>
    <row r="103" spans="1:14" s="37" customFormat="1" x14ac:dyDescent="0.25">
      <c r="A103" s="106" t="s">
        <v>265</v>
      </c>
      <c r="B103" s="107"/>
      <c r="C103" s="107"/>
      <c r="D103" s="107"/>
      <c r="E103" s="107"/>
      <c r="F103" s="107"/>
      <c r="G103" s="107"/>
      <c r="H103" s="108"/>
      <c r="J103" s="36"/>
    </row>
    <row r="104" spans="1:14" s="37" customFormat="1" x14ac:dyDescent="0.25">
      <c r="A104" s="106" t="s">
        <v>252</v>
      </c>
      <c r="B104" s="107"/>
      <c r="C104" s="107"/>
      <c r="D104" s="107"/>
      <c r="E104" s="107"/>
      <c r="F104" s="107"/>
      <c r="G104" s="107"/>
      <c r="H104" s="108"/>
      <c r="J104" s="36"/>
    </row>
    <row r="105" spans="1:14" s="37" customFormat="1" ht="81" customHeight="1" x14ac:dyDescent="0.25">
      <c r="A105" s="64">
        <v>9</v>
      </c>
      <c r="B105" s="65"/>
      <c r="C105" s="42" t="s">
        <v>253</v>
      </c>
      <c r="D105" s="42">
        <f>(94.12)*10.764</f>
        <v>1013.10768</v>
      </c>
      <c r="E105" s="42">
        <v>0</v>
      </c>
      <c r="F105" s="42">
        <f>(D105+E105)*(($F$102)+1)</f>
        <v>1620.9722879999999</v>
      </c>
      <c r="G105" s="64" t="str">
        <f>A104</f>
        <v>Ground Floor for Commercial &amp; Residential</v>
      </c>
      <c r="H105" s="65"/>
      <c r="I105" s="36"/>
      <c r="L105" s="73"/>
      <c r="M105" s="73"/>
      <c r="N105" s="36"/>
    </row>
    <row r="106" spans="1:14" s="37" customFormat="1" ht="63" x14ac:dyDescent="0.25">
      <c r="A106" s="64">
        <f t="shared" ref="A106:A111" si="0">A105+1</f>
        <v>10</v>
      </c>
      <c r="B106" s="65"/>
      <c r="C106" s="42" t="s">
        <v>253</v>
      </c>
      <c r="D106" s="42">
        <f>(77.62)*10.764</f>
        <v>835.50167999999996</v>
      </c>
      <c r="E106" s="42">
        <v>0</v>
      </c>
      <c r="F106" s="42">
        <f t="shared" ref="F106:F108" si="1">(D106+E106)*(($F$102)+1)</f>
        <v>1336.802688</v>
      </c>
      <c r="G106" s="64" t="str">
        <f t="shared" ref="G106:G111" si="2">G105</f>
        <v>Ground Floor for Commercial &amp; Residential</v>
      </c>
      <c r="H106" s="65"/>
      <c r="I106" s="36"/>
      <c r="L106" s="73"/>
      <c r="M106" s="73"/>
      <c r="N106" s="36"/>
    </row>
    <row r="107" spans="1:14" s="37" customFormat="1" ht="63" x14ac:dyDescent="0.25">
      <c r="A107" s="64">
        <f t="shared" si="0"/>
        <v>11</v>
      </c>
      <c r="B107" s="65"/>
      <c r="C107" s="42" t="s">
        <v>253</v>
      </c>
      <c r="D107" s="42">
        <f>(99.47)*10.764</f>
        <v>1070.69508</v>
      </c>
      <c r="E107" s="42">
        <v>0</v>
      </c>
      <c r="F107" s="42">
        <f t="shared" si="1"/>
        <v>1713.112128</v>
      </c>
      <c r="G107" s="64" t="str">
        <f t="shared" si="2"/>
        <v>Ground Floor for Commercial &amp; Residential</v>
      </c>
      <c r="H107" s="65"/>
      <c r="I107" s="36"/>
      <c r="L107" s="73"/>
      <c r="M107" s="73"/>
      <c r="N107" s="36"/>
    </row>
    <row r="108" spans="1:14" s="37" customFormat="1" ht="63" x14ac:dyDescent="0.25">
      <c r="A108" s="64">
        <f t="shared" si="0"/>
        <v>12</v>
      </c>
      <c r="B108" s="65"/>
      <c r="C108" s="42" t="s">
        <v>253</v>
      </c>
      <c r="D108" s="42">
        <f>(40.45)*10.764</f>
        <v>435.40379999999999</v>
      </c>
      <c r="E108" s="42">
        <v>0</v>
      </c>
      <c r="F108" s="42">
        <f t="shared" si="1"/>
        <v>696.64607999999998</v>
      </c>
      <c r="G108" s="64" t="str">
        <f t="shared" si="2"/>
        <v>Ground Floor for Commercial &amp; Residential</v>
      </c>
      <c r="H108" s="65"/>
      <c r="I108" s="36"/>
      <c r="L108" s="73"/>
      <c r="M108" s="73"/>
      <c r="N108" s="36"/>
    </row>
    <row r="109" spans="1:14" s="37" customFormat="1" ht="63" x14ac:dyDescent="0.25">
      <c r="A109" s="64">
        <f t="shared" si="0"/>
        <v>13</v>
      </c>
      <c r="B109" s="65"/>
      <c r="C109" s="42" t="s">
        <v>253</v>
      </c>
      <c r="D109" s="42">
        <f>(76.54)*10.764</f>
        <v>823.87656000000004</v>
      </c>
      <c r="E109" s="42">
        <v>0</v>
      </c>
      <c r="F109" s="42">
        <f t="shared" ref="F109:F110" si="3">(D109+E109)*(($F$102)+1)</f>
        <v>1318.2024960000001</v>
      </c>
      <c r="G109" s="64" t="str">
        <f t="shared" si="2"/>
        <v>Ground Floor for Commercial &amp; Residential</v>
      </c>
      <c r="H109" s="65"/>
      <c r="I109" s="36"/>
      <c r="L109" s="73"/>
      <c r="M109" s="73"/>
      <c r="N109" s="36"/>
    </row>
    <row r="110" spans="1:14" s="37" customFormat="1" ht="63" x14ac:dyDescent="0.25">
      <c r="A110" s="64">
        <f t="shared" si="0"/>
        <v>14</v>
      </c>
      <c r="B110" s="65"/>
      <c r="C110" s="42" t="s">
        <v>253</v>
      </c>
      <c r="D110" s="42">
        <f>(77.61)*10.764</f>
        <v>835.3940399999999</v>
      </c>
      <c r="E110" s="42">
        <v>0</v>
      </c>
      <c r="F110" s="42">
        <f t="shared" si="3"/>
        <v>1336.6304639999998</v>
      </c>
      <c r="G110" s="64" t="str">
        <f t="shared" si="2"/>
        <v>Ground Floor for Commercial &amp; Residential</v>
      </c>
      <c r="H110" s="65"/>
      <c r="I110" s="36"/>
      <c r="L110" s="73"/>
      <c r="M110" s="73"/>
      <c r="N110" s="36"/>
    </row>
    <row r="111" spans="1:14" s="37" customFormat="1" ht="63" x14ac:dyDescent="0.25">
      <c r="A111" s="64">
        <f t="shared" si="0"/>
        <v>15</v>
      </c>
      <c r="B111" s="65"/>
      <c r="C111" s="42" t="s">
        <v>253</v>
      </c>
      <c r="D111" s="42">
        <f>(94.12)*10.764</f>
        <v>1013.10768</v>
      </c>
      <c r="E111" s="42">
        <v>0</v>
      </c>
      <c r="F111" s="42">
        <f t="shared" ref="F111" si="4">(D111+E111)*(($F$102)+1)</f>
        <v>1620.9722879999999</v>
      </c>
      <c r="G111" s="64" t="str">
        <f t="shared" si="2"/>
        <v>Ground Floor for Commercial &amp; Residential</v>
      </c>
      <c r="H111" s="65"/>
      <c r="I111" s="36"/>
      <c r="L111" s="73"/>
      <c r="M111" s="73"/>
      <c r="N111" s="36"/>
    </row>
    <row r="112" spans="1:14" s="37" customFormat="1" x14ac:dyDescent="0.25">
      <c r="A112" s="64"/>
      <c r="B112" s="72"/>
      <c r="C112" s="72"/>
      <c r="D112" s="72"/>
      <c r="E112" s="72"/>
      <c r="F112" s="72"/>
      <c r="G112" s="72"/>
      <c r="H112" s="65"/>
      <c r="I112" s="36"/>
      <c r="N112" s="36"/>
    </row>
    <row r="113" spans="1:14" ht="47.25" customHeight="1" x14ac:dyDescent="0.25">
      <c r="A113" s="89" t="s">
        <v>116</v>
      </c>
      <c r="B113" s="132" t="s">
        <v>171</v>
      </c>
      <c r="C113" s="132" t="s">
        <v>57</v>
      </c>
      <c r="D113" s="132" t="s">
        <v>58</v>
      </c>
      <c r="E113" s="134" t="s">
        <v>59</v>
      </c>
      <c r="F113" s="43" t="s">
        <v>145</v>
      </c>
      <c r="G113" s="89" t="s">
        <v>60</v>
      </c>
      <c r="H113" s="136"/>
      <c r="I113" s="36"/>
    </row>
    <row r="114" spans="1:14" s="37" customFormat="1" x14ac:dyDescent="0.25">
      <c r="A114" s="90"/>
      <c r="B114" s="133"/>
      <c r="C114" s="133"/>
      <c r="D114" s="133"/>
      <c r="E114" s="135"/>
      <c r="F114" s="13">
        <v>0.5</v>
      </c>
      <c r="G114" s="90"/>
      <c r="H114" s="137"/>
      <c r="I114" s="36"/>
    </row>
    <row r="115" spans="1:14" s="37" customFormat="1" x14ac:dyDescent="0.25">
      <c r="A115" s="106" t="s">
        <v>265</v>
      </c>
      <c r="B115" s="107"/>
      <c r="C115" s="107"/>
      <c r="D115" s="107"/>
      <c r="E115" s="107"/>
      <c r="F115" s="107"/>
      <c r="G115" s="107"/>
      <c r="H115" s="108"/>
      <c r="J115" s="36"/>
    </row>
    <row r="116" spans="1:14" s="37" customFormat="1" x14ac:dyDescent="0.25">
      <c r="A116" s="106" t="s">
        <v>252</v>
      </c>
      <c r="B116" s="107"/>
      <c r="C116" s="107"/>
      <c r="D116" s="107"/>
      <c r="E116" s="107"/>
      <c r="F116" s="107"/>
      <c r="G116" s="107"/>
      <c r="H116" s="108"/>
      <c r="J116" s="36"/>
    </row>
    <row r="117" spans="1:14" s="37" customFormat="1" ht="15.75" customHeight="1" x14ac:dyDescent="0.25">
      <c r="A117" s="64">
        <v>1</v>
      </c>
      <c r="B117" s="65"/>
      <c r="C117" s="42" t="s">
        <v>254</v>
      </c>
      <c r="D117" s="42">
        <f>(73.3+2.36*1.22+3.05*1.84+0.6*(1.54+1.66+1.71))*10.764</f>
        <v>912.11122079999984</v>
      </c>
      <c r="E117" s="42">
        <v>0</v>
      </c>
      <c r="F117" s="42">
        <f>D117*(($F$114)+1)+(IF(E117&lt;101,E117,IF(E117&lt;201,E117/2,IF(E117&lt;=301,E117/3,E117/4))))</f>
        <v>1368.1668311999997</v>
      </c>
      <c r="G117" s="66" t="str">
        <f>A116</f>
        <v>Ground Floor for Commercial &amp; Residential</v>
      </c>
      <c r="H117" s="67"/>
      <c r="I117" s="36"/>
      <c r="L117" s="73"/>
      <c r="M117" s="73"/>
      <c r="N117" s="36"/>
    </row>
    <row r="118" spans="1:14" s="37" customFormat="1" ht="15.75" customHeight="1" x14ac:dyDescent="0.25">
      <c r="A118" s="64">
        <f t="shared" ref="A118:A120" si="5">A117+1</f>
        <v>2</v>
      </c>
      <c r="B118" s="65"/>
      <c r="C118" s="66" t="s">
        <v>256</v>
      </c>
      <c r="D118" s="74"/>
      <c r="E118" s="74"/>
      <c r="F118" s="67"/>
      <c r="G118" s="68"/>
      <c r="H118" s="69"/>
      <c r="I118" s="36"/>
      <c r="L118" s="73"/>
      <c r="M118" s="73"/>
      <c r="N118" s="36"/>
    </row>
    <row r="119" spans="1:14" s="37" customFormat="1" ht="15.75" customHeight="1" x14ac:dyDescent="0.25">
      <c r="A119" s="64">
        <f t="shared" si="5"/>
        <v>3</v>
      </c>
      <c r="B119" s="65"/>
      <c r="C119" s="70"/>
      <c r="D119" s="75"/>
      <c r="E119" s="75"/>
      <c r="F119" s="71"/>
      <c r="G119" s="68"/>
      <c r="H119" s="69"/>
      <c r="I119" s="36"/>
      <c r="L119" s="73"/>
      <c r="M119" s="73"/>
      <c r="N119" s="36"/>
    </row>
    <row r="120" spans="1:14" s="37" customFormat="1" ht="15.75" customHeight="1" x14ac:dyDescent="0.25">
      <c r="A120" s="64">
        <f t="shared" si="5"/>
        <v>4</v>
      </c>
      <c r="B120" s="65"/>
      <c r="C120" s="42" t="s">
        <v>255</v>
      </c>
      <c r="D120" s="42">
        <f>(3.05*4.98+1.55*2.56+1.15*1.53+1.15*1.43+3.99*1+2.3*1.43+2.07*1+3.05*3.05+3.05*3.05+1.39*2.3+2.75*2.95+0.6*(1.22+1.4+1.22))*10.764</f>
        <v>690.27917400000001</v>
      </c>
      <c r="E120" s="42">
        <v>0</v>
      </c>
      <c r="F120" s="42">
        <f>D120*(($F$114)+1)+(IF(E120&lt;101,E120,IF(E120&lt;201,E120/2,IF(E120&lt;=301,E120/3,E120/4))))</f>
        <v>1035.4187609999999</v>
      </c>
      <c r="G120" s="70"/>
      <c r="H120" s="71"/>
      <c r="I120" s="36"/>
      <c r="L120" s="73"/>
      <c r="M120" s="73"/>
      <c r="N120" s="36"/>
    </row>
    <row r="121" spans="1:14" s="37" customFormat="1" x14ac:dyDescent="0.25">
      <c r="A121" s="106" t="s">
        <v>257</v>
      </c>
      <c r="B121" s="107"/>
      <c r="C121" s="107"/>
      <c r="D121" s="107"/>
      <c r="E121" s="107"/>
      <c r="F121" s="107"/>
      <c r="G121" s="107"/>
      <c r="H121" s="108"/>
      <c r="J121" s="36"/>
    </row>
    <row r="122" spans="1:14" s="37" customFormat="1" ht="15.75" customHeight="1" x14ac:dyDescent="0.25">
      <c r="A122" s="64">
        <v>1</v>
      </c>
      <c r="B122" s="65"/>
      <c r="C122" s="42" t="s">
        <v>254</v>
      </c>
      <c r="D122" s="42">
        <f>(73.3+2.36*1.22+3.05*1.84+0.6*(1.54+1.66+1.71))*10.764</f>
        <v>912.11122079999984</v>
      </c>
      <c r="E122" s="42">
        <v>0</v>
      </c>
      <c r="F122" s="42">
        <f>D122*(($F$114)+1)+(IF(E122&lt;101,E122,IF(E122&lt;201,E122/2,IF(E122&lt;=301,E122/3,E122/4))))</f>
        <v>1368.1668311999997</v>
      </c>
      <c r="G122" s="66" t="str">
        <f>A121</f>
        <v>1st Floor for Commercial &amp; Residential</v>
      </c>
      <c r="H122" s="67"/>
      <c r="I122" s="36"/>
      <c r="L122" s="73"/>
      <c r="M122" s="73"/>
      <c r="N122" s="36"/>
    </row>
    <row r="123" spans="1:14" s="37" customFormat="1" ht="15.75" customHeight="1" x14ac:dyDescent="0.25">
      <c r="A123" s="64">
        <f t="shared" ref="A123:A125" si="6">A122+1</f>
        <v>2</v>
      </c>
      <c r="B123" s="65"/>
      <c r="C123" s="66" t="s">
        <v>256</v>
      </c>
      <c r="D123" s="74"/>
      <c r="E123" s="74"/>
      <c r="F123" s="67"/>
      <c r="G123" s="68"/>
      <c r="H123" s="69"/>
      <c r="I123" s="36"/>
      <c r="L123" s="73"/>
      <c r="M123" s="73"/>
      <c r="N123" s="36"/>
    </row>
    <row r="124" spans="1:14" s="37" customFormat="1" ht="15.75" customHeight="1" x14ac:dyDescent="0.25">
      <c r="A124" s="64">
        <f t="shared" si="6"/>
        <v>3</v>
      </c>
      <c r="B124" s="65"/>
      <c r="C124" s="70"/>
      <c r="D124" s="75"/>
      <c r="E124" s="75"/>
      <c r="F124" s="71"/>
      <c r="G124" s="68"/>
      <c r="H124" s="69"/>
      <c r="I124" s="36"/>
      <c r="L124" s="73"/>
      <c r="M124" s="73"/>
      <c r="N124" s="36"/>
    </row>
    <row r="125" spans="1:14" s="37" customFormat="1" ht="15.75" customHeight="1" x14ac:dyDescent="0.25">
      <c r="A125" s="64">
        <f t="shared" si="6"/>
        <v>4</v>
      </c>
      <c r="B125" s="65"/>
      <c r="C125" s="42" t="s">
        <v>254</v>
      </c>
      <c r="D125" s="42">
        <f>(2.41*2.39+2.36*2.67+3.05*4.05+2.75*3.05+1.55*2.56+3.99*1+2.07*1+3.05*3.05+3.05*3.05+2.39*1.43+2.31*1.45+1.39*2.3+0.5*(1.23+1.4+1.22)+2.36*1.22+3.05*1.84+0.6*(1.54+1.66+1.71))*10.764</f>
        <v>912.36202199999991</v>
      </c>
      <c r="E125" s="42">
        <v>0</v>
      </c>
      <c r="F125" s="42">
        <f>D125*(($F$114)+1)+(IF(E125&lt;101,E125,IF(E125&lt;201,E125/2,IF(E125&lt;=301,E125/3,E125/4))))</f>
        <v>1368.5430329999999</v>
      </c>
      <c r="G125" s="70"/>
      <c r="H125" s="71"/>
      <c r="I125" s="36"/>
      <c r="K125" s="37">
        <f>2.41*2.39+2.36*2.67+3.05*4.05+2.75*3.05+1.55*2.56+3.99*1+2.07*1+3.05*3.05+3.05*3.05+2.39*1.43+2.31*1.45+1.39*2.3+0.5*(1.23+1.4+1.22)</f>
        <v>73.323300000000003</v>
      </c>
      <c r="L125" s="73">
        <f>2.36*1.22+3.05*0.93</f>
        <v>5.7157</v>
      </c>
      <c r="M125" s="73"/>
      <c r="N125" s="36"/>
    </row>
    <row r="126" spans="1:14" s="37" customFormat="1" x14ac:dyDescent="0.25">
      <c r="A126" s="153" t="s">
        <v>114</v>
      </c>
      <c r="B126" s="153"/>
      <c r="C126" s="153"/>
      <c r="D126" s="153"/>
      <c r="E126" s="153"/>
      <c r="F126" s="153"/>
      <c r="G126" s="153"/>
      <c r="H126" s="153"/>
      <c r="I126" s="36"/>
      <c r="L126" s="73"/>
      <c r="M126" s="73"/>
    </row>
    <row r="127" spans="1:14" s="37" customFormat="1" x14ac:dyDescent="0.25">
      <c r="A127" s="95">
        <v>1</v>
      </c>
      <c r="B127" s="95"/>
      <c r="C127" s="42" t="s">
        <v>254</v>
      </c>
      <c r="D127" s="42">
        <f>(73.3+2.36*1.22+3.05*1.84+0.6*(1.54+1.66+1.71))*10.764</f>
        <v>912.11122079999984</v>
      </c>
      <c r="E127" s="42">
        <v>0</v>
      </c>
      <c r="F127" s="42">
        <f t="shared" ref="F127:F128" si="7">D127*(($F$114)+1)+(IF(E127&lt;101,E127,IF(E127&lt;201,E127/2,IF(E127&lt;=301,E127/3,E127/4))))</f>
        <v>1368.1668311999997</v>
      </c>
      <c r="G127" s="66" t="str">
        <f>A126</f>
        <v>2nd Floor</v>
      </c>
      <c r="H127" s="67"/>
      <c r="I127" s="36"/>
      <c r="J127" s="37">
        <f>10500000/F127</f>
        <v>7674.5026706944791</v>
      </c>
      <c r="N127" s="36"/>
    </row>
    <row r="128" spans="1:14" s="37" customFormat="1" x14ac:dyDescent="0.25">
      <c r="A128" s="95">
        <v>2</v>
      </c>
      <c r="B128" s="95"/>
      <c r="C128" s="42" t="s">
        <v>254</v>
      </c>
      <c r="D128" s="42">
        <f>(76.56+2.36*1.22+3.05*1.84+0.6*(1.54+1.66+1.71))*10.764</f>
        <v>947.20186079999985</v>
      </c>
      <c r="E128" s="42">
        <v>0</v>
      </c>
      <c r="F128" s="42">
        <f t="shared" si="7"/>
        <v>1420.8027911999998</v>
      </c>
      <c r="G128" s="68"/>
      <c r="H128" s="69"/>
      <c r="I128" s="36"/>
      <c r="N128" s="36"/>
    </row>
    <row r="129" spans="1:15" s="37" customFormat="1" x14ac:dyDescent="0.25">
      <c r="A129" s="95">
        <f>A128+1</f>
        <v>3</v>
      </c>
      <c r="B129" s="95"/>
      <c r="C129" s="42" t="s">
        <v>254</v>
      </c>
      <c r="D129" s="42">
        <f>(76.56+2.36*1.22+3.05*1.84+0.6*(1.54+1.66+1.71))*10.764</f>
        <v>947.20186079999985</v>
      </c>
      <c r="E129" s="42">
        <v>0</v>
      </c>
      <c r="F129" s="42">
        <f>D129*(($F$114)+1)+(IF(E129&lt;101,E129,IF(E129&lt;201,E129/2,IF(E129&lt;=301,E129/3,E129/4))))</f>
        <v>1420.8027911999998</v>
      </c>
      <c r="G129" s="68"/>
      <c r="H129" s="69"/>
      <c r="I129" s="36"/>
      <c r="N129" s="36"/>
    </row>
    <row r="130" spans="1:15" s="37" customFormat="1" x14ac:dyDescent="0.25">
      <c r="A130" s="95">
        <f>A129+1</f>
        <v>4</v>
      </c>
      <c r="B130" s="95"/>
      <c r="C130" s="42" t="s">
        <v>254</v>
      </c>
      <c r="D130" s="42">
        <f t="shared" ref="D130" si="8">(73.3+2.36*1.22+3.05*1.84+0.6*(1.54+1.66+1.71))*10.764</f>
        <v>912.11122079999984</v>
      </c>
      <c r="E130" s="42">
        <v>0</v>
      </c>
      <c r="F130" s="42">
        <f>D130*(($F$114)+1)+(IF(E130&lt;101,E130,IF(E130&lt;201,E130/2,IF(E130&lt;=301,E130/3,E130/4))))</f>
        <v>1368.1668311999997</v>
      </c>
      <c r="G130" s="70"/>
      <c r="H130" s="71"/>
      <c r="I130" s="36"/>
      <c r="N130" s="36"/>
    </row>
    <row r="131" spans="1:15" s="37" customFormat="1" ht="15.75" customHeight="1" x14ac:dyDescent="0.25">
      <c r="A131" s="106" t="s">
        <v>258</v>
      </c>
      <c r="B131" s="107"/>
      <c r="C131" s="107"/>
      <c r="D131" s="107"/>
      <c r="E131" s="107"/>
      <c r="F131" s="107"/>
      <c r="G131" s="107"/>
      <c r="H131" s="108"/>
      <c r="I131" s="36"/>
    </row>
    <row r="132" spans="1:15" s="37" customFormat="1" ht="15.75" customHeight="1" x14ac:dyDescent="0.25">
      <c r="A132" s="64">
        <v>1</v>
      </c>
      <c r="B132" s="65"/>
      <c r="C132" s="42" t="s">
        <v>254</v>
      </c>
      <c r="D132" s="42">
        <f>(73.3+2.36*1.22+3.05*1.84+0.6*(1.54+1.66+1.71))*10.764</f>
        <v>912.11122079999984</v>
      </c>
      <c r="E132" s="42">
        <v>0</v>
      </c>
      <c r="F132" s="42">
        <f>D132*(($F$114)+1)+(IF(E132&lt;101,E132,IF(E132&lt;201,E132/2,IF(E132&lt;=301,E132/3,E132/4))))</f>
        <v>1368.1668311999997</v>
      </c>
      <c r="G132" s="66" t="str">
        <f>A131</f>
        <v>3rd to 7th, 9th to 12th Floor</v>
      </c>
      <c r="H132" s="67"/>
      <c r="I132" s="36"/>
      <c r="K132" s="37">
        <f>4*12-3</f>
        <v>45</v>
      </c>
    </row>
    <row r="133" spans="1:15" s="37" customFormat="1" ht="15.75" customHeight="1" x14ac:dyDescent="0.25">
      <c r="A133" s="64">
        <v>2</v>
      </c>
      <c r="B133" s="65"/>
      <c r="C133" s="42" t="s">
        <v>254</v>
      </c>
      <c r="D133" s="42">
        <f t="shared" ref="D133:D135" si="9">(73.3+2.36*1.22+3.05*1.84+0.6*(1.54+1.66+1.71))*10.764</f>
        <v>912.11122079999984</v>
      </c>
      <c r="E133" s="42">
        <v>0</v>
      </c>
      <c r="F133" s="42">
        <f>D133*(($F$114)+1)+(IF(E133&lt;101,E133,IF(E133&lt;201,E133/2,IF(E133&lt;=301,E133/3,E133/4))))</f>
        <v>1368.1668311999997</v>
      </c>
      <c r="G133" s="68"/>
      <c r="H133" s="69"/>
      <c r="I133" s="36"/>
    </row>
    <row r="134" spans="1:15" s="37" customFormat="1" ht="15.75" customHeight="1" x14ac:dyDescent="0.25">
      <c r="A134" s="64">
        <v>3</v>
      </c>
      <c r="B134" s="65"/>
      <c r="C134" s="42" t="s">
        <v>254</v>
      </c>
      <c r="D134" s="42">
        <f t="shared" si="9"/>
        <v>912.11122079999984</v>
      </c>
      <c r="E134" s="42">
        <v>0</v>
      </c>
      <c r="F134" s="42">
        <f>D134*(($F$114)+1)+(IF(E134&lt;101,E134,IF(E134&lt;201,E134/2,IF(E134&lt;=301,E134/3,E134/4))))</f>
        <v>1368.1668311999997</v>
      </c>
      <c r="G134" s="68"/>
      <c r="H134" s="69"/>
      <c r="I134" s="36"/>
    </row>
    <row r="135" spans="1:15" s="37" customFormat="1" ht="15.75" customHeight="1" x14ac:dyDescent="0.25">
      <c r="A135" s="64">
        <v>4</v>
      </c>
      <c r="B135" s="65"/>
      <c r="C135" s="42" t="s">
        <v>254</v>
      </c>
      <c r="D135" s="42">
        <f t="shared" si="9"/>
        <v>912.11122079999984</v>
      </c>
      <c r="E135" s="42">
        <v>0</v>
      </c>
      <c r="F135" s="42">
        <f>D135*(($F$114)+1)+(IF(E135&lt;101,E135,IF(E135&lt;201,E135/2,IF(E135&lt;=301,E135/3,E135/4))))</f>
        <v>1368.1668311999997</v>
      </c>
      <c r="G135" s="70"/>
      <c r="H135" s="71"/>
      <c r="I135" s="36"/>
    </row>
    <row r="136" spans="1:15" s="37" customFormat="1" ht="15.75" customHeight="1" x14ac:dyDescent="0.25">
      <c r="A136" s="106" t="s">
        <v>259</v>
      </c>
      <c r="B136" s="107"/>
      <c r="C136" s="107"/>
      <c r="D136" s="107"/>
      <c r="E136" s="107"/>
      <c r="F136" s="107"/>
      <c r="G136" s="107"/>
      <c r="H136" s="108"/>
      <c r="I136" s="36"/>
    </row>
    <row r="137" spans="1:15" s="37" customFormat="1" ht="15.75" customHeight="1" x14ac:dyDescent="0.25">
      <c r="A137" s="64">
        <v>1</v>
      </c>
      <c r="B137" s="65"/>
      <c r="C137" s="64" t="s">
        <v>260</v>
      </c>
      <c r="D137" s="72"/>
      <c r="E137" s="72"/>
      <c r="F137" s="65"/>
      <c r="G137" s="66" t="str">
        <f>A136</f>
        <v>8th Floor (Part Refuge Area)</v>
      </c>
      <c r="H137" s="67"/>
      <c r="I137" s="36"/>
    </row>
    <row r="138" spans="1:15" s="37" customFormat="1" ht="15.75" customHeight="1" x14ac:dyDescent="0.25">
      <c r="A138" s="64">
        <v>2</v>
      </c>
      <c r="B138" s="65"/>
      <c r="C138" s="42" t="s">
        <v>261</v>
      </c>
      <c r="D138" s="42">
        <f>(114.32+2.36*1.22+3.05*1.84+0.6*(1.54+1.66+1.71))*10.764</f>
        <v>1353.6505007999997</v>
      </c>
      <c r="E138" s="42">
        <v>0</v>
      </c>
      <c r="F138" s="42">
        <f>D138*(($F$114)+1)+(IF(E138&lt;101,E138,IF(E138&lt;201,E138/2,IF(E138&lt;=301,E138/3,E138/4))))</f>
        <v>2030.4757511999996</v>
      </c>
      <c r="G138" s="68"/>
      <c r="H138" s="69"/>
      <c r="I138" s="36"/>
    </row>
    <row r="139" spans="1:15" s="37" customFormat="1" ht="15.75" customHeight="1" x14ac:dyDescent="0.25">
      <c r="A139" s="64">
        <v>3</v>
      </c>
      <c r="B139" s="65"/>
      <c r="C139" s="42" t="s">
        <v>254</v>
      </c>
      <c r="D139" s="42">
        <f t="shared" ref="D139:D140" si="10">(73.3+2.36*1.22+3.05*1.84+0.6*(1.54+1.66+1.71))*10.764</f>
        <v>912.11122079999984</v>
      </c>
      <c r="E139" s="42">
        <v>0</v>
      </c>
      <c r="F139" s="42">
        <f>D139*(($F$114)+1)+(IF(E139&lt;101,E139,IF(E139&lt;201,E139/2,IF(E139&lt;=301,E139/3,E139/4))))</f>
        <v>1368.1668311999997</v>
      </c>
      <c r="G139" s="68"/>
      <c r="H139" s="69"/>
      <c r="I139" s="36"/>
    </row>
    <row r="140" spans="1:15" s="37" customFormat="1" ht="15.75" customHeight="1" x14ac:dyDescent="0.25">
      <c r="A140" s="64">
        <v>4</v>
      </c>
      <c r="B140" s="65"/>
      <c r="C140" s="42" t="s">
        <v>254</v>
      </c>
      <c r="D140" s="42">
        <f t="shared" si="10"/>
        <v>912.11122079999984</v>
      </c>
      <c r="E140" s="42">
        <v>0</v>
      </c>
      <c r="F140" s="42">
        <f>D140*(($F$114)+1)+(IF(E140&lt;101,E140,IF(E140&lt;201,E140/2,IF(E140&lt;=301,E140/3,E140/4))))</f>
        <v>1368.1668311999997</v>
      </c>
      <c r="G140" s="70"/>
      <c r="H140" s="71"/>
      <c r="I140" s="36"/>
    </row>
    <row r="141" spans="1:15" s="35" customFormat="1" x14ac:dyDescent="0.25">
      <c r="A141" s="198" t="s">
        <v>68</v>
      </c>
      <c r="B141" s="198"/>
      <c r="C141" s="198"/>
      <c r="D141" s="198"/>
      <c r="E141" s="198"/>
      <c r="F141" s="198"/>
      <c r="G141" s="198"/>
      <c r="H141" s="198"/>
      <c r="I141" s="35" t="s">
        <v>275</v>
      </c>
    </row>
    <row r="142" spans="1:15" s="35" customFormat="1" x14ac:dyDescent="0.25">
      <c r="A142" s="47" t="s">
        <v>149</v>
      </c>
      <c r="B142" s="61" t="s">
        <v>277</v>
      </c>
      <c r="C142" s="62"/>
      <c r="D142" s="62"/>
      <c r="E142" s="62"/>
      <c r="F142" s="62"/>
      <c r="G142" s="62"/>
      <c r="H142" s="63"/>
      <c r="I142" s="61"/>
      <c r="J142" s="62"/>
      <c r="K142" s="62"/>
      <c r="L142" s="62"/>
      <c r="M142" s="62"/>
      <c r="N142" s="62"/>
      <c r="O142" s="63"/>
    </row>
    <row r="143" spans="1:15" s="35" customFormat="1" x14ac:dyDescent="0.25">
      <c r="A143" s="47" t="s">
        <v>149</v>
      </c>
      <c r="B143" s="61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43" s="62"/>
      <c r="D143" s="62"/>
      <c r="E143" s="62"/>
      <c r="F143" s="62"/>
      <c r="G143" s="62"/>
      <c r="H143" s="63"/>
    </row>
    <row r="144" spans="1:15" s="35" customFormat="1" x14ac:dyDescent="0.25">
      <c r="A144" s="47" t="s">
        <v>149</v>
      </c>
      <c r="B144" s="61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4" s="62"/>
      <c r="D144" s="62"/>
      <c r="E144" s="62"/>
      <c r="F144" s="62"/>
      <c r="G144" s="62"/>
      <c r="H144" s="63"/>
    </row>
    <row r="145" spans="1:8" s="35" customFormat="1" x14ac:dyDescent="0.25">
      <c r="A145" s="47" t="s">
        <v>149</v>
      </c>
      <c r="B145" s="141" t="s">
        <v>119</v>
      </c>
      <c r="C145" s="142"/>
      <c r="D145" s="142"/>
      <c r="E145" s="142"/>
      <c r="F145" s="142"/>
      <c r="G145" s="142"/>
      <c r="H145" s="143"/>
    </row>
    <row r="146" spans="1:8" s="35" customFormat="1" x14ac:dyDescent="0.25">
      <c r="A146" s="47" t="s">
        <v>149</v>
      </c>
      <c r="B146" s="141" t="s">
        <v>262</v>
      </c>
      <c r="C146" s="142"/>
      <c r="D146" s="142"/>
      <c r="E146" s="142"/>
      <c r="F146" s="142"/>
      <c r="G146" s="142"/>
      <c r="H146" s="143"/>
    </row>
    <row r="147" spans="1:8" s="35" customFormat="1" x14ac:dyDescent="0.25">
      <c r="A147" s="47" t="s">
        <v>149</v>
      </c>
      <c r="B147" s="141" t="s">
        <v>148</v>
      </c>
      <c r="C147" s="142"/>
      <c r="D147" s="142"/>
      <c r="E147" s="142"/>
      <c r="F147" s="142"/>
      <c r="G147" s="142"/>
      <c r="H147" s="143"/>
    </row>
    <row r="148" spans="1:8" s="35" customFormat="1" x14ac:dyDescent="0.25">
      <c r="A148" s="47" t="s">
        <v>149</v>
      </c>
      <c r="B148" s="141" t="s">
        <v>120</v>
      </c>
      <c r="C148" s="142"/>
      <c r="D148" s="142"/>
      <c r="E148" s="142"/>
      <c r="F148" s="142"/>
      <c r="G148" s="142"/>
      <c r="H148" s="143"/>
    </row>
    <row r="149" spans="1:8" s="35" customFormat="1" ht="34.5" customHeight="1" x14ac:dyDescent="0.25">
      <c r="A149" s="47" t="s">
        <v>149</v>
      </c>
      <c r="B149" s="141" t="s">
        <v>150</v>
      </c>
      <c r="C149" s="142"/>
      <c r="D149" s="142"/>
      <c r="E149" s="142"/>
      <c r="F149" s="142"/>
      <c r="G149" s="142"/>
      <c r="H149" s="143"/>
    </row>
    <row r="150" spans="1:8" s="35" customFormat="1" x14ac:dyDescent="0.25">
      <c r="A150" s="47" t="s">
        <v>149</v>
      </c>
      <c r="B150" s="141" t="s">
        <v>121</v>
      </c>
      <c r="C150" s="142"/>
      <c r="D150" s="142"/>
      <c r="E150" s="142"/>
      <c r="F150" s="142"/>
      <c r="G150" s="142"/>
      <c r="H150" s="143"/>
    </row>
    <row r="151" spans="1:8" s="35" customFormat="1" ht="32.25" hidden="1" customHeight="1" x14ac:dyDescent="0.25">
      <c r="A151" s="47" t="s">
        <v>149</v>
      </c>
      <c r="B151" s="144" t="s">
        <v>172</v>
      </c>
      <c r="C151" s="145"/>
      <c r="D151" s="145"/>
      <c r="E151" s="145"/>
      <c r="F151" s="145"/>
      <c r="G151" s="145"/>
      <c r="H151" s="146"/>
    </row>
    <row r="152" spans="1:8" x14ac:dyDescent="0.25">
      <c r="A152" s="112" t="s">
        <v>61</v>
      </c>
      <c r="B152" s="112"/>
      <c r="C152" s="112"/>
      <c r="D152" s="112"/>
      <c r="E152" s="112"/>
      <c r="F152" s="112"/>
      <c r="G152" s="112"/>
      <c r="H152" s="112"/>
    </row>
    <row r="153" spans="1:8" x14ac:dyDescent="0.25">
      <c r="A153" s="83" t="s">
        <v>62</v>
      </c>
      <c r="B153" s="83"/>
      <c r="C153" s="83"/>
      <c r="D153" s="83"/>
      <c r="E153" s="83"/>
      <c r="F153" s="83"/>
      <c r="G153" s="83"/>
      <c r="H153" s="83"/>
    </row>
    <row r="154" spans="1:8" ht="15.75" customHeight="1" x14ac:dyDescent="0.25">
      <c r="A154" s="131" t="s">
        <v>63</v>
      </c>
      <c r="B154" s="131"/>
      <c r="C154" s="131"/>
      <c r="D154" s="131"/>
      <c r="E154" s="131"/>
      <c r="F154" s="131"/>
      <c r="G154" s="131"/>
      <c r="H154" s="131"/>
    </row>
    <row r="155" spans="1:8" x14ac:dyDescent="0.25">
      <c r="A155" s="83" t="s">
        <v>64</v>
      </c>
      <c r="B155" s="83"/>
      <c r="C155" s="83"/>
      <c r="D155" s="83"/>
      <c r="E155" s="83"/>
      <c r="F155" s="83"/>
      <c r="G155" s="83"/>
      <c r="H155" s="83"/>
    </row>
    <row r="156" spans="1:8" x14ac:dyDescent="0.25">
      <c r="A156" s="83" t="s">
        <v>65</v>
      </c>
      <c r="B156" s="83"/>
      <c r="C156" s="83"/>
      <c r="D156" s="83"/>
      <c r="E156" s="83"/>
      <c r="F156" s="83"/>
      <c r="G156" s="83"/>
      <c r="H156" s="83"/>
    </row>
    <row r="157" spans="1:8" x14ac:dyDescent="0.25">
      <c r="A157" s="83" t="s">
        <v>122</v>
      </c>
      <c r="B157" s="83"/>
      <c r="C157" s="83"/>
      <c r="D157" s="83"/>
      <c r="E157" s="83"/>
      <c r="F157" s="83"/>
      <c r="G157" s="83"/>
      <c r="H157" s="83"/>
    </row>
    <row r="158" spans="1:8" ht="33.950000000000003" customHeight="1" x14ac:dyDescent="0.25">
      <c r="A158" s="87" t="s">
        <v>123</v>
      </c>
      <c r="B158" s="87"/>
      <c r="C158" s="87"/>
      <c r="D158" s="87"/>
      <c r="E158" s="87"/>
      <c r="F158" s="87"/>
      <c r="G158" s="87"/>
      <c r="H158" s="87"/>
    </row>
    <row r="159" spans="1:8" x14ac:dyDescent="0.25">
      <c r="A159" s="150" t="s">
        <v>77</v>
      </c>
      <c r="B159" s="150"/>
      <c r="C159" s="150" t="s">
        <v>279</v>
      </c>
      <c r="D159" s="150"/>
      <c r="E159" s="150" t="s">
        <v>101</v>
      </c>
      <c r="F159" s="150"/>
      <c r="G159" s="150" t="s">
        <v>278</v>
      </c>
      <c r="H159" s="150"/>
    </row>
    <row r="160" spans="1:8" x14ac:dyDescent="0.25">
      <c r="A160" s="149" t="s">
        <v>79</v>
      </c>
      <c r="B160" s="149"/>
      <c r="C160" s="149"/>
      <c r="D160" s="149"/>
      <c r="E160" s="149"/>
      <c r="F160" s="149"/>
      <c r="G160" s="149"/>
      <c r="H160" s="149"/>
    </row>
    <row r="161" spans="1:8" x14ac:dyDescent="0.25">
      <c r="A161" s="149"/>
      <c r="B161" s="149"/>
      <c r="C161" s="149"/>
      <c r="D161" s="149"/>
      <c r="E161" s="149"/>
      <c r="F161" s="149"/>
      <c r="G161" s="149"/>
      <c r="H161" s="149"/>
    </row>
    <row r="162" spans="1:8" x14ac:dyDescent="0.25">
      <c r="A162" s="149"/>
      <c r="B162" s="149"/>
      <c r="C162" s="149"/>
      <c r="D162" s="149"/>
      <c r="E162" s="149"/>
      <c r="F162" s="149"/>
      <c r="G162" s="149"/>
      <c r="H162" s="149"/>
    </row>
    <row r="163" spans="1:8" x14ac:dyDescent="0.25">
      <c r="A163" s="149"/>
      <c r="B163" s="149"/>
      <c r="C163" s="149"/>
      <c r="D163" s="149"/>
      <c r="E163" s="149"/>
      <c r="F163" s="149"/>
      <c r="G163" s="149"/>
      <c r="H163" s="149"/>
    </row>
    <row r="164" spans="1:8" x14ac:dyDescent="0.25">
      <c r="A164" s="38" t="s">
        <v>66</v>
      </c>
      <c r="B164" s="39"/>
      <c r="C164" s="39"/>
      <c r="D164" s="38" t="str">
        <f>E8</f>
        <v>Olivia Tower ­ B</v>
      </c>
      <c r="F164" s="39"/>
      <c r="G164" s="39"/>
      <c r="H164" s="39"/>
    </row>
    <row r="165" spans="1:8" x14ac:dyDescent="0.25">
      <c r="A165" s="39"/>
      <c r="B165" s="39"/>
      <c r="C165" s="39"/>
      <c r="D165" s="39"/>
      <c r="E165" s="39"/>
      <c r="F165" s="39"/>
      <c r="G165" s="39"/>
      <c r="H165" s="39"/>
    </row>
    <row r="166" spans="1:8" x14ac:dyDescent="0.25">
      <c r="A166" s="39"/>
      <c r="B166" s="39"/>
      <c r="C166" s="39"/>
      <c r="D166" s="39"/>
      <c r="E166" s="39"/>
      <c r="F166" s="39"/>
      <c r="G166" s="39"/>
      <c r="H166" s="39"/>
    </row>
    <row r="167" spans="1:8" ht="15" customHeight="1" x14ac:dyDescent="0.25"/>
    <row r="202" spans="1:1" hidden="1" x14ac:dyDescent="0.25"/>
    <row r="203" spans="1:1" hidden="1" x14ac:dyDescent="0.25"/>
    <row r="204" spans="1:1" hidden="1" x14ac:dyDescent="0.25"/>
    <row r="205" spans="1:1" hidden="1" x14ac:dyDescent="0.25"/>
    <row r="206" spans="1:1" x14ac:dyDescent="0.25">
      <c r="A206" s="41" t="s">
        <v>159</v>
      </c>
    </row>
    <row r="248" spans="1:1" x14ac:dyDescent="0.25">
      <c r="A248" s="41" t="s">
        <v>67</v>
      </c>
    </row>
  </sheetData>
  <mergeCells count="317">
    <mergeCell ref="A80:E80"/>
    <mergeCell ref="F84:H84"/>
    <mergeCell ref="A83:E83"/>
    <mergeCell ref="A97:B97"/>
    <mergeCell ref="E97:F97"/>
    <mergeCell ref="A39:B39"/>
    <mergeCell ref="C39:H39"/>
    <mergeCell ref="B149:H149"/>
    <mergeCell ref="A48:B48"/>
    <mergeCell ref="C48:H48"/>
    <mergeCell ref="B147:H147"/>
    <mergeCell ref="F82:H82"/>
    <mergeCell ref="A82:E82"/>
    <mergeCell ref="D101:D102"/>
    <mergeCell ref="A84:E84"/>
    <mergeCell ref="B145:H145"/>
    <mergeCell ref="B146:H146"/>
    <mergeCell ref="A141:H141"/>
    <mergeCell ref="A131:H131"/>
    <mergeCell ref="A120:B120"/>
    <mergeCell ref="A139:B139"/>
    <mergeCell ref="A140:B140"/>
    <mergeCell ref="A130:B130"/>
    <mergeCell ref="E96:F96"/>
    <mergeCell ref="L108:M108"/>
    <mergeCell ref="L107:M107"/>
    <mergeCell ref="L106:M106"/>
    <mergeCell ref="L105:M105"/>
    <mergeCell ref="A112:H112"/>
    <mergeCell ref="L110:M110"/>
    <mergeCell ref="L111:M111"/>
    <mergeCell ref="A125:B125"/>
    <mergeCell ref="L125:M125"/>
    <mergeCell ref="G117:H120"/>
    <mergeCell ref="G122:H125"/>
    <mergeCell ref="A117:B117"/>
    <mergeCell ref="L120:M120"/>
    <mergeCell ref="A115:H115"/>
    <mergeCell ref="L119:M119"/>
    <mergeCell ref="G96:H96"/>
    <mergeCell ref="C90:D90"/>
    <mergeCell ref="E90:F90"/>
    <mergeCell ref="B101:B102"/>
    <mergeCell ref="A101:A102"/>
    <mergeCell ref="C113:C114"/>
    <mergeCell ref="C118:F119"/>
    <mergeCell ref="A121:H121"/>
    <mergeCell ref="A119:B119"/>
    <mergeCell ref="A103:H103"/>
    <mergeCell ref="C98:D98"/>
    <mergeCell ref="E98:F98"/>
    <mergeCell ref="G98:H98"/>
    <mergeCell ref="A45:D45"/>
    <mergeCell ref="A37:H37"/>
    <mergeCell ref="A77:B77"/>
    <mergeCell ref="C95:D95"/>
    <mergeCell ref="E95:F95"/>
    <mergeCell ref="G95:H95"/>
    <mergeCell ref="A81:E81"/>
    <mergeCell ref="A104:H104"/>
    <mergeCell ref="E101:E102"/>
    <mergeCell ref="G101:H102"/>
    <mergeCell ref="G97:H97"/>
    <mergeCell ref="C91:D91"/>
    <mergeCell ref="E91:F91"/>
    <mergeCell ref="G91:H91"/>
    <mergeCell ref="A92:B92"/>
    <mergeCell ref="C92:D92"/>
    <mergeCell ref="E92:F92"/>
    <mergeCell ref="G92:H92"/>
    <mergeCell ref="A96:B96"/>
    <mergeCell ref="C96:D96"/>
    <mergeCell ref="A78:B78"/>
    <mergeCell ref="A79:B79"/>
    <mergeCell ref="A68:B68"/>
    <mergeCell ref="A66:B66"/>
    <mergeCell ref="A36:B36"/>
    <mergeCell ref="C36:E36"/>
    <mergeCell ref="A41:D41"/>
    <mergeCell ref="E41:H41"/>
    <mergeCell ref="A40:H40"/>
    <mergeCell ref="A59:C59"/>
    <mergeCell ref="A60:C60"/>
    <mergeCell ref="D59:H59"/>
    <mergeCell ref="A38:B38"/>
    <mergeCell ref="C38:H38"/>
    <mergeCell ref="F36:H36"/>
    <mergeCell ref="A46:D46"/>
    <mergeCell ref="A47:H47"/>
    <mergeCell ref="D57:H57"/>
    <mergeCell ref="A57:C57"/>
    <mergeCell ref="G50:H50"/>
    <mergeCell ref="A51:B52"/>
    <mergeCell ref="D60:H60"/>
    <mergeCell ref="A43:D43"/>
    <mergeCell ref="E43:H43"/>
    <mergeCell ref="E44:H44"/>
    <mergeCell ref="E45:H45"/>
    <mergeCell ref="E46:H46"/>
    <mergeCell ref="A44:D44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A73:B73"/>
    <mergeCell ref="E69:F69"/>
    <mergeCell ref="A62:C62"/>
    <mergeCell ref="D62:H62"/>
    <mergeCell ref="A65:C65"/>
    <mergeCell ref="D65:H65"/>
    <mergeCell ref="A63:C6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60:H163"/>
    <mergeCell ref="A159:B159"/>
    <mergeCell ref="E159:F159"/>
    <mergeCell ref="C159:D159"/>
    <mergeCell ref="G159:H159"/>
    <mergeCell ref="A88:H88"/>
    <mergeCell ref="A86:E86"/>
    <mergeCell ref="F86:H86"/>
    <mergeCell ref="A87:E87"/>
    <mergeCell ref="F87:H87"/>
    <mergeCell ref="A126:H126"/>
    <mergeCell ref="A95:B95"/>
    <mergeCell ref="A134:B134"/>
    <mergeCell ref="A90:B90"/>
    <mergeCell ref="A155:H155"/>
    <mergeCell ref="A93:H93"/>
    <mergeCell ref="A158:H158"/>
    <mergeCell ref="A156:H156"/>
    <mergeCell ref="A152:H152"/>
    <mergeCell ref="G94:H94"/>
    <mergeCell ref="C101:C102"/>
    <mergeCell ref="B113:B114"/>
    <mergeCell ref="A118:B118"/>
    <mergeCell ref="A157:H157"/>
    <mergeCell ref="A154:H154"/>
    <mergeCell ref="A127:B127"/>
    <mergeCell ref="A94:B94"/>
    <mergeCell ref="D113:D114"/>
    <mergeCell ref="E113:E114"/>
    <mergeCell ref="G113:H114"/>
    <mergeCell ref="F81:H81"/>
    <mergeCell ref="G90:H90"/>
    <mergeCell ref="C89:D89"/>
    <mergeCell ref="C97:D97"/>
    <mergeCell ref="A116:H116"/>
    <mergeCell ref="A135:B135"/>
    <mergeCell ref="A132:B132"/>
    <mergeCell ref="A105:B105"/>
    <mergeCell ref="A153:H153"/>
    <mergeCell ref="E94:F94"/>
    <mergeCell ref="B150:H150"/>
    <mergeCell ref="G107:H107"/>
    <mergeCell ref="G105:H105"/>
    <mergeCell ref="G106:H106"/>
    <mergeCell ref="G108:H108"/>
    <mergeCell ref="B148:H148"/>
    <mergeCell ref="B151:H151"/>
    <mergeCell ref="A98:B98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E70:F79"/>
    <mergeCell ref="G70:H79"/>
    <mergeCell ref="A76:B76"/>
    <mergeCell ref="A69:B69"/>
    <mergeCell ref="A72:B72"/>
    <mergeCell ref="C66:H66"/>
    <mergeCell ref="A74:B74"/>
    <mergeCell ref="A61:C61"/>
    <mergeCell ref="D61:H61"/>
    <mergeCell ref="C68:H68"/>
    <mergeCell ref="A71:B71"/>
    <mergeCell ref="B144:H144"/>
    <mergeCell ref="A99:H99"/>
    <mergeCell ref="B142:H142"/>
    <mergeCell ref="B143:H143"/>
    <mergeCell ref="A138:B138"/>
    <mergeCell ref="C51:E51"/>
    <mergeCell ref="A58:C58"/>
    <mergeCell ref="D58:H58"/>
    <mergeCell ref="C50:E50"/>
    <mergeCell ref="A110:B110"/>
    <mergeCell ref="G110:H110"/>
    <mergeCell ref="A111:B111"/>
    <mergeCell ref="G111:H111"/>
    <mergeCell ref="A70:B70"/>
    <mergeCell ref="G69:H69"/>
    <mergeCell ref="F80:H80"/>
    <mergeCell ref="F83:H83"/>
    <mergeCell ref="A108:B108"/>
    <mergeCell ref="A107:B107"/>
    <mergeCell ref="A85:E85"/>
    <mergeCell ref="F85:H85"/>
    <mergeCell ref="G132:H135"/>
    <mergeCell ref="G127:H130"/>
    <mergeCell ref="A136:H136"/>
    <mergeCell ref="I14:P14"/>
    <mergeCell ref="A133:B133"/>
    <mergeCell ref="A100:H100"/>
    <mergeCell ref="G89:H89"/>
    <mergeCell ref="A106:B106"/>
    <mergeCell ref="A53:B53"/>
    <mergeCell ref="C53:E53"/>
    <mergeCell ref="D55:H55"/>
    <mergeCell ref="E89:F89"/>
    <mergeCell ref="A89:B89"/>
    <mergeCell ref="A91:B91"/>
    <mergeCell ref="C94:D94"/>
    <mergeCell ref="D63:H63"/>
    <mergeCell ref="A64:C64"/>
    <mergeCell ref="A113:A114"/>
    <mergeCell ref="D64:H64"/>
    <mergeCell ref="C52:H52"/>
    <mergeCell ref="A109:B109"/>
    <mergeCell ref="G109:H109"/>
    <mergeCell ref="L109:M109"/>
    <mergeCell ref="L117:M117"/>
    <mergeCell ref="A128:B128"/>
    <mergeCell ref="A129:B129"/>
    <mergeCell ref="L118:M118"/>
    <mergeCell ref="I142:O142"/>
    <mergeCell ref="A137:B137"/>
    <mergeCell ref="G137:H140"/>
    <mergeCell ref="C137:F137"/>
    <mergeCell ref="A122:B122"/>
    <mergeCell ref="L122:M122"/>
    <mergeCell ref="A123:B123"/>
    <mergeCell ref="C123:F124"/>
    <mergeCell ref="L123:M123"/>
    <mergeCell ref="A124:B124"/>
    <mergeCell ref="L124:M124"/>
    <mergeCell ref="L126:M126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1:E102" xr:uid="{00000000-0002-0000-0000-000003000000}">
      <formula1>"Attached Loft area,Attached Terrace area,Attached Mezzanine area"</formula1>
    </dataValidation>
    <dataValidation type="list" allowBlank="1" showInputMessage="1" showErrorMessage="1" sqref="F102 F114" xr:uid="{00000000-0002-0000-0000-000004000000}">
      <formula1>"45%,50%,55%,60%"</formula1>
    </dataValidation>
    <dataValidation type="list" allowBlank="1" showInputMessage="1" showErrorMessage="1" sqref="G159:H159" xr:uid="{00000000-0002-0000-0000-000005000000}">
      <formula1>"Gaurav Panchal, Shruti Tathare,Kunal Kadam,Pranita Mhatre,Shruti Fule,Pooja Kawale,Mansee Mohite,Anjali Kamble, Hitakshi Mhatre, Sachin Sawant"</formula1>
    </dataValidation>
    <dataValidation type="list" allowBlank="1" showInputMessage="1" showErrorMessage="1" sqref="F80:H80" xr:uid="{00000000-0002-0000-0000-000006000000}">
      <formula1>"On Saleable Area,On Builtup Area,On Carpet Area,On Plot Area"</formula1>
    </dataValidation>
    <dataValidation type="list" allowBlank="1" showInputMessage="1" showErrorMessage="1" sqref="F86:H86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01 F113" xr:uid="{00000000-0002-0000-0000-000008000000}">
      <formula1>"Saleable area Loading :,Builder Saleable area"</formula1>
    </dataValidation>
    <dataValidation type="list" allowBlank="1" showInputMessage="1" showErrorMessage="1" sqref="B101:B102" xr:uid="{00000000-0002-0000-0000-000009000000}">
      <formula1>"Shop No. (Sale Plan),Sale / Rehab,Sale / Mhada"</formula1>
    </dataValidation>
    <dataValidation type="list" allowBlank="1" showInputMessage="1" showErrorMessage="1" sqref="B113:B114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5" max="16383" man="1"/>
    <brk id="99" max="16383" man="1"/>
    <brk id="151" max="16383" man="1"/>
    <brk id="163" max="16383" man="1"/>
    <brk id="205" max="16383" man="1"/>
    <brk id="24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9" t="s">
        <v>102</v>
      </c>
      <c r="C3" s="199"/>
      <c r="D3" s="199"/>
      <c r="E3" s="199"/>
      <c r="F3" s="199"/>
      <c r="G3" s="199"/>
      <c r="H3" s="199"/>
    </row>
    <row r="4" spans="1:9" x14ac:dyDescent="0.25">
      <c r="A4" s="2"/>
      <c r="B4" s="3" t="s">
        <v>103</v>
      </c>
      <c r="C4" s="3" t="s">
        <v>104</v>
      </c>
      <c r="D4" s="3" t="s">
        <v>69</v>
      </c>
      <c r="E4" s="3" t="s">
        <v>105</v>
      </c>
      <c r="F4" s="3" t="s">
        <v>111</v>
      </c>
      <c r="G4" s="3" t="s">
        <v>112</v>
      </c>
      <c r="H4" s="3" t="s">
        <v>106</v>
      </c>
    </row>
    <row r="5" spans="1:9" ht="15" customHeight="1" x14ac:dyDescent="0.25">
      <c r="A5" s="2"/>
      <c r="B5" s="5" t="s">
        <v>107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109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110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4"/>
      <c r="C4" s="54" t="s">
        <v>12</v>
      </c>
      <c r="D4" s="55" t="s">
        <v>173</v>
      </c>
      <c r="E4" s="55" t="s">
        <v>183</v>
      </c>
      <c r="F4" s="55" t="s">
        <v>167</v>
      </c>
      <c r="G4" s="55" t="s">
        <v>188</v>
      </c>
      <c r="H4" s="55" t="s">
        <v>206</v>
      </c>
      <c r="J4" t="s">
        <v>188</v>
      </c>
      <c r="K4" t="s">
        <v>204</v>
      </c>
    </row>
    <row r="5" spans="2:11" x14ac:dyDescent="0.25">
      <c r="B5" s="54"/>
      <c r="C5" s="54"/>
      <c r="D5" s="55" t="s">
        <v>174</v>
      </c>
      <c r="E5" s="55" t="s">
        <v>181</v>
      </c>
      <c r="F5" s="55" t="s">
        <v>203</v>
      </c>
      <c r="G5" s="55" t="s">
        <v>189</v>
      </c>
      <c r="H5" s="55" t="s">
        <v>207</v>
      </c>
    </row>
    <row r="6" spans="2:11" x14ac:dyDescent="0.25">
      <c r="B6" s="54"/>
      <c r="C6" s="54"/>
      <c r="D6" s="55" t="s">
        <v>175</v>
      </c>
      <c r="E6" s="55" t="s">
        <v>182</v>
      </c>
      <c r="F6" s="55" t="s">
        <v>204</v>
      </c>
      <c r="G6" s="55" t="s">
        <v>190</v>
      </c>
      <c r="H6" s="55" t="s">
        <v>220</v>
      </c>
    </row>
    <row r="7" spans="2:11" x14ac:dyDescent="0.25">
      <c r="B7" s="54"/>
      <c r="C7" s="54"/>
      <c r="D7" s="55" t="s">
        <v>176</v>
      </c>
      <c r="E7" s="55" t="s">
        <v>184</v>
      </c>
      <c r="F7" s="55" t="s">
        <v>205</v>
      </c>
      <c r="G7" s="55" t="s">
        <v>191</v>
      </c>
      <c r="H7" s="55" t="s">
        <v>208</v>
      </c>
    </row>
    <row r="8" spans="2:11" x14ac:dyDescent="0.25">
      <c r="B8" s="54"/>
      <c r="C8" s="54"/>
      <c r="D8" s="55" t="s">
        <v>177</v>
      </c>
      <c r="E8" s="55" t="s">
        <v>185</v>
      </c>
      <c r="F8" s="55"/>
      <c r="G8" s="55" t="s">
        <v>192</v>
      </c>
      <c r="H8" s="55" t="s">
        <v>209</v>
      </c>
    </row>
    <row r="9" spans="2:11" x14ac:dyDescent="0.25">
      <c r="B9" s="54"/>
      <c r="C9" s="54"/>
      <c r="D9" s="55" t="s">
        <v>178</v>
      </c>
      <c r="E9" s="55" t="s">
        <v>183</v>
      </c>
      <c r="F9" s="55"/>
      <c r="G9" s="55" t="s">
        <v>193</v>
      </c>
      <c r="H9" s="55" t="s">
        <v>210</v>
      </c>
    </row>
    <row r="10" spans="2:11" x14ac:dyDescent="0.25">
      <c r="B10" s="54"/>
      <c r="C10" s="54"/>
      <c r="D10" s="55" t="s">
        <v>179</v>
      </c>
      <c r="E10" s="55" t="s">
        <v>186</v>
      </c>
      <c r="F10" s="55"/>
      <c r="G10" s="55" t="s">
        <v>194</v>
      </c>
      <c r="H10" s="55" t="s">
        <v>211</v>
      </c>
    </row>
    <row r="11" spans="2:11" x14ac:dyDescent="0.25">
      <c r="B11" s="54"/>
      <c r="C11" s="54"/>
      <c r="D11" s="55" t="s">
        <v>180</v>
      </c>
      <c r="E11" s="55" t="s">
        <v>187</v>
      </c>
      <c r="F11" s="55"/>
      <c r="G11" s="55" t="s">
        <v>195</v>
      </c>
      <c r="H11" s="55" t="s">
        <v>212</v>
      </c>
    </row>
    <row r="12" spans="2:11" x14ac:dyDescent="0.25">
      <c r="B12" s="54"/>
      <c r="C12" s="54"/>
      <c r="D12" s="55"/>
      <c r="E12" s="55"/>
      <c r="F12" s="55"/>
      <c r="G12" s="55" t="s">
        <v>196</v>
      </c>
      <c r="H12" s="55" t="s">
        <v>213</v>
      </c>
    </row>
    <row r="13" spans="2:11" x14ac:dyDescent="0.25">
      <c r="B13" s="54"/>
      <c r="C13" s="54"/>
      <c r="D13" s="55"/>
      <c r="E13" s="55"/>
      <c r="F13" s="55"/>
      <c r="G13" s="55" t="s">
        <v>197</v>
      </c>
      <c r="H13" s="55" t="s">
        <v>214</v>
      </c>
    </row>
    <row r="14" spans="2:11" x14ac:dyDescent="0.25">
      <c r="B14" s="54"/>
      <c r="C14" s="54"/>
      <c r="D14" s="55"/>
      <c r="E14" s="55"/>
      <c r="F14" s="55"/>
      <c r="G14" s="55" t="s">
        <v>198</v>
      </c>
      <c r="H14" s="55" t="s">
        <v>215</v>
      </c>
    </row>
    <row r="15" spans="2:11" x14ac:dyDescent="0.25">
      <c r="B15" s="54"/>
      <c r="C15" s="54"/>
      <c r="D15" s="55"/>
      <c r="E15" s="55"/>
      <c r="F15" s="55"/>
      <c r="G15" s="55" t="s">
        <v>199</v>
      </c>
      <c r="H15" s="55" t="s">
        <v>216</v>
      </c>
    </row>
    <row r="16" spans="2:11" x14ac:dyDescent="0.25">
      <c r="B16" s="54"/>
      <c r="C16" s="54"/>
      <c r="D16" s="55"/>
      <c r="E16" s="55"/>
      <c r="F16" s="55"/>
      <c r="G16" s="55" t="s">
        <v>200</v>
      </c>
      <c r="H16" s="55" t="s">
        <v>217</v>
      </c>
    </row>
    <row r="17" spans="2:8" x14ac:dyDescent="0.25">
      <c r="B17" s="54"/>
      <c r="C17" s="54"/>
      <c r="D17" s="55"/>
      <c r="E17" s="55"/>
      <c r="F17" s="55"/>
      <c r="G17" s="55" t="s">
        <v>201</v>
      </c>
      <c r="H17" s="55" t="s">
        <v>218</v>
      </c>
    </row>
    <row r="18" spans="2:8" x14ac:dyDescent="0.25">
      <c r="B18" s="54"/>
      <c r="C18" s="54"/>
      <c r="D18" s="55"/>
      <c r="E18" s="55"/>
      <c r="F18" s="55"/>
      <c r="G18" s="55" t="s">
        <v>202</v>
      </c>
      <c r="H18" s="55" t="s">
        <v>219</v>
      </c>
    </row>
    <row r="24" spans="2:8" x14ac:dyDescent="0.25">
      <c r="C24" t="s">
        <v>165</v>
      </c>
    </row>
    <row r="25" spans="2:8" x14ac:dyDescent="0.25">
      <c r="C25" t="s">
        <v>221</v>
      </c>
    </row>
    <row r="26" spans="2:8" x14ac:dyDescent="0.25">
      <c r="C26" t="s">
        <v>222</v>
      </c>
    </row>
    <row r="27" spans="2:8" x14ac:dyDescent="0.25">
      <c r="C27" t="s">
        <v>223</v>
      </c>
    </row>
    <row r="28" spans="2:8" x14ac:dyDescent="0.25">
      <c r="C28" t="s">
        <v>224</v>
      </c>
    </row>
    <row r="29" spans="2:8" x14ac:dyDescent="0.25">
      <c r="C29" t="s">
        <v>225</v>
      </c>
    </row>
    <row r="30" spans="2:8" x14ac:dyDescent="0.25">
      <c r="C30" t="s">
        <v>165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2025-08-19T10:32:40Z</cp:lastPrinted>
  <dcterms:created xsi:type="dcterms:W3CDTF">2019-07-16T09:29:46Z</dcterms:created>
  <dcterms:modified xsi:type="dcterms:W3CDTF">2025-08-19T10:38:31Z</dcterms:modified>
</cp:coreProperties>
</file>