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E13965DA-7FC8-4801-A937-E9E6ED355B02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1" l="1"/>
  <c r="G98" i="1"/>
  <c r="C98" i="1"/>
  <c r="A138" i="1"/>
  <c r="A139" i="1" s="1"/>
  <c r="A140" i="1" s="1"/>
  <c r="A141" i="1" s="1"/>
  <c r="A142" i="1" s="1"/>
  <c r="A143" i="1" s="1"/>
  <c r="A144" i="1" s="1"/>
  <c r="I136" i="1" l="1"/>
  <c r="G146" i="1" l="1"/>
  <c r="G128" i="1"/>
  <c r="I135" i="1"/>
  <c r="D135" i="1"/>
  <c r="F135" i="1" s="1"/>
  <c r="D134" i="1"/>
  <c r="F134" i="1" s="1"/>
  <c r="D130" i="1"/>
  <c r="F130" i="1" s="1"/>
  <c r="I129" i="1"/>
  <c r="D129" i="1"/>
  <c r="F129" i="1" s="1"/>
  <c r="A129" i="1"/>
  <c r="A130" i="1" s="1"/>
  <c r="A131" i="1" s="1"/>
  <c r="A132" i="1" s="1"/>
  <c r="A133" i="1" s="1"/>
  <c r="A134" i="1" s="1"/>
  <c r="A135" i="1" s="1"/>
  <c r="D128" i="1"/>
  <c r="F128" i="1" s="1"/>
  <c r="I128" i="1" s="1"/>
  <c r="D112" i="1"/>
  <c r="D111" i="1"/>
  <c r="D110" i="1"/>
  <c r="D109" i="1"/>
  <c r="D108" i="1"/>
  <c r="D107" i="1"/>
  <c r="J107" i="1"/>
  <c r="D106" i="1"/>
  <c r="J106" i="1"/>
  <c r="J112" i="1"/>
  <c r="J111" i="1"/>
  <c r="J110" i="1"/>
  <c r="J109" i="1"/>
  <c r="J108" i="1"/>
  <c r="D105" i="1"/>
  <c r="D153" i="1" l="1"/>
  <c r="D152" i="1"/>
  <c r="D151" i="1"/>
  <c r="D149" i="1"/>
  <c r="D148" i="1"/>
  <c r="D147" i="1"/>
  <c r="D146" i="1"/>
  <c r="D142" i="1"/>
  <c r="D141" i="1"/>
  <c r="D140" i="1"/>
  <c r="D144" i="1"/>
  <c r="D143" i="1"/>
  <c r="D139" i="1"/>
  <c r="D138" i="1"/>
  <c r="D137" i="1"/>
  <c r="D126" i="1"/>
  <c r="D125" i="1"/>
  <c r="D121" i="1"/>
  <c r="D120" i="1"/>
  <c r="D119" i="1"/>
  <c r="G49" i="1"/>
  <c r="C97" i="1" l="1"/>
  <c r="E97" i="1"/>
  <c r="C94" i="1"/>
  <c r="E94" i="1"/>
  <c r="F153" i="1"/>
  <c r="F152" i="1"/>
  <c r="A153" i="1"/>
  <c r="F151" i="1"/>
  <c r="F149" i="1"/>
  <c r="F148" i="1"/>
  <c r="F147" i="1"/>
  <c r="I147" i="1" s="1"/>
  <c r="F146" i="1"/>
  <c r="F142" i="1"/>
  <c r="I144" i="1"/>
  <c r="F144" i="1"/>
  <c r="F143" i="1"/>
  <c r="F126" i="1"/>
  <c r="F125" i="1"/>
  <c r="I126" i="1"/>
  <c r="I120" i="1" l="1"/>
  <c r="E28" i="1"/>
  <c r="F112" i="1"/>
  <c r="F111" i="1"/>
  <c r="F109" i="1"/>
  <c r="F110" i="1"/>
  <c r="C13" i="1" l="1"/>
  <c r="F91" i="1" l="1"/>
  <c r="F106" i="1" l="1"/>
  <c r="F107" i="1"/>
  <c r="F108" i="1"/>
  <c r="F105" i="1"/>
  <c r="G94" i="1" l="1"/>
  <c r="B156" i="1"/>
  <c r="F141" i="1" l="1"/>
  <c r="F140" i="1"/>
  <c r="F139" i="1"/>
  <c r="F138" i="1"/>
  <c r="F137" i="1"/>
  <c r="F120" i="1"/>
  <c r="F119" i="1"/>
  <c r="F121" i="1"/>
  <c r="I119" i="1" l="1"/>
  <c r="G97" i="1"/>
  <c r="J137" i="1"/>
  <c r="I137" i="1"/>
  <c r="B15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8" i="1"/>
  <c r="G137" i="1"/>
  <c r="G119" i="1"/>
  <c r="A120" i="1"/>
  <c r="A121" i="1" s="1"/>
  <c r="A122" i="1" s="1"/>
  <c r="A123" i="1" s="1"/>
  <c r="A124" i="1" s="1"/>
  <c r="A125" i="1" s="1"/>
  <c r="A126" i="1" s="1"/>
  <c r="A106" i="1"/>
  <c r="A107" i="1" s="1"/>
  <c r="A108" i="1" s="1"/>
  <c r="A109" i="1" s="1"/>
  <c r="A110" i="1" s="1"/>
  <c r="A111" i="1" s="1"/>
  <c r="A112" i="1" s="1"/>
  <c r="G105" i="1"/>
  <c r="G106" i="1" s="1"/>
  <c r="G107" i="1" s="1"/>
  <c r="G108" i="1" s="1"/>
  <c r="G109" i="1" s="1"/>
  <c r="G110" i="1" s="1"/>
  <c r="G111" i="1" s="1"/>
  <c r="G112" i="1" s="1"/>
  <c r="J75" i="1"/>
  <c r="J74" i="1"/>
  <c r="J73" i="1"/>
  <c r="J72" i="1"/>
  <c r="C64" i="1"/>
  <c r="G48" i="1"/>
  <c r="C48" i="1"/>
  <c r="C49" i="1" s="1"/>
  <c r="E41" i="1"/>
  <c r="E42" i="1" s="1"/>
  <c r="E25" i="1"/>
  <c r="E23" i="1"/>
  <c r="E7" i="1"/>
  <c r="E3" i="1"/>
  <c r="H65" i="1"/>
  <c r="D58" i="1" l="1"/>
  <c r="D77" i="1"/>
  <c r="D75" i="1"/>
  <c r="D74" i="1"/>
  <c r="D73" i="1"/>
  <c r="D71" i="1"/>
  <c r="J64" i="1"/>
  <c r="D76" i="1"/>
  <c r="D72" i="1"/>
  <c r="J68" i="1"/>
  <c r="J69" i="1"/>
  <c r="C68" i="1" s="1"/>
  <c r="J67" i="1"/>
  <c r="J70" i="1"/>
  <c r="J71" i="1" l="1"/>
  <c r="J76" i="1" s="1"/>
  <c r="J77" i="1" s="1"/>
  <c r="C69" i="1" s="1"/>
  <c r="E68" i="1" s="1"/>
  <c r="D70" i="1"/>
  <c r="J66" i="1"/>
  <c r="D68" i="1"/>
  <c r="J65" i="1" l="1"/>
  <c r="G68" i="1"/>
  <c r="D62" i="1" s="1"/>
  <c r="D63" i="1" s="1"/>
  <c r="D69" i="1"/>
  <c r="I65" i="1" s="1"/>
  <c r="F63" i="1" l="1"/>
  <c r="I66" i="1"/>
  <c r="I64" i="1" s="1"/>
  <c r="C66" i="1" s="1"/>
</calcChain>
</file>

<file path=xl/sharedStrings.xml><?xml version="1.0" encoding="utf-8"?>
<sst xmlns="http://schemas.openxmlformats.org/spreadsheetml/2006/main" count="304" uniqueCount="227">
  <si>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</si>
  <si>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</si>
  <si>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</si>
  <si>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</si>
  <si>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</si>
  <si>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</si>
  <si>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</si>
  <si>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</si>
  <si>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</si>
  <si>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</si>
  <si>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</si>
  <si>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</si>
  <si>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</si>
  <si>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</si>
  <si>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</si>
  <si>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</si>
  <si>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</si>
  <si>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</si>
  <si>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</si>
  <si>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</si>
  <si>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</si>
  <si>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</si>
  <si>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</si>
  <si>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</si>
  <si>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</si>
  <si>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</si>
  <si>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</si>
  <si>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</si>
  <si>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</si>
  <si>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</si>
  <si>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</si>
  <si>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</si>
  <si>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</si>
  <si>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</si>
  <si>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</si>
  <si>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</si>
  <si>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</si>
  <si>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</si>
  <si>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</si>
  <si>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</si>
  <si>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</si>
  <si>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</si>
  <si>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</si>
  <si>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</si>
  <si>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</si>
  <si>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</si>
  <si>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</si>
  <si>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</si>
  <si>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</si>
  <si>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</si>
  <si>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</si>
  <si>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</si>
  <si>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</si>
  <si>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</si>
  <si>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</si>
  <si>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</si>
  <si>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</si>
  <si>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</si>
  <si>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</si>
  <si>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</si>
  <si>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</si>
  <si>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</si>
  <si>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</si>
  <si>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</si>
  <si>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</si>
  <si>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</si>
  <si>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</si>
  <si>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</si>
  <si>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</si>
  <si>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</si>
  <si>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</si>
  <si>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</si>
  <si>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</si>
  <si>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</si>
  <si>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</si>
  <si>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</si>
  <si>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</si>
  <si>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</si>
  <si>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</si>
  <si>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</si>
  <si>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</si>
  <si>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</si>
  <si>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</si>
  <si>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</si>
  <si>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</si>
  <si>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</si>
  <si>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</si>
  <si>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</si>
  <si>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</si>
  <si>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</si>
  <si>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</si>
  <si>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</si>
  <si>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</si>
  <si>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</si>
  <si>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</si>
  <si>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</si>
  <si>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</si>
  <si>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</si>
  <si>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</si>
  <si>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</si>
  <si>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</si>
  <si>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</si>
  <si>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</si>
  <si>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</si>
  <si>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</si>
  <si>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</si>
  <si>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</si>
  <si>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</si>
  <si>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</si>
  <si>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</si>
  <si>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</si>
  <si>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</si>
  <si>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</si>
  <si>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</si>
  <si>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</si>
  <si>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</si>
  <si>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</si>
  <si>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</si>
  <si>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</si>
  <si>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</si>
  <si>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</si>
  <si>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</si>
  <si>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</si>
  <si>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</si>
  <si>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</si>
  <si>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</si>
  <si>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</si>
  <si>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</si>
  <si>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</si>
  <si>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</si>
  <si>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</si>
  <si>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</si>
  <si>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</si>
  <si>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</si>
  <si>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</si>
  <si>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</si>
  <si>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</si>
  <si>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</si>
  <si>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</si>
  <si>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</si>
  <si>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</si>
  <si>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</si>
  <si>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</si>
  <si>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</si>
  <si>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</si>
  <si>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</si>
  <si>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</si>
  <si>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</si>
  <si>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</si>
  <si>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</si>
  <si>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</si>
  <si>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</si>
  <si>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</si>
  <si>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</si>
  <si>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</si>
  <si>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</si>
  <si>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</si>
  <si>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</si>
  <si>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</si>
  <si>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</si>
  <si>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</si>
  <si>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</si>
  <si>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</si>
  <si>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</si>
  <si>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</si>
  <si>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</si>
  <si>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</si>
  <si>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</si>
  <si>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</si>
  <si>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</si>
  <si>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</si>
  <si>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</si>
  <si>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</si>
  <si>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</si>
  <si>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Axis Sanpada</t>
  </si>
  <si>
    <t>P51700032331</t>
  </si>
  <si>
    <t>Thane</t>
  </si>
  <si>
    <t>Survey No</t>
  </si>
  <si>
    <t xml:space="preserve">92/1, 92/3, 92/4/4, 92/4/2, 92/4/3, 92/8/2, 92/10/2, 92/10/3, 92/11/1, 92/11/2 &amp; 92/13pt </t>
  </si>
  <si>
    <t>M/s. Vihang Enterprises</t>
  </si>
  <si>
    <t>11.5 KM from Thane Railway Station</t>
  </si>
  <si>
    <t>Ghodbunder Road</t>
  </si>
  <si>
    <t>Vihang Hills</t>
  </si>
  <si>
    <t>Open Plot</t>
  </si>
  <si>
    <t>Gowniwada</t>
  </si>
  <si>
    <t>Ms. Pratibha Shirke - 8291950827</t>
  </si>
  <si>
    <t>https://goo.gl/maps/pm1dSxcRKunP7w6w9</t>
  </si>
  <si>
    <t xml:space="preserve">Thane Municipal Corporation
</t>
  </si>
  <si>
    <t>As per RERA - 31/12/2026</t>
  </si>
  <si>
    <t>Shop</t>
  </si>
  <si>
    <t>Shop
(Duplex With 1st Floor)</t>
  </si>
  <si>
    <t>Ground Floor For Parking &amp; Commercial</t>
  </si>
  <si>
    <t>1BHK</t>
  </si>
  <si>
    <t>Puzzle Parking</t>
  </si>
  <si>
    <t>Refuge Area</t>
  </si>
  <si>
    <t>On Site, we meet Mr.Praful (Sales) - 9892007011.</t>
  </si>
  <si>
    <t>Ajay Songare</t>
  </si>
  <si>
    <t>Approved Plans, CC, Sale Plans</t>
  </si>
  <si>
    <t>Bhainderpada</t>
  </si>
  <si>
    <t xml:space="preserve">  </t>
  </si>
  <si>
    <t>We considered Gross carpet area = Net carpet + Enclose balcony + C.B Area .</t>
  </si>
  <si>
    <t xml:space="preserve">Office No. 1031, Wing J, Akshar Business Park, Plot No. 03 Sector 25, Near APMC Market, Vashi, Navi Mumbai, Maharashtra 400703 TEL: 022-46090378/79/8E mail : vsjcapf@gmail.com. Web site : www.vsjadon.com
</t>
  </si>
  <si>
    <t>9500 to 10000</t>
  </si>
  <si>
    <t xml:space="preserve">Sanket </t>
  </si>
  <si>
    <t xml:space="preserve">Verbal </t>
  </si>
  <si>
    <t>Don’t add oc till construction work increases</t>
  </si>
  <si>
    <t>Nova D1</t>
  </si>
  <si>
    <t>S06/0025/08TMC/TD­DP/TPS/4336/23</t>
  </si>
  <si>
    <t>Building D1 = Gr + 1st to 38th Floor</t>
  </si>
  <si>
    <t xml:space="preserve">Building D1 = Gr + 1st to 38th Floor
</t>
  </si>
  <si>
    <t>Building D1 = Gr + 1st to 45th Floor</t>
  </si>
  <si>
    <t>We have updated revised plans &amp; CC of Building D1 (on 17/11/2023).</t>
  </si>
  <si>
    <t>Store</t>
  </si>
  <si>
    <t>Building D1</t>
  </si>
  <si>
    <t>1st Floor For Parking &amp; Commercial (Duplex With Ground Floor)</t>
  </si>
  <si>
    <t>2nd floor for Amenities (Kids Outdoor Area)</t>
  </si>
  <si>
    <t>3rd Floor For Residential, Society Office &amp; Parking</t>
  </si>
  <si>
    <t>4th &amp; 5th Floor For Residential &amp; Parking</t>
  </si>
  <si>
    <t>6th, 7th, 9th to 12th, 14th to 17th, 19th to 22nd, 24th to 27th, 29th to 32nd &amp; 34th to 37th Floor For Residential</t>
  </si>
  <si>
    <t>8th, 13th, 18th, 23rd, 28th &amp; 33rd Floor (Part Refuge Area)</t>
  </si>
  <si>
    <t>Layout:</t>
  </si>
  <si>
    <t>Flats - 265, Shops - 8</t>
  </si>
  <si>
    <t>Vitrified tiles flooring, Kitchen Platform, Decorative Entrance etc</t>
  </si>
  <si>
    <t>Building Type D1</t>
  </si>
  <si>
    <t>Grand Total</t>
  </si>
  <si>
    <t>Construction work is in process at the time of Visit.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</si>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</sst>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24" fillId="0" borderId="1" xfId="0" applyFont="1" applyBorder="1"/>
    <xf numFmtId="0" fontId="24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27" fillId="0" borderId="1" xfId="1" applyNumberFormat="1" applyFont="1" applyBorder="1" applyAlignment="1">
      <alignment horizontal="center" vertical="center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7" fillId="0" borderId="17" xfId="0" applyNumberFormat="1" applyFont="1" applyBorder="1" applyAlignment="1" applyProtection="1">
      <alignment horizontal="center" vertical="top" wrapText="1"/>
      <protection locked="0"/>
    </xf>
    <xf numFmtId="1" fontId="7" fillId="0" borderId="18" xfId="0" applyNumberFormat="1" applyFont="1" applyBorder="1" applyAlignment="1" applyProtection="1">
      <alignment horizontal="center" vertical="top" wrapText="1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7" fillId="0" borderId="34" xfId="0" applyNumberFormat="1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268</xdr:row>
      <xdr:rowOff>54095</xdr:rowOff>
    </xdr:from>
    <xdr:to>
      <xdr:col>6</xdr:col>
      <xdr:colOff>547462</xdr:colOff>
      <xdr:row>286</xdr:row>
      <xdr:rowOff>53645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" y="48831620"/>
          <a:ext cx="473846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266700</xdr:colOff>
      <xdr:row>249</xdr:row>
      <xdr:rowOff>76200</xdr:rowOff>
    </xdr:from>
    <xdr:to>
      <xdr:col>6</xdr:col>
      <xdr:colOff>547462</xdr:colOff>
      <xdr:row>267</xdr:row>
      <xdr:rowOff>75750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" y="45053250"/>
          <a:ext cx="473846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723900</xdr:colOff>
      <xdr:row>217</xdr:row>
      <xdr:rowOff>28575</xdr:rowOff>
    </xdr:from>
    <xdr:to>
      <xdr:col>6</xdr:col>
      <xdr:colOff>760878</xdr:colOff>
      <xdr:row>238</xdr:row>
      <xdr:rowOff>148050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" y="47663100"/>
          <a:ext cx="4951878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430306</xdr:colOff>
      <xdr:row>226</xdr:row>
      <xdr:rowOff>155762</xdr:rowOff>
    </xdr:from>
    <xdr:to>
      <xdr:col>2</xdr:col>
      <xdr:colOff>302559</xdr:colOff>
      <xdr:row>230</xdr:row>
      <xdr:rowOff>117662</xdr:rowOff>
    </xdr:to>
    <xdr:sp macro="" textlink="">
      <xdr:nvSpPr>
        <xdr:cNvPr id="15" name="Freefor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92306" y="49590512"/>
          <a:ext cx="672353" cy="762000"/>
        </a:xfrm>
        <a:custGeom>
          <a:avLst/>
          <a:gdLst>
            <a:gd name="connsiteX0" fmla="*/ 78441 w 672353"/>
            <a:gd name="connsiteY0" fmla="*/ 0 h 762000"/>
            <a:gd name="connsiteX1" fmla="*/ 649941 w 672353"/>
            <a:gd name="connsiteY1" fmla="*/ 11206 h 762000"/>
            <a:gd name="connsiteX2" fmla="*/ 672353 w 672353"/>
            <a:gd name="connsiteY2" fmla="*/ 762000 h 762000"/>
            <a:gd name="connsiteX3" fmla="*/ 224118 w 672353"/>
            <a:gd name="connsiteY3" fmla="*/ 616323 h 762000"/>
            <a:gd name="connsiteX4" fmla="*/ 78441 w 672353"/>
            <a:gd name="connsiteY4" fmla="*/ 515470 h 762000"/>
            <a:gd name="connsiteX5" fmla="*/ 22412 w 672353"/>
            <a:gd name="connsiteY5" fmla="*/ 459441 h 762000"/>
            <a:gd name="connsiteX6" fmla="*/ 0 w 672353"/>
            <a:gd name="connsiteY6" fmla="*/ 392206 h 762000"/>
            <a:gd name="connsiteX7" fmla="*/ 0 w 672353"/>
            <a:gd name="connsiteY7" fmla="*/ 302559 h 762000"/>
            <a:gd name="connsiteX8" fmla="*/ 22412 w 672353"/>
            <a:gd name="connsiteY8" fmla="*/ 123264 h 762000"/>
            <a:gd name="connsiteX9" fmla="*/ 78441 w 672353"/>
            <a:gd name="connsiteY9" fmla="*/ 0 h 76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672353" h="762000">
              <a:moveTo>
                <a:pt x="78441" y="0"/>
              </a:moveTo>
              <a:lnTo>
                <a:pt x="649941" y="11206"/>
              </a:lnTo>
              <a:lnTo>
                <a:pt x="672353" y="762000"/>
              </a:lnTo>
              <a:lnTo>
                <a:pt x="224118" y="616323"/>
              </a:lnTo>
              <a:lnTo>
                <a:pt x="78441" y="515470"/>
              </a:lnTo>
              <a:lnTo>
                <a:pt x="22412" y="459441"/>
              </a:lnTo>
              <a:lnTo>
                <a:pt x="0" y="392206"/>
              </a:lnTo>
              <a:lnTo>
                <a:pt x="0" y="302559"/>
              </a:lnTo>
              <a:lnTo>
                <a:pt x="22412" y="123264"/>
              </a:lnTo>
              <a:lnTo>
                <a:pt x="78441" y="0"/>
              </a:lnTo>
              <a:close/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354106</xdr:colOff>
      <xdr:row>223</xdr:row>
      <xdr:rowOff>105895</xdr:rowOff>
    </xdr:from>
    <xdr:to>
      <xdr:col>3</xdr:col>
      <xdr:colOff>81243</xdr:colOff>
      <xdr:row>228</xdr:row>
      <xdr:rowOff>80682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6106" y="48940570"/>
          <a:ext cx="1374962" cy="974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Nova</a:t>
          </a:r>
          <a:r>
            <a:rPr lang="en-IN" sz="1800" b="1" baseline="0">
              <a:solidFill>
                <a:srgbClr val="C00000"/>
              </a:solidFill>
            </a:rPr>
            <a:t> </a:t>
          </a:r>
          <a:r>
            <a:rPr lang="en-IN" sz="1800" b="1">
              <a:solidFill>
                <a:srgbClr val="C00000"/>
              </a:solidFill>
            </a:rPr>
            <a:t>D1</a:t>
          </a:r>
        </a:p>
      </xdr:txBody>
    </xdr:sp>
    <xdr:clientData/>
  </xdr:twoCellAnchor>
  <xdr:twoCellAnchor>
    <xdr:from>
      <xdr:col>2</xdr:col>
      <xdr:colOff>56031</xdr:colOff>
      <xdr:row>224</xdr:row>
      <xdr:rowOff>152400</xdr:rowOff>
    </xdr:from>
    <xdr:to>
      <xdr:col>2</xdr:col>
      <xdr:colOff>179294</xdr:colOff>
      <xdr:row>228</xdr:row>
      <xdr:rowOff>47065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1618131" y="49187100"/>
          <a:ext cx="123263" cy="694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211455</xdr:colOff>
      <xdr:row>192</xdr:row>
      <xdr:rowOff>85725</xdr:rowOff>
    </xdr:from>
    <xdr:to>
      <xdr:col>17</xdr:col>
      <xdr:colOff>442928</xdr:colOff>
      <xdr:row>203</xdr:row>
      <xdr:rowOff>45450</xdr:rowOff>
    </xdr:to>
    <xdr:pic>
      <xdr:nvPicPr>
        <xdr:cNvPr id="12" name="Picture 11" descr="https://vsjcllp.vsjadon.com/upload/insp-217634-1525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46355" y="41462325"/>
          <a:ext cx="1656413" cy="21390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45720</xdr:colOff>
      <xdr:row>176</xdr:row>
      <xdr:rowOff>174306</xdr:rowOff>
    </xdr:from>
    <xdr:to>
      <xdr:col>14</xdr:col>
      <xdr:colOff>196932</xdr:colOff>
      <xdr:row>192</xdr:row>
      <xdr:rowOff>4761</xdr:rowOff>
    </xdr:to>
    <xdr:pic>
      <xdr:nvPicPr>
        <xdr:cNvPr id="13" name="Picture 12" descr="https://vsjcllp.vsjadon.com/upload/insp-217634-843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0040" y="38388606"/>
          <a:ext cx="4113612" cy="299275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289560</xdr:colOff>
      <xdr:row>176</xdr:row>
      <xdr:rowOff>169544</xdr:rowOff>
    </xdr:from>
    <xdr:to>
      <xdr:col>17</xdr:col>
      <xdr:colOff>486751</xdr:colOff>
      <xdr:row>191</xdr:row>
      <xdr:rowOff>198119</xdr:rowOff>
    </xdr:to>
    <xdr:pic>
      <xdr:nvPicPr>
        <xdr:cNvPr id="22" name="Picture 21" descr="https://vsjcllp.vsjadon.com/upload/insp-217634-85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46280" y="38383844"/>
          <a:ext cx="2300311" cy="299275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807720</xdr:colOff>
      <xdr:row>192</xdr:row>
      <xdr:rowOff>85725</xdr:rowOff>
    </xdr:from>
    <xdr:to>
      <xdr:col>15</xdr:col>
      <xdr:colOff>115268</xdr:colOff>
      <xdr:row>203</xdr:row>
      <xdr:rowOff>45450</xdr:rowOff>
    </xdr:to>
    <xdr:pic>
      <xdr:nvPicPr>
        <xdr:cNvPr id="23" name="Picture 22" descr="https://vsjcllp.vsjadon.com/upload/insp-217634-151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88040" y="41462325"/>
          <a:ext cx="1662128" cy="21390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64770</xdr:colOff>
      <xdr:row>192</xdr:row>
      <xdr:rowOff>100012</xdr:rowOff>
    </xdr:from>
    <xdr:to>
      <xdr:col>12</xdr:col>
      <xdr:colOff>722778</xdr:colOff>
      <xdr:row>203</xdr:row>
      <xdr:rowOff>59737</xdr:rowOff>
    </xdr:to>
    <xdr:pic>
      <xdr:nvPicPr>
        <xdr:cNvPr id="24" name="Picture 23" descr="https://vsjcllp.vsjadon.com/upload/insp-217634-849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9090" y="41476612"/>
          <a:ext cx="2944008" cy="21390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211455</xdr:colOff>
      <xdr:row>178</xdr:row>
      <xdr:rowOff>120015</xdr:rowOff>
    </xdr:from>
    <xdr:to>
      <xdr:col>17</xdr:col>
      <xdr:colOff>390730</xdr:colOff>
      <xdr:row>206</xdr:row>
      <xdr:rowOff>164287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A7A8F6C-4E40-9B52-9E60-378600049641}"/>
            </a:ext>
          </a:extLst>
        </xdr:cNvPr>
        <xdr:cNvGrpSpPr/>
      </xdr:nvGrpSpPr>
      <xdr:grpSpPr>
        <a:xfrm>
          <a:off x="7898130" y="39267765"/>
          <a:ext cx="6075250" cy="5635447"/>
          <a:chOff x="317080" y="123325"/>
          <a:chExt cx="6223840" cy="5584012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358EF09-82C3-EEFD-7005-DE93AB5759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45892" y="318733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9CBC86D-B875-91B5-79DB-420E4921BC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04475" y="123325"/>
            <a:ext cx="383644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86C91D3-6F03-8E65-DC8F-50FC9EDB08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59358" y="3187337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6D0BFF0-C08E-BBFC-0812-611BE1C775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080" y="123325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457200</xdr:colOff>
      <xdr:row>179</xdr:row>
      <xdr:rowOff>0</xdr:rowOff>
    </xdr:from>
    <xdr:to>
      <xdr:col>7</xdr:col>
      <xdr:colOff>364622</xdr:colOff>
      <xdr:row>209</xdr:row>
      <xdr:rowOff>157512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475F150A-E8E9-43BF-83E9-9712E89DE2E2}"/>
            </a:ext>
          </a:extLst>
        </xdr:cNvPr>
        <xdr:cNvGrpSpPr/>
      </xdr:nvGrpSpPr>
      <xdr:grpSpPr>
        <a:xfrm>
          <a:off x="457200" y="39347775"/>
          <a:ext cx="5603372" cy="6148737"/>
          <a:chOff x="523128" y="215153"/>
          <a:chExt cx="5603372" cy="6148737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576BFC0-5C59-49CF-A231-92FA8B363E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3128" y="215153"/>
            <a:ext cx="269750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A657FCBD-F2A2-4F7C-AD84-2CEDD19B47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215153"/>
            <a:ext cx="269750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B2903D76-6E96-436E-993B-A5EEDF280B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821" y="4023890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7D5050C6-69E3-4CA5-A775-A0E51F7952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11932" y="4023890"/>
            <a:ext cx="1753375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m1dSxcRKunP7w6w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49"/>
  <sheetViews>
    <sheetView tabSelected="1" view="pageBreakPreview" topLeftCell="A52" zoomScaleNormal="100" zoomScaleSheetLayoutView="100" workbookViewId="0">
      <selection activeCell="J7" sqref="J7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1.285156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52" t="s">
        <v>201</v>
      </c>
      <c r="B1" s="152"/>
      <c r="C1" s="152"/>
      <c r="D1" s="152"/>
      <c r="E1" s="152"/>
      <c r="F1" s="152"/>
      <c r="G1" s="152"/>
      <c r="H1" s="152"/>
    </row>
    <row r="2" spans="1:8" ht="16.5" customHeight="1" x14ac:dyDescent="0.25">
      <c r="A2" s="136" t="s">
        <v>0</v>
      </c>
      <c r="B2" s="136"/>
      <c r="C2" s="136"/>
      <c r="D2" s="136"/>
      <c r="E2" s="136"/>
      <c r="F2" s="136"/>
      <c r="G2" s="136"/>
      <c r="H2" s="136"/>
    </row>
    <row r="3" spans="1:8" x14ac:dyDescent="0.25">
      <c r="A3" s="83" t="s">
        <v>1</v>
      </c>
      <c r="B3" s="83"/>
      <c r="C3" s="83"/>
      <c r="D3" s="83"/>
      <c r="E3" s="83" t="str">
        <f ca="1">TEXT(TODAY(),"DD/MM/YYYY")</f>
        <v>19/08/2025</v>
      </c>
      <c r="F3" s="83"/>
      <c r="G3" s="83"/>
      <c r="H3" s="83"/>
    </row>
    <row r="4" spans="1:8" ht="15" customHeight="1" x14ac:dyDescent="0.25">
      <c r="A4" s="83" t="s">
        <v>2</v>
      </c>
      <c r="B4" s="83"/>
      <c r="C4" s="83"/>
      <c r="D4" s="83"/>
      <c r="E4" s="83" t="s">
        <v>174</v>
      </c>
      <c r="F4" s="83"/>
      <c r="G4" s="83"/>
      <c r="H4" s="83"/>
    </row>
    <row r="5" spans="1:8" x14ac:dyDescent="0.25">
      <c r="A5" s="83" t="s">
        <v>3</v>
      </c>
      <c r="B5" s="83"/>
      <c r="C5" s="83"/>
      <c r="D5" s="83"/>
      <c r="E5" s="154">
        <v>45880</v>
      </c>
      <c r="F5" s="83"/>
      <c r="G5" s="83"/>
      <c r="H5" s="83"/>
    </row>
    <row r="6" spans="1:8" ht="16.5" customHeight="1" x14ac:dyDescent="0.25">
      <c r="A6" s="83" t="s">
        <v>4</v>
      </c>
      <c r="B6" s="83"/>
      <c r="C6" s="83"/>
      <c r="D6" s="83"/>
      <c r="E6" s="83" t="s">
        <v>179</v>
      </c>
      <c r="F6" s="83"/>
      <c r="G6" s="83"/>
      <c r="H6" s="83"/>
    </row>
    <row r="7" spans="1:8" ht="15" customHeight="1" x14ac:dyDescent="0.25">
      <c r="A7" s="83" t="s">
        <v>5</v>
      </c>
      <c r="B7" s="83"/>
      <c r="C7" s="83"/>
      <c r="D7" s="83"/>
      <c r="E7" s="83" t="str">
        <f>E6</f>
        <v>M/s. Vihang Enterprises</v>
      </c>
      <c r="F7" s="83"/>
      <c r="G7" s="83"/>
      <c r="H7" s="83"/>
    </row>
    <row r="8" spans="1:8" x14ac:dyDescent="0.25">
      <c r="A8" s="83" t="s">
        <v>6</v>
      </c>
      <c r="B8" s="83"/>
      <c r="C8" s="83"/>
      <c r="D8" s="83"/>
      <c r="E8" s="153" t="s">
        <v>206</v>
      </c>
      <c r="F8" s="153"/>
      <c r="G8" s="153"/>
      <c r="H8" s="153"/>
    </row>
    <row r="9" spans="1:8" x14ac:dyDescent="0.25">
      <c r="A9" s="83" t="s">
        <v>129</v>
      </c>
      <c r="B9" s="83"/>
      <c r="C9" s="83"/>
      <c r="D9" s="83"/>
      <c r="E9" s="83" t="s">
        <v>185</v>
      </c>
      <c r="F9" s="83"/>
      <c r="G9" s="83"/>
      <c r="H9" s="83"/>
    </row>
    <row r="10" spans="1:8" x14ac:dyDescent="0.25">
      <c r="A10" s="83" t="s">
        <v>7</v>
      </c>
      <c r="B10" s="83"/>
      <c r="C10" s="83"/>
      <c r="D10" s="83"/>
      <c r="E10" s="83" t="s">
        <v>223</v>
      </c>
      <c r="F10" s="83"/>
      <c r="G10" s="83"/>
      <c r="H10" s="83"/>
    </row>
    <row r="11" spans="1:8" x14ac:dyDescent="0.25">
      <c r="A11" s="87" t="s">
        <v>8</v>
      </c>
      <c r="B11" s="87"/>
      <c r="C11" s="87"/>
      <c r="D11" s="87"/>
      <c r="E11" s="88" t="s">
        <v>197</v>
      </c>
      <c r="F11" s="88"/>
      <c r="G11" s="88"/>
      <c r="H11" s="88"/>
    </row>
    <row r="12" spans="1:8" x14ac:dyDescent="0.25">
      <c r="A12" s="87" t="s">
        <v>9</v>
      </c>
      <c r="B12" s="87"/>
      <c r="C12" s="87"/>
      <c r="D12" s="87"/>
      <c r="E12" s="88" t="s">
        <v>175</v>
      </c>
      <c r="F12" s="83"/>
      <c r="G12" s="83"/>
      <c r="H12" s="83"/>
    </row>
    <row r="13" spans="1:8" ht="48.75" customHeight="1" x14ac:dyDescent="0.25">
      <c r="A13" s="89" t="s">
        <v>10</v>
      </c>
      <c r="B13" s="89"/>
      <c r="C13" s="89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Nova D1, Survey No.92/1, 92/3, 92/4/4, 92/4/2, 92/4/3, 92/8/2, 92/10/2, 92/10/3, 92/11/1, 92/11/2 &amp; 92/13pt , near Vihang Hills, Ghodbunder Road, Gowniwada, Bhainderpada, Thane, Thane, Thane - 400615.</v>
      </c>
      <c r="D13" s="89"/>
      <c r="E13" s="89"/>
      <c r="F13" s="89"/>
      <c r="G13" s="89"/>
      <c r="H13" s="89"/>
    </row>
    <row r="14" spans="1:8" ht="31.5" customHeight="1" x14ac:dyDescent="0.25">
      <c r="A14" s="88" t="s">
        <v>177</v>
      </c>
      <c r="B14" s="88"/>
      <c r="C14" s="88" t="s">
        <v>178</v>
      </c>
      <c r="D14" s="88"/>
      <c r="E14" s="88"/>
      <c r="F14" s="88"/>
      <c r="G14" s="88"/>
      <c r="H14" s="88"/>
    </row>
    <row r="15" spans="1:8" ht="15.75" customHeight="1" x14ac:dyDescent="0.25">
      <c r="A15" s="88" t="s">
        <v>173</v>
      </c>
      <c r="B15" s="88"/>
      <c r="C15" s="88" t="s">
        <v>184</v>
      </c>
      <c r="D15" s="88"/>
      <c r="E15" s="88"/>
      <c r="F15" s="88"/>
      <c r="G15" s="88"/>
      <c r="H15" s="88"/>
    </row>
    <row r="16" spans="1:8" ht="15.75" customHeight="1" x14ac:dyDescent="0.25">
      <c r="A16" s="89" t="s">
        <v>11</v>
      </c>
      <c r="B16" s="89"/>
      <c r="C16" s="83" t="s">
        <v>181</v>
      </c>
      <c r="D16" s="83"/>
      <c r="E16" s="89" t="s">
        <v>77</v>
      </c>
      <c r="F16" s="89"/>
      <c r="G16" s="88" t="s">
        <v>198</v>
      </c>
      <c r="H16" s="88"/>
    </row>
    <row r="17" spans="1:8" x14ac:dyDescent="0.25">
      <c r="A17" s="87" t="s">
        <v>13</v>
      </c>
      <c r="B17" s="87"/>
      <c r="C17" s="88" t="s">
        <v>176</v>
      </c>
      <c r="D17" s="88"/>
      <c r="E17" s="89" t="s">
        <v>12</v>
      </c>
      <c r="F17" s="89"/>
      <c r="G17" s="155" t="s">
        <v>176</v>
      </c>
      <c r="H17" s="155"/>
    </row>
    <row r="18" spans="1:8" x14ac:dyDescent="0.25">
      <c r="A18" s="87" t="s">
        <v>78</v>
      </c>
      <c r="B18" s="87"/>
      <c r="C18" s="88" t="s">
        <v>176</v>
      </c>
      <c r="D18" s="88"/>
      <c r="E18" s="89" t="s">
        <v>14</v>
      </c>
      <c r="F18" s="89"/>
      <c r="G18" s="88">
        <v>400615</v>
      </c>
      <c r="H18" s="88"/>
    </row>
    <row r="19" spans="1:8" ht="32.25" customHeight="1" x14ac:dyDescent="0.25">
      <c r="A19" s="87" t="s">
        <v>131</v>
      </c>
      <c r="B19" s="87"/>
      <c r="C19" s="88" t="s">
        <v>182</v>
      </c>
      <c r="D19" s="88"/>
      <c r="E19" s="89" t="s">
        <v>15</v>
      </c>
      <c r="F19" s="89"/>
      <c r="G19" s="88" t="s">
        <v>180</v>
      </c>
      <c r="H19" s="88"/>
    </row>
    <row r="20" spans="1:8" ht="15" customHeight="1" x14ac:dyDescent="0.25">
      <c r="A20" s="89" t="s">
        <v>81</v>
      </c>
      <c r="B20" s="89"/>
      <c r="C20" s="89"/>
      <c r="D20" s="89"/>
      <c r="E20" s="83" t="s">
        <v>16</v>
      </c>
      <c r="F20" s="83"/>
      <c r="G20" s="83"/>
      <c r="H20" s="83"/>
    </row>
    <row r="21" spans="1:8" ht="18.75" customHeight="1" x14ac:dyDescent="0.25">
      <c r="A21" s="89"/>
      <c r="B21" s="89"/>
      <c r="C21" s="89"/>
      <c r="D21" s="89"/>
      <c r="E21" s="83"/>
      <c r="F21" s="83"/>
      <c r="G21" s="83"/>
      <c r="H21" s="83"/>
    </row>
    <row r="22" spans="1:8" ht="15" customHeight="1" x14ac:dyDescent="0.25">
      <c r="A22" s="89" t="s">
        <v>17</v>
      </c>
      <c r="B22" s="89"/>
      <c r="C22" s="89"/>
      <c r="D22" s="89"/>
      <c r="E22" s="88" t="s">
        <v>18</v>
      </c>
      <c r="F22" s="88"/>
      <c r="G22" s="88"/>
      <c r="H22" s="88"/>
    </row>
    <row r="23" spans="1:8" ht="15" customHeight="1" x14ac:dyDescent="0.25">
      <c r="A23" s="87" t="s">
        <v>19</v>
      </c>
      <c r="B23" s="87"/>
      <c r="C23" s="87"/>
      <c r="D23" s="87"/>
      <c r="E23" s="88" t="str">
        <f>IF(AND(G17="Mumbai"),"Upper Class","Middle Class")</f>
        <v>Middle Class</v>
      </c>
      <c r="F23" s="88"/>
      <c r="G23" s="88"/>
      <c r="H23" s="88"/>
    </row>
    <row r="24" spans="1:8" x14ac:dyDescent="0.25">
      <c r="A24" s="87" t="s">
        <v>20</v>
      </c>
      <c r="B24" s="87"/>
      <c r="C24" s="87"/>
      <c r="D24" s="87"/>
      <c r="E24" s="88" t="s">
        <v>21</v>
      </c>
      <c r="F24" s="88"/>
      <c r="G24" s="88"/>
      <c r="H24" s="88"/>
    </row>
    <row r="25" spans="1:8" ht="15.75" customHeight="1" x14ac:dyDescent="0.25">
      <c r="A25" s="87" t="s">
        <v>22</v>
      </c>
      <c r="B25" s="87"/>
      <c r="C25" s="87"/>
      <c r="D25" s="87"/>
      <c r="E25" s="88" t="str">
        <f>IF(AND(G17="Mumbai"),"Developed","Developing")</f>
        <v>Developing</v>
      </c>
      <c r="F25" s="88"/>
      <c r="G25" s="88"/>
      <c r="H25" s="88"/>
    </row>
    <row r="26" spans="1:8" x14ac:dyDescent="0.25">
      <c r="A26" s="87" t="s">
        <v>23</v>
      </c>
      <c r="B26" s="87"/>
      <c r="C26" s="87"/>
      <c r="D26" s="87"/>
      <c r="E26" s="88" t="s">
        <v>24</v>
      </c>
      <c r="F26" s="88"/>
      <c r="G26" s="88"/>
      <c r="H26" s="88"/>
    </row>
    <row r="27" spans="1:8" ht="15.75" customHeight="1" x14ac:dyDescent="0.25">
      <c r="A27" s="87" t="s">
        <v>86</v>
      </c>
      <c r="B27" s="87"/>
      <c r="C27" s="87"/>
      <c r="D27" s="87"/>
      <c r="E27" s="88" t="s">
        <v>87</v>
      </c>
      <c r="F27" s="88"/>
      <c r="G27" s="88"/>
      <c r="H27" s="88"/>
    </row>
    <row r="28" spans="1:8" ht="15" customHeight="1" x14ac:dyDescent="0.25">
      <c r="A28" s="87" t="s">
        <v>35</v>
      </c>
      <c r="B28" s="87"/>
      <c r="C28" s="87"/>
      <c r="D28" s="87"/>
      <c r="E28" s="88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 + Commercial</v>
      </c>
      <c r="F28" s="88"/>
      <c r="G28" s="88"/>
      <c r="H28" s="88"/>
    </row>
    <row r="29" spans="1:8" ht="15.75" customHeight="1" x14ac:dyDescent="0.25">
      <c r="A29" s="87" t="s">
        <v>98</v>
      </c>
      <c r="B29" s="87"/>
      <c r="C29" s="87"/>
      <c r="D29" s="87"/>
      <c r="E29" s="88" t="s">
        <v>36</v>
      </c>
      <c r="F29" s="88"/>
      <c r="G29" s="88"/>
      <c r="H29" s="88"/>
    </row>
    <row r="30" spans="1:8" s="22" customFormat="1" x14ac:dyDescent="0.25">
      <c r="A30" s="159" t="s">
        <v>99</v>
      </c>
      <c r="B30" s="159"/>
      <c r="C30" s="158" t="s">
        <v>29</v>
      </c>
      <c r="D30" s="158"/>
      <c r="E30" s="158"/>
      <c r="F30" s="158" t="s">
        <v>31</v>
      </c>
      <c r="G30" s="158"/>
      <c r="H30" s="158"/>
    </row>
    <row r="31" spans="1:8" s="22" customFormat="1" x14ac:dyDescent="0.25">
      <c r="A31" s="156" t="s">
        <v>25</v>
      </c>
      <c r="B31" s="156" t="s">
        <v>30</v>
      </c>
      <c r="C31" s="157" t="s">
        <v>30</v>
      </c>
      <c r="D31" s="157"/>
      <c r="E31" s="157"/>
      <c r="F31" s="157" t="s">
        <v>182</v>
      </c>
      <c r="G31" s="157"/>
      <c r="H31" s="157"/>
    </row>
    <row r="32" spans="1:8" x14ac:dyDescent="0.25">
      <c r="A32" s="156" t="s">
        <v>26</v>
      </c>
      <c r="B32" s="156" t="s">
        <v>30</v>
      </c>
      <c r="C32" s="157" t="s">
        <v>30</v>
      </c>
      <c r="D32" s="157"/>
      <c r="E32" s="157"/>
      <c r="F32" s="157" t="s">
        <v>11</v>
      </c>
      <c r="G32" s="157"/>
      <c r="H32" s="157"/>
    </row>
    <row r="33" spans="1:8" s="22" customFormat="1" x14ac:dyDescent="0.25">
      <c r="A33" s="156" t="s">
        <v>28</v>
      </c>
      <c r="B33" s="156" t="s">
        <v>30</v>
      </c>
      <c r="C33" s="157" t="s">
        <v>30</v>
      </c>
      <c r="D33" s="157"/>
      <c r="E33" s="157"/>
      <c r="F33" s="157" t="s">
        <v>183</v>
      </c>
      <c r="G33" s="157"/>
      <c r="H33" s="157"/>
    </row>
    <row r="34" spans="1:8" x14ac:dyDescent="0.25">
      <c r="A34" s="156" t="s">
        <v>27</v>
      </c>
      <c r="B34" s="156" t="s">
        <v>30</v>
      </c>
      <c r="C34" s="157" t="s">
        <v>30</v>
      </c>
      <c r="D34" s="157"/>
      <c r="E34" s="157"/>
      <c r="F34" s="157" t="s">
        <v>11</v>
      </c>
      <c r="G34" s="157"/>
      <c r="H34" s="157"/>
    </row>
    <row r="35" spans="1:8" x14ac:dyDescent="0.25">
      <c r="A35" s="87" t="s">
        <v>32</v>
      </c>
      <c r="B35" s="87"/>
      <c r="C35" s="87"/>
      <c r="D35" s="87"/>
      <c r="E35" s="87"/>
      <c r="F35" s="87"/>
      <c r="G35" s="87"/>
      <c r="H35" s="87"/>
    </row>
    <row r="36" spans="1:8" ht="15.75" customHeight="1" x14ac:dyDescent="0.25">
      <c r="A36" s="136" t="s">
        <v>33</v>
      </c>
      <c r="B36" s="136"/>
      <c r="C36" s="162">
        <v>19.279019000000002</v>
      </c>
      <c r="D36" s="162"/>
      <c r="E36" s="136" t="s">
        <v>34</v>
      </c>
      <c r="F36" s="136"/>
      <c r="G36" s="163">
        <v>72.953097999999997</v>
      </c>
      <c r="H36" s="163"/>
    </row>
    <row r="37" spans="1:8" x14ac:dyDescent="0.25">
      <c r="A37" s="136" t="s">
        <v>172</v>
      </c>
      <c r="B37" s="136"/>
      <c r="C37" s="166" t="s">
        <v>186</v>
      </c>
      <c r="D37" s="88"/>
      <c r="E37" s="88"/>
      <c r="F37" s="88"/>
      <c r="G37" s="88"/>
      <c r="H37" s="88"/>
    </row>
    <row r="38" spans="1:8" x14ac:dyDescent="0.25">
      <c r="A38" s="147" t="s">
        <v>37</v>
      </c>
      <c r="B38" s="147"/>
      <c r="C38" s="147"/>
      <c r="D38" s="147"/>
      <c r="E38" s="147"/>
      <c r="F38" s="147"/>
      <c r="G38" s="147"/>
      <c r="H38" s="147"/>
    </row>
    <row r="39" spans="1:8" x14ac:dyDescent="0.25">
      <c r="A39" s="87" t="s">
        <v>38</v>
      </c>
      <c r="B39" s="87"/>
      <c r="C39" s="87"/>
      <c r="D39" s="87"/>
      <c r="E39" s="170">
        <v>11842.2</v>
      </c>
      <c r="F39" s="170"/>
      <c r="G39" s="170"/>
      <c r="H39" s="170"/>
    </row>
    <row r="40" spans="1:8" x14ac:dyDescent="0.25">
      <c r="A40" s="87" t="s">
        <v>39</v>
      </c>
      <c r="B40" s="87"/>
      <c r="C40" s="87"/>
      <c r="D40" s="87"/>
      <c r="E40" s="92">
        <v>1.1000000000000001</v>
      </c>
      <c r="F40" s="92"/>
      <c r="G40" s="92"/>
      <c r="H40" s="92"/>
    </row>
    <row r="41" spans="1:8" x14ac:dyDescent="0.25">
      <c r="A41" s="87" t="s">
        <v>40</v>
      </c>
      <c r="B41" s="87"/>
      <c r="C41" s="87"/>
      <c r="D41" s="87"/>
      <c r="E41" s="92">
        <f>E43/E39-E40</f>
        <v>2.0002820421881071</v>
      </c>
      <c r="F41" s="92"/>
      <c r="G41" s="92"/>
      <c r="H41" s="92"/>
    </row>
    <row r="42" spans="1:8" x14ac:dyDescent="0.25">
      <c r="A42" s="87" t="s">
        <v>41</v>
      </c>
      <c r="B42" s="87"/>
      <c r="C42" s="87"/>
      <c r="D42" s="87"/>
      <c r="E42" s="92">
        <f>E40+E41</f>
        <v>3.1002820421881072</v>
      </c>
      <c r="F42" s="92"/>
      <c r="G42" s="92"/>
      <c r="H42" s="92"/>
    </row>
    <row r="43" spans="1:8" x14ac:dyDescent="0.25">
      <c r="A43" s="87" t="s">
        <v>97</v>
      </c>
      <c r="B43" s="87"/>
      <c r="C43" s="87"/>
      <c r="D43" s="87"/>
      <c r="E43" s="161">
        <v>36714.160000000003</v>
      </c>
      <c r="F43" s="161"/>
      <c r="G43" s="161"/>
      <c r="H43" s="161"/>
    </row>
    <row r="44" spans="1:8" x14ac:dyDescent="0.25">
      <c r="A44" s="83" t="s">
        <v>42</v>
      </c>
      <c r="B44" s="83"/>
      <c r="C44" s="83"/>
      <c r="D44" s="83"/>
      <c r="E44" s="83" t="s">
        <v>130</v>
      </c>
      <c r="F44" s="83"/>
      <c r="G44" s="83"/>
      <c r="H44" s="83"/>
    </row>
    <row r="45" spans="1:8" x14ac:dyDescent="0.25">
      <c r="A45" s="147" t="s">
        <v>43</v>
      </c>
      <c r="B45" s="147"/>
      <c r="C45" s="147"/>
      <c r="D45" s="147"/>
      <c r="E45" s="147"/>
      <c r="F45" s="147"/>
      <c r="G45" s="147"/>
      <c r="H45" s="147"/>
    </row>
    <row r="46" spans="1:8" ht="33.75" customHeight="1" x14ac:dyDescent="0.25">
      <c r="A46" s="106" t="s">
        <v>159</v>
      </c>
      <c r="B46" s="107"/>
      <c r="C46" s="167" t="s">
        <v>187</v>
      </c>
      <c r="D46" s="168"/>
      <c r="E46" s="168"/>
      <c r="F46" s="168"/>
      <c r="G46" s="168"/>
      <c r="H46" s="169"/>
    </row>
    <row r="47" spans="1:8" ht="15.75" customHeight="1" x14ac:dyDescent="0.25">
      <c r="A47" s="106" t="s">
        <v>44</v>
      </c>
      <c r="B47" s="107"/>
      <c r="C47" s="106" t="s">
        <v>207</v>
      </c>
      <c r="D47" s="108"/>
      <c r="E47" s="107"/>
      <c r="F47" s="18" t="s">
        <v>45</v>
      </c>
      <c r="G47" s="109">
        <v>45006</v>
      </c>
      <c r="H47" s="107"/>
    </row>
    <row r="48" spans="1:8" x14ac:dyDescent="0.25">
      <c r="A48" s="106" t="s">
        <v>46</v>
      </c>
      <c r="B48" s="107"/>
      <c r="C48" s="106" t="str">
        <f>C47</f>
        <v>S06/0025/08TMC/TD­DP/TPS/4336/23</v>
      </c>
      <c r="D48" s="108"/>
      <c r="E48" s="107"/>
      <c r="F48" s="18" t="s">
        <v>45</v>
      </c>
      <c r="G48" s="109">
        <f>G47</f>
        <v>45006</v>
      </c>
      <c r="H48" s="110"/>
    </row>
    <row r="49" spans="1:14" s="23" customFormat="1" ht="15.75" customHeight="1" x14ac:dyDescent="0.25">
      <c r="A49" s="171" t="s">
        <v>163</v>
      </c>
      <c r="B49" s="172"/>
      <c r="C49" s="106" t="str">
        <f>C48</f>
        <v>S06/0025/08TMC/TD­DP/TPS/4336/23</v>
      </c>
      <c r="D49" s="108"/>
      <c r="E49" s="107"/>
      <c r="F49" s="18" t="s">
        <v>45</v>
      </c>
      <c r="G49" s="109">
        <f>G47</f>
        <v>45006</v>
      </c>
      <c r="H49" s="110"/>
    </row>
    <row r="50" spans="1:14" s="23" customFormat="1" ht="15.75" customHeight="1" x14ac:dyDescent="0.25">
      <c r="A50" s="173"/>
      <c r="B50" s="174"/>
      <c r="C50" s="106" t="s">
        <v>208</v>
      </c>
      <c r="D50" s="108"/>
      <c r="E50" s="108"/>
      <c r="F50" s="108"/>
      <c r="G50" s="108"/>
      <c r="H50" s="107"/>
    </row>
    <row r="51" spans="1:14" x14ac:dyDescent="0.25">
      <c r="A51" s="80" t="s">
        <v>47</v>
      </c>
      <c r="B51" s="81"/>
      <c r="C51" s="80" t="s">
        <v>111</v>
      </c>
      <c r="D51" s="132"/>
      <c r="E51" s="81"/>
      <c r="F51" s="46" t="s">
        <v>45</v>
      </c>
      <c r="G51" s="84" t="s">
        <v>30</v>
      </c>
      <c r="H51" s="85"/>
    </row>
    <row r="52" spans="1:14" x14ac:dyDescent="0.25">
      <c r="A52" s="139" t="s">
        <v>49</v>
      </c>
      <c r="B52" s="139"/>
      <c r="C52" s="139"/>
      <c r="D52" s="139"/>
      <c r="E52" s="139"/>
      <c r="F52" s="139"/>
      <c r="G52" s="139"/>
      <c r="H52" s="139"/>
    </row>
    <row r="53" spans="1:14" x14ac:dyDescent="0.25">
      <c r="A53" s="89" t="s">
        <v>96</v>
      </c>
      <c r="B53" s="89"/>
      <c r="C53" s="89"/>
      <c r="D53" s="87">
        <v>15991.26</v>
      </c>
      <c r="E53" s="87"/>
      <c r="F53" s="87"/>
      <c r="G53" s="87"/>
      <c r="H53" s="87"/>
    </row>
    <row r="54" spans="1:14" x14ac:dyDescent="0.25">
      <c r="A54" s="88" t="s">
        <v>50</v>
      </c>
      <c r="B54" s="83"/>
      <c r="C54" s="83"/>
      <c r="D54" s="83" t="s">
        <v>221</v>
      </c>
      <c r="E54" s="83"/>
      <c r="F54" s="83"/>
      <c r="G54" s="83"/>
      <c r="H54" s="83"/>
      <c r="I54" s="24"/>
    </row>
    <row r="55" spans="1:14" x14ac:dyDescent="0.25">
      <c r="A55" s="111" t="s">
        <v>51</v>
      </c>
      <c r="B55" s="112"/>
      <c r="C55" s="131"/>
      <c r="D55" s="91" t="s">
        <v>209</v>
      </c>
      <c r="E55" s="130"/>
      <c r="F55" s="130"/>
      <c r="G55" s="130"/>
      <c r="H55" s="130"/>
    </row>
    <row r="56" spans="1:14" ht="15.75" customHeight="1" x14ac:dyDescent="0.25">
      <c r="A56" s="111" t="s">
        <v>94</v>
      </c>
      <c r="B56" s="112"/>
      <c r="C56" s="112"/>
      <c r="D56" s="113" t="s">
        <v>210</v>
      </c>
      <c r="E56" s="114"/>
      <c r="F56" s="114"/>
      <c r="G56" s="114"/>
      <c r="H56" s="115"/>
    </row>
    <row r="57" spans="1:14" ht="15.75" customHeight="1" x14ac:dyDescent="0.25">
      <c r="A57" s="87" t="s">
        <v>48</v>
      </c>
      <c r="B57" s="87"/>
      <c r="C57" s="87"/>
      <c r="D57" s="89" t="s">
        <v>188</v>
      </c>
      <c r="E57" s="89"/>
      <c r="F57" s="89"/>
      <c r="G57" s="89"/>
      <c r="H57" s="89"/>
      <c r="J57" s="25"/>
      <c r="K57" s="24"/>
      <c r="N57" s="24"/>
    </row>
    <row r="58" spans="1:14" ht="15.75" customHeight="1" x14ac:dyDescent="0.25">
      <c r="A58" s="87" t="s">
        <v>92</v>
      </c>
      <c r="B58" s="87"/>
      <c r="C58" s="87"/>
      <c r="D58" s="160" t="str">
        <f>(IF(G51="NA","60 Years After Completion",IF(G51&lt;&gt;"NA",""&amp;60-ROUNDDOWN((E3-G51)/360,0)&amp;" Years"," ")))</f>
        <v>60 Years After Completion</v>
      </c>
      <c r="E58" s="160"/>
      <c r="F58" s="160"/>
      <c r="G58" s="160"/>
      <c r="H58" s="160"/>
      <c r="N58" s="24"/>
    </row>
    <row r="59" spans="1:14" ht="15.75" customHeight="1" x14ac:dyDescent="0.25">
      <c r="A59" s="87" t="s">
        <v>93</v>
      </c>
      <c r="B59" s="87"/>
      <c r="C59" s="87"/>
      <c r="D59" s="89" t="s">
        <v>24</v>
      </c>
      <c r="E59" s="89"/>
      <c r="F59" s="89"/>
      <c r="G59" s="89"/>
      <c r="H59" s="89"/>
      <c r="J59" s="26"/>
      <c r="K59" s="26"/>
    </row>
    <row r="60" spans="1:14" ht="15" customHeight="1" x14ac:dyDescent="0.25">
      <c r="A60" s="87" t="s">
        <v>79</v>
      </c>
      <c r="B60" s="87"/>
      <c r="C60" s="87"/>
      <c r="D60" s="88" t="s">
        <v>222</v>
      </c>
      <c r="E60" s="89"/>
      <c r="F60" s="89"/>
      <c r="G60" s="89"/>
      <c r="H60" s="89"/>
    </row>
    <row r="61" spans="1:14" x14ac:dyDescent="0.25">
      <c r="A61" s="89" t="s">
        <v>157</v>
      </c>
      <c r="B61" s="89"/>
      <c r="C61" s="89"/>
      <c r="D61" s="89" t="s">
        <v>30</v>
      </c>
      <c r="E61" s="89"/>
      <c r="F61" s="89"/>
      <c r="G61" s="89"/>
      <c r="H61" s="89"/>
      <c r="I61" s="27"/>
      <c r="J61" s="27"/>
      <c r="K61" s="27"/>
      <c r="L61" s="27"/>
      <c r="M61" s="27"/>
      <c r="N61" s="27"/>
    </row>
    <row r="62" spans="1:14" ht="15.75" customHeight="1" x14ac:dyDescent="0.25">
      <c r="A62" s="117" t="s">
        <v>91</v>
      </c>
      <c r="B62" s="117"/>
      <c r="C62" s="117"/>
      <c r="D62" s="91" t="str">
        <f ca="1">(IF(G68&gt;95%,"Nothing",IF(G68&gt;0%,"Cement, Aggregate, Steel, etc",IF(G68=0%,"Work not yet Started"))))</f>
        <v>Cement, Aggregate, Steel, etc</v>
      </c>
      <c r="E62" s="91"/>
      <c r="F62" s="91"/>
      <c r="G62" s="91"/>
      <c r="H62" s="91"/>
      <c r="J62" s="26"/>
    </row>
    <row r="63" spans="1:14" ht="33.75" customHeight="1" thickBot="1" x14ac:dyDescent="0.3">
      <c r="A63" s="90" t="s">
        <v>124</v>
      </c>
      <c r="B63" s="90"/>
      <c r="C63" s="90"/>
      <c r="D63" s="91" t="str">
        <f ca="1">(IF(D62="Nothing","Yes",IF(D62="Cement, Aggregate, Steel, etc","Under Construction",IF(D62="Work not yet Started","Work not yet Started"))))</f>
        <v>Under Construction</v>
      </c>
      <c r="E63" s="91"/>
      <c r="F63" s="91" t="str">
        <f ca="1">(IF(D62="Nothing","Yes",IF(D62="Cement, Aggregate, Steel, etc","Under Construction",IF(D62="Work not yet Started","Work not yet Started"))))</f>
        <v>Under Construction</v>
      </c>
      <c r="G63" s="91"/>
      <c r="H63" s="91"/>
    </row>
    <row r="64" spans="1:14" ht="15.75" customHeight="1" x14ac:dyDescent="0.25">
      <c r="A64" s="176" t="s">
        <v>149</v>
      </c>
      <c r="B64" s="177"/>
      <c r="C64" s="149" t="str">
        <f>D56</f>
        <v>Building D1 = Gr + 1st to 45th Floor</v>
      </c>
      <c r="D64" s="150"/>
      <c r="E64" s="150"/>
      <c r="F64" s="150"/>
      <c r="G64" s="150"/>
      <c r="H64" s="151"/>
      <c r="I64" s="48" t="str">
        <f ca="1">IF(D77=100%,"All work Completed. Possession granted to the Building.",IF(D76=100%,"All work Completed, Waiting for OC",I65&amp;""&amp;I66&amp;""&amp;J65&amp;""&amp;J64&amp;" "&amp;J66))</f>
        <v>Excavation, Plinth Completed, RCC upto 13 Slab, Brickwork upto 6 Floor Completed</v>
      </c>
      <c r="J64" s="49" t="str">
        <f ca="1">(IF(C70=(D65+F65+H65),"",IF(C70&gt;0,", RCC upto "&amp;C70&amp;" Slab","")))&amp;(IF(C71=H65,"",IF(C71&gt;0,", Brickwork upto "&amp;C71&amp;" Floor","")))&amp;(IF(C72=H65,"",IF(C72&gt;0,", Internal Plaster upto "&amp;C72&amp;" Floor","")))&amp;(IF(C73=H65,"",IF(C73&gt;0,", External Plaster upto "&amp;C73&amp;" Floor","")))&amp;(IF(C74=H65,"",IF(C74&gt;0,", Flooring upto "&amp;C74&amp;" Floor","")))&amp;(IF(C75=H65,"",IF(C75&gt;0,", Painting upto "&amp;C75&amp;" Floor","")))&amp;(IF(C76=H65,"",IF(C76&gt;0,", Finishing upto "&amp;C76&amp;" Floor","")))&amp;(IF(C77=H65,"",IF(C77&gt;0,", Possession upto "&amp;C77&amp;" Floor","")))</f>
        <v>, RCC upto 13 Slab, Brickwork upto 6 Floor</v>
      </c>
    </row>
    <row r="65" spans="1:13" s="23" customFormat="1" x14ac:dyDescent="0.25">
      <c r="A65" s="16" t="s">
        <v>151</v>
      </c>
      <c r="B65" s="52">
        <v>0</v>
      </c>
      <c r="C65" s="52" t="s">
        <v>76</v>
      </c>
      <c r="D65" s="52">
        <v>1</v>
      </c>
      <c r="E65" s="52" t="s">
        <v>75</v>
      </c>
      <c r="F65" s="52">
        <v>0</v>
      </c>
      <c r="G65" s="52" t="s">
        <v>85</v>
      </c>
      <c r="H65" s="17">
        <f ca="1">--TRIM(RIGHT(SUBSTITUTE(LEFT(C64,_xlfn.AGGREGATE(16,6,FIND({0,1,2,3,4,5,6,7,8,9},C64,ROW(INDIRECT("1:"&amp;LEN(C64)))),1))," ",REPT(" ",LEN(C64))),LEN(C64)))</f>
        <v>45</v>
      </c>
      <c r="I65" s="53" t="str">
        <f ca="1">IF(D68=100%,"Excavation","")&amp;IF(D69=100%,", Plinth","")&amp;IF(D70=100%,", RCC Slab","")&amp;IF(D71=100%,", Brickwork","")&amp;IF(D72=100%,", Internal Plaster","")&amp;IF(D73=100%,", External Plaster","")&amp;IF(D74=100%,", Flooring","")&amp;IF(D75=100%,", Painting","")&amp;IF(D76=100%,", Building common Amenities","")</f>
        <v>Excavation, Plinth</v>
      </c>
      <c r="J65" s="54" t="str">
        <f ca="1">(IF(C68=0,"Work not yet Started.",IF(D68=25%,"Piling work in process",IF(D68=50%,"Excavation work in process",IF(D68=100%,"","0")))))&amp;(IF(C69=0%,"",IF(C69=J70,", Footing work is process",IF(C69=J71,", Footing work Completed",IF(C69=J72,", 1st Basement Completed",IF(C69=J73,", 1st &amp; 2nd Basement Completed",IF(C69=J74,", 1st to 3rd Basement Completed",IF(C69=J75,", 1st to 4th Basement Completed",IF(C69=J76,", Plinth work is process",IF(C69=J77,"","0"))))))))))</f>
        <v/>
      </c>
    </row>
    <row r="66" spans="1:13" ht="39" customHeight="1" x14ac:dyDescent="0.25">
      <c r="A66" s="175" t="s">
        <v>95</v>
      </c>
      <c r="B66" s="153"/>
      <c r="C66" s="133" t="str">
        <f ca="1">(IF($G$51="NA",I64,"All work Completed. OC Received."))</f>
        <v>Excavation, Plinth Completed, RCC upto 13 Slab, Brickwork upto 6 Floor Completed</v>
      </c>
      <c r="D66" s="133"/>
      <c r="E66" s="133"/>
      <c r="F66" s="133"/>
      <c r="G66" s="133"/>
      <c r="H66" s="134"/>
      <c r="I66" s="50" t="str">
        <f ca="1">IF(I65&lt;&gt;""," Completed","")</f>
        <v xml:space="preserve"> Completed</v>
      </c>
      <c r="J66" s="51" t="str">
        <f ca="1">IF(J64&lt;&gt;"","Completed","")</f>
        <v>Completed</v>
      </c>
    </row>
    <row r="67" spans="1:13" ht="15.6" customHeight="1" x14ac:dyDescent="0.25">
      <c r="A67" s="103" t="s">
        <v>52</v>
      </c>
      <c r="B67" s="82"/>
      <c r="C67" s="44" t="s">
        <v>148</v>
      </c>
      <c r="D67" s="44" t="s">
        <v>88</v>
      </c>
      <c r="E67" s="82" t="s">
        <v>90</v>
      </c>
      <c r="F67" s="82"/>
      <c r="G67" s="82" t="s">
        <v>89</v>
      </c>
      <c r="H67" s="118"/>
      <c r="I67" s="14" t="s">
        <v>150</v>
      </c>
      <c r="J67" s="28">
        <f ca="1">H65*25%</f>
        <v>11.25</v>
      </c>
    </row>
    <row r="68" spans="1:13" x14ac:dyDescent="0.25">
      <c r="A68" s="103" t="s">
        <v>137</v>
      </c>
      <c r="B68" s="82"/>
      <c r="C68" s="55">
        <f ca="1">J69</f>
        <v>45</v>
      </c>
      <c r="D68" s="19">
        <f ca="1">((100/H65)*C68)/100</f>
        <v>1</v>
      </c>
      <c r="E68" s="119">
        <f ca="1">(((C69/H65*10)+(40/(D65+F65+H65)*C70)+(7.5/(H65)*C71)+(7.5/(H65)*C72)+(10/H65*C73)+(10/H65*C74)+(5/H65*C75)+(5/H65*C76)+(5/H65*C77))/100)</f>
        <v>0.22304347826086957</v>
      </c>
      <c r="F68" s="120"/>
      <c r="G68" s="119">
        <f ca="1">((((C68/H65)*20)+((C69/H65)*25)+(30/(H65+F65+D65)*C70)+(5/H65*C71)+(5/H65*C72)+(5/H65*C73)+(5/H65*C74)+(0/H65*C75)+(0/H65*C76)+(5/H65*C77))/100)</f>
        <v>0.54144927536231879</v>
      </c>
      <c r="H68" s="125"/>
      <c r="I68" s="14" t="s">
        <v>106</v>
      </c>
      <c r="J68" s="29">
        <f ca="1">H65*50%</f>
        <v>22.5</v>
      </c>
    </row>
    <row r="69" spans="1:13" x14ac:dyDescent="0.25">
      <c r="A69" s="103" t="s">
        <v>53</v>
      </c>
      <c r="B69" s="82"/>
      <c r="C69" s="55">
        <f ca="1">J77</f>
        <v>45</v>
      </c>
      <c r="D69" s="19">
        <f ca="1">((100/H65)*C69)/100</f>
        <v>1</v>
      </c>
      <c r="E69" s="121"/>
      <c r="F69" s="122"/>
      <c r="G69" s="121"/>
      <c r="H69" s="126"/>
      <c r="I69" s="14" t="s">
        <v>107</v>
      </c>
      <c r="J69" s="29">
        <f ca="1">H65</f>
        <v>45</v>
      </c>
    </row>
    <row r="70" spans="1:13" ht="15.75" customHeight="1" x14ac:dyDescent="0.25">
      <c r="A70" s="103" t="s">
        <v>138</v>
      </c>
      <c r="B70" s="82"/>
      <c r="C70" s="44">
        <v>13</v>
      </c>
      <c r="D70" s="19">
        <f ca="1">((100/(D65+F65+H65))*C70)/100</f>
        <v>0.28260869565217389</v>
      </c>
      <c r="E70" s="121"/>
      <c r="F70" s="122"/>
      <c r="G70" s="121"/>
      <c r="H70" s="126"/>
      <c r="I70" s="14" t="s">
        <v>108</v>
      </c>
      <c r="J70" s="30">
        <f ca="1">(IF(B65&gt;1,(H65/(B65+2)),H65/4))</f>
        <v>11.25</v>
      </c>
    </row>
    <row r="71" spans="1:13" ht="15.75" customHeight="1" x14ac:dyDescent="0.25">
      <c r="A71" s="103" t="s">
        <v>145</v>
      </c>
      <c r="B71" s="82" t="s">
        <v>139</v>
      </c>
      <c r="C71" s="44">
        <v>6</v>
      </c>
      <c r="D71" s="19">
        <f ca="1">((100/H65)*C71)/100</f>
        <v>0.13333333333333333</v>
      </c>
      <c r="E71" s="121"/>
      <c r="F71" s="122"/>
      <c r="G71" s="121"/>
      <c r="H71" s="126"/>
      <c r="I71" s="14" t="s">
        <v>109</v>
      </c>
      <c r="J71" s="30">
        <f ca="1">(IF(B65&gt;1,(H65/(B65+2)+J70),H65/4+J70))</f>
        <v>22.5</v>
      </c>
    </row>
    <row r="72" spans="1:13" ht="15.75" customHeight="1" x14ac:dyDescent="0.25">
      <c r="A72" s="103" t="s">
        <v>146</v>
      </c>
      <c r="B72" s="82" t="s">
        <v>139</v>
      </c>
      <c r="C72" s="44">
        <v>0</v>
      </c>
      <c r="D72" s="19">
        <f ca="1">((100/H65)*C72)/100</f>
        <v>0</v>
      </c>
      <c r="E72" s="121"/>
      <c r="F72" s="122"/>
      <c r="G72" s="121"/>
      <c r="H72" s="126"/>
      <c r="I72" s="14" t="s">
        <v>155</v>
      </c>
      <c r="J72" s="30">
        <f>(IF(B65&gt;1,(H65/(B65+2)+J71),0))</f>
        <v>0</v>
      </c>
    </row>
    <row r="73" spans="1:13" ht="15" customHeight="1" x14ac:dyDescent="0.25">
      <c r="A73" s="103" t="s">
        <v>144</v>
      </c>
      <c r="B73" s="82" t="s">
        <v>141</v>
      </c>
      <c r="C73" s="44">
        <v>0</v>
      </c>
      <c r="D73" s="19">
        <f ca="1">((100/(H65))*C73)/100</f>
        <v>0</v>
      </c>
      <c r="E73" s="121"/>
      <c r="F73" s="122"/>
      <c r="G73" s="121"/>
      <c r="H73" s="126"/>
      <c r="I73" s="14" t="s">
        <v>152</v>
      </c>
      <c r="J73" s="30">
        <f>(IF(B65&gt;2,(H65/(B65+2)+J72),0))</f>
        <v>0</v>
      </c>
    </row>
    <row r="74" spans="1:13" ht="15.75" customHeight="1" x14ac:dyDescent="0.25">
      <c r="A74" s="103" t="s">
        <v>140</v>
      </c>
      <c r="B74" s="82" t="s">
        <v>140</v>
      </c>
      <c r="C74" s="44">
        <v>0</v>
      </c>
      <c r="D74" s="19">
        <f ca="1">((100/H65)*C74)/100</f>
        <v>0</v>
      </c>
      <c r="E74" s="121"/>
      <c r="F74" s="122"/>
      <c r="G74" s="121"/>
      <c r="H74" s="126"/>
      <c r="I74" s="14" t="s">
        <v>153</v>
      </c>
      <c r="J74" s="31">
        <f>(IF(B65&gt;3,(H65/(B65+2)+J73),0))</f>
        <v>0</v>
      </c>
    </row>
    <row r="75" spans="1:13" ht="15.75" customHeight="1" x14ac:dyDescent="0.25">
      <c r="A75" s="103" t="s">
        <v>147</v>
      </c>
      <c r="B75" s="82"/>
      <c r="C75" s="44">
        <v>0</v>
      </c>
      <c r="D75" s="19">
        <f ca="1">((100/H65)*C75)/100</f>
        <v>0</v>
      </c>
      <c r="E75" s="121"/>
      <c r="F75" s="122"/>
      <c r="G75" s="121"/>
      <c r="H75" s="126"/>
      <c r="I75" s="14" t="s">
        <v>154</v>
      </c>
      <c r="J75" s="30">
        <f>(IF(B65&gt;4,(H65/(B65+2)+J74),0))</f>
        <v>0</v>
      </c>
    </row>
    <row r="76" spans="1:13" ht="15.75" customHeight="1" x14ac:dyDescent="0.25">
      <c r="A76" s="103" t="s">
        <v>142</v>
      </c>
      <c r="B76" s="82" t="s">
        <v>142</v>
      </c>
      <c r="C76" s="44">
        <v>0</v>
      </c>
      <c r="D76" s="19">
        <f ca="1">((100/(H65))*C76)/100</f>
        <v>0</v>
      </c>
      <c r="E76" s="121"/>
      <c r="F76" s="122"/>
      <c r="G76" s="121"/>
      <c r="H76" s="126"/>
      <c r="I76" s="14" t="s">
        <v>156</v>
      </c>
      <c r="J76" s="30">
        <f ca="1">(IF(B65=1,(H65/(B65+3)+J71),IF(B65=0,(H65/4+J71),IF(B65&gt;1,0))))</f>
        <v>33.75</v>
      </c>
    </row>
    <row r="77" spans="1:13" ht="16.5" thickBot="1" x14ac:dyDescent="0.3">
      <c r="A77" s="128" t="s">
        <v>143</v>
      </c>
      <c r="B77" s="129"/>
      <c r="C77" s="45">
        <v>0</v>
      </c>
      <c r="D77" s="20">
        <f ca="1">((100/(H65))*C77)/100</f>
        <v>0</v>
      </c>
      <c r="E77" s="123"/>
      <c r="F77" s="124"/>
      <c r="G77" s="123"/>
      <c r="H77" s="127"/>
      <c r="I77" s="15" t="s">
        <v>110</v>
      </c>
      <c r="J77" s="32">
        <f ca="1">(IF(B65&gt;1.5,(H65/(B65+2)+J71+MAX(0,J72-J71)+MAX(0,J73-J72)+MAX(0,J74-J73)+MAX(0,J75-J74)+MAX(0,J76-J75)),IF(B65=1,(H65/(B65+3)+J76),IF(B65=0,H65/4+J76))))</f>
        <v>45</v>
      </c>
    </row>
    <row r="78" spans="1:13" x14ac:dyDescent="0.25">
      <c r="A78" s="165" t="s">
        <v>165</v>
      </c>
      <c r="B78" s="165"/>
      <c r="C78" s="165"/>
      <c r="D78" s="165"/>
      <c r="E78" s="165"/>
      <c r="F78" s="164" t="s">
        <v>170</v>
      </c>
      <c r="G78" s="164"/>
      <c r="H78" s="164"/>
    </row>
    <row r="79" spans="1:13" x14ac:dyDescent="0.25">
      <c r="A79" s="87" t="s">
        <v>168</v>
      </c>
      <c r="B79" s="87"/>
      <c r="C79" s="87"/>
      <c r="D79" s="87"/>
      <c r="E79" s="87"/>
      <c r="F79" s="86">
        <v>10000</v>
      </c>
      <c r="G79" s="86"/>
      <c r="H79" s="86"/>
      <c r="I79" s="56" t="s">
        <v>202</v>
      </c>
      <c r="J79" s="56" t="s">
        <v>203</v>
      </c>
      <c r="K79" s="57">
        <v>45138</v>
      </c>
      <c r="L79" s="56" t="s">
        <v>204</v>
      </c>
      <c r="M79" s="21" t="s">
        <v>205</v>
      </c>
    </row>
    <row r="80" spans="1:13" x14ac:dyDescent="0.25">
      <c r="A80" s="87" t="s">
        <v>167</v>
      </c>
      <c r="B80" s="87"/>
      <c r="C80" s="87"/>
      <c r="D80" s="87"/>
      <c r="E80" s="87"/>
      <c r="F80" s="86">
        <v>18000</v>
      </c>
      <c r="G80" s="86"/>
      <c r="H80" s="86"/>
    </row>
    <row r="81" spans="1:8" hidden="1" x14ac:dyDescent="0.25">
      <c r="A81" s="87" t="s">
        <v>169</v>
      </c>
      <c r="B81" s="87"/>
      <c r="C81" s="87"/>
      <c r="D81" s="87"/>
      <c r="E81" s="87"/>
      <c r="F81" s="86"/>
      <c r="G81" s="86"/>
      <c r="H81" s="86"/>
    </row>
    <row r="82" spans="1:8" s="33" customFormat="1" hidden="1" x14ac:dyDescent="0.25">
      <c r="A82" s="87" t="s">
        <v>166</v>
      </c>
      <c r="B82" s="87"/>
      <c r="C82" s="87"/>
      <c r="D82" s="87"/>
      <c r="E82" s="87"/>
      <c r="F82" s="86"/>
      <c r="G82" s="86"/>
      <c r="H82" s="86"/>
    </row>
    <row r="83" spans="1:8" s="33" customFormat="1" hidden="1" x14ac:dyDescent="0.25">
      <c r="A83" s="87" t="s">
        <v>100</v>
      </c>
      <c r="B83" s="87"/>
      <c r="C83" s="87"/>
      <c r="D83" s="87"/>
      <c r="E83" s="87"/>
      <c r="F83" s="86"/>
      <c r="G83" s="86"/>
      <c r="H83" s="86"/>
    </row>
    <row r="84" spans="1:8" s="33" customFormat="1" hidden="1" x14ac:dyDescent="0.25">
      <c r="A84" s="87" t="s">
        <v>101</v>
      </c>
      <c r="B84" s="87"/>
      <c r="C84" s="87"/>
      <c r="D84" s="87"/>
      <c r="E84" s="87"/>
      <c r="F84" s="86"/>
      <c r="G84" s="86"/>
      <c r="H84" s="86"/>
    </row>
    <row r="85" spans="1:8" s="33" customFormat="1" hidden="1" x14ac:dyDescent="0.25">
      <c r="A85" s="87" t="s">
        <v>171</v>
      </c>
      <c r="B85" s="87"/>
      <c r="C85" s="87"/>
      <c r="D85" s="87"/>
      <c r="E85" s="87"/>
      <c r="F85" s="86"/>
      <c r="G85" s="86"/>
      <c r="H85" s="86"/>
    </row>
    <row r="86" spans="1:8" s="33" customFormat="1" hidden="1" x14ac:dyDescent="0.25">
      <c r="A86" s="87" t="s">
        <v>102</v>
      </c>
      <c r="B86" s="87"/>
      <c r="C86" s="87"/>
      <c r="D86" s="87"/>
      <c r="E86" s="87"/>
      <c r="F86" s="86"/>
      <c r="G86" s="86"/>
      <c r="H86" s="86"/>
    </row>
    <row r="87" spans="1:8" s="33" customFormat="1" hidden="1" x14ac:dyDescent="0.25">
      <c r="A87" s="87" t="s">
        <v>103</v>
      </c>
      <c r="B87" s="87"/>
      <c r="C87" s="87"/>
      <c r="D87" s="87"/>
      <c r="E87" s="87"/>
      <c r="F87" s="86"/>
      <c r="G87" s="86"/>
      <c r="H87" s="86"/>
    </row>
    <row r="88" spans="1:8" s="33" customFormat="1" hidden="1" x14ac:dyDescent="0.25">
      <c r="A88" s="87" t="s">
        <v>104</v>
      </c>
      <c r="B88" s="87"/>
      <c r="C88" s="87"/>
      <c r="D88" s="87"/>
      <c r="E88" s="87"/>
      <c r="F88" s="86"/>
      <c r="G88" s="86"/>
      <c r="H88" s="86"/>
    </row>
    <row r="89" spans="1:8" s="33" customFormat="1" hidden="1" x14ac:dyDescent="0.25">
      <c r="A89" s="87" t="s">
        <v>105</v>
      </c>
      <c r="B89" s="87"/>
      <c r="C89" s="87"/>
      <c r="D89" s="87"/>
      <c r="E89" s="87"/>
      <c r="F89" s="86"/>
      <c r="G89" s="86"/>
      <c r="H89" s="86"/>
    </row>
    <row r="90" spans="1:8" x14ac:dyDescent="0.25">
      <c r="A90" s="87" t="s">
        <v>54</v>
      </c>
      <c r="B90" s="87"/>
      <c r="C90" s="87"/>
      <c r="D90" s="87"/>
      <c r="E90" s="87"/>
      <c r="F90" s="86">
        <v>500000</v>
      </c>
      <c r="G90" s="86"/>
      <c r="H90" s="86"/>
    </row>
    <row r="91" spans="1:8" s="34" customFormat="1" x14ac:dyDescent="0.25">
      <c r="A91" s="147" t="s">
        <v>55</v>
      </c>
      <c r="B91" s="147"/>
      <c r="C91" s="147"/>
      <c r="D91" s="147"/>
      <c r="E91" s="147"/>
      <c r="F91" s="86">
        <f>F79*0.8</f>
        <v>8000</v>
      </c>
      <c r="G91" s="86"/>
      <c r="H91" s="86"/>
    </row>
    <row r="92" spans="1:8" s="35" customFormat="1" ht="15.75" customHeight="1" x14ac:dyDescent="0.25">
      <c r="A92" s="146" t="s">
        <v>80</v>
      </c>
      <c r="B92" s="146"/>
      <c r="C92" s="146"/>
      <c r="D92" s="146"/>
      <c r="E92" s="146"/>
      <c r="F92" s="146"/>
      <c r="G92" s="146"/>
      <c r="H92" s="146"/>
    </row>
    <row r="93" spans="1:8" s="35" customFormat="1" ht="15.75" customHeight="1" x14ac:dyDescent="0.25">
      <c r="A93" s="94" t="s">
        <v>56</v>
      </c>
      <c r="B93" s="94"/>
      <c r="C93" s="135" t="s">
        <v>83</v>
      </c>
      <c r="D93" s="135"/>
      <c r="E93" s="116" t="s">
        <v>57</v>
      </c>
      <c r="F93" s="116"/>
      <c r="G93" s="94" t="s">
        <v>58</v>
      </c>
      <c r="H93" s="94"/>
    </row>
    <row r="94" spans="1:8" s="35" customFormat="1" x14ac:dyDescent="0.25">
      <c r="A94" s="148" t="s">
        <v>213</v>
      </c>
      <c r="B94" s="148"/>
      <c r="C94" s="137">
        <f>COUNT(D105:D112)</f>
        <v>8</v>
      </c>
      <c r="D94" s="138"/>
      <c r="E94" s="104">
        <f>SUM(D105:D112)</f>
        <v>7076.7917999999991</v>
      </c>
      <c r="F94" s="105"/>
      <c r="G94" s="104">
        <f>SUM(F105:F112)</f>
        <v>11322.866880000001</v>
      </c>
      <c r="H94" s="105"/>
    </row>
    <row r="95" spans="1:8" s="35" customFormat="1" x14ac:dyDescent="0.25">
      <c r="A95" s="146" t="s">
        <v>74</v>
      </c>
      <c r="B95" s="146"/>
      <c r="C95" s="146"/>
      <c r="D95" s="146"/>
      <c r="E95" s="146"/>
      <c r="F95" s="146"/>
      <c r="G95" s="146"/>
      <c r="H95" s="146"/>
    </row>
    <row r="96" spans="1:8" s="35" customFormat="1" ht="15.75" customHeight="1" x14ac:dyDescent="0.25">
      <c r="A96" s="94" t="s">
        <v>56</v>
      </c>
      <c r="B96" s="94"/>
      <c r="C96" s="135" t="s">
        <v>83</v>
      </c>
      <c r="D96" s="135"/>
      <c r="E96" s="116" t="s">
        <v>57</v>
      </c>
      <c r="F96" s="116"/>
      <c r="G96" s="94" t="s">
        <v>58</v>
      </c>
      <c r="H96" s="94"/>
    </row>
    <row r="97" spans="1:14" s="35" customFormat="1" ht="16.5" thickBot="1" x14ac:dyDescent="0.3">
      <c r="A97" s="179" t="s">
        <v>213</v>
      </c>
      <c r="B97" s="179"/>
      <c r="C97" s="180">
        <f>COUNT(D119:D121,D125:D126)+COUNT(D128:D130,D134:D135)*2+COUNT(D137:D144)*26+COUNT(D146:D149,D151:D153)*6</f>
        <v>265</v>
      </c>
      <c r="D97" s="180"/>
      <c r="E97" s="181">
        <f>SUM(D119:D121,D125:D126)+SUM(D128:D130,D134:D135)*2+SUM(D137:D144)*26+SUM(D146:D149,D151:D153)*6</f>
        <v>96236.080199999997</v>
      </c>
      <c r="F97" s="182"/>
      <c r="G97" s="183">
        <f>SUM(F119:F121,F125:F126)+SUM(F128:F130,F134:F135)*2+SUM(F137:F144)*26+SUM(F146:F149,F151:F153)*6</f>
        <v>144354.12030000001</v>
      </c>
      <c r="H97" s="183"/>
    </row>
    <row r="98" spans="1:14" s="35" customFormat="1" ht="16.5" thickBot="1" x14ac:dyDescent="0.3">
      <c r="A98" s="184" t="s">
        <v>224</v>
      </c>
      <c r="B98" s="185"/>
      <c r="C98" s="186">
        <f>C94+C97</f>
        <v>273</v>
      </c>
      <c r="D98" s="187"/>
      <c r="E98" s="186">
        <f t="shared" ref="E98" si="0">E94+E97</f>
        <v>103312.872</v>
      </c>
      <c r="F98" s="187"/>
      <c r="G98" s="186">
        <f t="shared" ref="G98" si="1">G94+G97</f>
        <v>155676.98718</v>
      </c>
      <c r="H98" s="188"/>
    </row>
    <row r="99" spans="1:14" s="34" customFormat="1" x14ac:dyDescent="0.25">
      <c r="A99" s="164" t="s">
        <v>59</v>
      </c>
      <c r="B99" s="164"/>
      <c r="C99" s="164"/>
      <c r="D99" s="164"/>
      <c r="E99" s="164"/>
      <c r="F99" s="164"/>
      <c r="G99" s="164"/>
      <c r="H99" s="164"/>
    </row>
    <row r="100" spans="1:14" x14ac:dyDescent="0.25">
      <c r="A100" s="136" t="s">
        <v>60</v>
      </c>
      <c r="B100" s="136"/>
      <c r="C100" s="136"/>
      <c r="D100" s="136"/>
      <c r="E100" s="136"/>
      <c r="F100" s="136"/>
      <c r="G100" s="136"/>
      <c r="H100" s="136"/>
    </row>
    <row r="101" spans="1:14" ht="47.25" customHeight="1" x14ac:dyDescent="0.25">
      <c r="A101" s="95" t="s">
        <v>126</v>
      </c>
      <c r="B101" s="95" t="s">
        <v>125</v>
      </c>
      <c r="C101" s="95" t="s">
        <v>61</v>
      </c>
      <c r="D101" s="95" t="s">
        <v>62</v>
      </c>
      <c r="E101" s="97" t="s">
        <v>164</v>
      </c>
      <c r="F101" s="43" t="s">
        <v>158</v>
      </c>
      <c r="G101" s="99" t="s">
        <v>64</v>
      </c>
      <c r="H101" s="100"/>
    </row>
    <row r="102" spans="1:14" s="37" customFormat="1" x14ac:dyDescent="0.25">
      <c r="A102" s="96"/>
      <c r="B102" s="96"/>
      <c r="C102" s="96"/>
      <c r="D102" s="96"/>
      <c r="E102" s="98"/>
      <c r="F102" s="13">
        <v>0.6</v>
      </c>
      <c r="G102" s="101"/>
      <c r="H102" s="102"/>
    </row>
    <row r="103" spans="1:14" s="37" customFormat="1" x14ac:dyDescent="0.25">
      <c r="A103" s="62" t="s">
        <v>213</v>
      </c>
      <c r="B103" s="63"/>
      <c r="C103" s="63"/>
      <c r="D103" s="63"/>
      <c r="E103" s="63"/>
      <c r="F103" s="63"/>
      <c r="G103" s="63"/>
      <c r="H103" s="64"/>
      <c r="J103" s="36"/>
    </row>
    <row r="104" spans="1:14" s="37" customFormat="1" x14ac:dyDescent="0.25">
      <c r="A104" s="62" t="s">
        <v>191</v>
      </c>
      <c r="B104" s="63"/>
      <c r="C104" s="63"/>
      <c r="D104" s="63"/>
      <c r="E104" s="63"/>
      <c r="F104" s="63"/>
      <c r="G104" s="63"/>
      <c r="H104" s="64"/>
      <c r="J104" s="36"/>
    </row>
    <row r="105" spans="1:14" s="37" customFormat="1" ht="64.5" customHeight="1" x14ac:dyDescent="0.25">
      <c r="A105" s="77">
        <v>1</v>
      </c>
      <c r="B105" s="79"/>
      <c r="C105" s="42" t="s">
        <v>190</v>
      </c>
      <c r="D105" s="42">
        <f>(58.85+71.3)*10.764</f>
        <v>1400.9346</v>
      </c>
      <c r="E105" s="42">
        <v>0</v>
      </c>
      <c r="F105" s="42">
        <f>(D105+E105)*(($F$102)+1)</f>
        <v>2241.4953600000003</v>
      </c>
      <c r="G105" s="77" t="str">
        <f>A104</f>
        <v>Ground Floor For Parking &amp; Commercial</v>
      </c>
      <c r="H105" s="79"/>
      <c r="I105" s="36"/>
      <c r="L105" s="66"/>
      <c r="M105" s="66"/>
      <c r="N105" s="36"/>
    </row>
    <row r="106" spans="1:14" s="37" customFormat="1" x14ac:dyDescent="0.25">
      <c r="A106" s="77">
        <f t="shared" ref="A106:A112" si="2">A105+1</f>
        <v>2</v>
      </c>
      <c r="B106" s="79"/>
      <c r="C106" s="42" t="s">
        <v>189</v>
      </c>
      <c r="D106" s="42">
        <f>(12.29)*10.764</f>
        <v>132.28955999999999</v>
      </c>
      <c r="E106" s="42">
        <v>0</v>
      </c>
      <c r="F106" s="42">
        <f t="shared" ref="F106:F108" si="3">(D106+E106)*(($F$102)+1)</f>
        <v>211.663296</v>
      </c>
      <c r="G106" s="77" t="str">
        <f t="shared" ref="G106:G112" si="4">G105</f>
        <v>Ground Floor For Parking &amp; Commercial</v>
      </c>
      <c r="H106" s="79"/>
      <c r="I106" s="36"/>
      <c r="J106" s="58">
        <f>(12.29)*10.764</f>
        <v>132.28955999999999</v>
      </c>
      <c r="L106" s="66"/>
      <c r="M106" s="66"/>
      <c r="N106" s="36"/>
    </row>
    <row r="107" spans="1:14" s="37" customFormat="1" ht="66.75" customHeight="1" x14ac:dyDescent="0.25">
      <c r="A107" s="77">
        <f t="shared" si="2"/>
        <v>3</v>
      </c>
      <c r="B107" s="79"/>
      <c r="C107" s="42" t="s">
        <v>190</v>
      </c>
      <c r="D107" s="42">
        <f>(56.7+55.91)*10.764</f>
        <v>1212.1340399999999</v>
      </c>
      <c r="E107" s="42">
        <v>0</v>
      </c>
      <c r="F107" s="42">
        <f t="shared" si="3"/>
        <v>1939.414464</v>
      </c>
      <c r="G107" s="77" t="str">
        <f t="shared" si="4"/>
        <v>Ground Floor For Parking &amp; Commercial</v>
      </c>
      <c r="H107" s="79"/>
      <c r="I107" s="36"/>
      <c r="J107" s="58">
        <f>(56.7+55.91)*10.764</f>
        <v>1212.1340399999999</v>
      </c>
      <c r="L107" s="66"/>
      <c r="M107" s="66"/>
      <c r="N107" s="36"/>
    </row>
    <row r="108" spans="1:14" s="37" customFormat="1" ht="62.25" customHeight="1" x14ac:dyDescent="0.25">
      <c r="A108" s="77">
        <f t="shared" si="2"/>
        <v>4</v>
      </c>
      <c r="B108" s="79"/>
      <c r="C108" s="42" t="s">
        <v>190</v>
      </c>
      <c r="D108" s="42">
        <f>(59.17+58.43)*10.764</f>
        <v>1265.8463999999999</v>
      </c>
      <c r="E108" s="42">
        <v>0</v>
      </c>
      <c r="F108" s="42">
        <f t="shared" si="3"/>
        <v>2025.3542399999999</v>
      </c>
      <c r="G108" s="77" t="str">
        <f t="shared" si="4"/>
        <v>Ground Floor For Parking &amp; Commercial</v>
      </c>
      <c r="H108" s="79"/>
      <c r="I108" s="36"/>
      <c r="J108" s="58">
        <f>(59.17+58.43)*10.764</f>
        <v>1265.8463999999999</v>
      </c>
      <c r="L108" s="66"/>
      <c r="M108" s="66"/>
      <c r="N108" s="36"/>
    </row>
    <row r="109" spans="1:14" s="37" customFormat="1" ht="63" customHeight="1" x14ac:dyDescent="0.25">
      <c r="A109" s="77">
        <f t="shared" si="2"/>
        <v>5</v>
      </c>
      <c r="B109" s="79"/>
      <c r="C109" s="42" t="s">
        <v>190</v>
      </c>
      <c r="D109" s="42">
        <f>(54.73+51.94)*10.764</f>
        <v>1148.1958799999998</v>
      </c>
      <c r="E109" s="42">
        <v>0</v>
      </c>
      <c r="F109" s="42">
        <f t="shared" ref="F109:F111" si="5">(D109+E109)*(($F$102)+1)</f>
        <v>1837.1134079999997</v>
      </c>
      <c r="G109" s="77" t="str">
        <f t="shared" si="4"/>
        <v>Ground Floor For Parking &amp; Commercial</v>
      </c>
      <c r="H109" s="79"/>
      <c r="I109" s="36"/>
      <c r="J109" s="58">
        <f>(54.73+51.94)*10.764</f>
        <v>1148.1958799999998</v>
      </c>
      <c r="L109" s="66"/>
      <c r="M109" s="66"/>
      <c r="N109" s="36"/>
    </row>
    <row r="110" spans="1:14" s="37" customFormat="1" x14ac:dyDescent="0.25">
      <c r="A110" s="77">
        <f t="shared" si="2"/>
        <v>6</v>
      </c>
      <c r="B110" s="79"/>
      <c r="C110" s="42" t="s">
        <v>212</v>
      </c>
      <c r="D110" s="42">
        <f>(56.38)*10.764</f>
        <v>606.87432000000001</v>
      </c>
      <c r="E110" s="42">
        <v>0</v>
      </c>
      <c r="F110" s="42">
        <f t="shared" si="5"/>
        <v>970.99891200000002</v>
      </c>
      <c r="G110" s="77" t="str">
        <f t="shared" si="4"/>
        <v>Ground Floor For Parking &amp; Commercial</v>
      </c>
      <c r="H110" s="79"/>
      <c r="I110" s="36"/>
      <c r="J110" s="58">
        <f>(56.38)*10.764</f>
        <v>606.87432000000001</v>
      </c>
      <c r="L110" s="66"/>
      <c r="M110" s="66"/>
      <c r="N110" s="36"/>
    </row>
    <row r="111" spans="1:14" s="37" customFormat="1" x14ac:dyDescent="0.25">
      <c r="A111" s="77">
        <f t="shared" si="2"/>
        <v>7</v>
      </c>
      <c r="B111" s="79"/>
      <c r="C111" s="42" t="s">
        <v>212</v>
      </c>
      <c r="D111" s="42">
        <f>(60.48)*10.764</f>
        <v>651.00671999999997</v>
      </c>
      <c r="E111" s="42">
        <v>0</v>
      </c>
      <c r="F111" s="42">
        <f t="shared" si="5"/>
        <v>1041.610752</v>
      </c>
      <c r="G111" s="77" t="str">
        <f t="shared" si="4"/>
        <v>Ground Floor For Parking &amp; Commercial</v>
      </c>
      <c r="H111" s="79"/>
      <c r="I111" s="36"/>
      <c r="J111" s="58">
        <f>(60.48)*10.764</f>
        <v>651.00671999999997</v>
      </c>
      <c r="L111" s="66"/>
      <c r="M111" s="66"/>
      <c r="N111" s="36"/>
    </row>
    <row r="112" spans="1:14" s="37" customFormat="1" x14ac:dyDescent="0.25">
      <c r="A112" s="77">
        <f t="shared" si="2"/>
        <v>8</v>
      </c>
      <c r="B112" s="79"/>
      <c r="C112" s="42" t="s">
        <v>212</v>
      </c>
      <c r="D112" s="42">
        <f>(61.27)*10.764</f>
        <v>659.51027999999997</v>
      </c>
      <c r="E112" s="42">
        <v>0</v>
      </c>
      <c r="F112" s="42">
        <f t="shared" ref="F112" si="6">(D112+E112)*(($F$102)+1)</f>
        <v>1055.2164479999999</v>
      </c>
      <c r="G112" s="77" t="str">
        <f t="shared" si="4"/>
        <v>Ground Floor For Parking &amp; Commercial</v>
      </c>
      <c r="H112" s="79"/>
      <c r="I112" s="36"/>
      <c r="J112" s="58">
        <f>(61.27)*10.764</f>
        <v>659.51027999999997</v>
      </c>
      <c r="L112" s="66"/>
      <c r="M112" s="66"/>
      <c r="N112" s="36"/>
    </row>
    <row r="113" spans="1:14" s="37" customFormat="1" x14ac:dyDescent="0.25">
      <c r="A113" s="62" t="s">
        <v>214</v>
      </c>
      <c r="B113" s="63"/>
      <c r="C113" s="63"/>
      <c r="D113" s="63"/>
      <c r="E113" s="63"/>
      <c r="F113" s="63"/>
      <c r="G113" s="63"/>
      <c r="H113" s="64"/>
      <c r="J113" s="36"/>
    </row>
    <row r="114" spans="1:14" s="37" customFormat="1" x14ac:dyDescent="0.25">
      <c r="A114" s="77"/>
      <c r="B114" s="78"/>
      <c r="C114" s="78"/>
      <c r="D114" s="78"/>
      <c r="E114" s="78"/>
      <c r="F114" s="78"/>
      <c r="G114" s="78"/>
      <c r="H114" s="79"/>
      <c r="I114" s="36"/>
      <c r="N114" s="36"/>
    </row>
    <row r="115" spans="1:14" ht="47.25" customHeight="1" x14ac:dyDescent="0.25">
      <c r="A115" s="99" t="s">
        <v>127</v>
      </c>
      <c r="B115" s="99" t="s">
        <v>128</v>
      </c>
      <c r="C115" s="95" t="s">
        <v>61</v>
      </c>
      <c r="D115" s="95" t="s">
        <v>62</v>
      </c>
      <c r="E115" s="97" t="s">
        <v>63</v>
      </c>
      <c r="F115" s="43" t="s">
        <v>158</v>
      </c>
      <c r="G115" s="99" t="s">
        <v>64</v>
      </c>
      <c r="H115" s="100"/>
      <c r="I115" s="36"/>
    </row>
    <row r="116" spans="1:14" s="37" customFormat="1" x14ac:dyDescent="0.25">
      <c r="A116" s="101"/>
      <c r="B116" s="101"/>
      <c r="C116" s="96"/>
      <c r="D116" s="96"/>
      <c r="E116" s="98"/>
      <c r="F116" s="13">
        <v>0.5</v>
      </c>
      <c r="G116" s="101"/>
      <c r="H116" s="102"/>
      <c r="I116" s="36"/>
    </row>
    <row r="117" spans="1:14" s="37" customFormat="1" x14ac:dyDescent="0.25">
      <c r="A117" s="65" t="s">
        <v>215</v>
      </c>
      <c r="B117" s="65"/>
      <c r="C117" s="65"/>
      <c r="D117" s="65"/>
      <c r="E117" s="65"/>
      <c r="F117" s="65"/>
      <c r="G117" s="65"/>
      <c r="H117" s="65"/>
      <c r="I117" s="36"/>
      <c r="L117" s="66"/>
      <c r="M117" s="66"/>
    </row>
    <row r="118" spans="1:14" s="37" customFormat="1" x14ac:dyDescent="0.25">
      <c r="A118" s="65" t="s">
        <v>216</v>
      </c>
      <c r="B118" s="65"/>
      <c r="C118" s="65"/>
      <c r="D118" s="65"/>
      <c r="E118" s="65"/>
      <c r="F118" s="65"/>
      <c r="G118" s="65"/>
      <c r="H118" s="65"/>
      <c r="I118" s="36"/>
      <c r="L118" s="66"/>
      <c r="M118" s="66"/>
    </row>
    <row r="119" spans="1:14" s="37" customFormat="1" ht="15.75" customHeight="1" x14ac:dyDescent="0.25">
      <c r="A119" s="67">
        <v>1</v>
      </c>
      <c r="B119" s="67"/>
      <c r="C119" s="42" t="s">
        <v>192</v>
      </c>
      <c r="D119" s="42">
        <f>(39.95)*10.764</f>
        <v>430.02179999999998</v>
      </c>
      <c r="E119" s="42">
        <v>0</v>
      </c>
      <c r="F119" s="42">
        <f t="shared" ref="F119:F120" si="7">D119*(($F$116)+1)+(IF(E119&lt;101,E119,IF(E119&lt;201,E119/2,IF(E119&lt;=301,E119/3,E119/4))))</f>
        <v>645.03269999999998</v>
      </c>
      <c r="G119" s="68" t="str">
        <f>A118</f>
        <v>3rd Floor For Residential, Society Office &amp; Parking</v>
      </c>
      <c r="H119" s="70"/>
      <c r="I119" s="36">
        <f>5100000/F119</f>
        <v>7906.5758991753446</v>
      </c>
      <c r="N119" s="36"/>
    </row>
    <row r="120" spans="1:14" s="37" customFormat="1" ht="15.75" customHeight="1" x14ac:dyDescent="0.25">
      <c r="A120" s="67">
        <f t="shared" ref="A120:A126" si="8">A119+1</f>
        <v>2</v>
      </c>
      <c r="B120" s="67"/>
      <c r="C120" s="42" t="s">
        <v>192</v>
      </c>
      <c r="D120" s="42">
        <f>(29.67)*10.764</f>
        <v>319.36788000000001</v>
      </c>
      <c r="E120" s="42">
        <v>0</v>
      </c>
      <c r="F120" s="42">
        <f t="shared" si="7"/>
        <v>479.05182000000002</v>
      </c>
      <c r="G120" s="71"/>
      <c r="H120" s="73"/>
      <c r="I120" s="36">
        <f>3.35*2.84+2.12*1.87+3.19*2.73+1.22*1.76+1.22*1.78+0.9*1.87+1.8*0.75</f>
        <v>29.538900000000002</v>
      </c>
      <c r="N120" s="36"/>
    </row>
    <row r="121" spans="1:14" s="37" customFormat="1" ht="15.75" customHeight="1" x14ac:dyDescent="0.25">
      <c r="A121" s="67">
        <f t="shared" si="8"/>
        <v>3</v>
      </c>
      <c r="B121" s="67"/>
      <c r="C121" s="42" t="s">
        <v>192</v>
      </c>
      <c r="D121" s="42">
        <f>(29.67)*10.764</f>
        <v>319.36788000000001</v>
      </c>
      <c r="E121" s="42">
        <v>0</v>
      </c>
      <c r="F121" s="42">
        <f>D121*(($F$116)+1)+(IF(E121&lt;101,E121,IF(E121&lt;201,E121/2,IF(E121&lt;=301,E121/3,E121/4))))</f>
        <v>479.05182000000002</v>
      </c>
      <c r="G121" s="71"/>
      <c r="H121" s="73"/>
      <c r="I121" s="36"/>
      <c r="N121" s="36"/>
    </row>
    <row r="122" spans="1:14" s="37" customFormat="1" ht="15.75" customHeight="1" x14ac:dyDescent="0.25">
      <c r="A122" s="67">
        <f t="shared" si="8"/>
        <v>4</v>
      </c>
      <c r="B122" s="67"/>
      <c r="C122" s="68" t="s">
        <v>193</v>
      </c>
      <c r="D122" s="69"/>
      <c r="E122" s="69"/>
      <c r="F122" s="70"/>
      <c r="G122" s="71"/>
      <c r="H122" s="73"/>
      <c r="I122" s="36"/>
      <c r="N122" s="36"/>
    </row>
    <row r="123" spans="1:14" s="37" customFormat="1" ht="15.75" customHeight="1" x14ac:dyDescent="0.25">
      <c r="A123" s="67">
        <f t="shared" si="8"/>
        <v>5</v>
      </c>
      <c r="B123" s="67"/>
      <c r="C123" s="71"/>
      <c r="D123" s="72"/>
      <c r="E123" s="72"/>
      <c r="F123" s="73"/>
      <c r="G123" s="71"/>
      <c r="H123" s="73"/>
      <c r="I123" s="36" t="s">
        <v>199</v>
      </c>
      <c r="N123" s="36"/>
    </row>
    <row r="124" spans="1:14" s="37" customFormat="1" ht="15.75" customHeight="1" x14ac:dyDescent="0.25">
      <c r="A124" s="67">
        <f t="shared" si="8"/>
        <v>6</v>
      </c>
      <c r="B124" s="67"/>
      <c r="C124" s="74"/>
      <c r="D124" s="75"/>
      <c r="E124" s="75"/>
      <c r="F124" s="76"/>
      <c r="G124" s="71"/>
      <c r="H124" s="73"/>
      <c r="I124" s="36"/>
      <c r="N124" s="36"/>
    </row>
    <row r="125" spans="1:14" s="37" customFormat="1" ht="15.75" customHeight="1" x14ac:dyDescent="0.25">
      <c r="A125" s="67">
        <f t="shared" si="8"/>
        <v>7</v>
      </c>
      <c r="B125" s="67"/>
      <c r="C125" s="42" t="s">
        <v>192</v>
      </c>
      <c r="D125" s="42">
        <f>(39.93)*10.764</f>
        <v>429.80651999999998</v>
      </c>
      <c r="E125" s="42">
        <v>0</v>
      </c>
      <c r="F125" s="42">
        <f>D125*(($F$116)+1)+(IF(E125&lt;101,E125,IF(E125&lt;201,E125/2,IF(E125&lt;=301,E125/3,E125/4))))</f>
        <v>644.70977999999991</v>
      </c>
      <c r="G125" s="71"/>
      <c r="H125" s="73"/>
      <c r="I125" s="36"/>
      <c r="N125" s="36"/>
    </row>
    <row r="126" spans="1:14" s="37" customFormat="1" ht="15.75" customHeight="1" x14ac:dyDescent="0.25">
      <c r="A126" s="67">
        <f t="shared" si="8"/>
        <v>8</v>
      </c>
      <c r="B126" s="67"/>
      <c r="C126" s="42" t="s">
        <v>192</v>
      </c>
      <c r="D126" s="42">
        <f>(39.93)*10.764</f>
        <v>429.80651999999998</v>
      </c>
      <c r="E126" s="42">
        <v>0</v>
      </c>
      <c r="F126" s="42">
        <f>D126*(($F$116)+1)+(IF(E126&lt;101,E126,IF(E126&lt;201,E126/2,IF(E126&lt;=301,E126/3,E126/4))))</f>
        <v>644.70977999999991</v>
      </c>
      <c r="G126" s="74"/>
      <c r="H126" s="76"/>
      <c r="I126" s="36">
        <f>3.05*4.7+2.1*2.4+2.76*3.5+2.12*1.35+1.42*2.15+0.46*1+1.8*0.1+0.6*1.22+3.05*0.9</f>
        <v>39.067</v>
      </c>
      <c r="N126" s="36"/>
    </row>
    <row r="127" spans="1:14" s="37" customFormat="1" x14ac:dyDescent="0.25">
      <c r="A127" s="65" t="s">
        <v>217</v>
      </c>
      <c r="B127" s="65"/>
      <c r="C127" s="65"/>
      <c r="D127" s="65"/>
      <c r="E127" s="65"/>
      <c r="F127" s="65"/>
      <c r="G127" s="65"/>
      <c r="H127" s="65"/>
      <c r="I127" s="36"/>
      <c r="L127" s="66"/>
      <c r="M127" s="66"/>
    </row>
    <row r="128" spans="1:14" s="37" customFormat="1" ht="15.75" customHeight="1" x14ac:dyDescent="0.25">
      <c r="A128" s="67">
        <v>1</v>
      </c>
      <c r="B128" s="67"/>
      <c r="C128" s="42" t="s">
        <v>192</v>
      </c>
      <c r="D128" s="42">
        <f>(39.95)*10.764</f>
        <v>430.02179999999998</v>
      </c>
      <c r="E128" s="42">
        <v>0</v>
      </c>
      <c r="F128" s="42">
        <f t="shared" ref="F128:F129" si="9">D128*(($F$116)+1)+(IF(E128&lt;101,E128,IF(E128&lt;201,E128/2,IF(E128&lt;=301,E128/3,E128/4))))</f>
        <v>645.03269999999998</v>
      </c>
      <c r="G128" s="68" t="str">
        <f>A127</f>
        <v>4th &amp; 5th Floor For Residential &amp; Parking</v>
      </c>
      <c r="H128" s="70"/>
      <c r="I128" s="36">
        <f>5100000/F128</f>
        <v>7906.5758991753446</v>
      </c>
      <c r="N128" s="36"/>
    </row>
    <row r="129" spans="1:14" s="37" customFormat="1" ht="15.75" customHeight="1" x14ac:dyDescent="0.25">
      <c r="A129" s="67">
        <f t="shared" ref="A129:A135" si="10">A128+1</f>
        <v>2</v>
      </c>
      <c r="B129" s="67"/>
      <c r="C129" s="42" t="s">
        <v>192</v>
      </c>
      <c r="D129" s="42">
        <f>(29.67)*10.764</f>
        <v>319.36788000000001</v>
      </c>
      <c r="E129" s="42">
        <v>0</v>
      </c>
      <c r="F129" s="42">
        <f t="shared" si="9"/>
        <v>479.05182000000002</v>
      </c>
      <c r="G129" s="71"/>
      <c r="H129" s="73"/>
      <c r="I129" s="36">
        <f>3.35*2.84+2.12*1.87+3.19*2.73+1.22*1.76+1.22*1.78+0.9*1.87+1.8*0.75</f>
        <v>29.538900000000002</v>
      </c>
      <c r="N129" s="36"/>
    </row>
    <row r="130" spans="1:14" s="37" customFormat="1" ht="15.75" customHeight="1" x14ac:dyDescent="0.25">
      <c r="A130" s="67">
        <f t="shared" si="10"/>
        <v>3</v>
      </c>
      <c r="B130" s="67"/>
      <c r="C130" s="42" t="s">
        <v>192</v>
      </c>
      <c r="D130" s="42">
        <f>(29.67)*10.764</f>
        <v>319.36788000000001</v>
      </c>
      <c r="E130" s="42">
        <v>0</v>
      </c>
      <c r="F130" s="42">
        <f>D130*(($F$116)+1)+(IF(E130&lt;101,E130,IF(E130&lt;201,E130/2,IF(E130&lt;=301,E130/3,E130/4))))</f>
        <v>479.05182000000002</v>
      </c>
      <c r="G130" s="71"/>
      <c r="H130" s="73"/>
      <c r="I130" s="36"/>
      <c r="N130" s="36"/>
    </row>
    <row r="131" spans="1:14" s="37" customFormat="1" ht="15.75" customHeight="1" x14ac:dyDescent="0.25">
      <c r="A131" s="67">
        <f t="shared" si="10"/>
        <v>4</v>
      </c>
      <c r="B131" s="67"/>
      <c r="C131" s="68" t="s">
        <v>193</v>
      </c>
      <c r="D131" s="69"/>
      <c r="E131" s="69"/>
      <c r="F131" s="70"/>
      <c r="G131" s="71"/>
      <c r="H131" s="73"/>
      <c r="I131" s="36"/>
      <c r="N131" s="36"/>
    </row>
    <row r="132" spans="1:14" s="37" customFormat="1" ht="15.75" customHeight="1" x14ac:dyDescent="0.25">
      <c r="A132" s="67">
        <f t="shared" si="10"/>
        <v>5</v>
      </c>
      <c r="B132" s="67"/>
      <c r="C132" s="71"/>
      <c r="D132" s="72"/>
      <c r="E132" s="72"/>
      <c r="F132" s="73"/>
      <c r="G132" s="71"/>
      <c r="H132" s="73"/>
      <c r="I132" s="36" t="s">
        <v>199</v>
      </c>
      <c r="N132" s="36"/>
    </row>
    <row r="133" spans="1:14" s="37" customFormat="1" ht="15.75" customHeight="1" x14ac:dyDescent="0.25">
      <c r="A133" s="67">
        <f t="shared" si="10"/>
        <v>6</v>
      </c>
      <c r="B133" s="67"/>
      <c r="C133" s="74"/>
      <c r="D133" s="75"/>
      <c r="E133" s="75"/>
      <c r="F133" s="76"/>
      <c r="G133" s="71"/>
      <c r="H133" s="73"/>
      <c r="I133" s="36"/>
      <c r="N133" s="36"/>
    </row>
    <row r="134" spans="1:14" s="37" customFormat="1" ht="15.75" customHeight="1" x14ac:dyDescent="0.25">
      <c r="A134" s="67">
        <f t="shared" si="10"/>
        <v>7</v>
      </c>
      <c r="B134" s="67"/>
      <c r="C134" s="42" t="s">
        <v>192</v>
      </c>
      <c r="D134" s="42">
        <f>(39.93)*10.764</f>
        <v>429.80651999999998</v>
      </c>
      <c r="E134" s="42">
        <v>0</v>
      </c>
      <c r="F134" s="42">
        <f>D134*(($F$116)+1)+(IF(E134&lt;101,E134,IF(E134&lt;201,E134/2,IF(E134&lt;=301,E134/3,E134/4))))</f>
        <v>644.70977999999991</v>
      </c>
      <c r="G134" s="71"/>
      <c r="H134" s="73"/>
      <c r="I134" s="36"/>
      <c r="N134" s="36"/>
    </row>
    <row r="135" spans="1:14" s="37" customFormat="1" ht="15.75" customHeight="1" x14ac:dyDescent="0.25">
      <c r="A135" s="67">
        <f t="shared" si="10"/>
        <v>8</v>
      </c>
      <c r="B135" s="67"/>
      <c r="C135" s="42" t="s">
        <v>192</v>
      </c>
      <c r="D135" s="42">
        <f>(39.93)*10.764</f>
        <v>429.80651999999998</v>
      </c>
      <c r="E135" s="42">
        <v>0</v>
      </c>
      <c r="F135" s="42">
        <f>D135*(($F$116)+1)+(IF(E135&lt;101,E135,IF(E135&lt;201,E135/2,IF(E135&lt;=301,E135/3,E135/4))))</f>
        <v>644.70977999999991</v>
      </c>
      <c r="G135" s="74"/>
      <c r="H135" s="76"/>
      <c r="I135" s="36">
        <f>3.05*4.7+2.1*2.4+2.76*3.5+2.12*1.35+1.42*2.15+0.46*1+1.8*0.1+0.6*1.22+3.05*0.9</f>
        <v>39.067</v>
      </c>
      <c r="N135" s="36"/>
    </row>
    <row r="136" spans="1:14" s="37" customFormat="1" ht="37.5" customHeight="1" x14ac:dyDescent="0.25">
      <c r="A136" s="62" t="s">
        <v>218</v>
      </c>
      <c r="B136" s="63"/>
      <c r="C136" s="63"/>
      <c r="D136" s="63"/>
      <c r="E136" s="63"/>
      <c r="F136" s="63"/>
      <c r="G136" s="63"/>
      <c r="H136" s="64"/>
      <c r="I136" s="36">
        <f>1+1+4+4+4+4+4+4</f>
        <v>26</v>
      </c>
    </row>
    <row r="137" spans="1:14" s="37" customFormat="1" ht="15.75" customHeight="1" x14ac:dyDescent="0.25">
      <c r="A137" s="77">
        <v>1</v>
      </c>
      <c r="B137" s="79"/>
      <c r="C137" s="42" t="s">
        <v>192</v>
      </c>
      <c r="D137" s="42">
        <f>(39.95)*10.764</f>
        <v>430.02179999999998</v>
      </c>
      <c r="E137" s="42">
        <v>0</v>
      </c>
      <c r="F137" s="42">
        <f t="shared" ref="F137:F144" si="11">D137*(($F$116)+1)+(IF(E137&lt;101,E137,IF(E137&lt;201,E137/2,IF(E137&lt;=301,E137/3,E137/4))))</f>
        <v>645.03269999999998</v>
      </c>
      <c r="G137" s="68" t="str">
        <f>A136</f>
        <v>6th, 7th, 9th to 12th, 14th to 17th, 19th to 22nd, 24th to 27th, 29th to 32nd &amp; 34th to 37th Floor For Residential</v>
      </c>
      <c r="H137" s="70"/>
      <c r="I137" s="36">
        <f>6300000/F137</f>
        <v>9766.9466989813081</v>
      </c>
      <c r="J137" s="37">
        <f>9000*F137</f>
        <v>5805294.2999999998</v>
      </c>
    </row>
    <row r="138" spans="1:14" s="37" customFormat="1" ht="15.75" customHeight="1" x14ac:dyDescent="0.25">
      <c r="A138" s="77">
        <f>A137+1</f>
        <v>2</v>
      </c>
      <c r="B138" s="79"/>
      <c r="C138" s="42" t="s">
        <v>192</v>
      </c>
      <c r="D138" s="42">
        <f>(29.67)*10.764</f>
        <v>319.36788000000001</v>
      </c>
      <c r="E138" s="42">
        <v>0</v>
      </c>
      <c r="F138" s="42">
        <f t="shared" si="11"/>
        <v>479.05182000000002</v>
      </c>
      <c r="G138" s="71"/>
      <c r="H138" s="73"/>
      <c r="I138" s="36"/>
    </row>
    <row r="139" spans="1:14" s="37" customFormat="1" ht="15.75" customHeight="1" x14ac:dyDescent="0.25">
      <c r="A139" s="77">
        <f t="shared" ref="A139:A144" si="12">A138+1</f>
        <v>3</v>
      </c>
      <c r="B139" s="79"/>
      <c r="C139" s="42" t="s">
        <v>192</v>
      </c>
      <c r="D139" s="42">
        <f>(29.67)*10.764</f>
        <v>319.36788000000001</v>
      </c>
      <c r="E139" s="42">
        <v>0</v>
      </c>
      <c r="F139" s="42">
        <f t="shared" si="11"/>
        <v>479.05182000000002</v>
      </c>
      <c r="G139" s="71"/>
      <c r="H139" s="73"/>
      <c r="I139" s="36"/>
    </row>
    <row r="140" spans="1:14" s="37" customFormat="1" ht="15.75" customHeight="1" x14ac:dyDescent="0.25">
      <c r="A140" s="77">
        <f t="shared" si="12"/>
        <v>4</v>
      </c>
      <c r="B140" s="79"/>
      <c r="C140" s="42" t="s">
        <v>192</v>
      </c>
      <c r="D140" s="42">
        <f t="shared" ref="D140:D142" si="13">(29.67)*10.764</f>
        <v>319.36788000000001</v>
      </c>
      <c r="E140" s="42">
        <v>0</v>
      </c>
      <c r="F140" s="42">
        <f t="shared" si="11"/>
        <v>479.05182000000002</v>
      </c>
      <c r="G140" s="71"/>
      <c r="H140" s="73"/>
      <c r="I140" s="36"/>
    </row>
    <row r="141" spans="1:14" s="37" customFormat="1" ht="15.75" customHeight="1" x14ac:dyDescent="0.25">
      <c r="A141" s="77">
        <f t="shared" si="12"/>
        <v>5</v>
      </c>
      <c r="B141" s="79"/>
      <c r="C141" s="42" t="s">
        <v>192</v>
      </c>
      <c r="D141" s="42">
        <f t="shared" si="13"/>
        <v>319.36788000000001</v>
      </c>
      <c r="E141" s="42">
        <v>0</v>
      </c>
      <c r="F141" s="42">
        <f t="shared" si="11"/>
        <v>479.05182000000002</v>
      </c>
      <c r="G141" s="71"/>
      <c r="H141" s="73"/>
      <c r="I141" s="36"/>
    </row>
    <row r="142" spans="1:14" s="37" customFormat="1" ht="15.75" customHeight="1" x14ac:dyDescent="0.25">
      <c r="A142" s="77">
        <f t="shared" si="12"/>
        <v>6</v>
      </c>
      <c r="B142" s="79"/>
      <c r="C142" s="42" t="s">
        <v>192</v>
      </c>
      <c r="D142" s="42">
        <f t="shared" si="13"/>
        <v>319.36788000000001</v>
      </c>
      <c r="E142" s="42">
        <v>0</v>
      </c>
      <c r="F142" s="42">
        <f t="shared" si="11"/>
        <v>479.05182000000002</v>
      </c>
      <c r="G142" s="71"/>
      <c r="H142" s="73"/>
      <c r="I142" s="36"/>
    </row>
    <row r="143" spans="1:14" s="37" customFormat="1" ht="15.75" customHeight="1" x14ac:dyDescent="0.25">
      <c r="A143" s="77">
        <f t="shared" si="12"/>
        <v>7</v>
      </c>
      <c r="B143" s="79"/>
      <c r="C143" s="42" t="s">
        <v>192</v>
      </c>
      <c r="D143" s="42">
        <f>(39.93)*10.764</f>
        <v>429.80651999999998</v>
      </c>
      <c r="E143" s="42">
        <v>0</v>
      </c>
      <c r="F143" s="42">
        <f t="shared" si="11"/>
        <v>644.70977999999991</v>
      </c>
      <c r="G143" s="71"/>
      <c r="H143" s="73"/>
      <c r="I143" s="36"/>
      <c r="N143" s="36"/>
    </row>
    <row r="144" spans="1:14" s="37" customFormat="1" ht="15.75" customHeight="1" x14ac:dyDescent="0.25">
      <c r="A144" s="77">
        <f t="shared" si="12"/>
        <v>8</v>
      </c>
      <c r="B144" s="79"/>
      <c r="C144" s="42" t="s">
        <v>192</v>
      </c>
      <c r="D144" s="42">
        <f>(39.93)*10.764</f>
        <v>429.80651999999998</v>
      </c>
      <c r="E144" s="42">
        <v>0</v>
      </c>
      <c r="F144" s="42">
        <f t="shared" si="11"/>
        <v>644.70977999999991</v>
      </c>
      <c r="G144" s="74"/>
      <c r="H144" s="76"/>
      <c r="I144" s="36">
        <f>3.05*4.7+2.1*2.4+2.76*3.5+2.12*1.35+1.42*2.15+0.46*1+1.8*0.1+0.6*1.22+3.05*0.9</f>
        <v>39.067</v>
      </c>
      <c r="N144" s="36"/>
    </row>
    <row r="145" spans="1:14" s="37" customFormat="1" ht="15.75" customHeight="1" x14ac:dyDescent="0.25">
      <c r="A145" s="62" t="s">
        <v>219</v>
      </c>
      <c r="B145" s="63"/>
      <c r="C145" s="63"/>
      <c r="D145" s="63"/>
      <c r="E145" s="63"/>
      <c r="F145" s="63"/>
      <c r="G145" s="63"/>
      <c r="H145" s="64"/>
      <c r="I145" s="36">
        <v>6</v>
      </c>
    </row>
    <row r="146" spans="1:14" s="37" customFormat="1" ht="15.75" customHeight="1" x14ac:dyDescent="0.25">
      <c r="A146" s="77">
        <v>1</v>
      </c>
      <c r="B146" s="79"/>
      <c r="C146" s="42" t="s">
        <v>192</v>
      </c>
      <c r="D146" s="42">
        <f>(39.95)*10.764</f>
        <v>430.02179999999998</v>
      </c>
      <c r="E146" s="42">
        <v>0</v>
      </c>
      <c r="F146" s="42">
        <f>D146*(($F$116)+1)+(IF(E146&lt;101,E146,IF(E146&lt;201,E146/2,IF(E146&lt;=301,E146/3,E146/4))))</f>
        <v>645.03269999999998</v>
      </c>
      <c r="G146" s="68" t="str">
        <f>A145</f>
        <v>8th, 13th, 18th, 23rd, 28th &amp; 33rd Floor (Part Refuge Area)</v>
      </c>
      <c r="H146" s="70"/>
      <c r="I146" s="36"/>
    </row>
    <row r="147" spans="1:14" s="37" customFormat="1" ht="15.75" customHeight="1" x14ac:dyDescent="0.25">
      <c r="A147" s="77">
        <v>2</v>
      </c>
      <c r="B147" s="79"/>
      <c r="C147" s="42" t="s">
        <v>192</v>
      </c>
      <c r="D147" s="42">
        <f>(29.67)*10.764</f>
        <v>319.36788000000001</v>
      </c>
      <c r="E147" s="42">
        <v>0</v>
      </c>
      <c r="F147" s="42">
        <f>D147*(($F$116)+1)+(IF(E147&lt;101,E147,IF(E147&lt;201,E147/2,IF(E147&lt;=301,E147/3,E147/4))))</f>
        <v>479.05182000000002</v>
      </c>
      <c r="G147" s="71"/>
      <c r="H147" s="73"/>
      <c r="I147" s="36">
        <f>6290000/F147</f>
        <v>13130.103544956784</v>
      </c>
    </row>
    <row r="148" spans="1:14" s="37" customFormat="1" ht="15.75" customHeight="1" x14ac:dyDescent="0.25">
      <c r="A148" s="77">
        <v>3</v>
      </c>
      <c r="B148" s="79"/>
      <c r="C148" s="42" t="s">
        <v>192</v>
      </c>
      <c r="D148" s="42">
        <f>(29.67)*10.764</f>
        <v>319.36788000000001</v>
      </c>
      <c r="E148" s="42">
        <v>0</v>
      </c>
      <c r="F148" s="42">
        <f>D148*(($F$116)+1)+(IF(E148&lt;101,E148,IF(E148&lt;201,E148/2,IF(E148&lt;=301,E148/3,E148/4))))</f>
        <v>479.05182000000002</v>
      </c>
      <c r="G148" s="71"/>
      <c r="H148" s="73"/>
      <c r="I148" s="36"/>
    </row>
    <row r="149" spans="1:14" s="37" customFormat="1" ht="15.75" customHeight="1" x14ac:dyDescent="0.25">
      <c r="A149" s="77">
        <v>4</v>
      </c>
      <c r="B149" s="79"/>
      <c r="C149" s="42" t="s">
        <v>192</v>
      </c>
      <c r="D149" s="42">
        <f t="shared" ref="D149" si="14">(29.67)*10.764</f>
        <v>319.36788000000001</v>
      </c>
      <c r="E149" s="42">
        <v>0</v>
      </c>
      <c r="F149" s="42">
        <f>D149*(($F$116)+1)+(IF(E149&lt;101,E149,IF(E149&lt;201,E149/2,IF(E149&lt;=301,E149/3,E149/4))))</f>
        <v>479.05182000000002</v>
      </c>
      <c r="G149" s="71"/>
      <c r="H149" s="73"/>
      <c r="I149" s="36"/>
    </row>
    <row r="150" spans="1:14" s="37" customFormat="1" ht="15.75" customHeight="1" x14ac:dyDescent="0.25">
      <c r="A150" s="77">
        <v>5</v>
      </c>
      <c r="B150" s="79"/>
      <c r="C150" s="77" t="s">
        <v>194</v>
      </c>
      <c r="D150" s="78"/>
      <c r="E150" s="78"/>
      <c r="F150" s="79"/>
      <c r="G150" s="71"/>
      <c r="H150" s="73"/>
      <c r="I150" s="36"/>
    </row>
    <row r="151" spans="1:14" s="37" customFormat="1" ht="15.75" customHeight="1" x14ac:dyDescent="0.25">
      <c r="A151" s="77">
        <v>6</v>
      </c>
      <c r="B151" s="79"/>
      <c r="C151" s="42" t="s">
        <v>192</v>
      </c>
      <c r="D151" s="42">
        <f t="shared" ref="D151" si="15">(29.67)*10.764</f>
        <v>319.36788000000001</v>
      </c>
      <c r="E151" s="42">
        <v>0</v>
      </c>
      <c r="F151" s="42">
        <f>D151*(($F$116)+1)+(IF(E151&lt;101,E151,IF(E151&lt;201,E151/2,IF(E151&lt;=301,E151/3,E151/4))))</f>
        <v>479.05182000000002</v>
      </c>
      <c r="G151" s="71"/>
      <c r="H151" s="73"/>
      <c r="I151" s="36"/>
    </row>
    <row r="152" spans="1:14" s="37" customFormat="1" ht="15.75" customHeight="1" x14ac:dyDescent="0.25">
      <c r="A152" s="67">
        <v>7</v>
      </c>
      <c r="B152" s="67"/>
      <c r="C152" s="42" t="s">
        <v>192</v>
      </c>
      <c r="D152" s="42">
        <f>(39.93)*10.764</f>
        <v>429.80651999999998</v>
      </c>
      <c r="E152" s="42">
        <v>0</v>
      </c>
      <c r="F152" s="42">
        <f>D152*(($F$116)+1)+(IF(E152&lt;101,E152,IF(E152&lt;201,E152/2,IF(E152&lt;=301,E152/3,E152/4))))</f>
        <v>644.70977999999991</v>
      </c>
      <c r="G152" s="71"/>
      <c r="H152" s="73"/>
      <c r="I152" s="36"/>
      <c r="N152" s="36"/>
    </row>
    <row r="153" spans="1:14" s="37" customFormat="1" ht="15.75" customHeight="1" x14ac:dyDescent="0.25">
      <c r="A153" s="67">
        <f>A152+1</f>
        <v>8</v>
      </c>
      <c r="B153" s="67"/>
      <c r="C153" s="42" t="s">
        <v>192</v>
      </c>
      <c r="D153" s="42">
        <f>(39.93)*10.764</f>
        <v>429.80651999999998</v>
      </c>
      <c r="E153" s="42">
        <v>0</v>
      </c>
      <c r="F153" s="42">
        <f>D153*(($F$116)+1)+(IF(E153&lt;101,E153,IF(E153&lt;201,E153/2,IF(E153&lt;=301,E153/3,E153/4))))</f>
        <v>644.70977999999991</v>
      </c>
      <c r="G153" s="74"/>
      <c r="H153" s="76"/>
      <c r="I153" s="36"/>
      <c r="N153" s="36"/>
    </row>
    <row r="154" spans="1:14" s="35" customFormat="1" x14ac:dyDescent="0.25">
      <c r="A154" s="143" t="s">
        <v>72</v>
      </c>
      <c r="B154" s="143"/>
      <c r="C154" s="143"/>
      <c r="D154" s="143"/>
      <c r="E154" s="143"/>
      <c r="F154" s="143"/>
      <c r="G154" s="143"/>
      <c r="H154" s="143"/>
    </row>
    <row r="155" spans="1:14" s="35" customFormat="1" x14ac:dyDescent="0.25">
      <c r="A155" s="47" t="s">
        <v>161</v>
      </c>
      <c r="B155" s="59" t="s">
        <v>225</v>
      </c>
      <c r="C155" s="60"/>
      <c r="D155" s="60"/>
      <c r="E155" s="60"/>
      <c r="F155" s="60"/>
      <c r="G155" s="60"/>
      <c r="H155" s="61"/>
    </row>
    <row r="156" spans="1:14" s="35" customFormat="1" x14ac:dyDescent="0.25">
      <c r="A156" s="47" t="s">
        <v>161</v>
      </c>
      <c r="B156" s="59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156" s="60"/>
      <c r="D156" s="60"/>
      <c r="E156" s="60"/>
      <c r="F156" s="60"/>
      <c r="G156" s="60"/>
      <c r="H156" s="61"/>
    </row>
    <row r="157" spans="1:14" s="35" customFormat="1" x14ac:dyDescent="0.25">
      <c r="A157" s="47" t="s">
        <v>161</v>
      </c>
      <c r="B157" s="59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7" s="60"/>
      <c r="D157" s="60"/>
      <c r="E157" s="60"/>
      <c r="F157" s="60"/>
      <c r="G157" s="60"/>
      <c r="H157" s="61"/>
    </row>
    <row r="158" spans="1:14" s="35" customFormat="1" x14ac:dyDescent="0.25">
      <c r="A158" s="47" t="s">
        <v>161</v>
      </c>
      <c r="B158" s="140" t="s">
        <v>132</v>
      </c>
      <c r="C158" s="141"/>
      <c r="D158" s="141"/>
      <c r="E158" s="141"/>
      <c r="F158" s="141"/>
      <c r="G158" s="141"/>
      <c r="H158" s="142"/>
    </row>
    <row r="159" spans="1:14" s="35" customFormat="1" x14ac:dyDescent="0.25">
      <c r="A159" s="47" t="s">
        <v>161</v>
      </c>
      <c r="B159" s="140" t="s">
        <v>200</v>
      </c>
      <c r="C159" s="141"/>
      <c r="D159" s="141"/>
      <c r="E159" s="141"/>
      <c r="F159" s="141"/>
      <c r="G159" s="141"/>
      <c r="H159" s="142"/>
    </row>
    <row r="160" spans="1:14" s="35" customFormat="1" x14ac:dyDescent="0.25">
      <c r="A160" s="47" t="s">
        <v>161</v>
      </c>
      <c r="B160" s="140" t="s">
        <v>160</v>
      </c>
      <c r="C160" s="141"/>
      <c r="D160" s="141"/>
      <c r="E160" s="141"/>
      <c r="F160" s="141"/>
      <c r="G160" s="141"/>
      <c r="H160" s="142"/>
    </row>
    <row r="161" spans="1:8" s="35" customFormat="1" x14ac:dyDescent="0.25">
      <c r="A161" s="47" t="s">
        <v>161</v>
      </c>
      <c r="B161" s="140" t="s">
        <v>133</v>
      </c>
      <c r="C161" s="141"/>
      <c r="D161" s="141"/>
      <c r="E161" s="141"/>
      <c r="F161" s="141"/>
      <c r="G161" s="141"/>
      <c r="H161" s="142"/>
    </row>
    <row r="162" spans="1:8" s="35" customFormat="1" ht="34.5" customHeight="1" x14ac:dyDescent="0.25">
      <c r="A162" s="47" t="s">
        <v>161</v>
      </c>
      <c r="B162" s="140" t="s">
        <v>162</v>
      </c>
      <c r="C162" s="141"/>
      <c r="D162" s="141"/>
      <c r="E162" s="141"/>
      <c r="F162" s="141"/>
      <c r="G162" s="141"/>
      <c r="H162" s="142"/>
    </row>
    <row r="163" spans="1:8" s="35" customFormat="1" x14ac:dyDescent="0.25">
      <c r="A163" s="47" t="s">
        <v>161</v>
      </c>
      <c r="B163" s="140" t="s">
        <v>134</v>
      </c>
      <c r="C163" s="141"/>
      <c r="D163" s="141"/>
      <c r="E163" s="141"/>
      <c r="F163" s="141"/>
      <c r="G163" s="141"/>
      <c r="H163" s="142"/>
    </row>
    <row r="164" spans="1:8" s="35" customFormat="1" x14ac:dyDescent="0.25">
      <c r="A164" s="47" t="s">
        <v>161</v>
      </c>
      <c r="B164" s="59" t="s">
        <v>211</v>
      </c>
      <c r="C164" s="60"/>
      <c r="D164" s="60"/>
      <c r="E164" s="60"/>
      <c r="F164" s="60"/>
      <c r="G164" s="60"/>
      <c r="H164" s="61"/>
    </row>
    <row r="165" spans="1:8" s="35" customFormat="1" hidden="1" x14ac:dyDescent="0.25">
      <c r="A165" s="47" t="s">
        <v>161</v>
      </c>
      <c r="B165" s="59" t="s">
        <v>195</v>
      </c>
      <c r="C165" s="60"/>
      <c r="D165" s="60"/>
      <c r="E165" s="60"/>
      <c r="F165" s="60"/>
      <c r="G165" s="60"/>
      <c r="H165" s="61"/>
    </row>
    <row r="166" spans="1:8" x14ac:dyDescent="0.25">
      <c r="A166" s="139" t="s">
        <v>65</v>
      </c>
      <c r="B166" s="139"/>
      <c r="C166" s="139"/>
      <c r="D166" s="139"/>
      <c r="E166" s="139"/>
      <c r="F166" s="139"/>
      <c r="G166" s="139"/>
      <c r="H166" s="139"/>
    </row>
    <row r="167" spans="1:8" x14ac:dyDescent="0.25">
      <c r="A167" s="87" t="s">
        <v>66</v>
      </c>
      <c r="B167" s="87"/>
      <c r="C167" s="87"/>
      <c r="D167" s="87"/>
      <c r="E167" s="87"/>
      <c r="F167" s="87"/>
      <c r="G167" s="87"/>
      <c r="H167" s="87"/>
    </row>
    <row r="168" spans="1:8" ht="15.75" customHeight="1" x14ac:dyDescent="0.25">
      <c r="A168" s="93" t="s">
        <v>67</v>
      </c>
      <c r="B168" s="93"/>
      <c r="C168" s="93"/>
      <c r="D168" s="93"/>
      <c r="E168" s="93"/>
      <c r="F168" s="93"/>
      <c r="G168" s="93"/>
      <c r="H168" s="93"/>
    </row>
    <row r="169" spans="1:8" x14ac:dyDescent="0.25">
      <c r="A169" s="87" t="s">
        <v>68</v>
      </c>
      <c r="B169" s="87"/>
      <c r="C169" s="87"/>
      <c r="D169" s="87"/>
      <c r="E169" s="87"/>
      <c r="F169" s="87"/>
      <c r="G169" s="87"/>
      <c r="H169" s="87"/>
    </row>
    <row r="170" spans="1:8" x14ac:dyDescent="0.25">
      <c r="A170" s="87" t="s">
        <v>69</v>
      </c>
      <c r="B170" s="87"/>
      <c r="C170" s="87"/>
      <c r="D170" s="87"/>
      <c r="E170" s="87"/>
      <c r="F170" s="87"/>
      <c r="G170" s="87"/>
      <c r="H170" s="87"/>
    </row>
    <row r="171" spans="1:8" x14ac:dyDescent="0.25">
      <c r="A171" s="87" t="s">
        <v>135</v>
      </c>
      <c r="B171" s="87"/>
      <c r="C171" s="87"/>
      <c r="D171" s="87"/>
      <c r="E171" s="87"/>
      <c r="F171" s="87"/>
      <c r="G171" s="87"/>
      <c r="H171" s="87"/>
    </row>
    <row r="172" spans="1:8" ht="33" hidden="1" customHeight="1" x14ac:dyDescent="0.25">
      <c r="A172" s="89" t="s">
        <v>136</v>
      </c>
      <c r="B172" s="89"/>
      <c r="C172" s="89"/>
      <c r="D172" s="89"/>
      <c r="E172" s="89"/>
      <c r="F172" s="89"/>
      <c r="G172" s="89"/>
      <c r="H172" s="89"/>
    </row>
    <row r="173" spans="1:8" x14ac:dyDescent="0.25">
      <c r="A173" s="145" t="s">
        <v>82</v>
      </c>
      <c r="B173" s="145"/>
      <c r="C173" s="145" t="s">
        <v>196</v>
      </c>
      <c r="D173" s="145"/>
      <c r="E173" s="145" t="s">
        <v>112</v>
      </c>
      <c r="F173" s="145"/>
      <c r="G173" s="145" t="s">
        <v>226</v>
      </c>
      <c r="H173" s="145"/>
    </row>
    <row r="174" spans="1:8" x14ac:dyDescent="0.25">
      <c r="A174" s="144" t="s">
        <v>84</v>
      </c>
      <c r="B174" s="144"/>
      <c r="C174" s="144"/>
      <c r="D174" s="144"/>
      <c r="E174" s="144"/>
      <c r="F174" s="144"/>
      <c r="G174" s="144"/>
      <c r="H174" s="144"/>
    </row>
    <row r="175" spans="1:8" x14ac:dyDescent="0.25">
      <c r="A175" s="144"/>
      <c r="B175" s="144"/>
      <c r="C175" s="144"/>
      <c r="D175" s="144"/>
      <c r="E175" s="144"/>
      <c r="F175" s="144"/>
      <c r="G175" s="144"/>
      <c r="H175" s="144"/>
    </row>
    <row r="176" spans="1:8" x14ac:dyDescent="0.25">
      <c r="A176" s="144"/>
      <c r="B176" s="144"/>
      <c r="C176" s="144"/>
      <c r="D176" s="144"/>
      <c r="E176" s="144"/>
      <c r="F176" s="144"/>
      <c r="G176" s="144"/>
      <c r="H176" s="144"/>
    </row>
    <row r="177" spans="1:8" x14ac:dyDescent="0.25">
      <c r="A177" s="144"/>
      <c r="B177" s="144"/>
      <c r="C177" s="144"/>
      <c r="D177" s="144"/>
      <c r="E177" s="144"/>
      <c r="F177" s="144"/>
      <c r="G177" s="144"/>
      <c r="H177" s="144"/>
    </row>
    <row r="178" spans="1:8" x14ac:dyDescent="0.25">
      <c r="A178" s="38" t="s">
        <v>70</v>
      </c>
      <c r="B178" s="39"/>
      <c r="C178" s="39"/>
      <c r="D178" s="38" t="str">
        <f>E8</f>
        <v>Nova D1</v>
      </c>
      <c r="F178" s="39"/>
      <c r="G178" s="39"/>
      <c r="H178" s="39"/>
    </row>
    <row r="179" spans="1:8" x14ac:dyDescent="0.25">
      <c r="A179" s="39"/>
      <c r="B179" s="39"/>
      <c r="C179" s="39"/>
      <c r="D179" s="39"/>
      <c r="E179" s="39"/>
      <c r="F179" s="39"/>
      <c r="G179" s="39"/>
      <c r="H179" s="39"/>
    </row>
    <row r="180" spans="1:8" x14ac:dyDescent="0.25">
      <c r="A180" s="39"/>
      <c r="B180" s="39"/>
      <c r="C180" s="39"/>
      <c r="D180" s="39"/>
      <c r="E180" s="39"/>
      <c r="F180" s="39"/>
      <c r="G180" s="39"/>
      <c r="H180" s="39"/>
    </row>
    <row r="181" spans="1:8" ht="15" customHeight="1" x14ac:dyDescent="0.25"/>
    <row r="216" spans="1:1" x14ac:dyDescent="0.25">
      <c r="A216" s="41" t="s">
        <v>220</v>
      </c>
    </row>
    <row r="249" spans="1:1" x14ac:dyDescent="0.25">
      <c r="A249" s="41" t="s">
        <v>71</v>
      </c>
    </row>
  </sheetData>
  <mergeCells count="318">
    <mergeCell ref="A37:B37"/>
    <mergeCell ref="C37:H37"/>
    <mergeCell ref="B162:H162"/>
    <mergeCell ref="A46:B46"/>
    <mergeCell ref="C46:H46"/>
    <mergeCell ref="B160:H160"/>
    <mergeCell ref="F80:H80"/>
    <mergeCell ref="A80:E80"/>
    <mergeCell ref="D101:D102"/>
    <mergeCell ref="A82:E82"/>
    <mergeCell ref="A105:B105"/>
    <mergeCell ref="A106:B106"/>
    <mergeCell ref="A107:B107"/>
    <mergeCell ref="A108:B108"/>
    <mergeCell ref="A83:E83"/>
    <mergeCell ref="A39:D39"/>
    <mergeCell ref="E39:H39"/>
    <mergeCell ref="G48:H48"/>
    <mergeCell ref="A49:B50"/>
    <mergeCell ref="A74:B74"/>
    <mergeCell ref="A67:B67"/>
    <mergeCell ref="A70:B70"/>
    <mergeCell ref="A66:B66"/>
    <mergeCell ref="A64:B64"/>
    <mergeCell ref="A75:B75"/>
    <mergeCell ref="C97:D97"/>
    <mergeCell ref="E97:F97"/>
    <mergeCell ref="G97:H97"/>
    <mergeCell ref="F85:H85"/>
    <mergeCell ref="A79:E79"/>
    <mergeCell ref="A104:H104"/>
    <mergeCell ref="E101:E102"/>
    <mergeCell ref="G101:H102"/>
    <mergeCell ref="F78:H78"/>
    <mergeCell ref="F83:H83"/>
    <mergeCell ref="A84:E84"/>
    <mergeCell ref="F84:H84"/>
    <mergeCell ref="A85:E85"/>
    <mergeCell ref="A87:E87"/>
    <mergeCell ref="F81:H81"/>
    <mergeCell ref="A86:E86"/>
    <mergeCell ref="A81:E81"/>
    <mergeCell ref="A78:E78"/>
    <mergeCell ref="F82:H82"/>
    <mergeCell ref="A98:B98"/>
    <mergeCell ref="C98:D98"/>
    <mergeCell ref="E98:F98"/>
    <mergeCell ref="G98:H98"/>
    <mergeCell ref="A35:H35"/>
    <mergeCell ref="A34:B34"/>
    <mergeCell ref="C34:E34"/>
    <mergeCell ref="F31:H31"/>
    <mergeCell ref="F32:H32"/>
    <mergeCell ref="A38:H38"/>
    <mergeCell ref="A57:C57"/>
    <mergeCell ref="A58:C58"/>
    <mergeCell ref="D57:H57"/>
    <mergeCell ref="D58:H58"/>
    <mergeCell ref="A41:D41"/>
    <mergeCell ref="E41:H41"/>
    <mergeCell ref="E42:H42"/>
    <mergeCell ref="E43:H43"/>
    <mergeCell ref="E44:H44"/>
    <mergeCell ref="A42:D42"/>
    <mergeCell ref="F34:H34"/>
    <mergeCell ref="A36:B36"/>
    <mergeCell ref="E36:F36"/>
    <mergeCell ref="C36:D36"/>
    <mergeCell ref="G36:H36"/>
    <mergeCell ref="A43:D43"/>
    <mergeCell ref="A44:D44"/>
    <mergeCell ref="A45:H45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8:B48"/>
    <mergeCell ref="A52:H52"/>
    <mergeCell ref="A53:C53"/>
    <mergeCell ref="A54:C54"/>
    <mergeCell ref="A174:H177"/>
    <mergeCell ref="A173:B173"/>
    <mergeCell ref="E173:F173"/>
    <mergeCell ref="C173:D173"/>
    <mergeCell ref="G173:H173"/>
    <mergeCell ref="A92:H92"/>
    <mergeCell ref="A90:E90"/>
    <mergeCell ref="F90:H90"/>
    <mergeCell ref="A91:E91"/>
    <mergeCell ref="F91:H91"/>
    <mergeCell ref="A118:H118"/>
    <mergeCell ref="A97:B97"/>
    <mergeCell ref="A139:B139"/>
    <mergeCell ref="A94:B94"/>
    <mergeCell ref="A169:H169"/>
    <mergeCell ref="A95:H95"/>
    <mergeCell ref="A172:H172"/>
    <mergeCell ref="A170:H170"/>
    <mergeCell ref="A114:H114"/>
    <mergeCell ref="C64:H64"/>
    <mergeCell ref="A166:H166"/>
    <mergeCell ref="A167:H167"/>
    <mergeCell ref="E96:F96"/>
    <mergeCell ref="B163:H163"/>
    <mergeCell ref="B165:H165"/>
    <mergeCell ref="G107:H107"/>
    <mergeCell ref="G105:H105"/>
    <mergeCell ref="G106:H106"/>
    <mergeCell ref="G108:H108"/>
    <mergeCell ref="B161:H161"/>
    <mergeCell ref="B157:H157"/>
    <mergeCell ref="A124:B124"/>
    <mergeCell ref="A141:B141"/>
    <mergeCell ref="B155:H155"/>
    <mergeCell ref="B156:H156"/>
    <mergeCell ref="B158:H158"/>
    <mergeCell ref="B159:H159"/>
    <mergeCell ref="A154:H154"/>
    <mergeCell ref="A140:B140"/>
    <mergeCell ref="C122:F124"/>
    <mergeCell ref="A137:B137"/>
    <mergeCell ref="C96:D96"/>
    <mergeCell ref="G96:H96"/>
    <mergeCell ref="A99:H99"/>
    <mergeCell ref="A115:A116"/>
    <mergeCell ref="A123:B123"/>
    <mergeCell ref="A120:B120"/>
    <mergeCell ref="A121:B121"/>
    <mergeCell ref="A122:B122"/>
    <mergeCell ref="A100:H100"/>
    <mergeCell ref="G93:H93"/>
    <mergeCell ref="A88:E88"/>
    <mergeCell ref="C94:D94"/>
    <mergeCell ref="E94:F94"/>
    <mergeCell ref="B101:B102"/>
    <mergeCell ref="A101:A102"/>
    <mergeCell ref="C115:C116"/>
    <mergeCell ref="A109:B109"/>
    <mergeCell ref="G109:H109"/>
    <mergeCell ref="A113:H113"/>
    <mergeCell ref="C101:C102"/>
    <mergeCell ref="B115:B116"/>
    <mergeCell ref="F88:H88"/>
    <mergeCell ref="C50:H50"/>
    <mergeCell ref="E93:F93"/>
    <mergeCell ref="A61:C61"/>
    <mergeCell ref="D61:H61"/>
    <mergeCell ref="A62:C62"/>
    <mergeCell ref="D62:H62"/>
    <mergeCell ref="A68:B68"/>
    <mergeCell ref="G67:H67"/>
    <mergeCell ref="E68:F77"/>
    <mergeCell ref="G68:H77"/>
    <mergeCell ref="A76:B76"/>
    <mergeCell ref="A77:B77"/>
    <mergeCell ref="D55:H55"/>
    <mergeCell ref="A55:C55"/>
    <mergeCell ref="C51:E51"/>
    <mergeCell ref="A72:B72"/>
    <mergeCell ref="A59:C59"/>
    <mergeCell ref="D59:H59"/>
    <mergeCell ref="C66:H66"/>
    <mergeCell ref="A69:B69"/>
    <mergeCell ref="A71:B71"/>
    <mergeCell ref="A93:B93"/>
    <mergeCell ref="F86:H86"/>
    <mergeCell ref="C93:D93"/>
    <mergeCell ref="A15:B15"/>
    <mergeCell ref="C15:H15"/>
    <mergeCell ref="E40:H40"/>
    <mergeCell ref="A40:D40"/>
    <mergeCell ref="A171:H171"/>
    <mergeCell ref="A168:H168"/>
    <mergeCell ref="A119:B119"/>
    <mergeCell ref="A96:B96"/>
    <mergeCell ref="D115:D116"/>
    <mergeCell ref="E115:E116"/>
    <mergeCell ref="G115:H116"/>
    <mergeCell ref="A73:B73"/>
    <mergeCell ref="F79:H79"/>
    <mergeCell ref="G94:H94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A89:E89"/>
    <mergeCell ref="A51:B51"/>
    <mergeCell ref="L109:M109"/>
    <mergeCell ref="A110:B110"/>
    <mergeCell ref="G110:H110"/>
    <mergeCell ref="L110:M110"/>
    <mergeCell ref="A111:B111"/>
    <mergeCell ref="G111:H111"/>
    <mergeCell ref="L111:M111"/>
    <mergeCell ref="A112:B112"/>
    <mergeCell ref="G112:H112"/>
    <mergeCell ref="L112:M112"/>
    <mergeCell ref="E67:F67"/>
    <mergeCell ref="D54:H54"/>
    <mergeCell ref="G51:H51"/>
    <mergeCell ref="F89:H89"/>
    <mergeCell ref="F87:H87"/>
    <mergeCell ref="A60:C60"/>
    <mergeCell ref="D60:H60"/>
    <mergeCell ref="A63:C63"/>
    <mergeCell ref="D63:H63"/>
    <mergeCell ref="L108:M108"/>
    <mergeCell ref="L107:M107"/>
    <mergeCell ref="L106:M106"/>
    <mergeCell ref="L105:M105"/>
    <mergeCell ref="A151:B151"/>
    <mergeCell ref="A143:B143"/>
    <mergeCell ref="A144:B144"/>
    <mergeCell ref="A142:B142"/>
    <mergeCell ref="A145:H145"/>
    <mergeCell ref="A146:B146"/>
    <mergeCell ref="A125:B125"/>
    <mergeCell ref="A126:B126"/>
    <mergeCell ref="G128:H135"/>
    <mergeCell ref="G137:H144"/>
    <mergeCell ref="G146:H153"/>
    <mergeCell ref="A138:B138"/>
    <mergeCell ref="A136:H136"/>
    <mergeCell ref="B164:H164"/>
    <mergeCell ref="A103:H103"/>
    <mergeCell ref="A117:H117"/>
    <mergeCell ref="L117:M117"/>
    <mergeCell ref="A127:H127"/>
    <mergeCell ref="L127:M127"/>
    <mergeCell ref="A128:B128"/>
    <mergeCell ref="A129:B129"/>
    <mergeCell ref="A130:B130"/>
    <mergeCell ref="A131:B131"/>
    <mergeCell ref="C131:F133"/>
    <mergeCell ref="A132:B132"/>
    <mergeCell ref="A133:B133"/>
    <mergeCell ref="A134:B134"/>
    <mergeCell ref="A135:B135"/>
    <mergeCell ref="G119:H126"/>
    <mergeCell ref="A152:B152"/>
    <mergeCell ref="A153:B153"/>
    <mergeCell ref="C150:F150"/>
    <mergeCell ref="A147:B147"/>
    <mergeCell ref="A148:B148"/>
    <mergeCell ref="L118:M118"/>
    <mergeCell ref="A149:B149"/>
    <mergeCell ref="A150:B150"/>
  </mergeCells>
  <hyperlinks>
    <hyperlink ref="C37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7" max="16383" man="1"/>
    <brk id="153" max="16383" man="1"/>
    <brk id="177" max="16383" man="1"/>
    <brk id="215" max="16383" man="1"/>
    <brk id="24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8" t="s">
        <v>113</v>
      </c>
      <c r="C3" s="178"/>
      <c r="D3" s="178"/>
      <c r="E3" s="178"/>
      <c r="F3" s="178"/>
      <c r="G3" s="178"/>
      <c r="H3" s="178"/>
    </row>
    <row r="4" spans="1:9" x14ac:dyDescent="0.25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25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2025-08-19T10:02:19Z</cp:lastPrinted>
  <dcterms:created xsi:type="dcterms:W3CDTF">2019-07-16T09:29:46Z</dcterms:created>
  <dcterms:modified xsi:type="dcterms:W3CDTF">2025-08-19T10:03:09Z</dcterms:modified>
</cp:coreProperties>
</file>