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D:\aug 25\AXIS\DUMP\"/>
    </mc:Choice>
  </mc:AlternateContent>
  <xr:revisionPtr revIDLastSave="0" documentId="13_ncr:1_{DD01B451-2A6C-4DDE-84DC-4897586487FC}" xr6:coauthVersionLast="47" xr6:coauthVersionMax="47" xr10:uidLastSave="{00000000-0000-0000-0000-000000000000}"/>
  <bookViews>
    <workbookView xWindow="-120" yWindow="-120" windowWidth="20730" windowHeight="11160"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Report!$A$1:$H$696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1" i="1" l="1"/>
  <c r="J362" i="1"/>
  <c r="D377" i="1"/>
  <c r="D372" i="1"/>
  <c r="D368" i="1"/>
  <c r="D359" i="1"/>
  <c r="D363" i="1" l="1"/>
  <c r="D354" i="1"/>
  <c r="D346" i="1"/>
  <c r="D451" i="1"/>
  <c r="D450" i="1"/>
  <c r="E345" i="1"/>
  <c r="E360" i="1"/>
  <c r="E359" i="1"/>
  <c r="E358" i="1"/>
  <c r="E357" i="1"/>
  <c r="E356" i="1"/>
  <c r="E355" i="1"/>
  <c r="E354" i="1"/>
  <c r="E353" i="1"/>
  <c r="E369" i="1"/>
  <c r="E368" i="1"/>
  <c r="E367" i="1"/>
  <c r="E366" i="1"/>
  <c r="E365" i="1"/>
  <c r="E364" i="1"/>
  <c r="E363" i="1"/>
  <c r="E378" i="1"/>
  <c r="E377" i="1"/>
  <c r="E376" i="1"/>
  <c r="E375" i="1"/>
  <c r="E374" i="1"/>
  <c r="E373" i="1"/>
  <c r="E372" i="1"/>
  <c r="E371" i="1"/>
  <c r="E517" i="1"/>
  <c r="E516" i="1"/>
  <c r="E515" i="1"/>
  <c r="E514" i="1"/>
  <c r="E513" i="1"/>
  <c r="E512" i="1"/>
  <c r="E510" i="1"/>
  <c r="E509" i="1"/>
  <c r="E508" i="1"/>
  <c r="E507" i="1"/>
  <c r="E506" i="1"/>
  <c r="E505" i="1"/>
  <c r="E503" i="1"/>
  <c r="E502" i="1"/>
  <c r="E501" i="1"/>
  <c r="E500" i="1"/>
  <c r="E499" i="1"/>
  <c r="E498" i="1"/>
  <c r="E493" i="1"/>
  <c r="E492" i="1"/>
  <c r="E491" i="1"/>
  <c r="E486" i="1"/>
  <c r="E485" i="1"/>
  <c r="E484" i="1"/>
  <c r="E479" i="1"/>
  <c r="E478" i="1"/>
  <c r="E477" i="1"/>
  <c r="E472" i="1"/>
  <c r="E471" i="1"/>
  <c r="E470" i="1"/>
  <c r="E465" i="1"/>
  <c r="E464" i="1"/>
  <c r="E463" i="1"/>
  <c r="E458" i="1"/>
  <c r="E457" i="1"/>
  <c r="E456" i="1"/>
  <c r="E452" i="1"/>
  <c r="E451" i="1"/>
  <c r="E450" i="1"/>
  <c r="E449" i="1"/>
  <c r="E448" i="1"/>
  <c r="E447" i="1"/>
  <c r="E446" i="1"/>
  <c r="E444" i="1"/>
  <c r="E443" i="1"/>
  <c r="E442" i="1"/>
  <c r="E441" i="1"/>
  <c r="E440" i="1"/>
  <c r="E438" i="1"/>
  <c r="E436" i="1"/>
  <c r="E435" i="1"/>
  <c r="E434" i="1"/>
  <c r="E433" i="1"/>
  <c r="E432" i="1"/>
  <c r="E431" i="1"/>
  <c r="E430" i="1"/>
  <c r="E426" i="1"/>
  <c r="E425" i="1"/>
  <c r="E424" i="1"/>
  <c r="E418" i="1"/>
  <c r="E417" i="1"/>
  <c r="E416" i="1"/>
  <c r="E410" i="1"/>
  <c r="E409" i="1"/>
  <c r="E408" i="1"/>
  <c r="E402" i="1"/>
  <c r="E401" i="1"/>
  <c r="E400" i="1"/>
  <c r="E394" i="1"/>
  <c r="E393" i="1"/>
  <c r="E392" i="1"/>
  <c r="E386" i="1"/>
  <c r="E385" i="1"/>
  <c r="E384" i="1"/>
  <c r="E43" i="1" l="1"/>
  <c r="D334" i="1" l="1"/>
  <c r="D333" i="1"/>
  <c r="F333" i="1" s="1"/>
  <c r="H333" i="1" s="1"/>
  <c r="D332" i="1"/>
  <c r="F332" i="1" s="1"/>
  <c r="H332" i="1" s="1"/>
  <c r="D331" i="1"/>
  <c r="D330" i="1"/>
  <c r="F330" i="1" s="1"/>
  <c r="H330" i="1" s="1"/>
  <c r="D329" i="1"/>
  <c r="F329" i="1" s="1"/>
  <c r="H329" i="1" s="1"/>
  <c r="D328" i="1"/>
  <c r="F328" i="1" s="1"/>
  <c r="H328" i="1" s="1"/>
  <c r="D327" i="1"/>
  <c r="F327" i="1" s="1"/>
  <c r="H327" i="1" s="1"/>
  <c r="D326" i="1"/>
  <c r="F326" i="1" s="1"/>
  <c r="H326" i="1" s="1"/>
  <c r="D325" i="1"/>
  <c r="F325" i="1" s="1"/>
  <c r="H325" i="1" s="1"/>
  <c r="D324" i="1"/>
  <c r="F324" i="1" s="1"/>
  <c r="H324" i="1" s="1"/>
  <c r="D323" i="1"/>
  <c r="D322" i="1"/>
  <c r="F322" i="1" s="1"/>
  <c r="H322" i="1" s="1"/>
  <c r="D321" i="1"/>
  <c r="F321" i="1" s="1"/>
  <c r="H321" i="1" s="1"/>
  <c r="D320" i="1"/>
  <c r="F320" i="1" s="1"/>
  <c r="H320" i="1" s="1"/>
  <c r="D319" i="1"/>
  <c r="F319" i="1" s="1"/>
  <c r="H319" i="1" s="1"/>
  <c r="D318" i="1"/>
  <c r="D317" i="1"/>
  <c r="F317" i="1" s="1"/>
  <c r="H317" i="1" s="1"/>
  <c r="D316" i="1"/>
  <c r="F316" i="1" s="1"/>
  <c r="H316" i="1" s="1"/>
  <c r="D294" i="1"/>
  <c r="D293" i="1"/>
  <c r="D292" i="1"/>
  <c r="D291" i="1"/>
  <c r="F291" i="1" s="1"/>
  <c r="H291" i="1" s="1"/>
  <c r="D290" i="1"/>
  <c r="F290" i="1" s="1"/>
  <c r="H290" i="1" s="1"/>
  <c r="D289" i="1"/>
  <c r="F289" i="1" s="1"/>
  <c r="H289" i="1" s="1"/>
  <c r="D288" i="1"/>
  <c r="F288" i="1" s="1"/>
  <c r="H288" i="1" s="1"/>
  <c r="D287" i="1"/>
  <c r="F287" i="1" s="1"/>
  <c r="H287" i="1" s="1"/>
  <c r="D286" i="1"/>
  <c r="D285" i="1"/>
  <c r="F285" i="1" s="1"/>
  <c r="H285" i="1" s="1"/>
  <c r="D284" i="1"/>
  <c r="F284" i="1" s="1"/>
  <c r="H284" i="1" s="1"/>
  <c r="D283" i="1"/>
  <c r="F283" i="1" s="1"/>
  <c r="H283" i="1" s="1"/>
  <c r="D282" i="1"/>
  <c r="F282" i="1" s="1"/>
  <c r="H282" i="1" s="1"/>
  <c r="D281" i="1"/>
  <c r="D280" i="1"/>
  <c r="F280" i="1" s="1"/>
  <c r="H280" i="1" s="1"/>
  <c r="D279" i="1"/>
  <c r="F279" i="1" s="1"/>
  <c r="H279" i="1" s="1"/>
  <c r="D278" i="1"/>
  <c r="D277" i="1"/>
  <c r="F277" i="1" s="1"/>
  <c r="H277" i="1" s="1"/>
  <c r="D276" i="1"/>
  <c r="F276" i="1" s="1"/>
  <c r="H276" i="1" s="1"/>
  <c r="D254" i="1"/>
  <c r="F254" i="1" s="1"/>
  <c r="H254" i="1" s="1"/>
  <c r="D253" i="1"/>
  <c r="F253" i="1" s="1"/>
  <c r="H253" i="1" s="1"/>
  <c r="D252" i="1"/>
  <c r="D251" i="1"/>
  <c r="F251" i="1" s="1"/>
  <c r="H251" i="1" s="1"/>
  <c r="D250" i="1"/>
  <c r="F250" i="1" s="1"/>
  <c r="H250" i="1" s="1"/>
  <c r="D249" i="1"/>
  <c r="F249" i="1" s="1"/>
  <c r="H249" i="1" s="1"/>
  <c r="D248" i="1"/>
  <c r="F248" i="1" s="1"/>
  <c r="H248" i="1" s="1"/>
  <c r="D247" i="1"/>
  <c r="F247" i="1" s="1"/>
  <c r="H247" i="1" s="1"/>
  <c r="D246" i="1"/>
  <c r="F246" i="1" s="1"/>
  <c r="H246" i="1" s="1"/>
  <c r="D245" i="1"/>
  <c r="D244" i="1"/>
  <c r="D243" i="1"/>
  <c r="F243" i="1" s="1"/>
  <c r="H243" i="1" s="1"/>
  <c r="D242" i="1"/>
  <c r="F242" i="1" s="1"/>
  <c r="H242" i="1" s="1"/>
  <c r="D241" i="1"/>
  <c r="D240" i="1"/>
  <c r="F240" i="1" s="1"/>
  <c r="H240" i="1" s="1"/>
  <c r="D239" i="1"/>
  <c r="F239" i="1" s="1"/>
  <c r="H239" i="1" s="1"/>
  <c r="D238" i="1"/>
  <c r="F238" i="1" s="1"/>
  <c r="H238" i="1" s="1"/>
  <c r="D237" i="1"/>
  <c r="F237" i="1" s="1"/>
  <c r="H237" i="1" s="1"/>
  <c r="D236" i="1"/>
  <c r="D214" i="1"/>
  <c r="F214" i="1" s="1"/>
  <c r="H214" i="1" s="1"/>
  <c r="D213" i="1"/>
  <c r="D212" i="1"/>
  <c r="F212" i="1" s="1"/>
  <c r="H212" i="1" s="1"/>
  <c r="D211" i="1"/>
  <c r="F211" i="1" s="1"/>
  <c r="H211" i="1" s="1"/>
  <c r="D210" i="1"/>
  <c r="F210" i="1" s="1"/>
  <c r="H210" i="1" s="1"/>
  <c r="D209" i="1"/>
  <c r="F209" i="1" s="1"/>
  <c r="H209" i="1" s="1"/>
  <c r="D208" i="1"/>
  <c r="F208" i="1" s="1"/>
  <c r="H208" i="1" s="1"/>
  <c r="D207" i="1"/>
  <c r="F207" i="1" s="1"/>
  <c r="H207" i="1" s="1"/>
  <c r="D206" i="1"/>
  <c r="F206" i="1" s="1"/>
  <c r="H206" i="1" s="1"/>
  <c r="D205" i="1"/>
  <c r="D204" i="1"/>
  <c r="F204" i="1" s="1"/>
  <c r="H204" i="1" s="1"/>
  <c r="D203" i="1"/>
  <c r="F203" i="1" s="1"/>
  <c r="H203" i="1" s="1"/>
  <c r="D202" i="1"/>
  <c r="F202" i="1" s="1"/>
  <c r="H202" i="1" s="1"/>
  <c r="D201" i="1"/>
  <c r="F201" i="1" s="1"/>
  <c r="H201" i="1" s="1"/>
  <c r="D200" i="1"/>
  <c r="F200" i="1" s="1"/>
  <c r="H200" i="1" s="1"/>
  <c r="D199" i="1"/>
  <c r="D198" i="1"/>
  <c r="F198" i="1" s="1"/>
  <c r="H198" i="1" s="1"/>
  <c r="D197" i="1"/>
  <c r="F197" i="1" s="1"/>
  <c r="H197" i="1" s="1"/>
  <c r="E174" i="1"/>
  <c r="D174" i="1"/>
  <c r="E173" i="1"/>
  <c r="D173" i="1"/>
  <c r="E172" i="1"/>
  <c r="F172" i="1" s="1"/>
  <c r="H172" i="1" s="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F158" i="1" s="1"/>
  <c r="H158" i="1" s="1"/>
  <c r="E157" i="1"/>
  <c r="D157" i="1"/>
  <c r="E156" i="1"/>
  <c r="D156" i="1"/>
  <c r="F334" i="1"/>
  <c r="H334" i="1" s="1"/>
  <c r="F331" i="1"/>
  <c r="H331" i="1" s="1"/>
  <c r="F323" i="1"/>
  <c r="H323" i="1" s="1"/>
  <c r="F318" i="1"/>
  <c r="H318" i="1" s="1"/>
  <c r="F294" i="1"/>
  <c r="H294" i="1" s="1"/>
  <c r="F293" i="1"/>
  <c r="H293" i="1" s="1"/>
  <c r="F292" i="1"/>
  <c r="H292" i="1" s="1"/>
  <c r="F286" i="1"/>
  <c r="H286" i="1" s="1"/>
  <c r="F281" i="1"/>
  <c r="H281" i="1" s="1"/>
  <c r="F278" i="1"/>
  <c r="H278" i="1" s="1"/>
  <c r="F241" i="1"/>
  <c r="H241" i="1" s="1"/>
  <c r="F252" i="1"/>
  <c r="H252" i="1" s="1"/>
  <c r="F245" i="1"/>
  <c r="H245" i="1" s="1"/>
  <c r="F244" i="1"/>
  <c r="H244" i="1" s="1"/>
  <c r="F236" i="1"/>
  <c r="H236" i="1" s="1"/>
  <c r="F213" i="1"/>
  <c r="H213" i="1" s="1"/>
  <c r="F205" i="1"/>
  <c r="H205" i="1" s="1"/>
  <c r="F199" i="1"/>
  <c r="H199" i="1" s="1"/>
  <c r="D196" i="1"/>
  <c r="F196" i="1" s="1"/>
  <c r="H196" i="1" s="1"/>
  <c r="F170" i="1" l="1"/>
  <c r="H170" i="1" s="1"/>
  <c r="F157" i="1"/>
  <c r="H157" i="1" s="1"/>
  <c r="F159" i="1"/>
  <c r="H159" i="1" s="1"/>
  <c r="F171" i="1"/>
  <c r="H171" i="1" s="1"/>
  <c r="F164" i="1"/>
  <c r="H164" i="1" s="1"/>
  <c r="F161" i="1"/>
  <c r="H161" i="1" s="1"/>
  <c r="F165" i="1"/>
  <c r="H165" i="1" s="1"/>
  <c r="F169" i="1"/>
  <c r="H169" i="1" s="1"/>
  <c r="F173" i="1"/>
  <c r="H173" i="1" s="1"/>
  <c r="F163" i="1"/>
  <c r="H163" i="1" s="1"/>
  <c r="F174" i="1"/>
  <c r="H174" i="1" s="1"/>
  <c r="F168" i="1"/>
  <c r="H168" i="1" s="1"/>
  <c r="F167" i="1"/>
  <c r="H167" i="1" s="1"/>
  <c r="F166" i="1"/>
  <c r="H166" i="1" s="1"/>
  <c r="F162" i="1"/>
  <c r="H162" i="1" s="1"/>
  <c r="F160" i="1"/>
  <c r="H160" i="1" s="1"/>
  <c r="F156" i="1"/>
  <c r="H156" i="1" s="1"/>
  <c r="D517" i="1"/>
  <c r="D516" i="1"/>
  <c r="D515" i="1"/>
  <c r="D514" i="1"/>
  <c r="D513" i="1"/>
  <c r="D512" i="1"/>
  <c r="D510" i="1"/>
  <c r="D509" i="1"/>
  <c r="D508" i="1"/>
  <c r="D507" i="1"/>
  <c r="D506" i="1"/>
  <c r="D505" i="1"/>
  <c r="D503" i="1"/>
  <c r="D502" i="1"/>
  <c r="D501" i="1"/>
  <c r="D500" i="1"/>
  <c r="D499" i="1"/>
  <c r="D498" i="1"/>
  <c r="D493" i="1"/>
  <c r="D492" i="1"/>
  <c r="D491" i="1"/>
  <c r="D486" i="1"/>
  <c r="D485" i="1"/>
  <c r="D484" i="1"/>
  <c r="D479" i="1"/>
  <c r="D478" i="1"/>
  <c r="D477" i="1"/>
  <c r="D472" i="1"/>
  <c r="D471" i="1"/>
  <c r="D470" i="1"/>
  <c r="D465" i="1"/>
  <c r="D464" i="1"/>
  <c r="D463" i="1"/>
  <c r="D458" i="1"/>
  <c r="D457" i="1"/>
  <c r="D456" i="1"/>
  <c r="D452" i="1"/>
  <c r="F451" i="1"/>
  <c r="H451" i="1" s="1"/>
  <c r="D449" i="1"/>
  <c r="D448" i="1"/>
  <c r="D447" i="1"/>
  <c r="F447" i="1" s="1"/>
  <c r="H447" i="1" s="1"/>
  <c r="D446" i="1"/>
  <c r="D444" i="1"/>
  <c r="D443" i="1"/>
  <c r="D442" i="1"/>
  <c r="D441" i="1"/>
  <c r="D440" i="1"/>
  <c r="D438" i="1"/>
  <c r="D436" i="1"/>
  <c r="D435" i="1"/>
  <c r="D434" i="1"/>
  <c r="F434" i="1" s="1"/>
  <c r="D433" i="1"/>
  <c r="D432" i="1"/>
  <c r="D431" i="1"/>
  <c r="D430" i="1"/>
  <c r="G423" i="1"/>
  <c r="G422" i="1"/>
  <c r="D426" i="1"/>
  <c r="D425" i="1"/>
  <c r="D424" i="1"/>
  <c r="D423" i="1"/>
  <c r="F423" i="1" s="1"/>
  <c r="D422" i="1"/>
  <c r="D418" i="1"/>
  <c r="D417" i="1"/>
  <c r="D416" i="1"/>
  <c r="D410" i="1"/>
  <c r="D409" i="1"/>
  <c r="D408" i="1"/>
  <c r="D402" i="1"/>
  <c r="D401" i="1"/>
  <c r="D400" i="1"/>
  <c r="D394" i="1"/>
  <c r="D393" i="1"/>
  <c r="D392" i="1"/>
  <c r="D386" i="1"/>
  <c r="D385" i="1"/>
  <c r="D384" i="1"/>
  <c r="D378" i="1"/>
  <c r="D376" i="1"/>
  <c r="D375" i="1"/>
  <c r="D374" i="1"/>
  <c r="D373" i="1"/>
  <c r="D371" i="1"/>
  <c r="D369" i="1"/>
  <c r="D367" i="1"/>
  <c r="D366" i="1"/>
  <c r="D365" i="1"/>
  <c r="D364" i="1"/>
  <c r="D360" i="1"/>
  <c r="D358" i="1"/>
  <c r="D357" i="1"/>
  <c r="D356" i="1"/>
  <c r="D355" i="1"/>
  <c r="D353" i="1"/>
  <c r="G347" i="1"/>
  <c r="G346" i="1"/>
  <c r="G345" i="1"/>
  <c r="D347" i="1"/>
  <c r="D345" i="1"/>
  <c r="D315" i="1"/>
  <c r="F315" i="1" s="1"/>
  <c r="H315" i="1" s="1"/>
  <c r="D314" i="1"/>
  <c r="F314" i="1" s="1"/>
  <c r="H314" i="1" s="1"/>
  <c r="D313" i="1"/>
  <c r="F313" i="1" s="1"/>
  <c r="H313" i="1" s="1"/>
  <c r="D312" i="1"/>
  <c r="F312" i="1" s="1"/>
  <c r="H312" i="1" s="1"/>
  <c r="D311" i="1"/>
  <c r="F311" i="1" s="1"/>
  <c r="H311" i="1" s="1"/>
  <c r="D310" i="1"/>
  <c r="D309" i="1"/>
  <c r="D308" i="1"/>
  <c r="F308" i="1" s="1"/>
  <c r="H308" i="1" s="1"/>
  <c r="D307" i="1"/>
  <c r="D306" i="1"/>
  <c r="F306" i="1" s="1"/>
  <c r="H306" i="1" s="1"/>
  <c r="D305" i="1"/>
  <c r="F305" i="1" s="1"/>
  <c r="H305" i="1" s="1"/>
  <c r="D304" i="1"/>
  <c r="F304" i="1" s="1"/>
  <c r="H304" i="1" s="1"/>
  <c r="D303" i="1"/>
  <c r="F303" i="1" s="1"/>
  <c r="H303" i="1" s="1"/>
  <c r="D302" i="1"/>
  <c r="F302" i="1" s="1"/>
  <c r="H302" i="1" s="1"/>
  <c r="D301" i="1"/>
  <c r="F301" i="1" s="1"/>
  <c r="H301" i="1" s="1"/>
  <c r="D300" i="1"/>
  <c r="F300" i="1" s="1"/>
  <c r="H300" i="1" s="1"/>
  <c r="D299" i="1"/>
  <c r="F299" i="1" s="1"/>
  <c r="H299" i="1" s="1"/>
  <c r="D298" i="1"/>
  <c r="F298" i="1" s="1"/>
  <c r="H298" i="1" s="1"/>
  <c r="D297" i="1"/>
  <c r="F297" i="1" s="1"/>
  <c r="H297" i="1" s="1"/>
  <c r="D296" i="1"/>
  <c r="F296" i="1" s="1"/>
  <c r="H296" i="1" s="1"/>
  <c r="D275" i="1"/>
  <c r="F275" i="1" s="1"/>
  <c r="H275" i="1" s="1"/>
  <c r="D274" i="1"/>
  <c r="D273" i="1"/>
  <c r="F273" i="1" s="1"/>
  <c r="H273" i="1" s="1"/>
  <c r="D272" i="1"/>
  <c r="F272" i="1" s="1"/>
  <c r="H272" i="1" s="1"/>
  <c r="D271" i="1"/>
  <c r="F271" i="1" s="1"/>
  <c r="H271" i="1" s="1"/>
  <c r="D270" i="1"/>
  <c r="F270" i="1" s="1"/>
  <c r="H270" i="1" s="1"/>
  <c r="D269" i="1"/>
  <c r="F269" i="1" s="1"/>
  <c r="H269" i="1" s="1"/>
  <c r="D268" i="1"/>
  <c r="F268" i="1" s="1"/>
  <c r="H268" i="1" s="1"/>
  <c r="D267" i="1"/>
  <c r="D266" i="1"/>
  <c r="D265" i="1"/>
  <c r="F265" i="1" s="1"/>
  <c r="H265" i="1" s="1"/>
  <c r="D264" i="1"/>
  <c r="F264" i="1" s="1"/>
  <c r="H264" i="1" s="1"/>
  <c r="D263" i="1"/>
  <c r="D262" i="1"/>
  <c r="D261" i="1"/>
  <c r="F261" i="1" s="1"/>
  <c r="H261" i="1" s="1"/>
  <c r="D260" i="1"/>
  <c r="F260" i="1" s="1"/>
  <c r="H260" i="1" s="1"/>
  <c r="D259" i="1"/>
  <c r="F259" i="1" s="1"/>
  <c r="H259" i="1" s="1"/>
  <c r="D258" i="1"/>
  <c r="F258" i="1" s="1"/>
  <c r="H258" i="1" s="1"/>
  <c r="D257" i="1"/>
  <c r="F257" i="1" s="1"/>
  <c r="H257" i="1" s="1"/>
  <c r="D256" i="1"/>
  <c r="D235" i="1"/>
  <c r="D234" i="1"/>
  <c r="F234" i="1" s="1"/>
  <c r="H234" i="1" s="1"/>
  <c r="D233" i="1"/>
  <c r="F233" i="1" s="1"/>
  <c r="H233" i="1" s="1"/>
  <c r="D232" i="1"/>
  <c r="F232" i="1" s="1"/>
  <c r="H232" i="1" s="1"/>
  <c r="D231" i="1"/>
  <c r="F231" i="1" s="1"/>
  <c r="H231" i="1" s="1"/>
  <c r="D230" i="1"/>
  <c r="D229" i="1"/>
  <c r="F229" i="1" s="1"/>
  <c r="H229" i="1" s="1"/>
  <c r="D228" i="1"/>
  <c r="F228" i="1" s="1"/>
  <c r="H228" i="1" s="1"/>
  <c r="D227" i="1"/>
  <c r="F227" i="1" s="1"/>
  <c r="H227" i="1" s="1"/>
  <c r="D226" i="1"/>
  <c r="F226" i="1" s="1"/>
  <c r="H226" i="1" s="1"/>
  <c r="D225" i="1"/>
  <c r="F225" i="1" s="1"/>
  <c r="H225" i="1" s="1"/>
  <c r="D224" i="1"/>
  <c r="F224" i="1" s="1"/>
  <c r="H224" i="1" s="1"/>
  <c r="D223" i="1"/>
  <c r="F223" i="1" s="1"/>
  <c r="H223" i="1" s="1"/>
  <c r="D222" i="1"/>
  <c r="D221" i="1"/>
  <c r="D220" i="1"/>
  <c r="F220" i="1" s="1"/>
  <c r="H220" i="1" s="1"/>
  <c r="D219" i="1"/>
  <c r="F219" i="1" s="1"/>
  <c r="H219" i="1" s="1"/>
  <c r="D218" i="1"/>
  <c r="F218" i="1" s="1"/>
  <c r="D217" i="1"/>
  <c r="F217" i="1" s="1"/>
  <c r="H217" i="1" s="1"/>
  <c r="D216" i="1"/>
  <c r="F216" i="1" s="1"/>
  <c r="D195" i="1"/>
  <c r="F195" i="1" s="1"/>
  <c r="H195" i="1" s="1"/>
  <c r="D194" i="1"/>
  <c r="D193" i="1"/>
  <c r="D192" i="1"/>
  <c r="F192" i="1" s="1"/>
  <c r="H192" i="1" s="1"/>
  <c r="D191" i="1"/>
  <c r="D190" i="1"/>
  <c r="F190" i="1" s="1"/>
  <c r="H190" i="1" s="1"/>
  <c r="D189" i="1"/>
  <c r="F189" i="1" s="1"/>
  <c r="H189" i="1" s="1"/>
  <c r="D188" i="1"/>
  <c r="F188" i="1" s="1"/>
  <c r="H188" i="1" s="1"/>
  <c r="D187" i="1"/>
  <c r="F187" i="1" s="1"/>
  <c r="H187" i="1" s="1"/>
  <c r="D186" i="1"/>
  <c r="F186" i="1" s="1"/>
  <c r="H186" i="1" s="1"/>
  <c r="D185" i="1"/>
  <c r="F185" i="1" s="1"/>
  <c r="H185" i="1" s="1"/>
  <c r="D184" i="1"/>
  <c r="F184" i="1" s="1"/>
  <c r="H184" i="1" s="1"/>
  <c r="D183" i="1"/>
  <c r="F183" i="1" s="1"/>
  <c r="H183" i="1" s="1"/>
  <c r="D182" i="1"/>
  <c r="F182" i="1" s="1"/>
  <c r="H182" i="1" s="1"/>
  <c r="D181" i="1"/>
  <c r="F181" i="1" s="1"/>
  <c r="H181" i="1" s="1"/>
  <c r="D180" i="1"/>
  <c r="F180" i="1" s="1"/>
  <c r="H180" i="1" s="1"/>
  <c r="D179" i="1"/>
  <c r="F179" i="1" s="1"/>
  <c r="H179" i="1" s="1"/>
  <c r="D178" i="1"/>
  <c r="F178" i="1" s="1"/>
  <c r="H178" i="1" s="1"/>
  <c r="D177" i="1"/>
  <c r="F177" i="1" s="1"/>
  <c r="H177" i="1" s="1"/>
  <c r="D176" i="1"/>
  <c r="F176" i="1" s="1"/>
  <c r="H176" i="1" s="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F310" i="1"/>
  <c r="H310" i="1" s="1"/>
  <c r="F309" i="1"/>
  <c r="H309" i="1" s="1"/>
  <c r="F307" i="1"/>
  <c r="H307" i="1" s="1"/>
  <c r="A297" i="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F274" i="1"/>
  <c r="H274" i="1" s="1"/>
  <c r="F267" i="1"/>
  <c r="H267" i="1" s="1"/>
  <c r="F266" i="1"/>
  <c r="H266" i="1" s="1"/>
  <c r="F263" i="1"/>
  <c r="H263" i="1" s="1"/>
  <c r="F262" i="1"/>
  <c r="H262" i="1" s="1"/>
  <c r="A257" i="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F256" i="1"/>
  <c r="H256" i="1" s="1"/>
  <c r="F230" i="1"/>
  <c r="H230" i="1" s="1"/>
  <c r="F222" i="1"/>
  <c r="H222" i="1" s="1"/>
  <c r="F221" i="1"/>
  <c r="H221" i="1" s="1"/>
  <c r="F235" i="1"/>
  <c r="H235" i="1" s="1"/>
  <c r="A217" i="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F194" i="1"/>
  <c r="H194" i="1" s="1"/>
  <c r="F193" i="1"/>
  <c r="H193" i="1" s="1"/>
  <c r="F191" i="1"/>
  <c r="H191" i="1" s="1"/>
  <c r="A177" i="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135" i="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513" i="1"/>
  <c r="A514" i="1" s="1"/>
  <c r="A515" i="1" s="1"/>
  <c r="A516" i="1" s="1"/>
  <c r="A517" i="1" s="1"/>
  <c r="F446" i="1"/>
  <c r="H446" i="1" s="1"/>
  <c r="A447" i="1"/>
  <c r="A448" i="1" s="1"/>
  <c r="A449" i="1" s="1"/>
  <c r="A450" i="1" s="1"/>
  <c r="A451" i="1" s="1"/>
  <c r="A452" i="1" s="1"/>
  <c r="F378" i="1"/>
  <c r="H378" i="1" s="1"/>
  <c r="A372" i="1"/>
  <c r="A373" i="1" s="1"/>
  <c r="A374" i="1" s="1"/>
  <c r="A375" i="1" s="1"/>
  <c r="A376" i="1" s="1"/>
  <c r="A377" i="1" s="1"/>
  <c r="A378" i="1" s="1"/>
  <c r="F369" i="1"/>
  <c r="H369" i="1" s="1"/>
  <c r="A363" i="1"/>
  <c r="A364" i="1" s="1"/>
  <c r="A365" i="1" s="1"/>
  <c r="A366" i="1" s="1"/>
  <c r="A367" i="1" s="1"/>
  <c r="A368" i="1" s="1"/>
  <c r="A369" i="1" s="1"/>
  <c r="F431" i="1"/>
  <c r="H431" i="1" s="1"/>
  <c r="I431" i="1" s="1"/>
  <c r="F441" i="1"/>
  <c r="H441" i="1" s="1"/>
  <c r="A439" i="1"/>
  <c r="A440" i="1" s="1"/>
  <c r="A441" i="1" s="1"/>
  <c r="A442" i="1" s="1"/>
  <c r="A443" i="1" s="1"/>
  <c r="A444" i="1" s="1"/>
  <c r="A506" i="1"/>
  <c r="A507" i="1" s="1"/>
  <c r="A508" i="1" s="1"/>
  <c r="A509" i="1" s="1"/>
  <c r="A510" i="1" s="1"/>
  <c r="F347" i="1"/>
  <c r="F346" i="1"/>
  <c r="A354" i="1"/>
  <c r="A355" i="1" s="1"/>
  <c r="A356" i="1" s="1"/>
  <c r="A357" i="1" s="1"/>
  <c r="A358" i="1" s="1"/>
  <c r="A359" i="1" s="1"/>
  <c r="A360" i="1" s="1"/>
  <c r="A346" i="1"/>
  <c r="A349" i="1" s="1"/>
  <c r="A350" i="1" s="1"/>
  <c r="A351" i="1" s="1"/>
  <c r="F422" i="1"/>
  <c r="E118" i="1" l="1"/>
  <c r="C118" i="1"/>
  <c r="H216" i="1"/>
  <c r="F155" i="1"/>
  <c r="H155" i="1" s="1"/>
  <c r="F353" i="1"/>
  <c r="H353" i="1" s="1"/>
  <c r="J353" i="1" s="1"/>
  <c r="F376" i="1"/>
  <c r="H376" i="1" s="1"/>
  <c r="F506" i="1"/>
  <c r="H506" i="1" s="1"/>
  <c r="F510" i="1"/>
  <c r="H510" i="1" s="1"/>
  <c r="H218" i="1"/>
  <c r="F357" i="1"/>
  <c r="H357" i="1" s="1"/>
  <c r="J357" i="1" s="1"/>
  <c r="F141" i="1"/>
  <c r="H141" i="1" s="1"/>
  <c r="F150" i="1"/>
  <c r="H150" i="1" s="1"/>
  <c r="F515" i="1"/>
  <c r="H515" i="1" s="1"/>
  <c r="F144" i="1"/>
  <c r="H144" i="1" s="1"/>
  <c r="F138" i="1"/>
  <c r="H138" i="1" s="1"/>
  <c r="F367" i="1"/>
  <c r="H367" i="1" s="1"/>
  <c r="F375" i="1"/>
  <c r="H375" i="1" s="1"/>
  <c r="I375" i="1" s="1"/>
  <c r="F512" i="1"/>
  <c r="H512" i="1" s="1"/>
  <c r="F516" i="1"/>
  <c r="H516" i="1" s="1"/>
  <c r="F358" i="1"/>
  <c r="H358" i="1" s="1"/>
  <c r="J358" i="1" s="1"/>
  <c r="F354" i="1"/>
  <c r="H354" i="1" s="1"/>
  <c r="J354" i="1" s="1"/>
  <c r="F440" i="1"/>
  <c r="H440" i="1" s="1"/>
  <c r="F364" i="1"/>
  <c r="H364" i="1" s="1"/>
  <c r="J364" i="1" s="1"/>
  <c r="F145" i="1"/>
  <c r="H145" i="1" s="1"/>
  <c r="F153" i="1"/>
  <c r="H153" i="1" s="1"/>
  <c r="F360" i="1"/>
  <c r="H360" i="1" s="1"/>
  <c r="F373" i="1"/>
  <c r="H373" i="1" s="1"/>
  <c r="F377" i="1"/>
  <c r="H377" i="1" s="1"/>
  <c r="F438" i="1"/>
  <c r="H438" i="1" s="1"/>
  <c r="F363" i="1"/>
  <c r="H363" i="1" s="1"/>
  <c r="J363" i="1" s="1"/>
  <c r="F149" i="1"/>
  <c r="H149" i="1" s="1"/>
  <c r="F135" i="1"/>
  <c r="H135" i="1" s="1"/>
  <c r="F143" i="1"/>
  <c r="H143" i="1" s="1"/>
  <c r="F151" i="1"/>
  <c r="H151" i="1" s="1"/>
  <c r="F356" i="1"/>
  <c r="H356" i="1" s="1"/>
  <c r="J356" i="1" s="1"/>
  <c r="F509" i="1"/>
  <c r="H509" i="1" s="1"/>
  <c r="F443" i="1"/>
  <c r="H443" i="1" s="1"/>
  <c r="F366" i="1"/>
  <c r="H366" i="1" s="1"/>
  <c r="F450" i="1"/>
  <c r="H450" i="1" s="1"/>
  <c r="I450" i="1" s="1"/>
  <c r="F147" i="1"/>
  <c r="H147" i="1" s="1"/>
  <c r="F146" i="1"/>
  <c r="H146" i="1" s="1"/>
  <c r="F154" i="1"/>
  <c r="H154" i="1" s="1"/>
  <c r="F148" i="1"/>
  <c r="H148" i="1" s="1"/>
  <c r="F444" i="1"/>
  <c r="H444" i="1" s="1"/>
  <c r="F368" i="1"/>
  <c r="H368" i="1" s="1"/>
  <c r="F513" i="1"/>
  <c r="H513" i="1" s="1"/>
  <c r="F503" i="1"/>
  <c r="H503" i="1" s="1"/>
  <c r="F507" i="1"/>
  <c r="H507" i="1" s="1"/>
  <c r="F365" i="1"/>
  <c r="H365" i="1" s="1"/>
  <c r="F152" i="1"/>
  <c r="H152" i="1" s="1"/>
  <c r="H346" i="1"/>
  <c r="F359" i="1"/>
  <c r="H359" i="1" s="1"/>
  <c r="J359" i="1" s="1"/>
  <c r="F505" i="1"/>
  <c r="H505" i="1" s="1"/>
  <c r="F508" i="1"/>
  <c r="H508" i="1" s="1"/>
  <c r="F442" i="1"/>
  <c r="H442" i="1" s="1"/>
  <c r="F449" i="1"/>
  <c r="H449" i="1" s="1"/>
  <c r="F137" i="1"/>
  <c r="H137" i="1" s="1"/>
  <c r="F142" i="1"/>
  <c r="H142" i="1" s="1"/>
  <c r="F140" i="1"/>
  <c r="H140" i="1" s="1"/>
  <c r="F139" i="1"/>
  <c r="H139" i="1" s="1"/>
  <c r="F136" i="1"/>
  <c r="H136" i="1" s="1"/>
  <c r="F134" i="1"/>
  <c r="F517" i="1"/>
  <c r="H517" i="1" s="1"/>
  <c r="F514" i="1"/>
  <c r="H514" i="1" s="1"/>
  <c r="F452" i="1"/>
  <c r="H452" i="1" s="1"/>
  <c r="F448" i="1"/>
  <c r="H448" i="1" s="1"/>
  <c r="F374" i="1"/>
  <c r="H374" i="1" s="1"/>
  <c r="F372" i="1"/>
  <c r="H372" i="1" s="1"/>
  <c r="I372" i="1" s="1"/>
  <c r="F371" i="1"/>
  <c r="H371" i="1" s="1"/>
  <c r="F502" i="1"/>
  <c r="H502" i="1" s="1"/>
  <c r="F355" i="1"/>
  <c r="H355" i="1" s="1"/>
  <c r="J355" i="1" s="1"/>
  <c r="F345" i="1"/>
  <c r="H347" i="1"/>
  <c r="H423" i="1"/>
  <c r="H422" i="1"/>
  <c r="F436" i="1"/>
  <c r="H436" i="1" s="1"/>
  <c r="F435" i="1"/>
  <c r="H435" i="1" s="1"/>
  <c r="H434" i="1"/>
  <c r="F433" i="1"/>
  <c r="H433" i="1" s="1"/>
  <c r="F432" i="1"/>
  <c r="H432" i="1" s="1"/>
  <c r="A431" i="1"/>
  <c r="A432" i="1" s="1"/>
  <c r="A433" i="1" s="1"/>
  <c r="A434" i="1" s="1"/>
  <c r="A435" i="1" s="1"/>
  <c r="A436" i="1" s="1"/>
  <c r="F430" i="1"/>
  <c r="H430" i="1" s="1"/>
  <c r="A492" i="1"/>
  <c r="A493" i="1" s="1"/>
  <c r="A494" i="1" s="1"/>
  <c r="A495" i="1" s="1"/>
  <c r="A496" i="1" s="1"/>
  <c r="A423" i="1"/>
  <c r="A424" i="1" s="1"/>
  <c r="A425" i="1" s="1"/>
  <c r="A426" i="1" s="1"/>
  <c r="A427" i="1" s="1"/>
  <c r="A428" i="1" s="1"/>
  <c r="A485" i="1"/>
  <c r="A486" i="1" s="1"/>
  <c r="A487" i="1" s="1"/>
  <c r="A488" i="1" s="1"/>
  <c r="A489" i="1" s="1"/>
  <c r="A415" i="1"/>
  <c r="A416" i="1" s="1"/>
  <c r="A417" i="1" s="1"/>
  <c r="A418" i="1" s="1"/>
  <c r="A419" i="1" s="1"/>
  <c r="A420" i="1" s="1"/>
  <c r="A478" i="1"/>
  <c r="A479" i="1" s="1"/>
  <c r="A480" i="1" s="1"/>
  <c r="A481" i="1" s="1"/>
  <c r="A482" i="1" s="1"/>
  <c r="A407" i="1"/>
  <c r="A408" i="1" s="1"/>
  <c r="A409" i="1" s="1"/>
  <c r="A410" i="1" s="1"/>
  <c r="A411" i="1" s="1"/>
  <c r="A412" i="1" s="1"/>
  <c r="A471" i="1"/>
  <c r="A472" i="1" s="1"/>
  <c r="A473" i="1" s="1"/>
  <c r="A474" i="1" s="1"/>
  <c r="A475" i="1" s="1"/>
  <c r="A464" i="1"/>
  <c r="A465" i="1" s="1"/>
  <c r="A466" i="1" s="1"/>
  <c r="A467" i="1" s="1"/>
  <c r="A468" i="1" s="1"/>
  <c r="A399" i="1"/>
  <c r="A400" i="1" s="1"/>
  <c r="A401" i="1" s="1"/>
  <c r="A402" i="1" s="1"/>
  <c r="A403" i="1" s="1"/>
  <c r="A404" i="1" s="1"/>
  <c r="C122" i="1" l="1"/>
  <c r="C117" i="1"/>
  <c r="E117" i="1"/>
  <c r="J360" i="1"/>
  <c r="I360" i="1"/>
  <c r="I365" i="1"/>
  <c r="J365" i="1"/>
  <c r="G118" i="1"/>
  <c r="J103" i="1"/>
  <c r="H134" i="1"/>
  <c r="G117" i="1" s="1"/>
  <c r="H345" i="1"/>
  <c r="G122" i="1" s="1"/>
  <c r="E122" i="1"/>
  <c r="F492" i="1"/>
  <c r="H492" i="1" s="1"/>
  <c r="F402" i="1"/>
  <c r="H402" i="1" s="1"/>
  <c r="F470" i="1"/>
  <c r="H470" i="1" s="1"/>
  <c r="F463" i="1"/>
  <c r="H463" i="1" s="1"/>
  <c r="F410" i="1"/>
  <c r="H410" i="1" s="1"/>
  <c r="F486" i="1"/>
  <c r="H486" i="1" s="1"/>
  <c r="F491" i="1"/>
  <c r="H491" i="1" s="1"/>
  <c r="F465" i="1"/>
  <c r="H465" i="1" s="1"/>
  <c r="F425" i="1"/>
  <c r="H425" i="1" s="1"/>
  <c r="F424" i="1"/>
  <c r="H424" i="1" s="1"/>
  <c r="F485" i="1"/>
  <c r="H485" i="1" s="1"/>
  <c r="F464" i="1"/>
  <c r="H464" i="1" s="1"/>
  <c r="F471" i="1"/>
  <c r="H471" i="1" s="1"/>
  <c r="F426" i="1"/>
  <c r="H426" i="1" s="1"/>
  <c r="F400" i="1"/>
  <c r="H400" i="1" s="1"/>
  <c r="F408" i="1"/>
  <c r="H408" i="1" s="1"/>
  <c r="F401" i="1"/>
  <c r="H401" i="1" s="1"/>
  <c r="F409" i="1"/>
  <c r="H409" i="1" s="1"/>
  <c r="F478" i="1"/>
  <c r="H478" i="1" s="1"/>
  <c r="F417" i="1"/>
  <c r="H417" i="1" s="1"/>
  <c r="F418" i="1"/>
  <c r="H418" i="1" s="1"/>
  <c r="F472" i="1"/>
  <c r="H472" i="1" s="1"/>
  <c r="F479" i="1"/>
  <c r="H479" i="1" s="1"/>
  <c r="F484" i="1"/>
  <c r="H484" i="1" s="1"/>
  <c r="F477" i="1"/>
  <c r="H477" i="1" s="1"/>
  <c r="F416" i="1"/>
  <c r="H416" i="1" s="1"/>
  <c r="F493" i="1"/>
  <c r="H493" i="1" s="1"/>
  <c r="F394" i="1"/>
  <c r="H394" i="1" s="1"/>
  <c r="A391" i="1"/>
  <c r="A392" i="1" s="1"/>
  <c r="A393" i="1" s="1"/>
  <c r="A394" i="1" s="1"/>
  <c r="A395" i="1" s="1"/>
  <c r="A396" i="1" s="1"/>
  <c r="F458" i="1"/>
  <c r="H458" i="1" s="1"/>
  <c r="F457" i="1"/>
  <c r="H457" i="1" s="1"/>
  <c r="A457" i="1"/>
  <c r="A458" i="1" s="1"/>
  <c r="A459" i="1" s="1"/>
  <c r="A460" i="1" s="1"/>
  <c r="A461" i="1" s="1"/>
  <c r="I384" i="1"/>
  <c r="A383" i="1"/>
  <c r="A384" i="1" s="1"/>
  <c r="A385" i="1" s="1"/>
  <c r="A386" i="1" s="1"/>
  <c r="A387" i="1" s="1"/>
  <c r="A388" i="1" s="1"/>
  <c r="I43" i="1"/>
  <c r="F386" i="1" l="1"/>
  <c r="H386" i="1" s="1"/>
  <c r="F392" i="1"/>
  <c r="H392" i="1" s="1"/>
  <c r="F385" i="1"/>
  <c r="H385" i="1" s="1"/>
  <c r="F456" i="1"/>
  <c r="F384" i="1"/>
  <c r="F393" i="1"/>
  <c r="H393" i="1" s="1"/>
  <c r="C88" i="1"/>
  <c r="C123" i="1" l="1"/>
  <c r="H384" i="1"/>
  <c r="G123" i="1" s="1"/>
  <c r="E123" i="1"/>
  <c r="H456" i="1"/>
  <c r="F336" i="1"/>
  <c r="H336" i="1" l="1"/>
  <c r="E31" i="1"/>
  <c r="E26" i="1"/>
  <c r="F498" i="1" l="1"/>
  <c r="H498"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l="1"/>
  <c r="B544" i="1"/>
  <c r="F337" i="1" l="1"/>
  <c r="F338" i="1"/>
  <c r="H338" i="1" s="1"/>
  <c r="F339" i="1"/>
  <c r="H339" i="1" s="1"/>
  <c r="C119" i="1" l="1"/>
  <c r="E119" i="1"/>
  <c r="H337" i="1"/>
  <c r="G119" i="1" l="1"/>
  <c r="S33" i="1"/>
  <c r="F11" i="5" l="1"/>
  <c r="G11" i="5" s="1"/>
  <c r="F10" i="5"/>
  <c r="G10" i="5" s="1"/>
  <c r="F9" i="5"/>
  <c r="G9" i="5" s="1"/>
  <c r="F8" i="5"/>
  <c r="G8" i="5" s="1"/>
  <c r="F7" i="5"/>
  <c r="G7" i="5" s="1"/>
  <c r="F6" i="5"/>
  <c r="G6" i="5" s="1"/>
  <c r="F5" i="5"/>
  <c r="G5" i="5" s="1"/>
  <c r="G12" i="5" s="1"/>
  <c r="D568" i="1"/>
  <c r="B545" i="1"/>
  <c r="F541" i="1"/>
  <c r="H541" i="1" s="1"/>
  <c r="F540" i="1"/>
  <c r="H540" i="1" s="1"/>
  <c r="F539" i="1"/>
  <c r="H539" i="1" s="1"/>
  <c r="F538" i="1"/>
  <c r="H538" i="1" s="1"/>
  <c r="F537" i="1"/>
  <c r="H537" i="1" s="1"/>
  <c r="F535" i="1"/>
  <c r="H535" i="1" s="1"/>
  <c r="F534" i="1"/>
  <c r="H534" i="1" s="1"/>
  <c r="F533" i="1"/>
  <c r="H533" i="1" s="1"/>
  <c r="F532" i="1"/>
  <c r="H532" i="1" s="1"/>
  <c r="F531" i="1"/>
  <c r="H531" i="1" s="1"/>
  <c r="F529" i="1"/>
  <c r="H529" i="1" s="1"/>
  <c r="F528" i="1"/>
  <c r="H528" i="1" s="1"/>
  <c r="F527" i="1"/>
  <c r="H527" i="1" s="1"/>
  <c r="F526" i="1"/>
  <c r="H526" i="1" s="1"/>
  <c r="F525" i="1"/>
  <c r="H525" i="1" s="1"/>
  <c r="F523" i="1"/>
  <c r="H523" i="1" s="1"/>
  <c r="F522" i="1"/>
  <c r="H522" i="1" s="1"/>
  <c r="F521" i="1"/>
  <c r="H521" i="1" s="1"/>
  <c r="F520" i="1"/>
  <c r="H520" i="1" s="1"/>
  <c r="F519" i="1"/>
  <c r="H519" i="1" s="1"/>
  <c r="A519" i="1"/>
  <c r="A520" i="1" s="1"/>
  <c r="A521" i="1" s="1"/>
  <c r="A522" i="1" s="1"/>
  <c r="A523" i="1" s="1"/>
  <c r="F501" i="1"/>
  <c r="H501" i="1" s="1"/>
  <c r="F500" i="1"/>
  <c r="H500" i="1" s="1"/>
  <c r="F499" i="1"/>
  <c r="A499" i="1"/>
  <c r="A500" i="1" s="1"/>
  <c r="A501" i="1" s="1"/>
  <c r="A502" i="1" s="1"/>
  <c r="A503" i="1" s="1"/>
  <c r="A337" i="1"/>
  <c r="A338" i="1" s="1"/>
  <c r="A339" i="1" s="1"/>
  <c r="F114" i="1"/>
  <c r="C74" i="1"/>
  <c r="B75" i="1" s="1"/>
  <c r="G51" i="1"/>
  <c r="G52" i="1" s="1"/>
  <c r="C51" i="1"/>
  <c r="E44" i="1"/>
  <c r="E45" i="1" s="1"/>
  <c r="E28" i="1"/>
  <c r="C16" i="1"/>
  <c r="I15" i="1"/>
  <c r="Z13" i="1"/>
  <c r="E8" i="1"/>
  <c r="E3" i="1"/>
  <c r="D68" i="1" s="1"/>
  <c r="A537" i="1"/>
  <c r="A525" i="1"/>
  <c r="A531" i="1"/>
  <c r="C124" i="1" l="1"/>
  <c r="H499" i="1"/>
  <c r="G124" i="1" s="1"/>
  <c r="G125" i="1" s="1"/>
  <c r="G126" i="1" s="1"/>
  <c r="C125" i="1"/>
  <c r="C126" i="1" s="1"/>
  <c r="E124" i="1"/>
  <c r="E125" i="1" s="1"/>
  <c r="E126" i="1" s="1"/>
  <c r="J84" i="1"/>
  <c r="J82" i="1"/>
  <c r="J83" i="1"/>
  <c r="J85" i="1"/>
  <c r="A532" i="1"/>
  <c r="H75" i="1"/>
  <c r="A538" i="1"/>
  <c r="A526" i="1"/>
  <c r="D87" i="1" l="1"/>
  <c r="J74" i="1"/>
  <c r="J76" i="1" s="1"/>
  <c r="D81" i="1"/>
  <c r="J77" i="1"/>
  <c r="D86" i="1"/>
  <c r="J78" i="1"/>
  <c r="D80" i="1"/>
  <c r="D84" i="1"/>
  <c r="D83" i="1"/>
  <c r="J79" i="1"/>
  <c r="C78" i="1" s="1"/>
  <c r="D85" i="1"/>
  <c r="D82" i="1"/>
  <c r="J80" i="1"/>
  <c r="J81" i="1" s="1"/>
  <c r="J86" i="1" s="1"/>
  <c r="J87" i="1" s="1"/>
  <c r="B89" i="1"/>
  <c r="H89" i="1"/>
  <c r="A539" i="1"/>
  <c r="A527" i="1"/>
  <c r="A533" i="1"/>
  <c r="C79" i="1" l="1"/>
  <c r="E78" i="1" s="1"/>
  <c r="D78" i="1"/>
  <c r="J91" i="1"/>
  <c r="C92" i="1" s="1"/>
  <c r="D101" i="1"/>
  <c r="D95" i="1"/>
  <c r="J93" i="1"/>
  <c r="D99" i="1"/>
  <c r="J88" i="1"/>
  <c r="J90" i="1" s="1"/>
  <c r="D96" i="1"/>
  <c r="D100" i="1"/>
  <c r="D94" i="1"/>
  <c r="D98" i="1"/>
  <c r="J92" i="1"/>
  <c r="D97" i="1"/>
  <c r="J94" i="1"/>
  <c r="J95" i="1" s="1"/>
  <c r="J100" i="1" s="1"/>
  <c r="J101" i="1" s="1"/>
  <c r="J99" i="1"/>
  <c r="J98" i="1"/>
  <c r="J97" i="1"/>
  <c r="J96" i="1"/>
  <c r="A528" i="1"/>
  <c r="A534" i="1"/>
  <c r="A540" i="1"/>
  <c r="G78" i="1" l="1"/>
  <c r="D72" i="1" s="1"/>
  <c r="F73" i="1" s="1"/>
  <c r="J75" i="1"/>
  <c r="D79" i="1"/>
  <c r="I75" i="1" s="1"/>
  <c r="I76" i="1" s="1"/>
  <c r="E92" i="1"/>
  <c r="D93" i="1"/>
  <c r="G92" i="1"/>
  <c r="D92" i="1"/>
  <c r="A529" i="1"/>
  <c r="A535" i="1"/>
  <c r="A541" i="1"/>
  <c r="D73" i="1" l="1"/>
  <c r="I74" i="1"/>
  <c r="C76" i="1" s="1"/>
  <c r="I89" i="1"/>
  <c r="I90" i="1" s="1"/>
  <c r="J89" i="1"/>
  <c r="I88" i="1" l="1"/>
  <c r="C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342"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<sst xmlns="http://schemas.openxmlformats.org/spreadsheetml/2006/main" count="1001" uniqueCount="442">
  <si>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</si>
  <si>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</si>
  <si>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</si>
  <si>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</si>
  <si>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</si>
  <si>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</si>
  <si>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</si>
  <si>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</si>
  <si>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</si>
  <si>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</si>
  <si>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</si>
  <si>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</si>
  <si>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</si>
  <si>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</si>
  <si>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</si>
  <si>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</si>
  <si>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</si>
  <si>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</si>
  <si>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</si>
  <si>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</si>
  <si>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</si>
  <si>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</si>
  <si>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</si>
  <si>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</si>
  <si>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</si>
  <si>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</si>
  <si>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</si>
  <si>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</si>
  <si>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</si>
  <si>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</si>
  <si>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</si>
  <si>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</si>
  <si>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</si>
  <si>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</si>
  <si>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</si>
  <si>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</si>
  <si>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</si>
  <si>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</si>
  <si>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</si>
  <si>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</si>
  <si>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</si>
  <si>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</si>
  <si>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</si>
  <si>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</si>
  <si>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</si>
  <si>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</si>
  <si>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</si>
  <si>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</si>
  <si>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</si>
  <si>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</si>
  <si>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</si>
  <si>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</si>
  <si>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</si>
  <si>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</si>
  <si>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</si>
  <si>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</si>
  <si>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</si>
  <si>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</si>
  <si>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</si>
  <si>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</si>
  <si>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</si>
  <si>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</si>
  <si>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</si>
  <si>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</si>
  <si>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</si>
  <si>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</si>
  <si>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</si>
  <si>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</si>
  <si>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</si>
  <si>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</si>
  <si>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</si>
  <si>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</si>
  <si>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</si>
  <si>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</si>
  <si>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</si>
  <si>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</si>
  <si>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</si>
  <si>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</si>
  <si>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</si>
  <si>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</si>
  <si>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</si>
  <si>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</si>
  <si>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</si>
  <si>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</si>
  <si>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</si>
  <si>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</si>
  <si>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</si>
  <si>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</si>
  <si>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</si>
  <si>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</si>
  <si>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</si>
  <si>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</si>
  <si>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</si>
  <si>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</si>
  <si>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</si>
  <si>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</si>
  <si>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</si>
  <si>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</si>
  <si>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</si>
  <si>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</si>
  <si>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</si>
  <si>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</si>
  <si>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</si>
  <si>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</si>
  <si>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</si>
  <si>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</si>
  <si>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</si>
  <si>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</si>
  <si>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</si>
  <si>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</si>
  <si>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</si>
  <si>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</si>
  <si>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</si>
  <si>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</si>
  <si>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</si>
  <si>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</si>
  <si>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</si>
  <si>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</si>
  <si>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</si>
  <si>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</si>
  <si>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</si>
  <si>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</si>
  <si>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</si>
  <si>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</si>
  <si>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</si>
  <si>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</si>
  <si>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</si>
  <si>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</si>
  <si>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</si>
  <si>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</si>
  <si>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</si>
  <si>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</si>
  <si>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</si>
  <si>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</si>
  <si>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</si>
  <si>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</si>
  <si>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</si>
  <si>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</si>
  <si>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</si>
  <si>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</si>
  <si>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</si>
  <si>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</si>
  <si>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</si>
  <si>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</si>
  <si>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</si>
  <si>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</si>
  <si>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</si>
  <si>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</si>
  <si>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</si>
  <si>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</si>
  <si>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</si>
  <si>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</si>
  <si>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</si>
  <si>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</si>
  <si>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</si>
  <si>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</si>
  <si>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</si>
  <si>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</si>
  <si>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</si>
  <si>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</si>
  <si>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</si>
  <si>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</si>
  <si>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</si>
  <si>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</si>
  <si>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</si>
  <si>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</si>
  <si>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</si>
  <si>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</si>
  <si>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</si>
  <si>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</si>
  <si>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</si>
  <si>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</si>
  <si>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</si>
  <si>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</si>
  <si>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</si>
  <si>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</si>
  <si>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</si>
  <si>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</si>
  <si>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</si>
  <si>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</si>
  <si>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</si>
  <si>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</si>
  <si>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</si>
  <si>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</si>
  <si>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</si>
  <si>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</si>
  <si>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</si>
  <si>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</si>
  <si>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</si>
  <si>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</si>
  <si>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</si>
  <si>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</si>
  <si>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</si>
  <si>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</si>
  <si>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</si>
  <si>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</si>
  <si>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</si>
  <si>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</si>
  <si>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</si>
  <si>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</si>
  <si>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</si>
  <si>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</si>
  <si>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</si>
  <si>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</si>
  <si>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</si>
  <si>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</si>
  <si>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</si>
  <si>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</si>
  <si>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</si>
  <si>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</si>
  <si>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</si>
  <si>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</si>
  <si>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</si>
  <si>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</si>
  <si>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</si>
  <si>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</si>
  <si>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</si>
  <si>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</si>
  <si>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</si>
  <si>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</si>
  <si>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</si>
  <si>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</si>
  <si>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</si>
  <si>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</si>
  <si>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</si>
  <si>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</si>
  <si>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</si>
  <si>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</si>
  <si>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</si>
  <si>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</si>
  <si>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</si>
  <si>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</si>
  <si>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</si>
  <si>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</si>
  <si>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</si>
  <si>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</si>
  <si>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</si>
  <si>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</si>
  <si>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</si>
  <si>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</si>
  <si>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</si>
  <si>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</si>
  <si>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</si>
  <si>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</si>
  <si>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</si>
  <si>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</si>
  <si>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</si>
  <si>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</si>
  <si>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</si>
  <si>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</si>
  <si>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</si>
  <si>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</si>
  <si>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</si>
  <si>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</si>
  <si>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</si>
  <si>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</si>
  <si>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</si>
  <si>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</si>
  <si>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</si>
  <si>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</si>
  <si>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</si>
  <si>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</si>
  <si>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</si>
  <si>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</si>
  <si>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</si>
  <si>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</si>
  <si>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</si>
  <si>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</si>
  <si>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</si>
  <si>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</si>
  <si>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</si>
  <si>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</si>
  <si>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</si>
  <si>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</si>
  <si>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</si>
  <si>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</si>
  <si>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</si>
  <si>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</si>
  <si>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</si>
  <si>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</si>
  <si>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</si>
  <si>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</si>
  <si>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</si>
  <si>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</si>
  <si>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</si>
  <si>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</si>
  <si>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</si>
  <si>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</si>
  <si>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</si>
  <si>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</si>
  <si>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</si>
  <si>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</si>
  <si>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</si>
  <si>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</si>
  <si>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</si>
  <si>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</si>
  <si>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</si>
  <si>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</si>
  <si>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</si>
  <si>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</si>
  <si>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</si>
  <si>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</si>
  <si>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</si>
  <si>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</si>
  <si>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</si>
  <si>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</si>
  <si>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</si>
  <si>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</si>
  <si>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</si>
  <si>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</si>
  <si>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</si>
  <si>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</si>
  <si>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</si>
  <si>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</si>
  <si>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</si>
  <si>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</si>
  <si>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</si>
  <si>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</si>
  <si>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</si>
  <si>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</si>
  <si>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</si>
  <si>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</si>
  <si>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</si>
  <si>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</si>
  <si>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</si>
  <si>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</si>
  <si>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</si>
  <si>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</si>
  <si>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</si>
  <si>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</si>
  <si>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</si>
  <si>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</si>
  <si>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</si>
  <si>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</si>
  <si>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</si>
  <si>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</si>
  <si>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</si>
  <si>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</si>
  <si>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</si>
  <si>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</si>
  <si>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</si>
  <si>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</si>
  <si>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</si>
  <si>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</si>
  <si>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</si>
  <si>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</si>
  <si>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</si>
  <si>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</si>
  <si>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North Westend Tower 1</t>
  </si>
  <si>
    <t>Mr. Deepak : 8657913801</t>
  </si>
  <si>
    <t>P51700053522</t>
  </si>
  <si>
    <t>Survey No</t>
  </si>
  <si>
    <t>237, Old S.No.663</t>
  </si>
  <si>
    <t>Bhayandar</t>
  </si>
  <si>
    <t>MBMNP/NR/1392/2023-24</t>
  </si>
  <si>
    <t>As per RERA - 31/12/2029</t>
  </si>
  <si>
    <t>Ground Floor for Entrance lobby, Meter Room &amp; Parking</t>
  </si>
  <si>
    <t>Wing B</t>
  </si>
  <si>
    <t>1st Floor for Residential &amp; Parking</t>
  </si>
  <si>
    <t>1BHK</t>
  </si>
  <si>
    <t>2BHK</t>
  </si>
  <si>
    <t>Wing C</t>
  </si>
  <si>
    <t>Parking Area</t>
  </si>
  <si>
    <t>Entrance Lobby &amp; Parking Area</t>
  </si>
  <si>
    <t>3rd Floor</t>
  </si>
  <si>
    <t>4th Floor</t>
  </si>
  <si>
    <t>5th Floor</t>
  </si>
  <si>
    <t>Fitness Center</t>
  </si>
  <si>
    <t>7th, 9th to 12th, 14th to 17th Floor</t>
  </si>
  <si>
    <t>Commercial Area</t>
  </si>
  <si>
    <t>Void Area</t>
  </si>
  <si>
    <t>6th Floor for Residential &amp; Fitness Center</t>
  </si>
  <si>
    <t>1st Floor for Commercial, Residential &amp; Parking</t>
  </si>
  <si>
    <t>Wing A</t>
  </si>
  <si>
    <t>RERA Carpet area</t>
  </si>
  <si>
    <t>3BHK</t>
  </si>
  <si>
    <t>AP Area</t>
  </si>
  <si>
    <t>Society Office &amp; Entrance Lobby</t>
  </si>
  <si>
    <t>7th, 9th to 12th, 14th to 17th Floor for Residential</t>
  </si>
  <si>
    <t>8th, 13th, 18th &amp; 23rd Floor (Part Refuge Area)</t>
  </si>
  <si>
    <t>Refuge Area</t>
  </si>
  <si>
    <t>19th to 22nd, 24th to 26th Floor</t>
  </si>
  <si>
    <t>Shop</t>
  </si>
  <si>
    <t>Attached Mezzanine area</t>
  </si>
  <si>
    <t>Office</t>
  </si>
  <si>
    <t>We considered Gross carpet area = Net carpet + A.P. Area.</t>
  </si>
  <si>
    <r>
      <t xml:space="preserve">Flat No.
</t>
    </r>
    <r>
      <rPr>
        <b/>
        <sz val="11"/>
        <rFont val="Times New Roman"/>
        <family val="1"/>
      </rPr>
      <t>(Approved Plan)</t>
    </r>
  </si>
  <si>
    <r>
      <t xml:space="preserve">Shop No.
</t>
    </r>
    <r>
      <rPr>
        <b/>
        <sz val="11"/>
        <rFont val="Times New Roman"/>
        <family val="1"/>
      </rPr>
      <t>(Approved Plan)</t>
    </r>
  </si>
  <si>
    <t>In Wing A @ 6th floor, flat no. 3 &amp; 4 are merged.</t>
  </si>
  <si>
    <t>https://maps.app.goo.gl/sjBm9i11kJHYYSDQ7</t>
  </si>
  <si>
    <t>Mohammed Colony</t>
  </si>
  <si>
    <t>Uttan Road</t>
  </si>
  <si>
    <t>Bhayandar (West)</t>
  </si>
  <si>
    <t>3.1 KM from Bhayandar Railway Station</t>
  </si>
  <si>
    <t>Rameshwaram Avenue</t>
  </si>
  <si>
    <t>Open Plot</t>
  </si>
  <si>
    <t>Internal Road</t>
  </si>
  <si>
    <t>Other Plot</t>
  </si>
  <si>
    <t>15.00 M.W. existing D.P. Road</t>
  </si>
  <si>
    <t>45.00 M.W. D.P. Road</t>
  </si>
  <si>
    <t>SIA/MH/INFRA2/451169/2023</t>
  </si>
  <si>
    <t>Bldg No.1 (Wing D) = Gr/St + 1st to 5th Floor</t>
  </si>
  <si>
    <t>Online</t>
  </si>
  <si>
    <t>Approved Plans, CC, EC</t>
  </si>
  <si>
    <t>MIS</t>
  </si>
  <si>
    <t>Visitor</t>
  </si>
  <si>
    <t xml:space="preserve">24X7 Water Supply, Closed Car Parking, Street Lighting, Recreation Facilities, Cafeteria, Fitness Center
</t>
  </si>
  <si>
    <r>
      <t xml:space="preserve">Proposed Amenities :                                                                                                                                                                                                                         </t>
    </r>
    <r>
      <rPr>
        <b/>
        <sz val="12"/>
        <rFont val="Times New Roman"/>
        <family val="1"/>
      </rPr>
      <t xml:space="preserve">                                               </t>
    </r>
  </si>
  <si>
    <t>1B</t>
  </si>
  <si>
    <t>1C</t>
  </si>
  <si>
    <t>1D</t>
  </si>
  <si>
    <t>1A</t>
  </si>
  <si>
    <t>JP Infra Realty Private Limited</t>
  </si>
  <si>
    <t>19.2948494,72.842765</t>
  </si>
  <si>
    <t>Wing 1A, 1B, 1C &amp; Commercial</t>
  </si>
  <si>
    <t>MNP/NR/1392/2023-2024</t>
  </si>
  <si>
    <t>Building No.1 (Wing A, B &amp; C) = Gr/St + 1st to 4th (Part Parking) + 5th Floor (Part Residential)  + Part Podium Floor + 6th to 9th Floor
Total Built Up Area = 16534.82Sq.M.</t>
  </si>
  <si>
    <t>Building No. 01</t>
  </si>
  <si>
    <t>Wing 1A + 1B</t>
  </si>
  <si>
    <t>Ground Floor +  1st Floor (Mezzanine Floor)</t>
  </si>
  <si>
    <t>Wing 1A</t>
  </si>
  <si>
    <t>Wing 1B</t>
  </si>
  <si>
    <t>8th, 13th, 18th &amp; 23rd Floor</t>
  </si>
  <si>
    <r>
      <t xml:space="preserve">Old S.No.663, New Survey No.237
</t>
    </r>
    <r>
      <rPr>
        <b/>
        <sz val="12"/>
        <color theme="1"/>
        <rFont val="Times New Roman"/>
        <family val="1"/>
      </rPr>
      <t>Tower 1 (Wing 1A, 1B, 1C)</t>
    </r>
    <r>
      <rPr>
        <sz val="12"/>
        <color theme="1"/>
        <rFont val="Times New Roman"/>
        <family val="1"/>
      </rPr>
      <t xml:space="preserve"> = Gr/St + 1st to 5th Commercial (Pt)/Podium (Pt) + 6th Residential (Pt)/Amenity (Pt) + 7th to 47th Residential Floor (Total Ht = 150.25 M.)
</t>
    </r>
    <r>
      <rPr>
        <b/>
        <sz val="12"/>
        <color theme="1"/>
        <rFont val="Times New Roman"/>
        <family val="1"/>
      </rPr>
      <t>Tower 2 (Wing 2A, 2B)</t>
    </r>
    <r>
      <rPr>
        <sz val="12"/>
        <color theme="1"/>
        <rFont val="Times New Roman"/>
        <family val="1"/>
      </rPr>
      <t xml:space="preserve"> = Gr/St + 1st to 5th Commercial (Pt)/Podium (Pt) + 6th Residential (Pt)/Amenity (Pt) + 7th to 47th Residential Floor (Total Ht = 150.25 M.)
Club House = Gr + 1st to 2nd Floor + Terrace (Total Ht = 10.80 M.)
Meditation Center = Ground Floor (Total Ht = 6.70 M.)</t>
    </r>
  </si>
  <si>
    <t>We have drafted Wing 1A, 1B &amp; 1C.</t>
  </si>
  <si>
    <t>Wing A + B</t>
  </si>
  <si>
    <t>01 Building (03Wings)</t>
  </si>
  <si>
    <t>Bldg No.1 (Wing 1A to 1C) = Gr/St + 1st to 26th Floor
Bldg No.1 (Wing D) = Gr/St + 1st to 5th Floor</t>
  </si>
  <si>
    <t>Bldg No.1 (Wing 1A to 1C) = Gr/St + 1st to 47th Floor</t>
  </si>
  <si>
    <t>Flats - 453, Shops - 32, Offices - 48</t>
  </si>
  <si>
    <t>MBMC/FIRE/314/2022-23</t>
  </si>
  <si>
    <t>16534.82Sq.M.</t>
  </si>
  <si>
    <t>Approved area of building (Sq.Mt)
Wing 1A, 1B &amp; 1C</t>
  </si>
  <si>
    <t>MBMC/FIRE/2020/2024-25</t>
  </si>
  <si>
    <t>We have updated fire Noc on 15/03/2025.</t>
  </si>
  <si>
    <t>Tower 1 (Wing 1A, 1B, 1C) = Gr/St + 1st to 5th Commercial (Pt)/Podium (Pt) + 6th Residential (Pt)/Amenity (Pt) + 7th to 45th Residential Floor
(Total Ht = 149.75M)</t>
  </si>
  <si>
    <t>Mr. Dhananjay : 9152031256</t>
  </si>
  <si>
    <t>As per site meet person Mr. Love Jain</t>
  </si>
  <si>
    <t>Mr. Love Jain 7045682725</t>
  </si>
  <si>
    <t>Gaurav Panchal</t>
  </si>
  <si>
    <t>Suraj Mali</t>
  </si>
  <si>
    <t>Construction work is in process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</si>
</sst>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
      <name val="Times New Roman"/>
      <family val="1"/>
    </font>
    <font>
      <b/>
      <sz val="11.5"/>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69">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0"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2" fontId="6" fillId="0" borderId="0" xfId="1" applyNumberFormat="1" applyFont="1"/>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vertical="center" wrapText="1"/>
      <protection locked="0"/>
    </xf>
    <xf numFmtId="1" fontId="6" fillId="0" borderId="1" xfId="1" applyNumberFormat="1" applyFont="1" applyBorder="1" applyAlignment="1">
      <alignment horizontal="center" vertical="center"/>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1" fontId="10" fillId="0" borderId="1" xfId="1" applyNumberFormat="1" applyFont="1" applyFill="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27"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wrapText="1"/>
      <protection locked="0"/>
    </xf>
    <xf numFmtId="1" fontId="5"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0"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1" fillId="5" borderId="1" xfId="1" applyNumberFormat="1" applyFont="1" applyFill="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7" fillId="0" borderId="16" xfId="1" applyFont="1" applyBorder="1" applyAlignment="1" applyProtection="1">
      <alignment horizontal="center" vertical="top"/>
      <protection locked="0"/>
    </xf>
    <xf numFmtId="167" fontId="6" fillId="0" borderId="1" xfId="9" applyNumberFormat="1" applyFont="1" applyFill="1" applyBorder="1" applyAlignment="1" applyProtection="1">
      <alignment horizontal="left" vertical="top"/>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0" fontId="11" fillId="0" borderId="35"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36"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1"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10" fillId="0" borderId="1" xfId="1" applyFont="1" applyBorder="1" applyAlignment="1" applyProtection="1">
      <alignment vertical="top"/>
      <protection locked="0"/>
    </xf>
    <xf numFmtId="1" fontId="11" fillId="0" borderId="1"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1" fontId="7" fillId="0" borderId="1"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1" fillId="0" borderId="16"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1" fontId="15" fillId="0" borderId="8" xfId="0" applyNumberFormat="1" applyFont="1" applyBorder="1" applyAlignment="1" applyProtection="1">
      <alignment vertical="top" wrapText="1"/>
      <protection locked="0"/>
    </xf>
    <xf numFmtId="1" fontId="15" fillId="0" borderId="21" xfId="0" applyNumberFormat="1" applyFont="1" applyBorder="1" applyAlignment="1" applyProtection="1">
      <alignment vertical="top" wrapText="1"/>
      <protection locked="0"/>
    </xf>
    <xf numFmtId="1" fontId="15" fillId="0" borderId="9" xfId="0" applyNumberFormat="1" applyFont="1" applyBorder="1" applyAlignment="1" applyProtection="1">
      <alignment vertical="top" wrapText="1"/>
      <protection locked="0"/>
    </xf>
    <xf numFmtId="0" fontId="7" fillId="0" borderId="1" xfId="1" applyFont="1" applyBorder="1" applyAlignment="1" applyProtection="1">
      <alignment vertical="top"/>
      <protection locked="0"/>
    </xf>
    <xf numFmtId="1" fontId="11"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left"/>
      <protection locked="0"/>
    </xf>
    <xf numFmtId="0" fontId="30"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center" vertical="top"/>
      <protection locked="0"/>
    </xf>
    <xf numFmtId="0" fontId="10" fillId="0" borderId="1" xfId="1" applyFont="1" applyBorder="1" applyAlignment="1" applyProtection="1">
      <alignment horizontal="center"/>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4" fontId="5" fillId="0" borderId="9"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left" vertical="top"/>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24" fillId="0" borderId="1" xfId="10" applyFill="1" applyBorder="1" applyAlignment="1" applyProtection="1">
      <alignment horizontal="left" vertical="top" wrapText="1"/>
      <protection locked="0"/>
    </xf>
    <xf numFmtId="1" fontId="29" fillId="0" borderId="1"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1" fontId="7" fillId="5" borderId="1" xfId="1" applyNumberFormat="1" applyFont="1" applyFill="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1" fontId="5" fillId="0" borderId="25" xfId="1" applyNumberFormat="1" applyFont="1" applyBorder="1" applyAlignment="1" applyProtection="1">
      <alignment horizontal="center" vertical="center" wrapText="1"/>
      <protection locked="0"/>
    </xf>
    <xf numFmtId="1" fontId="5" fillId="0" borderId="0" xfId="1" applyNumberFormat="1" applyFont="1" applyBorder="1" applyAlignment="1" applyProtection="1">
      <alignment horizontal="center" vertical="center" wrapText="1"/>
      <protection locked="0"/>
    </xf>
    <xf numFmtId="1" fontId="5" fillId="0" borderId="26" xfId="1" applyNumberFormat="1" applyFont="1" applyBorder="1" applyAlignment="1" applyProtection="1">
      <alignment horizontal="center" vertical="center" wrapText="1"/>
      <protection locked="0"/>
    </xf>
    <xf numFmtId="1" fontId="9" fillId="5" borderId="1" xfId="1" applyNumberFormat="1"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10" fillId="0" borderId="1" xfId="1" applyNumberFormat="1" applyFont="1" applyBorder="1" applyAlignment="1" applyProtection="1">
      <alignment horizontal="center" vertical="top" wrapText="1"/>
      <protection locked="0"/>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jpeg"/><Relationship Id="rId4" Type="http://schemas.openxmlformats.org/officeDocument/2006/relationships/image" Target="../media/image2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8</xdr:col>
      <xdr:colOff>228600</xdr:colOff>
      <xdr:row>16</xdr:row>
      <xdr:rowOff>19050</xdr:rowOff>
    </xdr:from>
    <xdr:to>
      <xdr:col>13</xdr:col>
      <xdr:colOff>2000</xdr:colOff>
      <xdr:row>19</xdr:row>
      <xdr:rowOff>123141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51650" y="4197350"/>
          <a:ext cx="4320000" cy="694641"/>
        </a:xfrm>
        <a:prstGeom prst="rect">
          <a:avLst/>
        </a:prstGeom>
        <a:ln>
          <a:solidFill>
            <a:schemeClr val="tx1"/>
          </a:solidFill>
        </a:ln>
      </xdr:spPr>
    </xdr:pic>
    <xdr:clientData/>
  </xdr:twoCellAnchor>
  <xdr:twoCellAnchor editAs="oneCell">
    <xdr:from>
      <xdr:col>8</xdr:col>
      <xdr:colOff>682625</xdr:colOff>
      <xdr:row>46</xdr:row>
      <xdr:rowOff>104775</xdr:rowOff>
    </xdr:from>
    <xdr:to>
      <xdr:col>13</xdr:col>
      <xdr:colOff>400640</xdr:colOff>
      <xdr:row>52</xdr:row>
      <xdr:rowOff>50990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997700" y="10496550"/>
          <a:ext cx="4061415" cy="1374965"/>
        </a:xfrm>
        <a:prstGeom prst="rect">
          <a:avLst/>
        </a:prstGeom>
        <a:ln>
          <a:solidFill>
            <a:schemeClr val="tx1"/>
          </a:solidFill>
        </a:ln>
      </xdr:spPr>
    </xdr:pic>
    <xdr:clientData/>
  </xdr:twoCellAnchor>
  <xdr:twoCellAnchor editAs="oneCell">
    <xdr:from>
      <xdr:col>0</xdr:col>
      <xdr:colOff>495300</xdr:colOff>
      <xdr:row>611</xdr:row>
      <xdr:rowOff>165100</xdr:rowOff>
    </xdr:from>
    <xdr:to>
      <xdr:col>7</xdr:col>
      <xdr:colOff>400600</xdr:colOff>
      <xdr:row>631</xdr:row>
      <xdr:rowOff>16962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95300" y="56699150"/>
          <a:ext cx="5760000" cy="3788862"/>
        </a:xfrm>
        <a:prstGeom prst="rect">
          <a:avLst/>
        </a:prstGeom>
        <a:ln>
          <a:solidFill>
            <a:schemeClr val="tx1"/>
          </a:solidFill>
        </a:ln>
      </xdr:spPr>
    </xdr:pic>
    <xdr:clientData/>
  </xdr:twoCellAnchor>
  <xdr:oneCellAnchor>
    <xdr:from>
      <xdr:col>1</xdr:col>
      <xdr:colOff>406400</xdr:colOff>
      <xdr:row>623</xdr:row>
      <xdr:rowOff>69850</xdr:rowOff>
    </xdr:from>
    <xdr:ext cx="678584"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206500" y="121666000"/>
          <a:ext cx="67858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1A</a:t>
          </a:r>
        </a:p>
      </xdr:txBody>
    </xdr:sp>
    <xdr:clientData/>
  </xdr:oneCellAnchor>
  <xdr:oneCellAnchor>
    <xdr:from>
      <xdr:col>1</xdr:col>
      <xdr:colOff>565150</xdr:colOff>
      <xdr:row>618</xdr:row>
      <xdr:rowOff>158750</xdr:rowOff>
    </xdr:from>
    <xdr:ext cx="668068"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365250" y="58070750"/>
          <a:ext cx="6680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1B</a:t>
          </a:r>
        </a:p>
      </xdr:txBody>
    </xdr:sp>
    <xdr:clientData/>
  </xdr:oneCellAnchor>
  <xdr:oneCellAnchor>
    <xdr:from>
      <xdr:col>3</xdr:col>
      <xdr:colOff>95250</xdr:colOff>
      <xdr:row>618</xdr:row>
      <xdr:rowOff>76200</xdr:rowOff>
    </xdr:from>
    <xdr:ext cx="668068"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622550" y="57988200"/>
          <a:ext cx="6680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1C</a:t>
          </a:r>
        </a:p>
      </xdr:txBody>
    </xdr:sp>
    <xdr:clientData/>
  </xdr:oneCellAnchor>
  <xdr:twoCellAnchor editAs="oneCell">
    <xdr:from>
      <xdr:col>1</xdr:col>
      <xdr:colOff>63500</xdr:colOff>
      <xdr:row>675</xdr:row>
      <xdr:rowOff>697</xdr:rowOff>
    </xdr:from>
    <xdr:to>
      <xdr:col>7</xdr:col>
      <xdr:colOff>48900</xdr:colOff>
      <xdr:row>694</xdr:row>
      <xdr:rowOff>22461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863600" y="115723097"/>
          <a:ext cx="5040000" cy="3761914"/>
        </a:xfrm>
        <a:prstGeom prst="rect">
          <a:avLst/>
        </a:prstGeom>
        <a:ln>
          <a:solidFill>
            <a:schemeClr val="tx1"/>
          </a:solidFill>
        </a:ln>
      </xdr:spPr>
    </xdr:pic>
    <xdr:clientData/>
  </xdr:twoCellAnchor>
  <xdr:twoCellAnchor editAs="oneCell">
    <xdr:from>
      <xdr:col>1</xdr:col>
      <xdr:colOff>69850</xdr:colOff>
      <xdr:row>655</xdr:row>
      <xdr:rowOff>19050</xdr:rowOff>
    </xdr:from>
    <xdr:to>
      <xdr:col>7</xdr:col>
      <xdr:colOff>55250</xdr:colOff>
      <xdr:row>674</xdr:row>
      <xdr:rowOff>95159</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869950" y="111804450"/>
          <a:ext cx="5040000" cy="3816259"/>
        </a:xfrm>
        <a:prstGeom prst="rect">
          <a:avLst/>
        </a:prstGeom>
        <a:ln>
          <a:solidFill>
            <a:schemeClr val="tx1"/>
          </a:solidFill>
        </a:ln>
      </xdr:spPr>
    </xdr:pic>
    <xdr:clientData/>
  </xdr:twoCellAnchor>
  <xdr:twoCellAnchor>
    <xdr:from>
      <xdr:col>2</xdr:col>
      <xdr:colOff>527258</xdr:colOff>
      <xdr:row>681</xdr:row>
      <xdr:rowOff>187548</xdr:rowOff>
    </xdr:from>
    <xdr:to>
      <xdr:col>4</xdr:col>
      <xdr:colOff>496432</xdr:colOff>
      <xdr:row>687</xdr:row>
      <xdr:rowOff>194792</xdr:rowOff>
    </xdr:to>
    <xdr:sp macro="" textlink="">
      <xdr:nvSpPr>
        <xdr:cNvPr id="10" name="Rectangle 9">
          <a:extLst>
            <a:ext uri="{FF2B5EF4-FFF2-40B4-BE49-F238E27FC236}">
              <a16:creationId xmlns:a16="http://schemas.microsoft.com/office/drawing/2014/main" id="{00000000-0008-0000-0000-00000A000000}"/>
            </a:ext>
          </a:extLst>
        </xdr:cNvPr>
        <xdr:cNvSpPr/>
      </xdr:nvSpPr>
      <xdr:spPr>
        <a:xfrm rot="20818430">
          <a:off x="2165558" y="117091048"/>
          <a:ext cx="1817024" cy="118834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2</xdr:col>
      <xdr:colOff>361950</xdr:colOff>
      <xdr:row>627</xdr:row>
      <xdr:rowOff>44450</xdr:rowOff>
    </xdr:from>
    <xdr:ext cx="1500924"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000250" y="122428000"/>
          <a:ext cx="15009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Wing 1D (Commercial)</a:t>
          </a:r>
        </a:p>
      </xdr:txBody>
    </xdr:sp>
    <xdr:clientData/>
  </xdr:oneCellAnchor>
  <xdr:twoCellAnchor editAs="oneCell">
    <xdr:from>
      <xdr:col>11</xdr:col>
      <xdr:colOff>257175</xdr:colOff>
      <xdr:row>72</xdr:row>
      <xdr:rowOff>15875</xdr:rowOff>
    </xdr:from>
    <xdr:to>
      <xdr:col>14</xdr:col>
      <xdr:colOff>161352</xdr:colOff>
      <xdr:row>103</xdr:row>
      <xdr:rowOff>40825</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a:stretch>
          <a:fillRect/>
        </a:stretch>
      </xdr:blipFill>
      <xdr:spPr>
        <a:xfrm>
          <a:off x="9201150" y="17341850"/>
          <a:ext cx="2456877" cy="3653975"/>
        </a:xfrm>
        <a:prstGeom prst="rect">
          <a:avLst/>
        </a:prstGeom>
        <a:ln>
          <a:solidFill>
            <a:schemeClr val="tx1"/>
          </a:solidFill>
        </a:ln>
      </xdr:spPr>
    </xdr:pic>
    <xdr:clientData/>
  </xdr:twoCellAnchor>
  <xdr:twoCellAnchor>
    <xdr:from>
      <xdr:col>9</xdr:col>
      <xdr:colOff>492125</xdr:colOff>
      <xdr:row>569</xdr:row>
      <xdr:rowOff>152400</xdr:rowOff>
    </xdr:from>
    <xdr:to>
      <xdr:col>14</xdr:col>
      <xdr:colOff>786582</xdr:colOff>
      <xdr:row>599</xdr:row>
      <xdr:rowOff>148949</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7969250" y="84762975"/>
          <a:ext cx="4314007" cy="5987774"/>
          <a:chOff x="1130300" y="83362800"/>
          <a:chExt cx="4514032" cy="5895699"/>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7"/>
          <a:stretch>
            <a:fillRect/>
          </a:stretch>
        </xdr:blipFill>
        <xdr:spPr>
          <a:xfrm rot="5400000">
            <a:off x="770300" y="86738499"/>
            <a:ext cx="2880000" cy="216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8"/>
          <a:stretch>
            <a:fillRect/>
          </a:stretch>
        </xdr:blipFill>
        <xdr:spPr>
          <a:xfrm rot="5400000">
            <a:off x="3124332" y="83722800"/>
            <a:ext cx="2880000" cy="216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6200000">
            <a:off x="3124332" y="86738499"/>
            <a:ext cx="2880000" cy="216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0"/>
          <a:stretch>
            <a:fillRect/>
          </a:stretch>
        </xdr:blipFill>
        <xdr:spPr>
          <a:xfrm rot="5400000">
            <a:off x="770300" y="83722800"/>
            <a:ext cx="2880000" cy="2160000"/>
          </a:xfrm>
          <a:prstGeom prst="rect">
            <a:avLst/>
          </a:prstGeom>
          <a:ln>
            <a:solidFill>
              <a:schemeClr val="tx1"/>
            </a:solidFill>
          </a:ln>
        </xdr:spPr>
      </xdr:pic>
    </xdr:grpSp>
    <xdr:clientData/>
  </xdr:twoCellAnchor>
  <xdr:twoCellAnchor>
    <xdr:from>
      <xdr:col>0</xdr:col>
      <xdr:colOff>180975</xdr:colOff>
      <xdr:row>568</xdr:row>
      <xdr:rowOff>114300</xdr:rowOff>
    </xdr:from>
    <xdr:to>
      <xdr:col>7</xdr:col>
      <xdr:colOff>628650</xdr:colOff>
      <xdr:row>595</xdr:row>
      <xdr:rowOff>129776</xdr:rowOff>
    </xdr:to>
    <xdr:grpSp>
      <xdr:nvGrpSpPr>
        <xdr:cNvPr id="23" name="Group 22">
          <a:extLst>
            <a:ext uri="{FF2B5EF4-FFF2-40B4-BE49-F238E27FC236}">
              <a16:creationId xmlns:a16="http://schemas.microsoft.com/office/drawing/2014/main" id="{AA4D883B-0FCC-4090-872F-A846D4EB0A4E}"/>
            </a:ext>
          </a:extLst>
        </xdr:cNvPr>
        <xdr:cNvGrpSpPr/>
      </xdr:nvGrpSpPr>
      <xdr:grpSpPr>
        <a:xfrm>
          <a:off x="180975" y="84524850"/>
          <a:ext cx="6029325" cy="5406626"/>
          <a:chOff x="-153686" y="466164"/>
          <a:chExt cx="6947978" cy="5997176"/>
        </a:xfrm>
      </xdr:grpSpPr>
      <xdr:pic>
        <xdr:nvPicPr>
          <xdr:cNvPr id="24" name="Picture 23">
            <a:extLst>
              <a:ext uri="{FF2B5EF4-FFF2-40B4-BE49-F238E27FC236}">
                <a16:creationId xmlns:a16="http://schemas.microsoft.com/office/drawing/2014/main" id="{CBBB46B0-4879-4BD4-BE58-2B9D000C0F84}"/>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84094" y="466164"/>
            <a:ext cx="2700000" cy="3600000"/>
          </a:xfrm>
          <a:prstGeom prst="rect">
            <a:avLst/>
          </a:prstGeom>
          <a:ln>
            <a:solidFill>
              <a:schemeClr val="tx1"/>
            </a:solidFill>
          </a:ln>
        </xdr:spPr>
      </xdr:pic>
      <xdr:pic>
        <xdr:nvPicPr>
          <xdr:cNvPr id="25" name="Picture 24">
            <a:extLst>
              <a:ext uri="{FF2B5EF4-FFF2-40B4-BE49-F238E27FC236}">
                <a16:creationId xmlns:a16="http://schemas.microsoft.com/office/drawing/2014/main" id="{39EFBBEB-BC4D-4DEA-97AF-387E62FDF209}"/>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429000" y="466164"/>
            <a:ext cx="2700000" cy="3600000"/>
          </a:xfrm>
          <a:prstGeom prst="rect">
            <a:avLst/>
          </a:prstGeom>
          <a:ln>
            <a:solidFill>
              <a:schemeClr val="tx1"/>
            </a:solidFill>
          </a:ln>
        </xdr:spPr>
      </xdr:pic>
      <xdr:pic>
        <xdr:nvPicPr>
          <xdr:cNvPr id="26" name="Picture 25">
            <a:extLst>
              <a:ext uri="{FF2B5EF4-FFF2-40B4-BE49-F238E27FC236}">
                <a16:creationId xmlns:a16="http://schemas.microsoft.com/office/drawing/2014/main" id="{16B9B79A-9E6A-4CE7-8043-C6B6DA2AD552}"/>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621969" y="4303340"/>
            <a:ext cx="1620000"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1F4BCD41-4075-49F4-A090-D9E525E7A293}"/>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53686" y="4303340"/>
            <a:ext cx="1620000"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D95AC278-E227-4B09-8487-E32C7F9B13E4}"/>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397624" y="4303340"/>
            <a:ext cx="1621013" cy="2160000"/>
          </a:xfrm>
          <a:prstGeom prst="rect">
            <a:avLst/>
          </a:prstGeom>
          <a:ln>
            <a:solidFill>
              <a:schemeClr val="tx1"/>
            </a:solidFill>
          </a:ln>
        </xdr:spPr>
      </xdr:pic>
      <xdr:pic>
        <xdr:nvPicPr>
          <xdr:cNvPr id="29" name="Picture 28">
            <a:extLst>
              <a:ext uri="{FF2B5EF4-FFF2-40B4-BE49-F238E27FC236}">
                <a16:creationId xmlns:a16="http://schemas.microsoft.com/office/drawing/2014/main" id="{B2507AF0-A969-45F1-BCFF-C108E2886ECF}"/>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174292" y="4303340"/>
            <a:ext cx="162000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2</xdr:col>
      <xdr:colOff>1898652</xdr:colOff>
      <xdr:row>31</xdr:row>
      <xdr:rowOff>50058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12588" y="2696882"/>
          <a:ext cx="3445064" cy="3240000"/>
        </a:xfrm>
        <a:prstGeom prst="rect">
          <a:avLst/>
        </a:prstGeom>
        <a:ln>
          <a:solidFill>
            <a:schemeClr val="tx1"/>
          </a:solidFill>
        </a:ln>
      </xdr:spPr>
    </xdr:pic>
    <xdr:clientData/>
  </xdr:twoCellAnchor>
  <xdr:twoCellAnchor editAs="oneCell">
    <xdr:from>
      <xdr:col>2</xdr:col>
      <xdr:colOff>2146187</xdr:colOff>
      <xdr:row>14</xdr:row>
      <xdr:rowOff>0</xdr:rowOff>
    </xdr:from>
    <xdr:to>
      <xdr:col>6</xdr:col>
      <xdr:colOff>425865</xdr:colOff>
      <xdr:row>31</xdr:row>
      <xdr:rowOff>50058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4305187" y="2696882"/>
          <a:ext cx="3441854" cy="3240000"/>
        </a:xfrm>
        <a:prstGeom prst="rect">
          <a:avLst/>
        </a:prstGeom>
        <a:ln>
          <a:solidFill>
            <a:schemeClr val="tx1"/>
          </a:solidFill>
        </a:ln>
      </xdr:spPr>
    </xdr:pic>
    <xdr:clientData/>
  </xdr:twoCellAnchor>
  <xdr:twoCellAnchor editAs="oneCell">
    <xdr:from>
      <xdr:col>6</xdr:col>
      <xdr:colOff>673400</xdr:colOff>
      <xdr:row>14</xdr:row>
      <xdr:rowOff>0</xdr:rowOff>
    </xdr:from>
    <xdr:to>
      <xdr:col>10</xdr:col>
      <xdr:colOff>171807</xdr:colOff>
      <xdr:row>31</xdr:row>
      <xdr:rowOff>50058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7994576" y="2696882"/>
          <a:ext cx="3271055" cy="324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sjBm9i11kJHYYSDQ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54"/>
  <sheetViews>
    <sheetView tabSelected="1" view="pageBreakPreview" zoomScaleNormal="100" zoomScaleSheetLayoutView="100" zoomScalePageLayoutView="85" workbookViewId="0">
      <selection activeCell="J6" sqref="J6"/>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8" width="11" style="37" customWidth="1"/>
    <col min="9" max="9" width="17.42578125" style="18" customWidth="1"/>
    <col min="10" max="10" width="11.42578125" style="18"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208" t="s">
        <v>163</v>
      </c>
      <c r="B1" s="208"/>
      <c r="C1" s="208"/>
      <c r="D1" s="208"/>
      <c r="E1" s="208"/>
      <c r="F1" s="208"/>
      <c r="G1" s="208"/>
      <c r="H1" s="208"/>
    </row>
    <row r="2" spans="1:26" ht="16.5" customHeight="1" x14ac:dyDescent="0.25">
      <c r="A2" s="161" t="s">
        <v>0</v>
      </c>
      <c r="B2" s="161"/>
      <c r="C2" s="161"/>
      <c r="D2" s="161"/>
      <c r="E2" s="161"/>
      <c r="F2" s="161"/>
      <c r="G2" s="161"/>
      <c r="H2" s="161"/>
    </row>
    <row r="3" spans="1:26" x14ac:dyDescent="0.25">
      <c r="A3" s="109" t="s">
        <v>1</v>
      </c>
      <c r="B3" s="109"/>
      <c r="C3" s="109"/>
      <c r="D3" s="109"/>
      <c r="E3" s="109" t="str">
        <f ca="1">TEXT(TODAY(),"DD/MM/YYYY")</f>
        <v>20/08/2025</v>
      </c>
      <c r="F3" s="109"/>
      <c r="G3" s="109"/>
      <c r="H3" s="109"/>
      <c r="K3" s="52" t="s">
        <v>235</v>
      </c>
      <c r="L3" s="49" t="s">
        <v>233</v>
      </c>
      <c r="M3" s="49" t="s">
        <v>238</v>
      </c>
      <c r="N3" s="49" t="s">
        <v>236</v>
      </c>
      <c r="O3" s="49" t="s">
        <v>340</v>
      </c>
      <c r="P3" s="49" t="s">
        <v>239</v>
      </c>
    </row>
    <row r="4" spans="1:26" ht="15" customHeight="1" x14ac:dyDescent="0.25">
      <c r="A4" s="109" t="s">
        <v>232</v>
      </c>
      <c r="B4" s="109"/>
      <c r="C4" s="109"/>
      <c r="D4" s="109"/>
      <c r="E4" s="109" t="s">
        <v>233</v>
      </c>
      <c r="F4" s="109"/>
      <c r="G4" s="109"/>
      <c r="H4" s="109"/>
      <c r="K4" s="48" t="s">
        <v>234</v>
      </c>
      <c r="L4" s="49" t="s">
        <v>169</v>
      </c>
      <c r="M4" s="49" t="s">
        <v>243</v>
      </c>
      <c r="N4" s="49" t="s">
        <v>245</v>
      </c>
      <c r="O4" s="49" t="s">
        <v>341</v>
      </c>
      <c r="P4" s="49"/>
    </row>
    <row r="5" spans="1:26" ht="15" customHeight="1" x14ac:dyDescent="0.25">
      <c r="A5" s="109" t="s">
        <v>2</v>
      </c>
      <c r="B5" s="109"/>
      <c r="C5" s="109"/>
      <c r="D5" s="109"/>
      <c r="E5" s="109" t="s">
        <v>169</v>
      </c>
      <c r="F5" s="109"/>
      <c r="G5" s="109"/>
      <c r="H5" s="109"/>
      <c r="K5" s="48"/>
      <c r="L5" s="49" t="s">
        <v>240</v>
      </c>
      <c r="M5" s="49" t="s">
        <v>244</v>
      </c>
      <c r="N5" s="49" t="s">
        <v>246</v>
      </c>
      <c r="O5" s="49" t="s">
        <v>342</v>
      </c>
      <c r="P5" s="49"/>
    </row>
    <row r="6" spans="1:26" x14ac:dyDescent="0.25">
      <c r="A6" s="109" t="s">
        <v>3</v>
      </c>
      <c r="B6" s="109"/>
      <c r="C6" s="109"/>
      <c r="D6" s="109"/>
      <c r="E6" s="210">
        <v>45880</v>
      </c>
      <c r="F6" s="109"/>
      <c r="G6" s="109"/>
      <c r="H6" s="109"/>
      <c r="K6" s="48"/>
      <c r="L6" s="49" t="s">
        <v>241</v>
      </c>
      <c r="M6" s="49"/>
      <c r="N6" s="49"/>
      <c r="O6" s="49" t="s">
        <v>343</v>
      </c>
      <c r="P6" s="49"/>
    </row>
    <row r="7" spans="1:26" ht="16.5" customHeight="1" x14ac:dyDescent="0.25">
      <c r="A7" s="109" t="s">
        <v>4</v>
      </c>
      <c r="B7" s="109"/>
      <c r="C7" s="109"/>
      <c r="D7" s="109"/>
      <c r="E7" s="109" t="s">
        <v>412</v>
      </c>
      <c r="F7" s="109"/>
      <c r="G7" s="109"/>
      <c r="H7" s="109"/>
      <c r="K7" s="48"/>
      <c r="L7" s="49" t="s">
        <v>242</v>
      </c>
      <c r="M7" s="49"/>
      <c r="N7" s="49"/>
      <c r="O7" s="49" t="s">
        <v>343</v>
      </c>
      <c r="P7" s="49"/>
    </row>
    <row r="8" spans="1:26" ht="15" customHeight="1" x14ac:dyDescent="0.25">
      <c r="A8" s="109" t="s">
        <v>5</v>
      </c>
      <c r="B8" s="109"/>
      <c r="C8" s="109"/>
      <c r="D8" s="109"/>
      <c r="E8" s="109" t="str">
        <f>E7</f>
        <v>JP Infra Realty Private Limited</v>
      </c>
      <c r="F8" s="109"/>
      <c r="G8" s="109"/>
      <c r="H8" s="109"/>
      <c r="K8" s="48"/>
      <c r="L8" s="49"/>
      <c r="M8" s="49"/>
      <c r="N8" s="49"/>
      <c r="O8" s="49" t="s">
        <v>344</v>
      </c>
      <c r="P8" s="49"/>
    </row>
    <row r="9" spans="1:26" x14ac:dyDescent="0.25">
      <c r="A9" s="109" t="s">
        <v>6</v>
      </c>
      <c r="B9" s="109"/>
      <c r="C9" s="109"/>
      <c r="D9" s="109"/>
      <c r="E9" s="209" t="s">
        <v>348</v>
      </c>
      <c r="F9" s="209"/>
      <c r="G9" s="209"/>
      <c r="H9" s="209"/>
      <c r="K9" s="48"/>
      <c r="L9" s="49"/>
      <c r="M9" s="49"/>
      <c r="N9" s="49"/>
      <c r="O9" s="49" t="s">
        <v>345</v>
      </c>
      <c r="P9" s="49"/>
    </row>
    <row r="10" spans="1:26" x14ac:dyDescent="0.25">
      <c r="A10" s="109" t="s">
        <v>166</v>
      </c>
      <c r="B10" s="109"/>
      <c r="C10" s="109"/>
      <c r="D10" s="109"/>
      <c r="E10" s="109" t="s">
        <v>349</v>
      </c>
      <c r="F10" s="109"/>
      <c r="G10" s="109"/>
      <c r="H10" s="109"/>
      <c r="K10" s="48"/>
      <c r="L10" s="49"/>
      <c r="M10" s="49"/>
      <c r="N10" s="49"/>
      <c r="O10" s="49" t="s">
        <v>346</v>
      </c>
      <c r="P10" s="49"/>
    </row>
    <row r="11" spans="1:26" x14ac:dyDescent="0.25">
      <c r="A11" s="109" t="s">
        <v>167</v>
      </c>
      <c r="B11" s="109"/>
      <c r="C11" s="109"/>
      <c r="D11" s="109"/>
      <c r="E11" s="109" t="s">
        <v>438</v>
      </c>
      <c r="F11" s="109"/>
      <c r="G11" s="109"/>
      <c r="H11" s="109"/>
      <c r="I11" s="109" t="s">
        <v>436</v>
      </c>
      <c r="J11" s="109"/>
      <c r="K11" s="109"/>
      <c r="L11" s="109"/>
      <c r="O11" s="49" t="s">
        <v>347</v>
      </c>
    </row>
    <row r="12" spans="1:26" x14ac:dyDescent="0.25">
      <c r="A12" s="109" t="s">
        <v>7</v>
      </c>
      <c r="B12" s="109"/>
      <c r="C12" s="109"/>
      <c r="D12" s="109"/>
      <c r="E12" s="109" t="s">
        <v>414</v>
      </c>
      <c r="F12" s="109"/>
      <c r="G12" s="109"/>
      <c r="H12" s="109"/>
      <c r="I12" s="109" t="s">
        <v>349</v>
      </c>
      <c r="J12" s="109"/>
      <c r="K12" s="109"/>
      <c r="L12" s="109"/>
    </row>
    <row r="13" spans="1:26" x14ac:dyDescent="0.25">
      <c r="A13" s="109" t="s">
        <v>170</v>
      </c>
      <c r="B13" s="109"/>
      <c r="C13" s="109"/>
      <c r="D13" s="109"/>
      <c r="E13" s="109" t="s">
        <v>28</v>
      </c>
      <c r="F13" s="109"/>
      <c r="G13" s="109"/>
      <c r="H13" s="109"/>
      <c r="S13" s="49" t="s">
        <v>179</v>
      </c>
      <c r="T13" s="49" t="s">
        <v>188</v>
      </c>
      <c r="U13" s="49" t="s">
        <v>171</v>
      </c>
      <c r="V13" s="49" t="s">
        <v>193</v>
      </c>
      <c r="W13" s="49" t="s">
        <v>211</v>
      </c>
      <c r="X13"/>
      <c r="Y13" t="s">
        <v>193</v>
      </c>
      <c r="Z13" t="e">
        <f ca="1">OFFSET($S$13,1,MATCH($G20,$S$13:$W$13,0)-1,15,1)</f>
        <v>#VALUE!</v>
      </c>
    </row>
    <row r="14" spans="1:26" x14ac:dyDescent="0.25">
      <c r="A14" s="136" t="s">
        <v>278</v>
      </c>
      <c r="B14" s="136"/>
      <c r="C14" s="136"/>
      <c r="D14" s="136"/>
      <c r="E14" s="138" t="s">
        <v>403</v>
      </c>
      <c r="F14" s="138"/>
      <c r="G14" s="138"/>
      <c r="H14" s="138"/>
      <c r="S14" s="49" t="s">
        <v>179</v>
      </c>
      <c r="T14" s="49" t="s">
        <v>186</v>
      </c>
      <c r="U14" s="49" t="s">
        <v>208</v>
      </c>
      <c r="V14" s="49" t="s">
        <v>194</v>
      </c>
      <c r="W14" s="49" t="s">
        <v>212</v>
      </c>
      <c r="X14"/>
      <c r="Y14"/>
      <c r="Z14"/>
    </row>
    <row r="15" spans="1:26" x14ac:dyDescent="0.25">
      <c r="A15" s="136" t="s">
        <v>8</v>
      </c>
      <c r="B15" s="136"/>
      <c r="C15" s="136"/>
      <c r="D15" s="136"/>
      <c r="E15" s="138" t="s">
        <v>350</v>
      </c>
      <c r="F15" s="109"/>
      <c r="G15" s="109"/>
      <c r="H15" s="109"/>
      <c r="I15" s="159" t="e">
        <f ca="1">OFFSET($D$5,1,MATCH($J13,$D$5:$H$5,0)-1,15,1)</f>
        <v>#N/A</v>
      </c>
      <c r="J15" s="160"/>
      <c r="K15" s="160"/>
      <c r="L15" s="160"/>
      <c r="M15" s="160"/>
      <c r="N15" s="160"/>
      <c r="O15" s="160"/>
      <c r="P15" s="160"/>
      <c r="S15" s="49" t="s">
        <v>180</v>
      </c>
      <c r="T15" s="49" t="s">
        <v>187</v>
      </c>
      <c r="U15" s="49" t="s">
        <v>209</v>
      </c>
      <c r="V15" s="49" t="s">
        <v>195</v>
      </c>
      <c r="W15" s="49" t="s">
        <v>225</v>
      </c>
      <c r="X15"/>
      <c r="Y15"/>
      <c r="Z15"/>
    </row>
    <row r="16" spans="1:26" ht="48.75" customHeight="1" x14ac:dyDescent="0.25">
      <c r="A16" s="138" t="s">
        <v>9</v>
      </c>
      <c r="B16" s="138"/>
      <c r="C16" s="138" t="str">
        <f>CONCATENATE((IF(OR(E9="",E9="NA"),"",E9)),", ",(IF(OR(A17="",A17="NA"),"",A17)),".",(IF(OR(C17="",C17="NA"),"",C17)),", near ",(IF(OR(C22="",C22="NA"),"",C22)),", ",(IF(OR(C19="",C19="NA"),"",C19)),", ",(IF(OR(C18="",C18="NA"),"",C18)),", ",(IF(OR(G19="",G19="NA"),"",G19)),", ",(IF(OR(C20="",C20="NA"),"",C20)),", ",(IF(OR(C21="",C21="NA"),"",C21)),", ",(IF(OR(G20="",G20="NA"),"",G20))," - ",(IF(OR(G21="",G21="NA"),"",G21)),".")</f>
        <v>North Westend Tower 1, Survey No.237, Old S.No.663, near Rameshwaram Avenue, Uttan Road, Mohammed Colony, Bhayandar, Bhayandar (West), Thane, Thane - 401101.</v>
      </c>
      <c r="D16" s="138"/>
      <c r="E16" s="138"/>
      <c r="F16" s="138"/>
      <c r="G16" s="138"/>
      <c r="H16" s="138"/>
      <c r="S16" s="49" t="s">
        <v>181</v>
      </c>
      <c r="T16" s="49" t="s">
        <v>189</v>
      </c>
      <c r="U16" s="49" t="s">
        <v>210</v>
      </c>
      <c r="V16" s="49" t="s">
        <v>196</v>
      </c>
      <c r="W16" s="49" t="s">
        <v>213</v>
      </c>
      <c r="X16"/>
      <c r="Y16"/>
      <c r="Z16"/>
    </row>
    <row r="17" spans="1:26" x14ac:dyDescent="0.25">
      <c r="A17" s="138" t="s">
        <v>351</v>
      </c>
      <c r="B17" s="138"/>
      <c r="C17" s="138" t="s">
        <v>352</v>
      </c>
      <c r="D17" s="138"/>
      <c r="E17" s="138"/>
      <c r="F17" s="138"/>
      <c r="G17" s="138"/>
      <c r="H17" s="138"/>
      <c r="S17" s="49" t="s">
        <v>182</v>
      </c>
      <c r="T17" s="49" t="s">
        <v>190</v>
      </c>
      <c r="U17" s="49" t="s">
        <v>171</v>
      </c>
      <c r="V17" s="49" t="s">
        <v>197</v>
      </c>
      <c r="W17" s="49" t="s">
        <v>214</v>
      </c>
      <c r="X17"/>
      <c r="Y17"/>
      <c r="Z17"/>
    </row>
    <row r="18" spans="1:26" ht="15.75" customHeight="1" x14ac:dyDescent="0.25">
      <c r="A18" s="138" t="s">
        <v>161</v>
      </c>
      <c r="B18" s="138"/>
      <c r="C18" s="138" t="s">
        <v>390</v>
      </c>
      <c r="D18" s="138"/>
      <c r="E18" s="138"/>
      <c r="F18" s="138"/>
      <c r="G18" s="138"/>
      <c r="H18" s="138"/>
      <c r="S18" s="49" t="s">
        <v>183</v>
      </c>
      <c r="T18" s="49" t="s">
        <v>188</v>
      </c>
      <c r="U18" s="49"/>
      <c r="V18" s="49" t="s">
        <v>198</v>
      </c>
      <c r="W18" s="49" t="s">
        <v>215</v>
      </c>
      <c r="X18"/>
      <c r="Y18"/>
      <c r="Z18"/>
    </row>
    <row r="19" spans="1:26" ht="15.75" customHeight="1" x14ac:dyDescent="0.25">
      <c r="A19" s="138" t="s">
        <v>10</v>
      </c>
      <c r="B19" s="138"/>
      <c r="C19" s="109" t="s">
        <v>391</v>
      </c>
      <c r="D19" s="109"/>
      <c r="E19" s="138" t="s">
        <v>70</v>
      </c>
      <c r="F19" s="138"/>
      <c r="G19" s="138" t="s">
        <v>353</v>
      </c>
      <c r="H19" s="138"/>
      <c r="S19" s="49" t="s">
        <v>184</v>
      </c>
      <c r="T19" s="49" t="s">
        <v>191</v>
      </c>
      <c r="U19" s="49"/>
      <c r="V19" s="49" t="s">
        <v>199</v>
      </c>
      <c r="W19" s="49" t="s">
        <v>216</v>
      </c>
      <c r="X19"/>
      <c r="Y19"/>
      <c r="Z19"/>
    </row>
    <row r="20" spans="1:26" x14ac:dyDescent="0.25">
      <c r="A20" s="109" t="s">
        <v>12</v>
      </c>
      <c r="B20" s="109"/>
      <c r="C20" s="138" t="s">
        <v>392</v>
      </c>
      <c r="D20" s="138"/>
      <c r="E20" s="138" t="s">
        <v>11</v>
      </c>
      <c r="F20" s="138"/>
      <c r="G20" s="207" t="s">
        <v>179</v>
      </c>
      <c r="H20" s="207"/>
      <c r="S20" s="49" t="s">
        <v>185</v>
      </c>
      <c r="T20" s="49" t="s">
        <v>192</v>
      </c>
      <c r="U20" s="49"/>
      <c r="V20" s="49" t="s">
        <v>200</v>
      </c>
      <c r="W20" s="49" t="s">
        <v>217</v>
      </c>
      <c r="X20"/>
      <c r="Y20"/>
      <c r="Z20"/>
    </row>
    <row r="21" spans="1:26" x14ac:dyDescent="0.25">
      <c r="A21" s="109" t="s">
        <v>71</v>
      </c>
      <c r="B21" s="109"/>
      <c r="C21" s="138" t="s">
        <v>179</v>
      </c>
      <c r="D21" s="138"/>
      <c r="E21" s="138" t="s">
        <v>13</v>
      </c>
      <c r="F21" s="138"/>
      <c r="G21" s="138">
        <v>401101</v>
      </c>
      <c r="H21" s="138"/>
      <c r="S21" s="49"/>
      <c r="T21" s="49"/>
      <c r="U21" s="49"/>
      <c r="V21" s="49" t="s">
        <v>201</v>
      </c>
      <c r="W21" s="49" t="s">
        <v>218</v>
      </c>
      <c r="X21"/>
      <c r="Y21"/>
      <c r="Z21"/>
    </row>
    <row r="22" spans="1:26" ht="47.1" customHeight="1" x14ac:dyDescent="0.25">
      <c r="A22" s="109" t="s">
        <v>118</v>
      </c>
      <c r="B22" s="109"/>
      <c r="C22" s="138" t="s">
        <v>394</v>
      </c>
      <c r="D22" s="138"/>
      <c r="E22" s="138" t="s">
        <v>14</v>
      </c>
      <c r="F22" s="138"/>
      <c r="G22" s="138" t="s">
        <v>393</v>
      </c>
      <c r="H22" s="138"/>
      <c r="S22" s="49"/>
      <c r="T22" s="49"/>
      <c r="U22" s="49"/>
      <c r="V22" s="49" t="s">
        <v>202</v>
      </c>
      <c r="W22" s="49" t="s">
        <v>219</v>
      </c>
      <c r="X22"/>
      <c r="Y22"/>
      <c r="Z22"/>
    </row>
    <row r="23" spans="1:26" ht="15" customHeight="1" x14ac:dyDescent="0.25">
      <c r="A23" s="137" t="s">
        <v>73</v>
      </c>
      <c r="B23" s="137"/>
      <c r="C23" s="137"/>
      <c r="D23" s="137"/>
      <c r="E23" s="109" t="s">
        <v>15</v>
      </c>
      <c r="F23" s="109"/>
      <c r="G23" s="109"/>
      <c r="H23" s="109"/>
      <c r="S23" s="49"/>
      <c r="T23" s="49"/>
      <c r="U23" s="49"/>
      <c r="V23" s="49" t="s">
        <v>203</v>
      </c>
      <c r="W23" s="49" t="s">
        <v>220</v>
      </c>
      <c r="X23"/>
      <c r="Y23"/>
      <c r="Z23"/>
    </row>
    <row r="24" spans="1:26" ht="18.75" customHeight="1" x14ac:dyDescent="0.25">
      <c r="A24" s="137"/>
      <c r="B24" s="137"/>
      <c r="C24" s="137"/>
      <c r="D24" s="137"/>
      <c r="E24" s="109"/>
      <c r="F24" s="109"/>
      <c r="G24" s="109"/>
      <c r="H24" s="109"/>
      <c r="S24" s="49"/>
      <c r="T24" s="49"/>
      <c r="U24" s="49"/>
      <c r="V24" s="49" t="s">
        <v>204</v>
      </c>
      <c r="W24" s="49" t="s">
        <v>221</v>
      </c>
      <c r="X24"/>
      <c r="Y24"/>
      <c r="Z24"/>
    </row>
    <row r="25" spans="1:26" ht="15" customHeight="1" x14ac:dyDescent="0.25">
      <c r="A25" s="137" t="s">
        <v>16</v>
      </c>
      <c r="B25" s="137"/>
      <c r="C25" s="137"/>
      <c r="D25" s="137"/>
      <c r="E25" s="138" t="s">
        <v>17</v>
      </c>
      <c r="F25" s="138"/>
      <c r="G25" s="138"/>
      <c r="H25" s="138"/>
      <c r="S25" s="49"/>
      <c r="T25" s="49"/>
      <c r="U25" s="49"/>
      <c r="V25" s="49" t="s">
        <v>205</v>
      </c>
      <c r="W25" s="49" t="s">
        <v>222</v>
      </c>
      <c r="X25"/>
      <c r="Y25"/>
      <c r="Z25"/>
    </row>
    <row r="26" spans="1:26" ht="15" customHeight="1" x14ac:dyDescent="0.25">
      <c r="A26" s="136" t="s">
        <v>18</v>
      </c>
      <c r="B26" s="136"/>
      <c r="C26" s="136"/>
      <c r="D26" s="136"/>
      <c r="E26" s="138" t="str">
        <f>IF(AND(G20="Mumbai"),"Upper Class","Middle Class")</f>
        <v>Middle Class</v>
      </c>
      <c r="F26" s="138"/>
      <c r="G26" s="138"/>
      <c r="H26" s="138"/>
      <c r="S26" s="49"/>
      <c r="T26" s="49"/>
      <c r="U26" s="49"/>
      <c r="V26" s="49" t="s">
        <v>206</v>
      </c>
      <c r="W26" s="49" t="s">
        <v>223</v>
      </c>
      <c r="X26"/>
      <c r="Y26"/>
      <c r="Z26"/>
    </row>
    <row r="27" spans="1:26" x14ac:dyDescent="0.25">
      <c r="A27" s="136" t="s">
        <v>19</v>
      </c>
      <c r="B27" s="136"/>
      <c r="C27" s="136"/>
      <c r="D27" s="136"/>
      <c r="E27" s="138" t="s">
        <v>20</v>
      </c>
      <c r="F27" s="138"/>
      <c r="G27" s="138"/>
      <c r="H27" s="138"/>
      <c r="S27" s="49"/>
      <c r="T27" s="49"/>
      <c r="U27" s="49"/>
      <c r="V27" s="49" t="s">
        <v>207</v>
      </c>
      <c r="W27" s="49" t="s">
        <v>224</v>
      </c>
      <c r="X27"/>
      <c r="Y27"/>
      <c r="Z27"/>
    </row>
    <row r="28" spans="1:26" ht="15.75" customHeight="1" x14ac:dyDescent="0.25">
      <c r="A28" s="136" t="s">
        <v>21</v>
      </c>
      <c r="B28" s="136"/>
      <c r="C28" s="136"/>
      <c r="D28" s="136"/>
      <c r="E28" s="138" t="str">
        <f>IF(AND(G20="Mumbai"),"Developed","Developing")</f>
        <v>Developing</v>
      </c>
      <c r="F28" s="138"/>
      <c r="G28" s="138"/>
      <c r="H28" s="138"/>
    </row>
    <row r="29" spans="1:26" x14ac:dyDescent="0.25">
      <c r="A29" s="136" t="s">
        <v>22</v>
      </c>
      <c r="B29" s="136"/>
      <c r="C29" s="136"/>
      <c r="D29" s="136"/>
      <c r="E29" s="138" t="s">
        <v>23</v>
      </c>
      <c r="F29" s="138"/>
      <c r="G29" s="138"/>
      <c r="H29" s="138"/>
    </row>
    <row r="30" spans="1:26" ht="15.75" customHeight="1" x14ac:dyDescent="0.25">
      <c r="A30" s="136" t="s">
        <v>78</v>
      </c>
      <c r="B30" s="136"/>
      <c r="C30" s="136"/>
      <c r="D30" s="136"/>
      <c r="E30" s="138" t="s">
        <v>79</v>
      </c>
      <c r="F30" s="138"/>
      <c r="G30" s="138"/>
      <c r="H30" s="138"/>
    </row>
    <row r="31" spans="1:26" ht="15" customHeight="1" x14ac:dyDescent="0.25">
      <c r="A31" s="136" t="s">
        <v>30</v>
      </c>
      <c r="B31" s="136"/>
      <c r="C31" s="136"/>
      <c r="D31" s="136"/>
      <c r="E31" s="13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8"/>
      <c r="G31" s="138"/>
      <c r="H31" s="138"/>
      <c r="J31" s="18">
        <v>8657913801</v>
      </c>
    </row>
    <row r="32" spans="1:26" ht="15.75" customHeight="1" x14ac:dyDescent="0.25">
      <c r="A32" s="136" t="s">
        <v>89</v>
      </c>
      <c r="B32" s="136"/>
      <c r="C32" s="136"/>
      <c r="D32" s="136"/>
      <c r="E32" s="138" t="s">
        <v>31</v>
      </c>
      <c r="F32" s="138"/>
      <c r="G32" s="138"/>
      <c r="H32" s="138"/>
    </row>
    <row r="33" spans="1:19" s="19" customFormat="1" x14ac:dyDescent="0.25">
      <c r="A33" s="213" t="s">
        <v>90</v>
      </c>
      <c r="B33" s="213"/>
      <c r="C33" s="161" t="s">
        <v>172</v>
      </c>
      <c r="D33" s="161"/>
      <c r="E33" s="161"/>
      <c r="F33" s="161" t="s">
        <v>29</v>
      </c>
      <c r="G33" s="161"/>
      <c r="H33" s="161"/>
      <c r="S33" s="19" t="e">
        <f ca="1">OFFSET($S$13,1,MATCH($G20,$S$13:$W$13,0)-1,15,1)</f>
        <v>#VALUE!</v>
      </c>
    </row>
    <row r="34" spans="1:19" s="19" customFormat="1" x14ac:dyDescent="0.25">
      <c r="A34" s="212" t="s">
        <v>24</v>
      </c>
      <c r="B34" s="212" t="s">
        <v>28</v>
      </c>
      <c r="C34" s="211" t="s">
        <v>397</v>
      </c>
      <c r="D34" s="211"/>
      <c r="E34" s="211"/>
      <c r="F34" s="211" t="s">
        <v>395</v>
      </c>
      <c r="G34" s="211"/>
      <c r="H34" s="211"/>
    </row>
    <row r="35" spans="1:19" x14ac:dyDescent="0.25">
      <c r="A35" s="212" t="s">
        <v>25</v>
      </c>
      <c r="B35" s="212" t="s">
        <v>28</v>
      </c>
      <c r="C35" s="211" t="s">
        <v>398</v>
      </c>
      <c r="D35" s="211"/>
      <c r="E35" s="211"/>
      <c r="F35" s="211" t="s">
        <v>396</v>
      </c>
      <c r="G35" s="211"/>
      <c r="H35" s="211"/>
    </row>
    <row r="36" spans="1:19" s="19" customFormat="1" x14ac:dyDescent="0.25">
      <c r="A36" s="212" t="s">
        <v>27</v>
      </c>
      <c r="B36" s="212" t="s">
        <v>28</v>
      </c>
      <c r="C36" s="211" t="s">
        <v>397</v>
      </c>
      <c r="D36" s="211"/>
      <c r="E36" s="211"/>
      <c r="F36" s="211" t="s">
        <v>395</v>
      </c>
      <c r="G36" s="211"/>
      <c r="H36" s="211"/>
    </row>
    <row r="37" spans="1:19" x14ac:dyDescent="0.25">
      <c r="A37" s="212" t="s">
        <v>26</v>
      </c>
      <c r="B37" s="212" t="s">
        <v>28</v>
      </c>
      <c r="C37" s="211" t="s">
        <v>399</v>
      </c>
      <c r="D37" s="211"/>
      <c r="E37" s="211"/>
      <c r="F37" s="211" t="s">
        <v>391</v>
      </c>
      <c r="G37" s="211"/>
      <c r="H37" s="211"/>
    </row>
    <row r="38" spans="1:19" x14ac:dyDescent="0.25">
      <c r="A38" s="136" t="s">
        <v>279</v>
      </c>
      <c r="B38" s="136"/>
      <c r="C38" s="136"/>
      <c r="D38" s="136"/>
      <c r="E38" s="136"/>
      <c r="F38" s="136"/>
      <c r="G38" s="136"/>
      <c r="H38" s="136"/>
    </row>
    <row r="39" spans="1:19" ht="15.75" customHeight="1" x14ac:dyDescent="0.25">
      <c r="A39" s="136" t="s">
        <v>164</v>
      </c>
      <c r="B39" s="136"/>
      <c r="C39" s="200" t="s">
        <v>413</v>
      </c>
      <c r="D39" s="200"/>
      <c r="E39" s="200"/>
      <c r="F39" s="200"/>
      <c r="G39" s="200"/>
      <c r="H39" s="200"/>
    </row>
    <row r="40" spans="1:19" x14ac:dyDescent="0.25">
      <c r="A40" s="136" t="s">
        <v>160</v>
      </c>
      <c r="B40" s="136"/>
      <c r="C40" s="244" t="s">
        <v>389</v>
      </c>
      <c r="D40" s="138"/>
      <c r="E40" s="138"/>
      <c r="F40" s="138"/>
      <c r="G40" s="138"/>
      <c r="H40" s="138"/>
    </row>
    <row r="41" spans="1:19" x14ac:dyDescent="0.25">
      <c r="A41" s="200" t="s">
        <v>32</v>
      </c>
      <c r="B41" s="200"/>
      <c r="C41" s="200"/>
      <c r="D41" s="200"/>
      <c r="E41" s="200"/>
      <c r="F41" s="200"/>
      <c r="G41" s="200"/>
      <c r="H41" s="200"/>
    </row>
    <row r="42" spans="1:19" x14ac:dyDescent="0.25">
      <c r="A42" s="136" t="s">
        <v>33</v>
      </c>
      <c r="B42" s="136"/>
      <c r="C42" s="136"/>
      <c r="D42" s="136"/>
      <c r="E42" s="218">
        <v>13443</v>
      </c>
      <c r="F42" s="218"/>
      <c r="G42" s="218"/>
      <c r="H42" s="218"/>
    </row>
    <row r="43" spans="1:19" x14ac:dyDescent="0.25">
      <c r="A43" s="136" t="s">
        <v>34</v>
      </c>
      <c r="B43" s="136"/>
      <c r="C43" s="136"/>
      <c r="D43" s="136"/>
      <c r="E43" s="180">
        <f>15467.37/E42</f>
        <v>1.1505891542066504</v>
      </c>
      <c r="F43" s="180"/>
      <c r="G43" s="180"/>
      <c r="H43" s="180"/>
      <c r="I43" s="81">
        <f>15467.37/E42</f>
        <v>1.1505891542066504</v>
      </c>
    </row>
    <row r="44" spans="1:19" x14ac:dyDescent="0.25">
      <c r="A44" s="136" t="s">
        <v>35</v>
      </c>
      <c r="B44" s="136"/>
      <c r="C44" s="136"/>
      <c r="D44" s="136"/>
      <c r="E44" s="180">
        <f>E46/E42-E43</f>
        <v>2.0506345309826672</v>
      </c>
      <c r="F44" s="180"/>
      <c r="G44" s="180"/>
      <c r="H44" s="180"/>
    </row>
    <row r="45" spans="1:19" x14ac:dyDescent="0.25">
      <c r="A45" s="136" t="s">
        <v>36</v>
      </c>
      <c r="B45" s="136"/>
      <c r="C45" s="136"/>
      <c r="D45" s="136"/>
      <c r="E45" s="180">
        <f>E43+E44</f>
        <v>3.2012236851893174</v>
      </c>
      <c r="F45" s="180"/>
      <c r="G45" s="180"/>
      <c r="H45" s="180"/>
    </row>
    <row r="46" spans="1:19" x14ac:dyDescent="0.25">
      <c r="A46" s="136" t="s">
        <v>88</v>
      </c>
      <c r="B46" s="136"/>
      <c r="C46" s="136"/>
      <c r="D46" s="136"/>
      <c r="E46" s="228">
        <v>43034.05</v>
      </c>
      <c r="F46" s="228"/>
      <c r="G46" s="228"/>
      <c r="H46" s="228"/>
    </row>
    <row r="47" spans="1:19" x14ac:dyDescent="0.25">
      <c r="A47" s="109" t="s">
        <v>37</v>
      </c>
      <c r="B47" s="109"/>
      <c r="C47" s="109"/>
      <c r="D47" s="109"/>
      <c r="E47" s="109" t="s">
        <v>426</v>
      </c>
      <c r="F47" s="109"/>
      <c r="G47" s="109"/>
      <c r="H47" s="109"/>
    </row>
    <row r="48" spans="1:19" x14ac:dyDescent="0.25">
      <c r="A48" s="200" t="s">
        <v>38</v>
      </c>
      <c r="B48" s="200"/>
      <c r="C48" s="200"/>
      <c r="D48" s="200"/>
      <c r="E48" s="200"/>
      <c r="F48" s="200"/>
      <c r="G48" s="200"/>
      <c r="H48" s="200"/>
    </row>
    <row r="49" spans="1:24" ht="33.75" customHeight="1" x14ac:dyDescent="0.25">
      <c r="A49" s="130" t="s">
        <v>150</v>
      </c>
      <c r="B49" s="131"/>
      <c r="C49" s="214" t="s">
        <v>277</v>
      </c>
      <c r="D49" s="215"/>
      <c r="E49" s="215"/>
      <c r="F49" s="215"/>
      <c r="G49" s="215"/>
      <c r="H49" s="216"/>
      <c r="R49" t="s">
        <v>252</v>
      </c>
      <c r="S49" s="53" t="s">
        <v>171</v>
      </c>
      <c r="T49" s="53" t="s">
        <v>179</v>
      </c>
      <c r="U49" s="53" t="s">
        <v>193</v>
      </c>
      <c r="V49" s="53" t="s">
        <v>188</v>
      </c>
    </row>
    <row r="50" spans="1:24" ht="15.75" customHeight="1" x14ac:dyDescent="0.25">
      <c r="A50" s="130" t="s">
        <v>39</v>
      </c>
      <c r="B50" s="131"/>
      <c r="C50" s="130" t="s">
        <v>354</v>
      </c>
      <c r="D50" s="132"/>
      <c r="E50" s="131"/>
      <c r="F50" s="17" t="s">
        <v>40</v>
      </c>
      <c r="G50" s="175">
        <v>45138</v>
      </c>
      <c r="H50" s="217"/>
      <c r="R50"/>
      <c r="S50" s="53" t="s">
        <v>253</v>
      </c>
      <c r="T50" s="53" t="s">
        <v>258</v>
      </c>
      <c r="U50" s="53" t="s">
        <v>269</v>
      </c>
      <c r="V50" s="53" t="s">
        <v>274</v>
      </c>
    </row>
    <row r="51" spans="1:24" x14ac:dyDescent="0.25">
      <c r="A51" s="130" t="s">
        <v>41</v>
      </c>
      <c r="B51" s="131"/>
      <c r="C51" s="130" t="str">
        <f>C50</f>
        <v>MBMNP/NR/1392/2023-24</v>
      </c>
      <c r="D51" s="132"/>
      <c r="E51" s="131"/>
      <c r="F51" s="17" t="s">
        <v>40</v>
      </c>
      <c r="G51" s="175">
        <f>G50</f>
        <v>45138</v>
      </c>
      <c r="H51" s="217"/>
      <c r="R51"/>
      <c r="S51" s="53" t="s">
        <v>254</v>
      </c>
      <c r="T51" s="53" t="s">
        <v>259</v>
      </c>
      <c r="U51" s="53" t="s">
        <v>267</v>
      </c>
      <c r="V51" s="53" t="s">
        <v>275</v>
      </c>
    </row>
    <row r="52" spans="1:24" s="20" customFormat="1" ht="15.75" customHeight="1" x14ac:dyDescent="0.25">
      <c r="A52" s="220" t="s">
        <v>154</v>
      </c>
      <c r="B52" s="221"/>
      <c r="C52" s="130" t="s">
        <v>415</v>
      </c>
      <c r="D52" s="132"/>
      <c r="E52" s="131"/>
      <c r="F52" s="17" t="s">
        <v>40</v>
      </c>
      <c r="G52" s="175">
        <f>G51</f>
        <v>45138</v>
      </c>
      <c r="H52" s="217"/>
      <c r="R52"/>
      <c r="S52" s="53" t="s">
        <v>255</v>
      </c>
      <c r="T52" s="53" t="s">
        <v>260</v>
      </c>
      <c r="U52" s="53" t="s">
        <v>257</v>
      </c>
      <c r="V52" s="53" t="s">
        <v>276</v>
      </c>
    </row>
    <row r="53" spans="1:24" s="20" customFormat="1" ht="49.5" customHeight="1" x14ac:dyDescent="0.25">
      <c r="A53" s="222"/>
      <c r="B53" s="223"/>
      <c r="C53" s="133" t="s">
        <v>416</v>
      </c>
      <c r="D53" s="134"/>
      <c r="E53" s="134"/>
      <c r="F53" s="134"/>
      <c r="G53" s="134"/>
      <c r="H53" s="135"/>
      <c r="R53"/>
      <c r="S53" s="53" t="s">
        <v>256</v>
      </c>
      <c r="T53" s="53" t="s">
        <v>263</v>
      </c>
      <c r="U53" s="53" t="s">
        <v>270</v>
      </c>
      <c r="V53" s="72"/>
    </row>
    <row r="54" spans="1:24" s="20" customFormat="1" hidden="1" x14ac:dyDescent="0.25">
      <c r="A54" s="171" t="s">
        <v>280</v>
      </c>
      <c r="B54" s="172"/>
      <c r="C54" s="130" t="s">
        <v>430</v>
      </c>
      <c r="D54" s="132"/>
      <c r="E54" s="131"/>
      <c r="F54" s="17" t="s">
        <v>40</v>
      </c>
      <c r="G54" s="175">
        <v>44720</v>
      </c>
      <c r="H54" s="131"/>
      <c r="R54"/>
      <c r="S54" s="53" t="s">
        <v>255</v>
      </c>
      <c r="T54" s="53" t="s">
        <v>260</v>
      </c>
      <c r="U54" s="53" t="s">
        <v>257</v>
      </c>
      <c r="V54" s="53" t="s">
        <v>276</v>
      </c>
    </row>
    <row r="55" spans="1:24" s="20" customFormat="1" ht="32.25" hidden="1" customHeight="1" x14ac:dyDescent="0.25">
      <c r="A55" s="173"/>
      <c r="B55" s="174"/>
      <c r="C55" s="224"/>
      <c r="D55" s="225"/>
      <c r="E55" s="225"/>
      <c r="F55" s="225"/>
      <c r="G55" s="225"/>
      <c r="H55" s="226"/>
      <c r="R55"/>
      <c r="S55" s="53" t="s">
        <v>257</v>
      </c>
      <c r="T55" s="53" t="s">
        <v>261</v>
      </c>
      <c r="U55" s="53" t="s">
        <v>271</v>
      </c>
      <c r="V55" s="73"/>
      <c r="W55" s="18"/>
      <c r="X55" s="18"/>
    </row>
    <row r="56" spans="1:24" s="20" customFormat="1" ht="33" customHeight="1" x14ac:dyDescent="0.25">
      <c r="A56" s="176" t="s">
        <v>281</v>
      </c>
      <c r="B56" s="177"/>
      <c r="C56" s="133" t="s">
        <v>400</v>
      </c>
      <c r="D56" s="134"/>
      <c r="E56" s="135"/>
      <c r="F56" s="105" t="s">
        <v>40</v>
      </c>
      <c r="G56" s="219">
        <v>45330</v>
      </c>
      <c r="H56" s="135"/>
      <c r="R56"/>
      <c r="S56" s="73"/>
      <c r="T56" s="53" t="s">
        <v>262</v>
      </c>
      <c r="U56" s="53" t="s">
        <v>272</v>
      </c>
      <c r="V56" s="73"/>
      <c r="W56" s="18"/>
      <c r="X56" s="18"/>
    </row>
    <row r="57" spans="1:24" s="20" customFormat="1" ht="63.75" customHeight="1" x14ac:dyDescent="0.25">
      <c r="A57" s="178"/>
      <c r="B57" s="179"/>
      <c r="C57" s="133" t="s">
        <v>423</v>
      </c>
      <c r="D57" s="134"/>
      <c r="E57" s="134"/>
      <c r="F57" s="134"/>
      <c r="G57" s="134"/>
      <c r="H57" s="135"/>
      <c r="R57"/>
      <c r="S57" s="73"/>
      <c r="T57" s="53" t="s">
        <v>264</v>
      </c>
      <c r="U57" s="53" t="s">
        <v>273</v>
      </c>
      <c r="V57" s="73"/>
      <c r="W57" s="18"/>
      <c r="X57" s="18"/>
    </row>
    <row r="58" spans="1:24" s="20" customFormat="1" ht="15.75" customHeight="1" x14ac:dyDescent="0.25">
      <c r="A58" s="176" t="s">
        <v>280</v>
      </c>
      <c r="B58" s="177"/>
      <c r="C58" s="130" t="s">
        <v>433</v>
      </c>
      <c r="D58" s="132"/>
      <c r="E58" s="131"/>
      <c r="F58" s="17" t="s">
        <v>40</v>
      </c>
      <c r="G58" s="175">
        <v>45650</v>
      </c>
      <c r="H58" s="131"/>
      <c r="R58"/>
      <c r="S58" s="73"/>
      <c r="T58" s="53" t="s">
        <v>265</v>
      </c>
      <c r="U58" s="73" t="s">
        <v>295</v>
      </c>
      <c r="V58" s="73"/>
      <c r="W58" s="18"/>
      <c r="X58" s="18"/>
    </row>
    <row r="59" spans="1:24" s="20" customFormat="1" ht="48.75" customHeight="1" x14ac:dyDescent="0.25">
      <c r="A59" s="178"/>
      <c r="B59" s="179"/>
      <c r="C59" s="130" t="s">
        <v>435</v>
      </c>
      <c r="D59" s="132"/>
      <c r="E59" s="132"/>
      <c r="F59" s="132"/>
      <c r="G59" s="132"/>
      <c r="H59" s="131"/>
      <c r="R59"/>
      <c r="S59" s="73"/>
      <c r="T59" s="53" t="s">
        <v>266</v>
      </c>
      <c r="U59" s="73"/>
      <c r="V59" s="73"/>
      <c r="W59" s="18"/>
      <c r="X59" s="18"/>
    </row>
    <row r="60" spans="1:24" x14ac:dyDescent="0.25">
      <c r="A60" s="164" t="s">
        <v>42</v>
      </c>
      <c r="B60" s="165"/>
      <c r="C60" s="164" t="s">
        <v>102</v>
      </c>
      <c r="D60" s="166"/>
      <c r="E60" s="165"/>
      <c r="F60" s="40" t="s">
        <v>40</v>
      </c>
      <c r="G60" s="169" t="s">
        <v>28</v>
      </c>
      <c r="H60" s="170"/>
      <c r="R60"/>
      <c r="S60" s="73"/>
      <c r="T60" s="53" t="s">
        <v>268</v>
      </c>
      <c r="U60" s="73"/>
      <c r="V60" s="73"/>
    </row>
    <row r="61" spans="1:24" x14ac:dyDescent="0.25">
      <c r="A61" s="205" t="s">
        <v>44</v>
      </c>
      <c r="B61" s="205"/>
      <c r="C61" s="205"/>
      <c r="D61" s="205"/>
      <c r="E61" s="205"/>
      <c r="F61" s="205"/>
      <c r="G61" s="205"/>
      <c r="H61" s="205"/>
      <c r="S61" s="73"/>
      <c r="T61" s="53" t="s">
        <v>277</v>
      </c>
      <c r="U61" s="73"/>
      <c r="V61" s="73"/>
    </row>
    <row r="62" spans="1:24" ht="30.75" customHeight="1" x14ac:dyDescent="0.25">
      <c r="A62" s="137" t="s">
        <v>432</v>
      </c>
      <c r="B62" s="137"/>
      <c r="C62" s="137"/>
      <c r="D62" s="136" t="s">
        <v>431</v>
      </c>
      <c r="E62" s="136"/>
      <c r="F62" s="136"/>
      <c r="G62" s="136"/>
      <c r="H62" s="136"/>
      <c r="R62"/>
    </row>
    <row r="63" spans="1:24" x14ac:dyDescent="0.25">
      <c r="A63" s="138" t="s">
        <v>45</v>
      </c>
      <c r="B63" s="109"/>
      <c r="C63" s="109"/>
      <c r="D63" s="109" t="s">
        <v>429</v>
      </c>
      <c r="E63" s="109"/>
      <c r="F63" s="109"/>
      <c r="G63" s="109"/>
      <c r="H63" s="109"/>
      <c r="I63" s="21"/>
      <c r="R63"/>
    </row>
    <row r="64" spans="1:24" x14ac:dyDescent="0.25">
      <c r="A64" s="138" t="s">
        <v>46</v>
      </c>
      <c r="B64" s="138"/>
      <c r="C64" s="138"/>
      <c r="D64" s="138" t="s">
        <v>427</v>
      </c>
      <c r="E64" s="109"/>
      <c r="F64" s="109"/>
      <c r="G64" s="109"/>
      <c r="H64" s="109"/>
      <c r="R64"/>
    </row>
    <row r="65" spans="1:19" ht="15.75" customHeight="1" x14ac:dyDescent="0.25">
      <c r="A65" s="138" t="s">
        <v>86</v>
      </c>
      <c r="B65" s="138"/>
      <c r="C65" s="138"/>
      <c r="D65" s="109" t="s">
        <v>428</v>
      </c>
      <c r="E65" s="109"/>
      <c r="F65" s="109"/>
      <c r="G65" s="109"/>
      <c r="H65" s="109"/>
      <c r="R65"/>
    </row>
    <row r="66" spans="1:19" ht="15.75" hidden="1" customHeight="1" x14ac:dyDescent="0.25">
      <c r="A66" s="138"/>
      <c r="B66" s="138"/>
      <c r="C66" s="138"/>
      <c r="D66" s="109" t="s">
        <v>401</v>
      </c>
      <c r="E66" s="109"/>
      <c r="F66" s="109"/>
      <c r="G66" s="109"/>
      <c r="H66" s="109"/>
      <c r="R66"/>
    </row>
    <row r="67" spans="1:19" ht="15.75" customHeight="1" x14ac:dyDescent="0.25">
      <c r="A67" s="136" t="s">
        <v>43</v>
      </c>
      <c r="B67" s="136"/>
      <c r="C67" s="136"/>
      <c r="D67" s="137" t="s">
        <v>355</v>
      </c>
      <c r="E67" s="137"/>
      <c r="F67" s="137"/>
      <c r="G67" s="137"/>
      <c r="H67" s="137"/>
      <c r="J67" s="22"/>
      <c r="K67" s="21"/>
      <c r="N67" s="21"/>
      <c r="S67"/>
    </row>
    <row r="68" spans="1:19" ht="15.75" customHeight="1" x14ac:dyDescent="0.25">
      <c r="A68" s="136" t="s">
        <v>84</v>
      </c>
      <c r="B68" s="136"/>
      <c r="C68" s="136"/>
      <c r="D68" s="227" t="str">
        <f>(IF(G60="NA","60 Years After Completion",IF(G60&lt;&gt;"NA",""&amp;60-ROUNDDOWN((E3-G60)/360,0)&amp;" Years"," ")))</f>
        <v>60 Years After Completion</v>
      </c>
      <c r="E68" s="227"/>
      <c r="F68" s="227"/>
      <c r="G68" s="227"/>
      <c r="H68" s="227"/>
      <c r="N68" s="21"/>
      <c r="S68"/>
    </row>
    <row r="69" spans="1:19" ht="15.75" customHeight="1" x14ac:dyDescent="0.25">
      <c r="A69" s="136" t="s">
        <v>85</v>
      </c>
      <c r="B69" s="136"/>
      <c r="C69" s="136"/>
      <c r="D69" s="137" t="s">
        <v>23</v>
      </c>
      <c r="E69" s="137"/>
      <c r="F69" s="137"/>
      <c r="G69" s="137"/>
      <c r="H69" s="137"/>
      <c r="J69" s="23"/>
      <c r="K69" s="23"/>
      <c r="S69"/>
    </row>
    <row r="70" spans="1:19" ht="35.1" customHeight="1" x14ac:dyDescent="0.25">
      <c r="A70" s="109" t="s">
        <v>407</v>
      </c>
      <c r="B70" s="109"/>
      <c r="C70" s="109"/>
      <c r="D70" s="138" t="s">
        <v>406</v>
      </c>
      <c r="E70" s="137"/>
      <c r="F70" s="137"/>
      <c r="G70" s="137"/>
      <c r="H70" s="137"/>
      <c r="S70"/>
    </row>
    <row r="71" spans="1:19" x14ac:dyDescent="0.25">
      <c r="A71" s="137" t="s">
        <v>146</v>
      </c>
      <c r="B71" s="137"/>
      <c r="C71" s="137"/>
      <c r="D71" s="137" t="s">
        <v>28</v>
      </c>
      <c r="E71" s="137"/>
      <c r="F71" s="137"/>
      <c r="G71" s="137"/>
      <c r="H71" s="137"/>
      <c r="I71" s="24"/>
      <c r="J71" s="24"/>
      <c r="K71" s="24"/>
      <c r="L71" s="24"/>
      <c r="M71" s="24"/>
      <c r="N71" s="24"/>
    </row>
    <row r="72" spans="1:19" ht="15.75" customHeight="1" x14ac:dyDescent="0.25">
      <c r="A72" s="136" t="s">
        <v>83</v>
      </c>
      <c r="B72" s="136"/>
      <c r="C72" s="136"/>
      <c r="D72" s="138" t="str">
        <f ca="1">(IF(G78&gt;95%,"Nothing",IF(G78&gt;0%,"Cement, Aggregate, Steel, etc",IF(G78=0%,"Work not yet Started"))))</f>
        <v>Cement, Aggregate, Steel, etc</v>
      </c>
      <c r="E72" s="138"/>
      <c r="F72" s="138"/>
      <c r="G72" s="138"/>
      <c r="H72" s="138"/>
      <c r="J72" s="23"/>
      <c r="S72"/>
    </row>
    <row r="73" spans="1:19" ht="33.75" customHeight="1" thickBot="1" x14ac:dyDescent="0.3">
      <c r="A73" s="137" t="s">
        <v>115</v>
      </c>
      <c r="B73" s="137"/>
      <c r="C73" s="137"/>
      <c r="D73" s="138" t="str">
        <f ca="1">(IF(D72="Nothing","Yes",IF(D72="Cement, Aggregate, Steel, etc","Under Construction",IF(D72="Work not yet Started","Work not yet Started"))))</f>
        <v>Under Construction</v>
      </c>
      <c r="E73" s="138"/>
      <c r="F73" s="138" t="str">
        <f ca="1">(IF(D72="Nothing","Yes",IF(D72="Cement, Aggregate, Steel, etc","Under Construction",IF(D72="Work not yet Started","Work not yet Started"))))</f>
        <v>Under Construction</v>
      </c>
      <c r="G73" s="138"/>
      <c r="H73" s="138"/>
      <c r="I73" s="19" t="s">
        <v>437</v>
      </c>
      <c r="S73"/>
    </row>
    <row r="74" spans="1:19" ht="15.75" customHeight="1" x14ac:dyDescent="0.25">
      <c r="A74" s="151" t="s">
        <v>136</v>
      </c>
      <c r="B74" s="152"/>
      <c r="C74" s="153" t="str">
        <f>D65</f>
        <v>Bldg No.1 (Wing 1A to 1C) = Gr/St + 1st to 47th Floor</v>
      </c>
      <c r="D74" s="154"/>
      <c r="E74" s="154"/>
      <c r="F74" s="154"/>
      <c r="G74" s="154"/>
      <c r="H74" s="155"/>
      <c r="I74" s="42" t="str">
        <f ca="1">IF(D87=100%,"All work Completed. Possession granted to the Building.",IF(D86=100%,"All work Completed, Waiting for OC",I75&amp;""&amp;I76&amp;""&amp;J75&amp;""&amp;J74&amp;" "&amp;J76))</f>
        <v xml:space="preserve">Excavation, Plinth Completed </v>
      </c>
      <c r="J74" s="43"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c>
      <c r="S74"/>
    </row>
    <row r="75" spans="1:19" x14ac:dyDescent="0.25">
      <c r="A75" s="15" t="s">
        <v>138</v>
      </c>
      <c r="B75" s="46">
        <f>IF(AND(ISNUMBER(SEARCH("1B",C74))),1,IF(AND(ISNUMBER(SEARCH("2B",C74))),2,IF(AND(ISNUMBER(SEARCH("3B",C74))),3,IF(AND(ISNUMBER(SEARCH("4B",C74))),4,IF(ISNUMBER(SEARCH("5B",C74)),5,0)))))</f>
        <v>0</v>
      </c>
      <c r="C75" s="46" t="s">
        <v>69</v>
      </c>
      <c r="D75" s="46">
        <v>1</v>
      </c>
      <c r="E75" s="46" t="s">
        <v>68</v>
      </c>
      <c r="F75" s="46">
        <v>0</v>
      </c>
      <c r="G75" s="46" t="s">
        <v>77</v>
      </c>
      <c r="H75" s="16">
        <f ca="1">--TRIM(RIGHT(SUBSTITUTE(LEFT(C74,_xlfn.AGGREGATE(16,6,FIND({0,1,2,3,4,5,6,7,8,9},C74,ROW(INDIRECT("1:"&amp;LEN(C74)))),1))," ",REPT(" ",LEN(C74))),LEN(C74)))</f>
        <v>47</v>
      </c>
      <c r="I75" s="44" t="str">
        <f ca="1">IF(D78=100%,"Excavation","")&amp;IF(D79=100%,", Plinth","")&amp;IF(D80=100%,", RCC Slab","")&amp;IF(D81=100%,", Brickwork","")&amp;IF(D82=100%,", Internal Plaster","")&amp;IF(D83=100%,", External Plaster","")&amp;IF(D84=100%,", Flooring","")&amp;IF(D85=100%,", Painting","")&amp;IF(D86=100%,", Building common Amenities","")</f>
        <v>Excavation, Plinth</v>
      </c>
      <c r="J75" s="45"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x14ac:dyDescent="0.25">
      <c r="A76" s="229" t="s">
        <v>87</v>
      </c>
      <c r="B76" s="209"/>
      <c r="C76" s="156" t="str">
        <f ca="1">I74</f>
        <v xml:space="preserve">Excavation, Plinth Completed </v>
      </c>
      <c r="D76" s="156"/>
      <c r="E76" s="156"/>
      <c r="F76" s="156"/>
      <c r="G76" s="156"/>
      <c r="H76" s="157"/>
      <c r="I76" s="44" t="str">
        <f ca="1">IF(I75&lt;&gt;""," Completed","")</f>
        <v xml:space="preserve"> Completed</v>
      </c>
      <c r="J76" s="45" t="str">
        <f ca="1">IF(J74&lt;&gt;"","Completed","")</f>
        <v/>
      </c>
      <c r="S76"/>
    </row>
    <row r="77" spans="1:19" ht="15.75" customHeight="1" x14ac:dyDescent="0.25">
      <c r="A77" s="141" t="s">
        <v>47</v>
      </c>
      <c r="B77" s="142"/>
      <c r="C77" s="99" t="s">
        <v>135</v>
      </c>
      <c r="D77" s="99" t="s">
        <v>80</v>
      </c>
      <c r="E77" s="142" t="s">
        <v>82</v>
      </c>
      <c r="F77" s="142"/>
      <c r="G77" s="142" t="s">
        <v>81</v>
      </c>
      <c r="H77" s="148"/>
      <c r="I77" s="13" t="s">
        <v>137</v>
      </c>
      <c r="J77" s="25">
        <f ca="1">H75*25%</f>
        <v>11.75</v>
      </c>
      <c r="L77" s="18" t="s">
        <v>411</v>
      </c>
      <c r="S77"/>
    </row>
    <row r="78" spans="1:19" x14ac:dyDescent="0.25">
      <c r="A78" s="141" t="s">
        <v>124</v>
      </c>
      <c r="B78" s="142"/>
      <c r="C78" s="99">
        <f ca="1">J79</f>
        <v>47</v>
      </c>
      <c r="D78" s="100">
        <f ca="1">((100/H75)*C78)/100</f>
        <v>1</v>
      </c>
      <c r="E78" s="230">
        <f ca="1">(((C79/H75*10)+(40/(D75+F75+H75)*C80)+(7.5/(H75)*C81)+(7.5/(H75)*C82)+(10/H75*C83)+(10/H75*C84)+(5/H75*C85)+(5/H75*C86)+(5/H75*C87))/100)</f>
        <v>0.1</v>
      </c>
      <c r="F78" s="231"/>
      <c r="G78" s="230">
        <f ca="1">((((C78/H75)*20)+((C79/H75)*25)+(30/(H75+F75+D75)*C80)+(5/H75*C81)+(5/H75*C82)+(5/H75*C83)+(5/H75*C84)+(0/H75*C85)+(0/H75*C86)+(5/H75*C87))/100)</f>
        <v>0.45</v>
      </c>
      <c r="H78" s="236"/>
      <c r="I78" s="13" t="s">
        <v>97</v>
      </c>
      <c r="J78" s="26">
        <f ca="1">H75*50%</f>
        <v>23.5</v>
      </c>
      <c r="L78" s="18" t="s">
        <v>408</v>
      </c>
    </row>
    <row r="79" spans="1:19" x14ac:dyDescent="0.25">
      <c r="A79" s="141" t="s">
        <v>48</v>
      </c>
      <c r="B79" s="142"/>
      <c r="C79" s="268">
        <f ca="1">J87</f>
        <v>47</v>
      </c>
      <c r="D79" s="100">
        <f ca="1">((100/H75)*C79)/100</f>
        <v>1</v>
      </c>
      <c r="E79" s="232"/>
      <c r="F79" s="233"/>
      <c r="G79" s="232"/>
      <c r="H79" s="237"/>
      <c r="I79" s="13" t="s">
        <v>98</v>
      </c>
      <c r="J79" s="26">
        <f ca="1">H75</f>
        <v>47</v>
      </c>
      <c r="L79" s="18" t="s">
        <v>409</v>
      </c>
      <c r="S79"/>
    </row>
    <row r="80" spans="1:19" ht="15.75" customHeight="1" x14ac:dyDescent="0.25">
      <c r="A80" s="141" t="s">
        <v>125</v>
      </c>
      <c r="B80" s="142"/>
      <c r="C80" s="99">
        <v>0</v>
      </c>
      <c r="D80" s="100">
        <f ca="1">((100/(D75+F75+H75))*C80)/100</f>
        <v>0</v>
      </c>
      <c r="E80" s="232"/>
      <c r="F80" s="233"/>
      <c r="G80" s="232"/>
      <c r="H80" s="237"/>
      <c r="I80" s="13" t="s">
        <v>99</v>
      </c>
      <c r="J80" s="27">
        <f ca="1">(IF(B75&gt;1,(H75/(B75+2)),H75/4))</f>
        <v>11.75</v>
      </c>
      <c r="L80" s="18" t="s">
        <v>410</v>
      </c>
      <c r="S80"/>
    </row>
    <row r="81" spans="1:19" ht="15.75" customHeight="1" x14ac:dyDescent="0.25">
      <c r="A81" s="141" t="s">
        <v>132</v>
      </c>
      <c r="B81" s="142" t="s">
        <v>126</v>
      </c>
      <c r="C81" s="99">
        <v>0</v>
      </c>
      <c r="D81" s="100">
        <f ca="1">((100/H75)*C81)/100</f>
        <v>0</v>
      </c>
      <c r="E81" s="232"/>
      <c r="F81" s="233"/>
      <c r="G81" s="232"/>
      <c r="H81" s="237"/>
      <c r="I81" s="13" t="s">
        <v>100</v>
      </c>
      <c r="J81" s="27">
        <f ca="1">(IF(B75&gt;1,(H75/(B75+2)+J80),H75/4+J80))</f>
        <v>23.5</v>
      </c>
    </row>
    <row r="82" spans="1:19" ht="15.75" customHeight="1" x14ac:dyDescent="0.25">
      <c r="A82" s="141" t="s">
        <v>133</v>
      </c>
      <c r="B82" s="142" t="s">
        <v>126</v>
      </c>
      <c r="C82" s="99">
        <v>0</v>
      </c>
      <c r="D82" s="100">
        <f ca="1">((100/H75)*C82)/100</f>
        <v>0</v>
      </c>
      <c r="E82" s="232"/>
      <c r="F82" s="233"/>
      <c r="G82" s="232"/>
      <c r="H82" s="237"/>
      <c r="I82" s="13" t="s">
        <v>144</v>
      </c>
      <c r="J82" s="27">
        <f>(IF(B75&gt;1,(H75/(B75+2)+J81),0))</f>
        <v>0</v>
      </c>
    </row>
    <row r="83" spans="1:19" ht="15" customHeight="1" x14ac:dyDescent="0.25">
      <c r="A83" s="141" t="s">
        <v>131</v>
      </c>
      <c r="B83" s="142" t="s">
        <v>128</v>
      </c>
      <c r="C83" s="99">
        <v>0</v>
      </c>
      <c r="D83" s="100">
        <f ca="1">((100/(H75))*C83)/100</f>
        <v>0</v>
      </c>
      <c r="E83" s="232"/>
      <c r="F83" s="233"/>
      <c r="G83" s="232"/>
      <c r="H83" s="237"/>
      <c r="I83" s="13" t="s">
        <v>139</v>
      </c>
      <c r="J83" s="27">
        <f>(IF(B75&gt;2,(H75/(B75+2)+J82),0))</f>
        <v>0</v>
      </c>
    </row>
    <row r="84" spans="1:19" ht="15.75" customHeight="1" x14ac:dyDescent="0.25">
      <c r="A84" s="141" t="s">
        <v>127</v>
      </c>
      <c r="B84" s="142" t="s">
        <v>127</v>
      </c>
      <c r="C84" s="99">
        <v>0</v>
      </c>
      <c r="D84" s="100">
        <f ca="1">((100/H75)*C84)/100</f>
        <v>0</v>
      </c>
      <c r="E84" s="232"/>
      <c r="F84" s="233"/>
      <c r="G84" s="232"/>
      <c r="H84" s="237"/>
      <c r="I84" s="13" t="s">
        <v>140</v>
      </c>
      <c r="J84" s="28">
        <f>(IF(B75&gt;3,(H75/(B75+2)+J83),0))</f>
        <v>0</v>
      </c>
    </row>
    <row r="85" spans="1:19" ht="15.75" customHeight="1" x14ac:dyDescent="0.25">
      <c r="A85" s="141" t="s">
        <v>134</v>
      </c>
      <c r="B85" s="142"/>
      <c r="C85" s="99">
        <v>0</v>
      </c>
      <c r="D85" s="100">
        <f ca="1">((100/H75)*C85)/100</f>
        <v>0</v>
      </c>
      <c r="E85" s="232"/>
      <c r="F85" s="233"/>
      <c r="G85" s="232"/>
      <c r="H85" s="237"/>
      <c r="I85" s="13" t="s">
        <v>141</v>
      </c>
      <c r="J85" s="27">
        <f>(IF(B75&gt;4,(H75/(B75+2)+J84),0))</f>
        <v>0</v>
      </c>
    </row>
    <row r="86" spans="1:19" ht="15.75" customHeight="1" x14ac:dyDescent="0.25">
      <c r="A86" s="141" t="s">
        <v>129</v>
      </c>
      <c r="B86" s="142" t="s">
        <v>129</v>
      </c>
      <c r="C86" s="99">
        <v>0</v>
      </c>
      <c r="D86" s="100">
        <f ca="1">((100/(H75))*C86)/100</f>
        <v>0</v>
      </c>
      <c r="E86" s="232"/>
      <c r="F86" s="233"/>
      <c r="G86" s="232"/>
      <c r="H86" s="237"/>
      <c r="I86" s="13" t="s">
        <v>145</v>
      </c>
      <c r="J86" s="27">
        <f ca="1">(IF(B75=1,(H75/(B75+3)+J81),IF(B75=0,(H75/4+J81),IF(B75&gt;1,0))))</f>
        <v>35.25</v>
      </c>
    </row>
    <row r="87" spans="1:19" ht="16.5" thickBot="1" x14ac:dyDescent="0.3">
      <c r="A87" s="149" t="s">
        <v>130</v>
      </c>
      <c r="B87" s="150"/>
      <c r="C87" s="101">
        <v>0</v>
      </c>
      <c r="D87" s="102">
        <f ca="1">((100/(H75))*C87)/100</f>
        <v>0</v>
      </c>
      <c r="E87" s="234"/>
      <c r="F87" s="235"/>
      <c r="G87" s="234"/>
      <c r="H87" s="238"/>
      <c r="I87" s="14" t="s">
        <v>101</v>
      </c>
      <c r="J87" s="29">
        <f ca="1">(IF(B75&gt;1.5,(H75/(B75+2)+J81+MAX(0,J82-J81)+MAX(0,J83-J82)+MAX(0,J84-J83)+MAX(0,J85-J84)+MAX(0,J86-J85)),IF(B75=1,(H75/(B75+3)+J86),IF(B75=0,H75/4+J86))))</f>
        <v>47</v>
      </c>
    </row>
    <row r="88" spans="1:19" ht="15.75" hidden="1" customHeight="1" x14ac:dyDescent="0.25">
      <c r="A88" s="143" t="s">
        <v>136</v>
      </c>
      <c r="B88" s="144"/>
      <c r="C88" s="145" t="str">
        <f>D66</f>
        <v>Bldg No.1 (Wing D) = Gr/St + 1st to 5th Floor</v>
      </c>
      <c r="D88" s="146"/>
      <c r="E88" s="146"/>
      <c r="F88" s="146"/>
      <c r="G88" s="146"/>
      <c r="H88" s="147"/>
      <c r="I88" s="42" t="str">
        <f ca="1">IF(D101=100%,"All work Completed. Possession granted to the Building.",IF(D100=100%,"All work Completed, Waiting for OC",I89&amp;""&amp;I90&amp;""&amp;J89&amp;""&amp;J88&amp;" "&amp;J90))</f>
        <v xml:space="preserve">Piling work in process </v>
      </c>
      <c r="J88" s="43"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c r="S88"/>
    </row>
    <row r="89" spans="1:19" hidden="1" x14ac:dyDescent="0.25">
      <c r="A89" s="15" t="s">
        <v>138</v>
      </c>
      <c r="B89" s="46">
        <f>IF(AND(ISNUMBER(SEARCH("1B",C88))),1,IF(AND(ISNUMBER(SEARCH("2B",C88))),2,IF(AND(ISNUMBER(SEARCH("3B",C88))),3,IF(AND(ISNUMBER(SEARCH("4B",C88))),4,IF(ISNUMBER(SEARCH("5B",C88)),5,0)))))</f>
        <v>0</v>
      </c>
      <c r="C89" s="46" t="s">
        <v>69</v>
      </c>
      <c r="D89" s="46">
        <v>1</v>
      </c>
      <c r="E89" s="46" t="s">
        <v>68</v>
      </c>
      <c r="F89" s="46">
        <v>0</v>
      </c>
      <c r="G89" s="46" t="s">
        <v>77</v>
      </c>
      <c r="H89" s="16">
        <f ca="1">--TRIM(RIGHT(SUBSTITUTE(LEFT(C88,_xlfn.AGGREGATE(16,6,FIND({0,1,2,3,4,5,6,7,8,9},C88,ROW(INDIRECT("1:"&amp;LEN(C88)))),1))," ",REPT(" ",LEN(C88))),LEN(C88)))</f>
        <v>5</v>
      </c>
      <c r="I89" s="44" t="str">
        <f ca="1">IF(D92=100%,"Excavation","")&amp;IF(D93=100%,", Plinth","")&amp;IF(D94=100%,", RCC Slab","")&amp;IF(D95=100%,", Brickwork","")&amp;IF(D96=100%,", Internal Plaster","")&amp;IF(D97=100%,", External Plaster","")&amp;IF(D98=100%,", Flooring","")&amp;IF(D99=100%,", Painting","")&amp;IF(D100=100%,", Building common Amenities","")</f>
        <v/>
      </c>
      <c r="J89" s="45"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Piling work in process</v>
      </c>
      <c r="S89"/>
    </row>
    <row r="90" spans="1:19" hidden="1" x14ac:dyDescent="0.25">
      <c r="A90" s="229" t="s">
        <v>87</v>
      </c>
      <c r="B90" s="209"/>
      <c r="C90" s="156" t="str">
        <f ca="1">I88</f>
        <v xml:space="preserve">Piling work in process </v>
      </c>
      <c r="D90" s="156"/>
      <c r="E90" s="156"/>
      <c r="F90" s="156"/>
      <c r="G90" s="156"/>
      <c r="H90" s="157"/>
      <c r="I90" s="44" t="str">
        <f ca="1">IF(I89&lt;&gt;""," Completed","")</f>
        <v/>
      </c>
      <c r="J90" s="45" t="str">
        <f ca="1">IF(J88&lt;&gt;"","Completed","")</f>
        <v/>
      </c>
      <c r="S90"/>
    </row>
    <row r="91" spans="1:19" ht="15.75" hidden="1" customHeight="1" x14ac:dyDescent="0.25">
      <c r="A91" s="141" t="s">
        <v>47</v>
      </c>
      <c r="B91" s="142"/>
      <c r="C91" s="99" t="s">
        <v>135</v>
      </c>
      <c r="D91" s="99" t="s">
        <v>80</v>
      </c>
      <c r="E91" s="142" t="s">
        <v>82</v>
      </c>
      <c r="F91" s="142"/>
      <c r="G91" s="142" t="s">
        <v>81</v>
      </c>
      <c r="H91" s="148"/>
      <c r="I91" s="13" t="s">
        <v>137</v>
      </c>
      <c r="J91" s="25">
        <f ca="1">H89*25%</f>
        <v>1.25</v>
      </c>
      <c r="S91"/>
    </row>
    <row r="92" spans="1:19" hidden="1" x14ac:dyDescent="0.25">
      <c r="A92" s="141" t="s">
        <v>124</v>
      </c>
      <c r="B92" s="142"/>
      <c r="C92" s="99">
        <f ca="1">J91</f>
        <v>1.25</v>
      </c>
      <c r="D92" s="100">
        <f ca="1">((100/H89)*C92)/100</f>
        <v>0.25</v>
      </c>
      <c r="E92" s="230">
        <f ca="1">(((C93/H89*10)+(40/(D89+F89+H89)*C94)+(7.5/(H89)*C95)+(7.5/(H89)*C96)+(10/H89*C97)+(10/H89*C98)+(5/H89*C99)+(5/H89*C100)+(5/H89*C101))/100)</f>
        <v>0</v>
      </c>
      <c r="F92" s="231"/>
      <c r="G92" s="230">
        <f ca="1">((((C92/H89)*20)+((C93/H89)*25)+(30/(H89+F89+D89)*C94)+(5/H89*C95)+(5/H89*C96)+(5/H89*C97)+(5/H89*C98)+(0/H89*C99)+(0/H89*C100)+(5/H89*C101))/100)</f>
        <v>0.05</v>
      </c>
      <c r="H92" s="236"/>
      <c r="I92" s="13" t="s">
        <v>97</v>
      </c>
      <c r="J92" s="26">
        <f ca="1">H89*50%</f>
        <v>2.5</v>
      </c>
    </row>
    <row r="93" spans="1:19" hidden="1" x14ac:dyDescent="0.25">
      <c r="A93" s="141" t="s">
        <v>48</v>
      </c>
      <c r="B93" s="142"/>
      <c r="C93" s="99">
        <v>0</v>
      </c>
      <c r="D93" s="100">
        <f ca="1">((100/H89)*C93)/100</f>
        <v>0</v>
      </c>
      <c r="E93" s="232"/>
      <c r="F93" s="233"/>
      <c r="G93" s="232"/>
      <c r="H93" s="237"/>
      <c r="I93" s="13" t="s">
        <v>98</v>
      </c>
      <c r="J93" s="26">
        <f ca="1">H89</f>
        <v>5</v>
      </c>
      <c r="S93"/>
    </row>
    <row r="94" spans="1:19" ht="15.75" hidden="1" customHeight="1" x14ac:dyDescent="0.25">
      <c r="A94" s="141" t="s">
        <v>125</v>
      </c>
      <c r="B94" s="142"/>
      <c r="C94" s="99">
        <v>0</v>
      </c>
      <c r="D94" s="100">
        <f ca="1">((100/(D89+F89+H89))*C94)/100</f>
        <v>0</v>
      </c>
      <c r="E94" s="232"/>
      <c r="F94" s="233"/>
      <c r="G94" s="232"/>
      <c r="H94" s="237"/>
      <c r="I94" s="13" t="s">
        <v>99</v>
      </c>
      <c r="J94" s="27">
        <f ca="1">(IF(B89&gt;1,(H89/(B89+2)),H89/4))</f>
        <v>1.25</v>
      </c>
      <c r="S94"/>
    </row>
    <row r="95" spans="1:19" ht="15.75" hidden="1" customHeight="1" x14ac:dyDescent="0.25">
      <c r="A95" s="141" t="s">
        <v>132</v>
      </c>
      <c r="B95" s="142" t="s">
        <v>126</v>
      </c>
      <c r="C95" s="99">
        <v>0</v>
      </c>
      <c r="D95" s="100">
        <f ca="1">((100/H89)*C95)/100</f>
        <v>0</v>
      </c>
      <c r="E95" s="232"/>
      <c r="F95" s="233"/>
      <c r="G95" s="232"/>
      <c r="H95" s="237"/>
      <c r="I95" s="13" t="s">
        <v>100</v>
      </c>
      <c r="J95" s="27">
        <f ca="1">(IF(B89&gt;1,(H89/(B89+2)+J94),H89/4+J94))</f>
        <v>2.5</v>
      </c>
    </row>
    <row r="96" spans="1:19" ht="15.75" hidden="1" customHeight="1" x14ac:dyDescent="0.25">
      <c r="A96" s="141" t="s">
        <v>133</v>
      </c>
      <c r="B96" s="142" t="s">
        <v>126</v>
      </c>
      <c r="C96" s="99">
        <v>0</v>
      </c>
      <c r="D96" s="100">
        <f ca="1">((100/H89)*C96)/100</f>
        <v>0</v>
      </c>
      <c r="E96" s="232"/>
      <c r="F96" s="233"/>
      <c r="G96" s="232"/>
      <c r="H96" s="237"/>
      <c r="I96" s="13" t="s">
        <v>144</v>
      </c>
      <c r="J96" s="27">
        <f>(IF(B89&gt;1,(H89/(B89+2)+J95),0))</f>
        <v>0</v>
      </c>
    </row>
    <row r="97" spans="1:22" ht="15" hidden="1" customHeight="1" x14ac:dyDescent="0.25">
      <c r="A97" s="141" t="s">
        <v>131</v>
      </c>
      <c r="B97" s="142" t="s">
        <v>128</v>
      </c>
      <c r="C97" s="99">
        <v>0</v>
      </c>
      <c r="D97" s="100">
        <f ca="1">((100/(H89))*C97)/100</f>
        <v>0</v>
      </c>
      <c r="E97" s="232"/>
      <c r="F97" s="233"/>
      <c r="G97" s="232"/>
      <c r="H97" s="237"/>
      <c r="I97" s="13" t="s">
        <v>139</v>
      </c>
      <c r="J97" s="27">
        <f>(IF(B89&gt;2,(H89/(B89+2)+J96),0))</f>
        <v>0</v>
      </c>
    </row>
    <row r="98" spans="1:22" ht="15.75" hidden="1" customHeight="1" x14ac:dyDescent="0.25">
      <c r="A98" s="141" t="s">
        <v>127</v>
      </c>
      <c r="B98" s="142" t="s">
        <v>127</v>
      </c>
      <c r="C98" s="99">
        <v>0</v>
      </c>
      <c r="D98" s="100">
        <f ca="1">((100/H89)*C98)/100</f>
        <v>0</v>
      </c>
      <c r="E98" s="232"/>
      <c r="F98" s="233"/>
      <c r="G98" s="232"/>
      <c r="H98" s="237"/>
      <c r="I98" s="13" t="s">
        <v>140</v>
      </c>
      <c r="J98" s="28">
        <f>(IF(B89&gt;3,(H89/(B89+2)+J97),0))</f>
        <v>0</v>
      </c>
    </row>
    <row r="99" spans="1:22" ht="15.75" hidden="1" customHeight="1" x14ac:dyDescent="0.25">
      <c r="A99" s="141" t="s">
        <v>134</v>
      </c>
      <c r="B99" s="142"/>
      <c r="C99" s="99">
        <v>0</v>
      </c>
      <c r="D99" s="100">
        <f ca="1">((100/H89)*C99)/100</f>
        <v>0</v>
      </c>
      <c r="E99" s="232"/>
      <c r="F99" s="233"/>
      <c r="G99" s="232"/>
      <c r="H99" s="237"/>
      <c r="I99" s="13" t="s">
        <v>141</v>
      </c>
      <c r="J99" s="27">
        <f>(IF(B89&gt;4,(H89/(B89+2)+J98),0))</f>
        <v>0</v>
      </c>
    </row>
    <row r="100" spans="1:22" ht="15.75" hidden="1" customHeight="1" x14ac:dyDescent="0.25">
      <c r="A100" s="141" t="s">
        <v>129</v>
      </c>
      <c r="B100" s="142" t="s">
        <v>129</v>
      </c>
      <c r="C100" s="99">
        <v>0</v>
      </c>
      <c r="D100" s="100">
        <f ca="1">((100/(H89))*C100)/100</f>
        <v>0</v>
      </c>
      <c r="E100" s="232"/>
      <c r="F100" s="233"/>
      <c r="G100" s="232"/>
      <c r="H100" s="237"/>
      <c r="I100" s="13" t="s">
        <v>145</v>
      </c>
      <c r="J100" s="27">
        <f ca="1">(IF(B89=1,(H89/(B89+3)+J95),IF(B89=0,(H89/4+J95),IF(B89&gt;1,0))))</f>
        <v>3.75</v>
      </c>
    </row>
    <row r="101" spans="1:22" ht="16.5" hidden="1" thickBot="1" x14ac:dyDescent="0.3">
      <c r="A101" s="149" t="s">
        <v>130</v>
      </c>
      <c r="B101" s="150"/>
      <c r="C101" s="101">
        <v>0</v>
      </c>
      <c r="D101" s="102">
        <f ca="1">((100/(H89))*C101)/100</f>
        <v>0</v>
      </c>
      <c r="E101" s="234"/>
      <c r="F101" s="235"/>
      <c r="G101" s="234"/>
      <c r="H101" s="238"/>
      <c r="I101" s="14" t="s">
        <v>101</v>
      </c>
      <c r="J101" s="29">
        <f ca="1">(IF(B89&gt;1.5,(H89/(B89+2)+J95+MAX(0,J96-J95)+MAX(0,J97-J96)+MAX(0,J98-J97)+MAX(0,J99-J98)+MAX(0,J100-J99)),IF(B89=1,(H89/(B89+3)+J100),IF(B89=0,H89/4+J100))))</f>
        <v>5</v>
      </c>
    </row>
    <row r="102" spans="1:22" x14ac:dyDescent="0.25">
      <c r="A102" s="243" t="s">
        <v>155</v>
      </c>
      <c r="B102" s="243"/>
      <c r="C102" s="243"/>
      <c r="D102" s="243"/>
      <c r="E102" s="243"/>
      <c r="F102" s="139" t="s">
        <v>159</v>
      </c>
      <c r="G102" s="139"/>
      <c r="H102" s="139"/>
      <c r="I102" s="94"/>
      <c r="J102" s="94" t="s">
        <v>402</v>
      </c>
      <c r="K102" s="94" t="s">
        <v>404</v>
      </c>
      <c r="L102" s="94" t="s">
        <v>405</v>
      </c>
      <c r="M102" s="94"/>
      <c r="N102" s="94"/>
      <c r="R102" t="s">
        <v>252</v>
      </c>
      <c r="S102" t="s">
        <v>171</v>
      </c>
      <c r="T102" t="s">
        <v>179</v>
      </c>
      <c r="U102" t="s">
        <v>193</v>
      </c>
      <c r="V102" t="s">
        <v>188</v>
      </c>
    </row>
    <row r="103" spans="1:22" x14ac:dyDescent="0.25">
      <c r="A103" s="136" t="s">
        <v>157</v>
      </c>
      <c r="B103" s="136"/>
      <c r="C103" s="136"/>
      <c r="D103" s="136"/>
      <c r="E103" s="136"/>
      <c r="F103" s="140">
        <v>9500</v>
      </c>
      <c r="G103" s="140"/>
      <c r="H103" s="140"/>
      <c r="I103" s="94">
        <v>8000</v>
      </c>
      <c r="J103" s="97">
        <f>AVERAGE(J353,J355,J359)</f>
        <v>9653760.6749999989</v>
      </c>
      <c r="K103" s="94">
        <v>10200</v>
      </c>
      <c r="L103" s="94"/>
      <c r="M103" s="94"/>
      <c r="R103"/>
      <c r="S103">
        <v>800000</v>
      </c>
      <c r="T103">
        <v>150000</v>
      </c>
      <c r="U103">
        <v>100000</v>
      </c>
      <c r="V103">
        <v>100000</v>
      </c>
    </row>
    <row r="104" spans="1:22" x14ac:dyDescent="0.25">
      <c r="A104" s="136" t="s">
        <v>156</v>
      </c>
      <c r="B104" s="136"/>
      <c r="C104" s="136"/>
      <c r="D104" s="136"/>
      <c r="E104" s="136"/>
      <c r="F104" s="140">
        <v>20000</v>
      </c>
      <c r="G104" s="140"/>
      <c r="H104" s="140"/>
      <c r="I104" s="94"/>
      <c r="J104" s="94"/>
      <c r="K104" s="94"/>
      <c r="L104" s="94"/>
      <c r="M104" s="94"/>
      <c r="R104"/>
      <c r="S104">
        <v>900000</v>
      </c>
      <c r="T104">
        <v>200000</v>
      </c>
      <c r="U104">
        <v>150000</v>
      </c>
      <c r="V104">
        <v>150000</v>
      </c>
    </row>
    <row r="105" spans="1:22" x14ac:dyDescent="0.25">
      <c r="A105" s="136" t="s">
        <v>158</v>
      </c>
      <c r="B105" s="136"/>
      <c r="C105" s="136"/>
      <c r="D105" s="136"/>
      <c r="E105" s="136"/>
      <c r="F105" s="140">
        <v>15000</v>
      </c>
      <c r="G105" s="140"/>
      <c r="H105" s="140"/>
      <c r="I105" s="94"/>
      <c r="J105" s="94"/>
      <c r="K105" s="94"/>
      <c r="L105" s="94"/>
      <c r="M105" s="94"/>
      <c r="R105"/>
      <c r="S105">
        <v>1000000</v>
      </c>
      <c r="T105">
        <v>250000</v>
      </c>
      <c r="U105">
        <v>200000</v>
      </c>
      <c r="V105">
        <v>200000</v>
      </c>
    </row>
    <row r="106" spans="1:22" s="30" customFormat="1" hidden="1" x14ac:dyDescent="0.25">
      <c r="A106" s="136" t="s">
        <v>174</v>
      </c>
      <c r="B106" s="136"/>
      <c r="C106" s="136"/>
      <c r="D106" s="136"/>
      <c r="E106" s="136"/>
      <c r="F106" s="140"/>
      <c r="G106" s="140"/>
      <c r="H106" s="140"/>
      <c r="I106" s="95"/>
      <c r="J106" s="95"/>
      <c r="K106" s="95"/>
      <c r="L106" s="95"/>
      <c r="M106" s="95"/>
      <c r="R106"/>
      <c r="S106">
        <v>1100000</v>
      </c>
      <c r="T106">
        <v>300000</v>
      </c>
      <c r="U106">
        <v>250000</v>
      </c>
      <c r="V106" s="20">
        <v>250000</v>
      </c>
    </row>
    <row r="107" spans="1:22" s="30" customFormat="1" hidden="1" x14ac:dyDescent="0.25">
      <c r="A107" s="136" t="s">
        <v>91</v>
      </c>
      <c r="B107" s="136"/>
      <c r="C107" s="136"/>
      <c r="D107" s="136"/>
      <c r="E107" s="136"/>
      <c r="F107" s="140"/>
      <c r="G107" s="140"/>
      <c r="H107" s="140"/>
      <c r="I107" s="95"/>
      <c r="J107" s="95"/>
      <c r="K107" s="95"/>
      <c r="L107" s="95"/>
      <c r="M107" s="95"/>
      <c r="R107"/>
      <c r="S107">
        <v>1200000</v>
      </c>
      <c r="T107">
        <v>350000</v>
      </c>
      <c r="U107">
        <v>300000</v>
      </c>
      <c r="V107">
        <v>300000</v>
      </c>
    </row>
    <row r="108" spans="1:22" s="30" customFormat="1" hidden="1" x14ac:dyDescent="0.25">
      <c r="A108" s="136" t="s">
        <v>92</v>
      </c>
      <c r="B108" s="136"/>
      <c r="C108" s="136"/>
      <c r="D108" s="136"/>
      <c r="E108" s="136"/>
      <c r="F108" s="140"/>
      <c r="G108" s="140"/>
      <c r="H108" s="140"/>
      <c r="I108" s="95"/>
      <c r="J108" s="95"/>
      <c r="K108" s="95"/>
      <c r="L108" s="95"/>
      <c r="M108" s="95"/>
      <c r="R108"/>
      <c r="S108">
        <v>1300000</v>
      </c>
      <c r="T108">
        <v>400000</v>
      </c>
      <c r="U108">
        <v>350000</v>
      </c>
      <c r="V108" s="20">
        <v>400000</v>
      </c>
    </row>
    <row r="109" spans="1:22" s="30" customFormat="1" hidden="1" x14ac:dyDescent="0.25">
      <c r="A109" s="136" t="s">
        <v>93</v>
      </c>
      <c r="B109" s="136"/>
      <c r="C109" s="136"/>
      <c r="D109" s="136"/>
      <c r="E109" s="136"/>
      <c r="F109" s="140"/>
      <c r="G109" s="140"/>
      <c r="H109" s="140"/>
      <c r="I109" s="95"/>
      <c r="J109" s="95"/>
      <c r="K109" s="95"/>
      <c r="L109" s="95"/>
      <c r="M109" s="95"/>
      <c r="R109"/>
      <c r="S109">
        <v>1400000</v>
      </c>
      <c r="T109">
        <v>500000</v>
      </c>
      <c r="U109">
        <v>400000</v>
      </c>
      <c r="V109"/>
    </row>
    <row r="110" spans="1:22" s="30" customFormat="1" hidden="1" x14ac:dyDescent="0.25">
      <c r="A110" s="136" t="s">
        <v>94</v>
      </c>
      <c r="B110" s="136"/>
      <c r="C110" s="136"/>
      <c r="D110" s="136"/>
      <c r="E110" s="136"/>
      <c r="F110" s="140"/>
      <c r="G110" s="140"/>
      <c r="H110" s="140"/>
      <c r="I110" s="95"/>
      <c r="J110" s="95"/>
      <c r="K110" s="95"/>
      <c r="L110" s="95"/>
      <c r="M110" s="95"/>
      <c r="R110"/>
      <c r="S110">
        <v>1500000</v>
      </c>
      <c r="T110">
        <v>600000</v>
      </c>
      <c r="U110">
        <v>500000</v>
      </c>
      <c r="V110" s="20"/>
    </row>
    <row r="111" spans="1:22" s="30" customFormat="1" hidden="1" x14ac:dyDescent="0.25">
      <c r="A111" s="136" t="s">
        <v>95</v>
      </c>
      <c r="B111" s="136"/>
      <c r="C111" s="136"/>
      <c r="D111" s="136"/>
      <c r="E111" s="136"/>
      <c r="F111" s="140"/>
      <c r="G111" s="140"/>
      <c r="H111" s="140"/>
      <c r="I111" s="95"/>
      <c r="J111" s="95"/>
      <c r="K111" s="95"/>
      <c r="L111" s="95"/>
      <c r="M111" s="95"/>
      <c r="R111"/>
      <c r="S111">
        <v>1600000</v>
      </c>
      <c r="T111">
        <v>700000</v>
      </c>
      <c r="U111">
        <v>600000</v>
      </c>
      <c r="V111"/>
    </row>
    <row r="112" spans="1:22" s="30" customFormat="1" hidden="1" x14ac:dyDescent="0.25">
      <c r="A112" s="136" t="s">
        <v>96</v>
      </c>
      <c r="B112" s="136"/>
      <c r="C112" s="136"/>
      <c r="D112" s="136"/>
      <c r="E112" s="136"/>
      <c r="F112" s="140"/>
      <c r="G112" s="140"/>
      <c r="H112" s="140"/>
      <c r="I112" s="95"/>
      <c r="J112" s="95"/>
      <c r="K112" s="95"/>
      <c r="L112" s="95"/>
      <c r="M112" s="95"/>
      <c r="R112"/>
      <c r="S112">
        <v>1700000</v>
      </c>
      <c r="T112">
        <v>800000</v>
      </c>
      <c r="U112"/>
      <c r="V112" s="20"/>
    </row>
    <row r="113" spans="1:22" x14ac:dyDescent="0.25">
      <c r="A113" s="136" t="s">
        <v>49</v>
      </c>
      <c r="B113" s="136"/>
      <c r="C113" s="136"/>
      <c r="D113" s="136"/>
      <c r="E113" s="136"/>
      <c r="F113" s="140">
        <v>400000</v>
      </c>
      <c r="G113" s="140"/>
      <c r="H113" s="140"/>
      <c r="I113" s="94"/>
      <c r="J113" s="94"/>
      <c r="K113" s="94"/>
      <c r="L113" s="94"/>
      <c r="M113" s="94"/>
      <c r="R113"/>
      <c r="S113">
        <v>1800000</v>
      </c>
      <c r="T113">
        <v>900000</v>
      </c>
      <c r="U113"/>
    </row>
    <row r="114" spans="1:22" s="31" customFormat="1" x14ac:dyDescent="0.25">
      <c r="A114" s="200" t="s">
        <v>50</v>
      </c>
      <c r="B114" s="200"/>
      <c r="C114" s="200"/>
      <c r="D114" s="200"/>
      <c r="E114" s="200"/>
      <c r="F114" s="140">
        <f>F103*0.8</f>
        <v>7600</v>
      </c>
      <c r="G114" s="140"/>
      <c r="H114" s="140"/>
      <c r="I114" s="96"/>
      <c r="J114" s="96"/>
      <c r="K114" s="96"/>
      <c r="L114" s="96"/>
      <c r="M114" s="96"/>
      <c r="R114" s="18"/>
      <c r="S114" s="18"/>
      <c r="T114">
        <v>1000000</v>
      </c>
      <c r="U114"/>
      <c r="V114" s="18"/>
    </row>
    <row r="115" spans="1:22" s="32" customFormat="1" ht="15.75" customHeight="1" x14ac:dyDescent="0.25">
      <c r="A115" s="199" t="s">
        <v>72</v>
      </c>
      <c r="B115" s="199"/>
      <c r="C115" s="199"/>
      <c r="D115" s="199"/>
      <c r="E115" s="199"/>
      <c r="F115" s="199"/>
      <c r="G115" s="199"/>
      <c r="H115" s="199"/>
      <c r="R115"/>
      <c r="S115" s="18"/>
      <c r="T115"/>
      <c r="U115"/>
      <c r="V115" s="18"/>
    </row>
    <row r="116" spans="1:22" s="32" customFormat="1" ht="15.75" customHeight="1" x14ac:dyDescent="0.25">
      <c r="A116" s="162" t="s">
        <v>51</v>
      </c>
      <c r="B116" s="162"/>
      <c r="C116" s="168" t="s">
        <v>75</v>
      </c>
      <c r="D116" s="168"/>
      <c r="E116" s="167" t="s">
        <v>52</v>
      </c>
      <c r="F116" s="167"/>
      <c r="G116" s="162" t="s">
        <v>53</v>
      </c>
      <c r="H116" s="162"/>
      <c r="R116"/>
      <c r="S116" s="18"/>
      <c r="T116"/>
      <c r="U116" s="18"/>
      <c r="V116" s="18"/>
    </row>
    <row r="117" spans="1:22" s="32" customFormat="1" x14ac:dyDescent="0.25">
      <c r="A117" s="201" t="s">
        <v>425</v>
      </c>
      <c r="B117" s="87" t="s">
        <v>382</v>
      </c>
      <c r="C117" s="188">
        <f>COUNT(F134:F149)+COUNT(F176:F191)</f>
        <v>32</v>
      </c>
      <c r="D117" s="189"/>
      <c r="E117" s="188">
        <f>SUM(F134:F149)+SUM(F176:F191)</f>
        <v>10201.075091999999</v>
      </c>
      <c r="F117" s="189"/>
      <c r="G117" s="188">
        <f>SUM(H134:H149)+SUM(H176:H191)</f>
        <v>15301.612637999999</v>
      </c>
      <c r="H117" s="189"/>
      <c r="R117"/>
      <c r="S117" s="18"/>
      <c r="T117"/>
      <c r="U117" s="18"/>
      <c r="V117" s="18"/>
    </row>
    <row r="118" spans="1:22" s="32" customFormat="1" x14ac:dyDescent="0.25">
      <c r="A118" s="201"/>
      <c r="B118" s="87" t="s">
        <v>384</v>
      </c>
      <c r="C118" s="188">
        <f>COUNT(F216:F231)+COUNT(F256:F271)+COUNT(F296:F311)</f>
        <v>48</v>
      </c>
      <c r="D118" s="189"/>
      <c r="E118" s="188">
        <f>SUM(F216:F231)+SUM(F256:F271)+SUM(F296:F311)</f>
        <v>10868.834901599999</v>
      </c>
      <c r="F118" s="189"/>
      <c r="G118" s="188">
        <f>SUM(H216:H231)+SUM(H256:H271)+SUM(H296:H311)</f>
        <v>16303.252352399999</v>
      </c>
      <c r="H118" s="189"/>
      <c r="R118"/>
      <c r="S118" s="18"/>
      <c r="T118"/>
      <c r="U118" s="18"/>
      <c r="V118" s="18"/>
    </row>
    <row r="119" spans="1:22" s="32" customFormat="1" x14ac:dyDescent="0.25">
      <c r="A119" s="199" t="s">
        <v>149</v>
      </c>
      <c r="B119" s="199"/>
      <c r="C119" s="252">
        <f>SUM(C117:C118)</f>
        <v>80</v>
      </c>
      <c r="D119" s="168"/>
      <c r="E119" s="253">
        <f>SUM(E117:E118)</f>
        <v>21069.909993599998</v>
      </c>
      <c r="F119" s="167"/>
      <c r="G119" s="162">
        <f>SUM(G117:G118)</f>
        <v>31604.864990399998</v>
      </c>
      <c r="H119" s="162"/>
      <c r="R119"/>
      <c r="S119" s="18"/>
      <c r="T119"/>
      <c r="U119" s="18"/>
      <c r="V119" s="18"/>
    </row>
    <row r="120" spans="1:22" s="32" customFormat="1" x14ac:dyDescent="0.25">
      <c r="A120" s="199" t="s">
        <v>67</v>
      </c>
      <c r="B120" s="199"/>
      <c r="C120" s="199"/>
      <c r="D120" s="199"/>
      <c r="E120" s="199"/>
      <c r="F120" s="199"/>
      <c r="G120" s="199"/>
      <c r="H120" s="199"/>
      <c r="T120"/>
    </row>
    <row r="121" spans="1:22" s="32" customFormat="1" ht="15.75" customHeight="1" x14ac:dyDescent="0.25">
      <c r="A121" s="162" t="s">
        <v>51</v>
      </c>
      <c r="B121" s="162"/>
      <c r="C121" s="168" t="s">
        <v>75</v>
      </c>
      <c r="D121" s="168"/>
      <c r="E121" s="167" t="s">
        <v>52</v>
      </c>
      <c r="F121" s="167"/>
      <c r="G121" s="162" t="s">
        <v>53</v>
      </c>
      <c r="H121" s="162"/>
      <c r="T121"/>
    </row>
    <row r="122" spans="1:22" s="32" customFormat="1" x14ac:dyDescent="0.25">
      <c r="A122" s="201" t="s">
        <v>373</v>
      </c>
      <c r="B122" s="201"/>
      <c r="C122" s="188">
        <f>COUNT(F345:F347)+COUNT(F353:F360)*9+COUNT(F363:F369)*4+COUNT(F371:F378)*7</f>
        <v>159</v>
      </c>
      <c r="D122" s="188"/>
      <c r="E122" s="188">
        <f>SUM(F345:F347)+SUM(F353:F360)*9+SUM(F363:F369)*4+SUM(F371:F378)*7</f>
        <v>108689.65146000001</v>
      </c>
      <c r="F122" s="188"/>
      <c r="G122" s="188">
        <f>SUM(H345:H347)+SUM(H353:H360)*9+SUM(H363:H369)*4+SUM(H371:H378)*7</f>
        <v>163370.88582749999</v>
      </c>
      <c r="H122" s="188"/>
      <c r="T122"/>
    </row>
    <row r="123" spans="1:22" s="32" customFormat="1" x14ac:dyDescent="0.25">
      <c r="A123" s="201" t="s">
        <v>357</v>
      </c>
      <c r="B123" s="201"/>
      <c r="C123" s="188">
        <f>COUNT(F384:F386)+COUNT(F392:F394)+COUNT(F400:F402)+COUNT(F408:F410)+COUNT(F416:F418)+COUNT(F422:F426)+COUNT(F430:F436)*9+COUNT(F438,F440:F444)*4+COUNT(F446:F452)*7</f>
        <v>156</v>
      </c>
      <c r="D123" s="188"/>
      <c r="E123" s="188">
        <f>SUM(F384:F386)+SUM(F392:F394)+SUM(F400:F402)+SUM(F408:F410)+SUM(F416:F418)+SUM(F422:F426)+SUM(F430:F436)*9+SUM(F438,F440:F444)*4+SUM(F446:F452)*7</f>
        <v>88355.54052000001</v>
      </c>
      <c r="F123" s="188"/>
      <c r="G123" s="188">
        <f>SUM(H384:H386)+SUM(H392:H394)+SUM(H400:H402)+SUM(H408:H410)+SUM(H416:H418)+SUM(H422:H426)+SUM(H430:H436)*9+SUM(H438,H440:H444)*4+SUM(H446:H452)*7</f>
        <v>132694.219125</v>
      </c>
      <c r="H123" s="188"/>
      <c r="T123"/>
    </row>
    <row r="124" spans="1:22" s="32" customFormat="1" x14ac:dyDescent="0.25">
      <c r="A124" s="201" t="s">
        <v>361</v>
      </c>
      <c r="B124" s="201"/>
      <c r="C124" s="188">
        <f>COUNT(F456:F458)+COUNT(F463:F465)+COUNT(F470:F472)+COUNT(F477:F479)+COUNT(F484:F486)+COUNT(F491:F493)+COUNT(F498:F503)*9+COUNT(F505:F510)*4+COUNT(F512:F517)*7</f>
        <v>138</v>
      </c>
      <c r="D124" s="188"/>
      <c r="E124" s="188">
        <f>SUM(F456:F458)+SUM(F463:F465)+SUM(F470:F472)+SUM(F477:F479)+SUM(F484:F486)+SUM(F491:F493)+SUM(F498:F503)*9+SUM(F505:F510)*4+SUM(F512:F517)*7</f>
        <v>100972.88604</v>
      </c>
      <c r="F124" s="188"/>
      <c r="G124" s="188">
        <f>SUM(H456:H458)+SUM(H463:H465)+SUM(H470:H472)+SUM(H477:H479)+SUM(H484:H486)+SUM(H491:H493)+SUM(H498:H503)*9+SUM(H505:H510)*4+SUM(H512:H517)*7</f>
        <v>151459.32905999999</v>
      </c>
      <c r="H124" s="188"/>
      <c r="T124"/>
    </row>
    <row r="125" spans="1:22" s="32" customFormat="1" ht="16.5" thickBot="1" x14ac:dyDescent="0.3">
      <c r="A125" s="248" t="s">
        <v>149</v>
      </c>
      <c r="B125" s="248"/>
      <c r="C125" s="190">
        <f>SUM(C122:C124)</f>
        <v>453</v>
      </c>
      <c r="D125" s="191"/>
      <c r="E125" s="249">
        <f>SUM(E122:E124)</f>
        <v>298018.07802000002</v>
      </c>
      <c r="F125" s="250"/>
      <c r="G125" s="251">
        <f>SUM(G122:G124)</f>
        <v>447524.43401249999</v>
      </c>
      <c r="H125" s="251"/>
      <c r="T125"/>
    </row>
    <row r="126" spans="1:22" s="32" customFormat="1" ht="16.5" thickBot="1" x14ac:dyDescent="0.3">
      <c r="A126" s="181" t="s">
        <v>165</v>
      </c>
      <c r="B126" s="182"/>
      <c r="C126" s="183">
        <f>C119+C125</f>
        <v>533</v>
      </c>
      <c r="D126" s="184"/>
      <c r="E126" s="185">
        <f>E119+E125</f>
        <v>319087.9880136</v>
      </c>
      <c r="F126" s="185"/>
      <c r="G126" s="246">
        <f>G119+G125</f>
        <v>479129.29900289996</v>
      </c>
      <c r="H126" s="247"/>
      <c r="T126"/>
    </row>
    <row r="127" spans="1:22" s="31" customFormat="1" x14ac:dyDescent="0.25">
      <c r="A127" s="196" t="s">
        <v>54</v>
      </c>
      <c r="B127" s="196"/>
      <c r="C127" s="196"/>
      <c r="D127" s="196"/>
      <c r="E127" s="196"/>
      <c r="F127" s="196"/>
      <c r="G127" s="196"/>
      <c r="H127" s="196"/>
      <c r="T127" s="32"/>
    </row>
    <row r="128" spans="1:22" x14ac:dyDescent="0.25">
      <c r="A128" s="161" t="s">
        <v>173</v>
      </c>
      <c r="B128" s="161"/>
      <c r="C128" s="161"/>
      <c r="D128" s="161"/>
      <c r="E128" s="161"/>
      <c r="F128" s="161"/>
      <c r="G128" s="161"/>
      <c r="H128" s="161"/>
      <c r="T128" s="32"/>
    </row>
    <row r="129" spans="1:20" ht="47.25" customHeight="1" x14ac:dyDescent="0.25">
      <c r="A129" s="241" t="s">
        <v>387</v>
      </c>
      <c r="B129" s="241" t="s">
        <v>175</v>
      </c>
      <c r="C129" s="241" t="s">
        <v>55</v>
      </c>
      <c r="D129" s="241" t="s">
        <v>231</v>
      </c>
      <c r="E129" s="239" t="s">
        <v>383</v>
      </c>
      <c r="F129" s="241" t="s">
        <v>56</v>
      </c>
      <c r="G129" s="239" t="s">
        <v>57</v>
      </c>
      <c r="H129" s="92" t="s">
        <v>147</v>
      </c>
      <c r="T129" s="32"/>
    </row>
    <row r="130" spans="1:20" s="34" customFormat="1" x14ac:dyDescent="0.25">
      <c r="A130" s="242"/>
      <c r="B130" s="242"/>
      <c r="C130" s="242"/>
      <c r="D130" s="242"/>
      <c r="E130" s="240"/>
      <c r="F130" s="242"/>
      <c r="G130" s="240"/>
      <c r="H130" s="93">
        <v>0.5</v>
      </c>
      <c r="T130" s="32"/>
    </row>
    <row r="131" spans="1:20" s="103" customFormat="1" x14ac:dyDescent="0.25">
      <c r="A131" s="126" t="s">
        <v>417</v>
      </c>
      <c r="B131" s="126"/>
      <c r="C131" s="126"/>
      <c r="D131" s="126"/>
      <c r="E131" s="126"/>
      <c r="F131" s="126"/>
      <c r="G131" s="126"/>
      <c r="H131" s="126"/>
      <c r="J131" s="88">
        <v>10.763999999999999</v>
      </c>
    </row>
    <row r="132" spans="1:20" s="82" customFormat="1" x14ac:dyDescent="0.25">
      <c r="A132" s="126" t="s">
        <v>418</v>
      </c>
      <c r="B132" s="126"/>
      <c r="C132" s="126"/>
      <c r="D132" s="126"/>
      <c r="E132" s="126"/>
      <c r="F132" s="126"/>
      <c r="G132" s="126"/>
      <c r="H132" s="126"/>
      <c r="J132" s="88">
        <v>10.763999999999999</v>
      </c>
    </row>
    <row r="133" spans="1:20" s="82" customFormat="1" x14ac:dyDescent="0.25">
      <c r="A133" s="192" t="s">
        <v>419</v>
      </c>
      <c r="B133" s="192"/>
      <c r="C133" s="192"/>
      <c r="D133" s="192"/>
      <c r="E133" s="192"/>
      <c r="F133" s="192"/>
      <c r="G133" s="192"/>
      <c r="H133" s="192"/>
      <c r="J133" s="33"/>
      <c r="T133" s="32"/>
    </row>
    <row r="134" spans="1:20" s="82" customFormat="1" ht="15.75" customHeight="1" x14ac:dyDescent="0.25">
      <c r="A134" s="110">
        <v>1</v>
      </c>
      <c r="B134" s="110"/>
      <c r="C134" s="106" t="s">
        <v>382</v>
      </c>
      <c r="D134" s="88">
        <f>(6.95*2.4+1.25*1.05+1.1*1.2)*10.764</f>
        <v>207.87975</v>
      </c>
      <c r="E134" s="88">
        <f>(4.15*2.4)*10.764</f>
        <v>107.20944</v>
      </c>
      <c r="F134" s="106">
        <f>D134+(IF(E134&lt;201,E134,IF(E134&lt;301,E134/2,E134/3)))</f>
        <v>315.08919000000003</v>
      </c>
      <c r="G134" s="57">
        <v>0</v>
      </c>
      <c r="H134" s="106">
        <f>(F134+(IF(G134&lt;101,G134,IF(G134&lt;201,G134/2,IF(G134&lt;=301,G134/3,G134/4)))))*(($H$130)+1)</f>
        <v>472.63378500000005</v>
      </c>
      <c r="I134" s="33"/>
      <c r="L134" s="111"/>
      <c r="M134" s="111"/>
      <c r="N134" s="33"/>
      <c r="T134" s="32"/>
    </row>
    <row r="135" spans="1:20" s="82" customFormat="1" ht="15.75" customHeight="1" x14ac:dyDescent="0.25">
      <c r="A135" s="110">
        <f t="shared" ref="A135:A155" si="0">A134+1</f>
        <v>2</v>
      </c>
      <c r="B135" s="110"/>
      <c r="C135" s="106" t="s">
        <v>382</v>
      </c>
      <c r="D135" s="88">
        <f>(6.95*2.4+1.1*1.2+1.25*1.05)*10.764</f>
        <v>207.87975</v>
      </c>
      <c r="E135" s="88">
        <f>(4.15*2.4)*10.764</f>
        <v>107.20944</v>
      </c>
      <c r="F135" s="106">
        <f t="shared" ref="F135:F137" si="1">D135+(IF(E135&lt;201,E135,IF(E135&lt;301,E135/2,E135/3)))</f>
        <v>315.08919000000003</v>
      </c>
      <c r="G135" s="106">
        <v>0</v>
      </c>
      <c r="H135" s="106">
        <f t="shared" ref="H135:H137" si="2">(F135+(IF(G135&lt;101,G135,IF(G135&lt;201,G135/2,IF(G135&lt;=301,G135/3,G135/4)))))*(($H$130)+1)</f>
        <v>472.63378500000005</v>
      </c>
      <c r="I135" s="33"/>
      <c r="L135" s="111"/>
      <c r="M135" s="111"/>
      <c r="N135" s="33"/>
      <c r="T135" s="31"/>
    </row>
    <row r="136" spans="1:20" s="82" customFormat="1" ht="15.75" customHeight="1" x14ac:dyDescent="0.25">
      <c r="A136" s="110">
        <f t="shared" si="0"/>
        <v>3</v>
      </c>
      <c r="B136" s="110"/>
      <c r="C136" s="106" t="s">
        <v>382</v>
      </c>
      <c r="D136" s="88">
        <f>(8*2.9+1.1*1.55+1.1*1.2)*10.764</f>
        <v>282.28590000000003</v>
      </c>
      <c r="E136" s="88">
        <f>(4.62*2.9)*10.764</f>
        <v>144.216072</v>
      </c>
      <c r="F136" s="106">
        <f t="shared" si="1"/>
        <v>426.50197200000002</v>
      </c>
      <c r="G136" s="106">
        <v>0</v>
      </c>
      <c r="H136" s="106">
        <f t="shared" si="2"/>
        <v>639.75295800000004</v>
      </c>
      <c r="I136" s="33"/>
      <c r="L136" s="111"/>
      <c r="M136" s="111"/>
      <c r="N136" s="33"/>
      <c r="T136" s="18"/>
    </row>
    <row r="137" spans="1:20" s="82" customFormat="1" ht="15.75" customHeight="1" x14ac:dyDescent="0.25">
      <c r="A137" s="110">
        <f t="shared" si="0"/>
        <v>4</v>
      </c>
      <c r="B137" s="110"/>
      <c r="C137" s="106" t="s">
        <v>382</v>
      </c>
      <c r="D137" s="88">
        <f>(8*2.9+1.1*1.55+1.1*1.2)*10.764</f>
        <v>282.28590000000003</v>
      </c>
      <c r="E137" s="88">
        <f>(4.62*2.9)*10.764</f>
        <v>144.216072</v>
      </c>
      <c r="F137" s="106">
        <f t="shared" si="1"/>
        <v>426.50197200000002</v>
      </c>
      <c r="G137" s="106">
        <v>0</v>
      </c>
      <c r="H137" s="106">
        <f t="shared" si="2"/>
        <v>639.75295800000004</v>
      </c>
      <c r="I137" s="33"/>
      <c r="L137" s="111"/>
      <c r="M137" s="111"/>
      <c r="N137" s="33"/>
      <c r="T137" s="18"/>
    </row>
    <row r="138" spans="1:20" s="82" customFormat="1" ht="15.75" customHeight="1" x14ac:dyDescent="0.25">
      <c r="A138" s="112">
        <f t="shared" si="0"/>
        <v>5</v>
      </c>
      <c r="B138" s="113"/>
      <c r="C138" s="84" t="s">
        <v>382</v>
      </c>
      <c r="D138" s="88">
        <f>(8*2.4+1.1*1.15+1.1*1.2)*10.764</f>
        <v>234.49373999999997</v>
      </c>
      <c r="E138" s="88">
        <f t="shared" ref="E138:E143" si="3">(4.67*2.9)*10.764</f>
        <v>145.77685199999999</v>
      </c>
      <c r="F138" s="84">
        <f t="shared" ref="F138:F143" si="4">D138+(IF(E138&lt;201,E138,IF(E138&lt;301,E138/2,E138/3)))</f>
        <v>380.27059199999997</v>
      </c>
      <c r="G138" s="84">
        <v>0</v>
      </c>
      <c r="H138" s="84">
        <f t="shared" ref="H138:H143" si="5">(F138+(IF(G138&lt;101,G138,IF(G138&lt;201,G138/2,IF(G138&lt;=301,G138/3,G138/4)))))*(($H$130)+1)</f>
        <v>570.405888</v>
      </c>
      <c r="I138" s="33"/>
      <c r="L138" s="111"/>
      <c r="M138" s="111"/>
      <c r="N138" s="33"/>
      <c r="T138" s="31"/>
    </row>
    <row r="139" spans="1:20" s="82" customFormat="1" ht="15.75" customHeight="1" x14ac:dyDescent="0.25">
      <c r="A139" s="112">
        <f t="shared" si="0"/>
        <v>6</v>
      </c>
      <c r="B139" s="113"/>
      <c r="C139" s="84" t="s">
        <v>382</v>
      </c>
      <c r="D139" s="88">
        <f>(8*2.4+1.1*1.15+1.1*1.2)*10.764</f>
        <v>234.49373999999997</v>
      </c>
      <c r="E139" s="88">
        <f t="shared" si="3"/>
        <v>145.77685199999999</v>
      </c>
      <c r="F139" s="84">
        <f t="shared" si="4"/>
        <v>380.27059199999997</v>
      </c>
      <c r="G139" s="84">
        <v>0</v>
      </c>
      <c r="H139" s="84">
        <f t="shared" si="5"/>
        <v>570.405888</v>
      </c>
      <c r="I139" s="33"/>
      <c r="L139" s="111"/>
      <c r="M139" s="111"/>
      <c r="N139" s="33"/>
      <c r="T139" s="18"/>
    </row>
    <row r="140" spans="1:20" s="82" customFormat="1" ht="15.75" customHeight="1" x14ac:dyDescent="0.25">
      <c r="A140" s="112">
        <f t="shared" si="0"/>
        <v>7</v>
      </c>
      <c r="B140" s="113"/>
      <c r="C140" s="84" t="s">
        <v>382</v>
      </c>
      <c r="D140" s="88">
        <f>(8*2.4+1.1*1.15+1.1*1.2)*10.764</f>
        <v>234.49373999999997</v>
      </c>
      <c r="E140" s="88">
        <f t="shared" si="3"/>
        <v>145.77685199999999</v>
      </c>
      <c r="F140" s="84">
        <f t="shared" si="4"/>
        <v>380.27059199999997</v>
      </c>
      <c r="G140" s="84">
        <v>0</v>
      </c>
      <c r="H140" s="84">
        <f t="shared" si="5"/>
        <v>570.405888</v>
      </c>
      <c r="I140" s="33"/>
      <c r="L140" s="111"/>
      <c r="M140" s="111"/>
      <c r="N140" s="33"/>
      <c r="T140" s="18"/>
    </row>
    <row r="141" spans="1:20" s="82" customFormat="1" ht="15.75" customHeight="1" x14ac:dyDescent="0.25">
      <c r="A141" s="112">
        <f t="shared" si="0"/>
        <v>8</v>
      </c>
      <c r="B141" s="113"/>
      <c r="C141" s="84" t="s">
        <v>382</v>
      </c>
      <c r="D141" s="88">
        <f>(8*2.4+1.1*1.15+1.1*1.2)*10.764</f>
        <v>234.49373999999997</v>
      </c>
      <c r="E141" s="88">
        <f t="shared" si="3"/>
        <v>145.77685199999999</v>
      </c>
      <c r="F141" s="84">
        <f t="shared" si="4"/>
        <v>380.27059199999997</v>
      </c>
      <c r="G141" s="84">
        <v>0</v>
      </c>
      <c r="H141" s="84">
        <f t="shared" si="5"/>
        <v>570.405888</v>
      </c>
      <c r="I141" s="33"/>
      <c r="L141" s="111"/>
      <c r="M141" s="111"/>
      <c r="N141" s="33"/>
      <c r="T141" s="31"/>
    </row>
    <row r="142" spans="1:20" s="82" customFormat="1" ht="15.75" customHeight="1" x14ac:dyDescent="0.25">
      <c r="A142" s="112">
        <f t="shared" si="0"/>
        <v>9</v>
      </c>
      <c r="B142" s="113"/>
      <c r="C142" s="84" t="s">
        <v>382</v>
      </c>
      <c r="D142" s="88">
        <f>(8*2.9+1.1*1.55+1.1*1.2)*10.764</f>
        <v>282.28590000000003</v>
      </c>
      <c r="E142" s="88">
        <f t="shared" si="3"/>
        <v>145.77685199999999</v>
      </c>
      <c r="F142" s="84">
        <f t="shared" si="4"/>
        <v>428.06275200000005</v>
      </c>
      <c r="G142" s="84">
        <v>0</v>
      </c>
      <c r="H142" s="84">
        <f t="shared" si="5"/>
        <v>642.09412800000007</v>
      </c>
      <c r="I142" s="33"/>
      <c r="L142" s="111"/>
      <c r="M142" s="111"/>
      <c r="N142" s="33"/>
      <c r="T142" s="18"/>
    </row>
    <row r="143" spans="1:20" s="82" customFormat="1" ht="15.75" customHeight="1" x14ac:dyDescent="0.25">
      <c r="A143" s="112">
        <f t="shared" si="0"/>
        <v>10</v>
      </c>
      <c r="B143" s="113"/>
      <c r="C143" s="84" t="s">
        <v>382</v>
      </c>
      <c r="D143" s="88">
        <f>(8*2.9+1.1*1.55+1.1*1.2)*10.764</f>
        <v>282.28590000000003</v>
      </c>
      <c r="E143" s="88">
        <f t="shared" si="3"/>
        <v>145.77685199999999</v>
      </c>
      <c r="F143" s="84">
        <f t="shared" si="4"/>
        <v>428.06275200000005</v>
      </c>
      <c r="G143" s="84">
        <v>0</v>
      </c>
      <c r="H143" s="84">
        <f t="shared" si="5"/>
        <v>642.09412800000007</v>
      </c>
      <c r="I143" s="33"/>
      <c r="L143" s="111"/>
      <c r="M143" s="111"/>
      <c r="N143" s="33"/>
      <c r="T143" s="18"/>
    </row>
    <row r="144" spans="1:20" s="82" customFormat="1" ht="15.75" customHeight="1" x14ac:dyDescent="0.25">
      <c r="A144" s="112">
        <f t="shared" si="0"/>
        <v>11</v>
      </c>
      <c r="B144" s="113"/>
      <c r="C144" s="84" t="s">
        <v>382</v>
      </c>
      <c r="D144" s="88">
        <f>(8*3.93+5.65*1.63+1.25*2.43+1.1*1.2)*10.764</f>
        <v>484.45534800000001</v>
      </c>
      <c r="E144" s="88">
        <f>(5.1*3.93+1.5*1.53)*10.764</f>
        <v>240.44623200000001</v>
      </c>
      <c r="F144" s="84">
        <f t="shared" ref="F144:F149" si="6">D144+(IF(E144&lt;201,E144,IF(E144&lt;301,E144/2,E144/3)))</f>
        <v>604.67846400000008</v>
      </c>
      <c r="G144" s="84">
        <v>0</v>
      </c>
      <c r="H144" s="84">
        <f t="shared" ref="H144:H149" si="7">(F144+(IF(G144&lt;101,G144,IF(G144&lt;201,G144/2,IF(G144&lt;=301,G144/3,G144/4)))))*(($H$130)+1)</f>
        <v>907.01769600000011</v>
      </c>
      <c r="I144" s="33"/>
      <c r="L144" s="111"/>
      <c r="M144" s="111"/>
      <c r="N144" s="33"/>
      <c r="T144" s="31"/>
    </row>
    <row r="145" spans="1:20" s="82" customFormat="1" ht="15.75" customHeight="1" x14ac:dyDescent="0.25">
      <c r="A145" s="112">
        <f t="shared" si="0"/>
        <v>12</v>
      </c>
      <c r="B145" s="113"/>
      <c r="C145" s="84" t="s">
        <v>382</v>
      </c>
      <c r="D145" s="88">
        <f>(8*3+3.3*1.67+1.25*1.55+1.1*1.2)*10.764</f>
        <v>352.72013399999992</v>
      </c>
      <c r="E145" s="88">
        <f>(3.3*4.68)*10.764</f>
        <v>166.23921599999997</v>
      </c>
      <c r="F145" s="84">
        <f t="shared" si="6"/>
        <v>518.95934999999986</v>
      </c>
      <c r="G145" s="84">
        <v>0</v>
      </c>
      <c r="H145" s="84">
        <f t="shared" si="7"/>
        <v>778.43902499999979</v>
      </c>
      <c r="I145" s="33"/>
      <c r="L145" s="111"/>
      <c r="M145" s="111"/>
      <c r="N145" s="33"/>
      <c r="T145" s="18"/>
    </row>
    <row r="146" spans="1:20" s="82" customFormat="1" ht="15.75" customHeight="1" x14ac:dyDescent="0.25">
      <c r="A146" s="112">
        <f t="shared" si="0"/>
        <v>13</v>
      </c>
      <c r="B146" s="113"/>
      <c r="C146" s="84" t="s">
        <v>382</v>
      </c>
      <c r="D146" s="88">
        <f>(8*3+1.1*1.55+1.1*1.2)*10.764</f>
        <v>290.89710000000002</v>
      </c>
      <c r="E146" s="88">
        <f>(4.62*3)*10.764</f>
        <v>149.18903999999998</v>
      </c>
      <c r="F146" s="84">
        <f t="shared" si="6"/>
        <v>440.08614</v>
      </c>
      <c r="G146" s="84">
        <v>0</v>
      </c>
      <c r="H146" s="84">
        <f t="shared" si="7"/>
        <v>660.12921000000006</v>
      </c>
      <c r="I146" s="33"/>
      <c r="L146" s="111"/>
      <c r="M146" s="111"/>
      <c r="N146" s="33"/>
      <c r="T146" s="18"/>
    </row>
    <row r="147" spans="1:20" s="82" customFormat="1" ht="15.75" customHeight="1" x14ac:dyDescent="0.25">
      <c r="A147" s="112">
        <f t="shared" si="0"/>
        <v>14</v>
      </c>
      <c r="B147" s="113"/>
      <c r="C147" s="84" t="s">
        <v>382</v>
      </c>
      <c r="D147" s="88">
        <f>(8*3+1.1*1.2+1.1*1.85+2.25*1.05)*10.764</f>
        <v>319.87916999999999</v>
      </c>
      <c r="E147" s="88">
        <f>(4.22*3+2.25*1.05)*10.764</f>
        <v>161.70219</v>
      </c>
      <c r="F147" s="84">
        <f t="shared" si="6"/>
        <v>481.58136000000002</v>
      </c>
      <c r="G147" s="84">
        <v>0</v>
      </c>
      <c r="H147" s="84">
        <f t="shared" si="7"/>
        <v>722.37203999999997</v>
      </c>
      <c r="I147" s="33"/>
      <c r="L147" s="111"/>
      <c r="M147" s="111"/>
      <c r="N147" s="33"/>
      <c r="T147" s="31"/>
    </row>
    <row r="148" spans="1:20" s="82" customFormat="1" ht="15.75" customHeight="1" x14ac:dyDescent="0.25">
      <c r="A148" s="112">
        <f t="shared" si="0"/>
        <v>15</v>
      </c>
      <c r="B148" s="113"/>
      <c r="C148" s="84" t="s">
        <v>382</v>
      </c>
      <c r="D148" s="88">
        <f>(8.7*2.25+1.3*1.2+0.95*1.2)*10.764</f>
        <v>239.76809999999998</v>
      </c>
      <c r="E148" s="88">
        <f>(2.8*2.25+2.4*1.2)*10.764</f>
        <v>98.813519999999997</v>
      </c>
      <c r="F148" s="84">
        <f t="shared" si="6"/>
        <v>338.58161999999999</v>
      </c>
      <c r="G148" s="84">
        <v>0</v>
      </c>
      <c r="H148" s="84">
        <f t="shared" si="7"/>
        <v>507.87243000000001</v>
      </c>
      <c r="I148" s="33"/>
      <c r="L148" s="111"/>
      <c r="M148" s="111"/>
      <c r="N148" s="33"/>
      <c r="T148" s="18"/>
    </row>
    <row r="149" spans="1:20" s="82" customFormat="1" ht="15.75" customHeight="1" x14ac:dyDescent="0.25">
      <c r="A149" s="112">
        <f t="shared" si="0"/>
        <v>16</v>
      </c>
      <c r="B149" s="113"/>
      <c r="C149" s="84" t="s">
        <v>382</v>
      </c>
      <c r="D149" s="88">
        <f>(7.85*2.75+1.25*1.2+1.4*1.4)*10.764</f>
        <v>269.61129</v>
      </c>
      <c r="E149" s="88">
        <f>(4.66*2.75)*10.764</f>
        <v>137.94066000000001</v>
      </c>
      <c r="F149" s="84">
        <f t="shared" si="6"/>
        <v>407.55195000000003</v>
      </c>
      <c r="G149" s="84">
        <v>0</v>
      </c>
      <c r="H149" s="84">
        <f t="shared" si="7"/>
        <v>611.32792500000005</v>
      </c>
      <c r="I149" s="33"/>
      <c r="L149" s="111"/>
      <c r="M149" s="111"/>
      <c r="N149" s="33"/>
      <c r="T149" s="18"/>
    </row>
    <row r="150" spans="1:20" s="82" customFormat="1" ht="15.75" hidden="1" customHeight="1" x14ac:dyDescent="0.25">
      <c r="A150" s="112">
        <f t="shared" si="0"/>
        <v>17</v>
      </c>
      <c r="B150" s="113"/>
      <c r="C150" s="84" t="s">
        <v>382</v>
      </c>
      <c r="D150" s="88">
        <f>(2.4*3.62+1.65*1.1)*10.764</f>
        <v>113.05429199999999</v>
      </c>
      <c r="E150" s="88">
        <f>(2.4*0.97+1.65*1.65)*10.764</f>
        <v>54.363581999999994</v>
      </c>
      <c r="F150" s="84">
        <f t="shared" ref="F150:F152" si="8">D150+(IF(E150&lt;201,E150,IF(E150&lt;301,E150/2,E150/3)))</f>
        <v>167.41787399999998</v>
      </c>
      <c r="G150" s="84">
        <v>0</v>
      </c>
      <c r="H150" s="84">
        <f t="shared" ref="H150:H152" si="9">(F150+(IF(G150&lt;101,G150,IF(G150&lt;201,G150/2,IF(G150&lt;=301,G150/3,G150/4)))))*(($H$130)+1)</f>
        <v>251.12681099999998</v>
      </c>
      <c r="I150" s="33"/>
      <c r="L150" s="111"/>
      <c r="M150" s="111"/>
      <c r="N150" s="33"/>
      <c r="T150" s="31"/>
    </row>
    <row r="151" spans="1:20" s="82" customFormat="1" ht="15.75" hidden="1" customHeight="1" x14ac:dyDescent="0.25">
      <c r="A151" s="112">
        <f t="shared" si="0"/>
        <v>18</v>
      </c>
      <c r="B151" s="113"/>
      <c r="C151" s="84" t="s">
        <v>382</v>
      </c>
      <c r="D151" s="88">
        <f>(2.4*3.92+1.2*1.1+1.05*1.4)*10.764</f>
        <v>131.299272</v>
      </c>
      <c r="E151" s="88">
        <f>(2.4*2.64)*10.764</f>
        <v>68.200704000000002</v>
      </c>
      <c r="F151" s="84">
        <f t="shared" si="8"/>
        <v>199.499976</v>
      </c>
      <c r="G151" s="84">
        <v>0</v>
      </c>
      <c r="H151" s="84">
        <f t="shared" si="9"/>
        <v>299.24996399999998</v>
      </c>
      <c r="I151" s="33"/>
      <c r="L151" s="111"/>
      <c r="M151" s="111"/>
      <c r="N151" s="33"/>
      <c r="T151" s="18"/>
    </row>
    <row r="152" spans="1:20" s="82" customFormat="1" ht="15.75" hidden="1" customHeight="1" x14ac:dyDescent="0.25">
      <c r="A152" s="110">
        <f t="shared" si="0"/>
        <v>19</v>
      </c>
      <c r="B152" s="110"/>
      <c r="C152" s="98" t="s">
        <v>382</v>
      </c>
      <c r="D152" s="88">
        <f>(2.4*4.36+1.05*1.25+1.2*1.1)*10.764</f>
        <v>140.97072599999998</v>
      </c>
      <c r="E152" s="88">
        <f>(2.4*2.74)*10.764</f>
        <v>70.784064000000001</v>
      </c>
      <c r="F152" s="98">
        <f t="shared" si="8"/>
        <v>211.75478999999999</v>
      </c>
      <c r="G152" s="98">
        <v>0</v>
      </c>
      <c r="H152" s="98">
        <f t="shared" si="9"/>
        <v>317.63218499999999</v>
      </c>
      <c r="I152" s="33"/>
      <c r="L152" s="111"/>
      <c r="M152" s="111"/>
      <c r="N152" s="33"/>
      <c r="T152" s="18"/>
    </row>
    <row r="153" spans="1:20" s="82" customFormat="1" ht="15.75" hidden="1" customHeight="1" x14ac:dyDescent="0.25">
      <c r="A153" s="110">
        <f t="shared" si="0"/>
        <v>20</v>
      </c>
      <c r="B153" s="110"/>
      <c r="C153" s="98" t="s">
        <v>382</v>
      </c>
      <c r="D153" s="88">
        <f>(2.4*4.96+1.25*1.2+1*1.35)*10.764</f>
        <v>158.81205599999998</v>
      </c>
      <c r="E153" s="88">
        <f>(2.4*3.16)*10.764</f>
        <v>81.634175999999997</v>
      </c>
      <c r="F153" s="98">
        <f t="shared" ref="F153:F168" si="10">D153+(IF(E153&lt;201,E153,IF(E153&lt;301,E153/2,E153/3)))</f>
        <v>240.44623199999998</v>
      </c>
      <c r="G153" s="98">
        <v>0</v>
      </c>
      <c r="H153" s="98">
        <f t="shared" ref="H153:H168" si="11">(F153+(IF(G153&lt;101,G153,IF(G153&lt;201,G153/2,IF(G153&lt;=301,G153/3,G153/4)))))*(($H$130)+1)</f>
        <v>360.66934799999996</v>
      </c>
      <c r="I153" s="33"/>
      <c r="L153" s="111"/>
      <c r="M153" s="111"/>
      <c r="N153" s="33"/>
      <c r="T153" s="31"/>
    </row>
    <row r="154" spans="1:20" s="82" customFormat="1" ht="15.75" hidden="1" customHeight="1" x14ac:dyDescent="0.25">
      <c r="A154" s="110">
        <f t="shared" si="0"/>
        <v>21</v>
      </c>
      <c r="B154" s="110"/>
      <c r="C154" s="98" t="s">
        <v>382</v>
      </c>
      <c r="D154" s="88">
        <f>(2.4*5.23+1.25*1.2+1*1.2)*10.764</f>
        <v>164.172528</v>
      </c>
      <c r="E154" s="88">
        <f>(2.4*3.36)*10.764</f>
        <v>86.800895999999995</v>
      </c>
      <c r="F154" s="98">
        <f t="shared" si="10"/>
        <v>250.97342399999999</v>
      </c>
      <c r="G154" s="98">
        <v>0</v>
      </c>
      <c r="H154" s="98">
        <f t="shared" si="11"/>
        <v>376.46013599999998</v>
      </c>
      <c r="I154" s="33"/>
      <c r="L154" s="111"/>
      <c r="M154" s="111"/>
      <c r="N154" s="33"/>
      <c r="T154" s="18"/>
    </row>
    <row r="155" spans="1:20" s="82" customFormat="1" ht="15.75" hidden="1" customHeight="1" x14ac:dyDescent="0.25">
      <c r="A155" s="110">
        <f t="shared" si="0"/>
        <v>22</v>
      </c>
      <c r="B155" s="110"/>
      <c r="C155" s="98" t="s">
        <v>382</v>
      </c>
      <c r="D155" s="88">
        <f>(2.4*4.96+1.65*1.1)*10.764</f>
        <v>147.67131599999999</v>
      </c>
      <c r="E155" s="88">
        <f>(2.4*2+1.65*1.65)*10.764</f>
        <v>80.972189999999983</v>
      </c>
      <c r="F155" s="98">
        <f t="shared" si="10"/>
        <v>228.64350599999997</v>
      </c>
      <c r="G155" s="98">
        <v>0</v>
      </c>
      <c r="H155" s="98">
        <f t="shared" si="11"/>
        <v>342.96525899999995</v>
      </c>
      <c r="I155" s="33"/>
      <c r="L155" s="111"/>
      <c r="M155" s="111"/>
      <c r="N155" s="33"/>
      <c r="T155" s="18"/>
    </row>
    <row r="156" spans="1:20" s="85" customFormat="1" ht="15.75" hidden="1" customHeight="1" x14ac:dyDescent="0.25">
      <c r="A156" s="110">
        <f t="shared" ref="A156:A171" si="12">A155+1</f>
        <v>23</v>
      </c>
      <c r="B156" s="110"/>
      <c r="C156" s="98" t="s">
        <v>382</v>
      </c>
      <c r="D156" s="88">
        <f>(2.69*6.6+1.2*1.25+1.2*1.1)*10.764</f>
        <v>221.45853599999995</v>
      </c>
      <c r="E156" s="88">
        <f>(2.55*3.68)*10.764</f>
        <v>101.009376</v>
      </c>
      <c r="F156" s="98">
        <f t="shared" si="10"/>
        <v>322.46791199999996</v>
      </c>
      <c r="G156" s="98">
        <v>0</v>
      </c>
      <c r="H156" s="98">
        <f t="shared" si="11"/>
        <v>483.70186799999993</v>
      </c>
      <c r="I156" s="33"/>
      <c r="L156" s="111"/>
      <c r="M156" s="111"/>
      <c r="N156" s="33"/>
      <c r="T156" s="18"/>
    </row>
    <row r="157" spans="1:20" s="85" customFormat="1" ht="15.75" hidden="1" customHeight="1" x14ac:dyDescent="0.25">
      <c r="A157" s="110">
        <f t="shared" si="12"/>
        <v>24</v>
      </c>
      <c r="B157" s="110"/>
      <c r="C157" s="98" t="s">
        <v>382</v>
      </c>
      <c r="D157" s="88">
        <f>(2.55*6.6+1.2*1.1+1.08*1.25)*10.764</f>
        <v>209.898</v>
      </c>
      <c r="E157" s="88">
        <f>(2.55*3.93)*10.764</f>
        <v>107.87142599999999</v>
      </c>
      <c r="F157" s="98">
        <f t="shared" si="10"/>
        <v>317.76942599999995</v>
      </c>
      <c r="G157" s="98">
        <v>0</v>
      </c>
      <c r="H157" s="98">
        <f t="shared" si="11"/>
        <v>476.65413899999993</v>
      </c>
      <c r="I157" s="33"/>
      <c r="L157" s="111"/>
      <c r="M157" s="111"/>
      <c r="N157" s="33"/>
      <c r="T157" s="31"/>
    </row>
    <row r="158" spans="1:20" s="85" customFormat="1" ht="15.75" hidden="1" customHeight="1" x14ac:dyDescent="0.25">
      <c r="A158" s="110">
        <f t="shared" si="12"/>
        <v>25</v>
      </c>
      <c r="B158" s="110"/>
      <c r="C158" s="98" t="s">
        <v>382</v>
      </c>
      <c r="D158" s="88">
        <f>(2.56*6.6+1.17*1.25+1.2*1.1)*10.764</f>
        <v>211.81937399999998</v>
      </c>
      <c r="E158" s="88">
        <f>(2.56*3.93)*10.764</f>
        <v>108.2944512</v>
      </c>
      <c r="F158" s="98">
        <f t="shared" si="10"/>
        <v>320.11382519999995</v>
      </c>
      <c r="G158" s="98">
        <v>0</v>
      </c>
      <c r="H158" s="98">
        <f t="shared" si="11"/>
        <v>480.17073779999993</v>
      </c>
      <c r="I158" s="33"/>
      <c r="L158" s="111"/>
      <c r="M158" s="111"/>
      <c r="N158" s="33"/>
      <c r="T158" s="18"/>
    </row>
    <row r="159" spans="1:20" s="85" customFormat="1" ht="15.75" hidden="1" customHeight="1" x14ac:dyDescent="0.25">
      <c r="A159" s="110">
        <f t="shared" si="12"/>
        <v>26</v>
      </c>
      <c r="B159" s="110"/>
      <c r="C159" s="98" t="s">
        <v>382</v>
      </c>
      <c r="D159" s="88">
        <f>(2.55*6.6+1.2*1.1+1.08*1.25)*10.764</f>
        <v>209.898</v>
      </c>
      <c r="E159" s="88">
        <f>(2.55*3.93)*10.764</f>
        <v>107.87142599999999</v>
      </c>
      <c r="F159" s="98">
        <f t="shared" si="10"/>
        <v>317.76942599999995</v>
      </c>
      <c r="G159" s="98">
        <v>0</v>
      </c>
      <c r="H159" s="98">
        <f t="shared" si="11"/>
        <v>476.65413899999993</v>
      </c>
      <c r="I159" s="33"/>
      <c r="L159" s="111"/>
      <c r="M159" s="111"/>
      <c r="N159" s="33"/>
      <c r="T159" s="18"/>
    </row>
    <row r="160" spans="1:20" s="85" customFormat="1" ht="15.75" hidden="1" customHeight="1" x14ac:dyDescent="0.25">
      <c r="A160" s="110">
        <f t="shared" si="12"/>
        <v>27</v>
      </c>
      <c r="B160" s="110"/>
      <c r="C160" s="98" t="s">
        <v>382</v>
      </c>
      <c r="D160" s="88">
        <f>(2.55*6.6+1.2*1.1+1.08*1.25)*10.764</f>
        <v>209.898</v>
      </c>
      <c r="E160" s="88">
        <f>(2.55*3.93)*10.764</f>
        <v>107.87142599999999</v>
      </c>
      <c r="F160" s="98">
        <f t="shared" si="10"/>
        <v>317.76942599999995</v>
      </c>
      <c r="G160" s="98">
        <v>0</v>
      </c>
      <c r="H160" s="98">
        <f t="shared" si="11"/>
        <v>476.65413899999993</v>
      </c>
      <c r="I160" s="33"/>
      <c r="L160" s="111"/>
      <c r="M160" s="111"/>
      <c r="N160" s="33"/>
      <c r="T160" s="31"/>
    </row>
    <row r="161" spans="1:20" s="85" customFormat="1" ht="15.75" hidden="1" customHeight="1" x14ac:dyDescent="0.25">
      <c r="A161" s="110">
        <f t="shared" si="12"/>
        <v>28</v>
      </c>
      <c r="B161" s="110"/>
      <c r="C161" s="98" t="s">
        <v>382</v>
      </c>
      <c r="D161" s="88">
        <f>(2.55*6.6+1.2*1.1+1.08*1.25)*10.764</f>
        <v>209.898</v>
      </c>
      <c r="E161" s="88">
        <f>(2.55*3.93)*10.764</f>
        <v>107.87142599999999</v>
      </c>
      <c r="F161" s="98">
        <f t="shared" si="10"/>
        <v>317.76942599999995</v>
      </c>
      <c r="G161" s="98">
        <v>0</v>
      </c>
      <c r="H161" s="98">
        <f t="shared" si="11"/>
        <v>476.65413899999993</v>
      </c>
      <c r="I161" s="33"/>
      <c r="L161" s="111"/>
      <c r="M161" s="111"/>
      <c r="N161" s="33"/>
      <c r="T161" s="18"/>
    </row>
    <row r="162" spans="1:20" s="85" customFormat="1" ht="15.75" hidden="1" customHeight="1" x14ac:dyDescent="0.25">
      <c r="A162" s="110">
        <f t="shared" si="12"/>
        <v>29</v>
      </c>
      <c r="B162" s="110"/>
      <c r="C162" s="98" t="s">
        <v>382</v>
      </c>
      <c r="D162" s="88">
        <f>(2.7*6.6+1.32*1.25+1.2*1.1)*10.764</f>
        <v>223.78355999999997</v>
      </c>
      <c r="E162" s="88">
        <f>(2.7*3.93)*10.764</f>
        <v>114.216804</v>
      </c>
      <c r="F162" s="98">
        <f t="shared" si="10"/>
        <v>338.00036399999999</v>
      </c>
      <c r="G162" s="98">
        <v>0</v>
      </c>
      <c r="H162" s="98">
        <f t="shared" si="11"/>
        <v>507.00054599999999</v>
      </c>
      <c r="I162" s="33"/>
      <c r="L162" s="111"/>
      <c r="M162" s="111"/>
      <c r="N162" s="33"/>
      <c r="T162" s="18"/>
    </row>
    <row r="163" spans="1:20" s="85" customFormat="1" ht="15.75" hidden="1" customHeight="1" x14ac:dyDescent="0.25">
      <c r="A163" s="112">
        <f t="shared" si="12"/>
        <v>30</v>
      </c>
      <c r="B163" s="113"/>
      <c r="C163" s="86" t="s">
        <v>382</v>
      </c>
      <c r="D163" s="88">
        <f>(3.01*6.6+1.16*1.25+1.2*1.1)*10.764</f>
        <v>243.65390399999993</v>
      </c>
      <c r="E163" s="88">
        <f>(3.01*3.93)*10.764</f>
        <v>127.33058519999999</v>
      </c>
      <c r="F163" s="86">
        <f t="shared" si="10"/>
        <v>370.98448919999993</v>
      </c>
      <c r="G163" s="86">
        <v>0</v>
      </c>
      <c r="H163" s="86">
        <f t="shared" si="11"/>
        <v>556.47673379999992</v>
      </c>
      <c r="I163" s="33"/>
      <c r="L163" s="111"/>
      <c r="M163" s="111"/>
      <c r="N163" s="33"/>
      <c r="T163" s="31"/>
    </row>
    <row r="164" spans="1:20" s="85" customFormat="1" ht="15.75" hidden="1" customHeight="1" x14ac:dyDescent="0.25">
      <c r="A164" s="112">
        <f t="shared" si="12"/>
        <v>31</v>
      </c>
      <c r="B164" s="113"/>
      <c r="C164" s="86" t="s">
        <v>382</v>
      </c>
      <c r="D164" s="88">
        <f>(2.6*6.6+1.2*1.1+1.11*1.25)*10.764</f>
        <v>213.85377</v>
      </c>
      <c r="E164" s="88">
        <f>(2.6*3.93)*10.764</f>
        <v>109.98655199999999</v>
      </c>
      <c r="F164" s="86">
        <f t="shared" si="10"/>
        <v>323.84032200000001</v>
      </c>
      <c r="G164" s="86">
        <v>0</v>
      </c>
      <c r="H164" s="86">
        <f t="shared" si="11"/>
        <v>485.76048300000002</v>
      </c>
      <c r="I164" s="33"/>
      <c r="L164" s="111"/>
      <c r="M164" s="111"/>
      <c r="N164" s="33"/>
      <c r="T164" s="18"/>
    </row>
    <row r="165" spans="1:20" s="85" customFormat="1" ht="15.75" hidden="1" customHeight="1" x14ac:dyDescent="0.25">
      <c r="A165" s="112">
        <f t="shared" si="12"/>
        <v>32</v>
      </c>
      <c r="B165" s="113"/>
      <c r="C165" s="86" t="s">
        <v>382</v>
      </c>
      <c r="D165" s="88">
        <f>(2.55*6.6+1.2*1.1+1.18*1.25)*10.764</f>
        <v>211.24349999999998</v>
      </c>
      <c r="E165" s="88">
        <f>(2.54*3.93)*10.764</f>
        <v>107.4484008</v>
      </c>
      <c r="F165" s="86">
        <f t="shared" si="10"/>
        <v>318.69190079999998</v>
      </c>
      <c r="G165" s="86">
        <v>0</v>
      </c>
      <c r="H165" s="86">
        <f t="shared" si="11"/>
        <v>478.03785119999998</v>
      </c>
      <c r="I165" s="33"/>
      <c r="L165" s="111"/>
      <c r="M165" s="111"/>
      <c r="N165" s="33"/>
      <c r="T165" s="18"/>
    </row>
    <row r="166" spans="1:20" s="85" customFormat="1" ht="15.75" hidden="1" customHeight="1" x14ac:dyDescent="0.25">
      <c r="A166" s="112">
        <f t="shared" si="12"/>
        <v>33</v>
      </c>
      <c r="B166" s="113"/>
      <c r="C166" s="86" t="s">
        <v>382</v>
      </c>
      <c r="D166" s="88">
        <f>(2.55*6.6+1.2*1.1+1.07*1.25)*10.764</f>
        <v>209.76344999999995</v>
      </c>
      <c r="E166" s="88">
        <f>(2.56*3.93)*10.764</f>
        <v>108.2944512</v>
      </c>
      <c r="F166" s="86">
        <f t="shared" si="10"/>
        <v>318.05790119999995</v>
      </c>
      <c r="G166" s="86">
        <v>0</v>
      </c>
      <c r="H166" s="86">
        <f t="shared" si="11"/>
        <v>477.08685179999992</v>
      </c>
      <c r="I166" s="33"/>
      <c r="L166" s="111"/>
      <c r="M166" s="111"/>
      <c r="N166" s="33"/>
      <c r="T166" s="31"/>
    </row>
    <row r="167" spans="1:20" s="85" customFormat="1" ht="15.75" hidden="1" customHeight="1" x14ac:dyDescent="0.25">
      <c r="A167" s="112">
        <f t="shared" si="12"/>
        <v>34</v>
      </c>
      <c r="B167" s="113"/>
      <c r="C167" s="86" t="s">
        <v>382</v>
      </c>
      <c r="D167" s="88">
        <f>(2.55*6.6+1.2*1.1+1.18*1.25)*10.764</f>
        <v>211.24349999999998</v>
      </c>
      <c r="E167" s="88">
        <f>(2.55*3.93)*10.764</f>
        <v>107.87142599999999</v>
      </c>
      <c r="F167" s="86">
        <f t="shared" si="10"/>
        <v>319.11492599999997</v>
      </c>
      <c r="G167" s="86">
        <v>0</v>
      </c>
      <c r="H167" s="86">
        <f t="shared" si="11"/>
        <v>478.67238899999995</v>
      </c>
      <c r="I167" s="33"/>
      <c r="L167" s="111"/>
      <c r="M167" s="111"/>
      <c r="N167" s="33"/>
      <c r="T167" s="18"/>
    </row>
    <row r="168" spans="1:20" s="85" customFormat="1" ht="15.75" hidden="1" customHeight="1" x14ac:dyDescent="0.25">
      <c r="A168" s="112">
        <f t="shared" si="12"/>
        <v>35</v>
      </c>
      <c r="B168" s="113"/>
      <c r="C168" s="86" t="s">
        <v>382</v>
      </c>
      <c r="D168" s="88">
        <f>(2.55*6.6+1.2*1.1+1.07*1.25)*10.764</f>
        <v>209.76344999999995</v>
      </c>
      <c r="E168" s="88">
        <f>(2.56*3.93)*10.764</f>
        <v>108.2944512</v>
      </c>
      <c r="F168" s="86">
        <f t="shared" si="10"/>
        <v>318.05790119999995</v>
      </c>
      <c r="G168" s="86">
        <v>0</v>
      </c>
      <c r="H168" s="86">
        <f t="shared" si="11"/>
        <v>477.08685179999992</v>
      </c>
      <c r="I168" s="33"/>
      <c r="L168" s="111"/>
      <c r="M168" s="111"/>
      <c r="N168" s="33"/>
      <c r="T168" s="18"/>
    </row>
    <row r="169" spans="1:20" s="85" customFormat="1" ht="15.75" hidden="1" customHeight="1" x14ac:dyDescent="0.25">
      <c r="A169" s="112">
        <f t="shared" si="12"/>
        <v>36</v>
      </c>
      <c r="B169" s="113"/>
      <c r="C169" s="86" t="s">
        <v>382</v>
      </c>
      <c r="D169" s="88">
        <f>(2.55*6.6+1.2*1.1+1.18*1.25)*10.764</f>
        <v>211.24349999999998</v>
      </c>
      <c r="E169" s="88">
        <f>(2.54*3.93)*10.764</f>
        <v>107.4484008</v>
      </c>
      <c r="F169" s="86">
        <f t="shared" ref="F169:F171" si="13">D169+(IF(E169&lt;201,E169,IF(E169&lt;301,E169/2,E169/3)))</f>
        <v>318.69190079999998</v>
      </c>
      <c r="G169" s="86">
        <v>0</v>
      </c>
      <c r="H169" s="86">
        <f t="shared" ref="H169:H171" si="14">(F169+(IF(G169&lt;101,G169,IF(G169&lt;201,G169/2,IF(G169&lt;=301,G169/3,G169/4)))))*(($H$130)+1)</f>
        <v>478.03785119999998</v>
      </c>
      <c r="I169" s="33"/>
      <c r="L169" s="111"/>
      <c r="M169" s="111"/>
      <c r="N169" s="33"/>
      <c r="T169" s="31"/>
    </row>
    <row r="170" spans="1:20" s="85" customFormat="1" ht="15.75" hidden="1" customHeight="1" x14ac:dyDescent="0.25">
      <c r="A170" s="112">
        <f t="shared" si="12"/>
        <v>37</v>
      </c>
      <c r="B170" s="113"/>
      <c r="C170" s="86" t="s">
        <v>382</v>
      </c>
      <c r="D170" s="88">
        <f>(2.56*6.6+1.2*1.1+1.1*1.25)*10.764</f>
        <v>210.87752399999999</v>
      </c>
      <c r="E170" s="88">
        <f>(2.56*3.93)*10.764</f>
        <v>108.2944512</v>
      </c>
      <c r="F170" s="86">
        <f t="shared" si="13"/>
        <v>319.17197520000002</v>
      </c>
      <c r="G170" s="86">
        <v>0</v>
      </c>
      <c r="H170" s="86">
        <f t="shared" si="14"/>
        <v>478.75796280000003</v>
      </c>
      <c r="I170" s="33"/>
      <c r="L170" s="111"/>
      <c r="M170" s="111"/>
      <c r="N170" s="33"/>
      <c r="T170" s="18"/>
    </row>
    <row r="171" spans="1:20" s="85" customFormat="1" ht="15.75" hidden="1" customHeight="1" x14ac:dyDescent="0.25">
      <c r="A171" s="112">
        <f t="shared" si="12"/>
        <v>38</v>
      </c>
      <c r="B171" s="113"/>
      <c r="C171" s="86" t="s">
        <v>382</v>
      </c>
      <c r="D171" s="88">
        <f>(2.56*6.6+1.2*1.1+1.1*1.25)*10.764</f>
        <v>210.87752399999999</v>
      </c>
      <c r="E171" s="88">
        <f>(2.54*3.93)*10.764</f>
        <v>107.4484008</v>
      </c>
      <c r="F171" s="86">
        <f t="shared" si="13"/>
        <v>318.3259248</v>
      </c>
      <c r="G171" s="86">
        <v>0</v>
      </c>
      <c r="H171" s="86">
        <f t="shared" si="14"/>
        <v>477.48888720000002</v>
      </c>
      <c r="I171" s="33"/>
      <c r="L171" s="111"/>
      <c r="M171" s="111"/>
      <c r="N171" s="33"/>
      <c r="T171" s="18"/>
    </row>
    <row r="172" spans="1:20" s="85" customFormat="1" ht="15.75" hidden="1" customHeight="1" x14ac:dyDescent="0.25">
      <c r="A172" s="112">
        <f t="shared" ref="A172:A174" si="15">A171+1</f>
        <v>39</v>
      </c>
      <c r="B172" s="113"/>
      <c r="C172" s="86" t="s">
        <v>382</v>
      </c>
      <c r="D172" s="88">
        <f>(2.56*6.6+1.2*1.1+1*1.25)*10.764</f>
        <v>209.53202400000001</v>
      </c>
      <c r="E172" s="88">
        <f>(2.56*3.93)*10.764</f>
        <v>108.2944512</v>
      </c>
      <c r="F172" s="86">
        <f t="shared" ref="F172:F174" si="16">D172+(IF(E172&lt;201,E172,IF(E172&lt;301,E172/2,E172/3)))</f>
        <v>317.8264752</v>
      </c>
      <c r="G172" s="86">
        <v>0</v>
      </c>
      <c r="H172" s="86">
        <f t="shared" ref="H172:H174" si="17">(F172+(IF(G172&lt;101,G172,IF(G172&lt;201,G172/2,IF(G172&lt;=301,G172/3,G172/4)))))*(($H$130)+1)</f>
        <v>476.73971280000001</v>
      </c>
      <c r="I172" s="33"/>
      <c r="L172" s="111"/>
      <c r="M172" s="111"/>
      <c r="N172" s="33"/>
      <c r="T172" s="31"/>
    </row>
    <row r="173" spans="1:20" s="85" customFormat="1" ht="15.75" hidden="1" customHeight="1" x14ac:dyDescent="0.25">
      <c r="A173" s="112">
        <f t="shared" si="15"/>
        <v>40</v>
      </c>
      <c r="B173" s="113"/>
      <c r="C173" s="86" t="s">
        <v>382</v>
      </c>
      <c r="D173" s="88">
        <f>(2.55*6.6+1.1*1.25+1.2*1.1)*10.764</f>
        <v>210.16709999999998</v>
      </c>
      <c r="E173" s="88">
        <f>(2.54*3.93)*10.764</f>
        <v>107.4484008</v>
      </c>
      <c r="F173" s="86">
        <f t="shared" si="16"/>
        <v>317.61550079999995</v>
      </c>
      <c r="G173" s="86">
        <v>0</v>
      </c>
      <c r="H173" s="86">
        <f t="shared" si="17"/>
        <v>476.42325119999992</v>
      </c>
      <c r="I173" s="33"/>
      <c r="L173" s="111"/>
      <c r="M173" s="111"/>
      <c r="N173" s="33"/>
      <c r="T173" s="18"/>
    </row>
    <row r="174" spans="1:20" s="85" customFormat="1" ht="15.75" hidden="1" customHeight="1" x14ac:dyDescent="0.25">
      <c r="A174" s="112">
        <f t="shared" si="15"/>
        <v>41</v>
      </c>
      <c r="B174" s="113"/>
      <c r="C174" s="86" t="s">
        <v>382</v>
      </c>
      <c r="D174" s="88">
        <f>(2.92*6.6+1.2*1.1+1.22*1.25)*10.764</f>
        <v>238.06738799999997</v>
      </c>
      <c r="E174" s="88">
        <f>(2.92*3.93)*10.764</f>
        <v>123.52335839999999</v>
      </c>
      <c r="F174" s="86">
        <f t="shared" si="16"/>
        <v>361.59074639999994</v>
      </c>
      <c r="G174" s="86">
        <v>0</v>
      </c>
      <c r="H174" s="86">
        <f t="shared" si="17"/>
        <v>542.38611959999992</v>
      </c>
      <c r="I174" s="33"/>
      <c r="L174" s="111"/>
      <c r="M174" s="111"/>
      <c r="N174" s="33"/>
      <c r="T174" s="18"/>
    </row>
    <row r="175" spans="1:20" s="82" customFormat="1" x14ac:dyDescent="0.25">
      <c r="A175" s="123" t="s">
        <v>117</v>
      </c>
      <c r="B175" s="124"/>
      <c r="C175" s="124"/>
      <c r="D175" s="124"/>
      <c r="E175" s="124"/>
      <c r="F175" s="124"/>
      <c r="G175" s="124"/>
      <c r="H175" s="125"/>
      <c r="J175" s="33"/>
      <c r="T175" s="32"/>
    </row>
    <row r="176" spans="1:20" s="82" customFormat="1" ht="15.75" customHeight="1" x14ac:dyDescent="0.25">
      <c r="A176" s="112">
        <v>1</v>
      </c>
      <c r="B176" s="113"/>
      <c r="C176" s="84" t="s">
        <v>382</v>
      </c>
      <c r="D176" s="88">
        <f>(5.15*2.4+1.25*1.05)*10.764</f>
        <v>147.17079000000001</v>
      </c>
      <c r="E176" s="84">
        <v>0</v>
      </c>
      <c r="F176" s="84">
        <f>D176+(IF(E176&lt;201,E176,IF(E176&lt;301,E176/2,E176/3)))</f>
        <v>147.17079000000001</v>
      </c>
      <c r="G176" s="57">
        <v>0</v>
      </c>
      <c r="H176" s="84">
        <f t="shared" ref="H176:H195" si="18">(F176+(IF(G176&lt;101,G176,IF(G176&lt;201,G176/2,IF(G176&lt;=301,G176/3,G176/4)))))*(($H$130)+1)</f>
        <v>220.75618500000002</v>
      </c>
      <c r="I176" s="33"/>
      <c r="L176" s="111"/>
      <c r="M176" s="111"/>
      <c r="N176" s="33"/>
      <c r="T176" s="32"/>
    </row>
    <row r="177" spans="1:20" s="82" customFormat="1" ht="15.75" customHeight="1" x14ac:dyDescent="0.25">
      <c r="A177" s="112">
        <f t="shared" ref="A177:A195" si="19">A176+1</f>
        <v>2</v>
      </c>
      <c r="B177" s="113"/>
      <c r="C177" s="84" t="s">
        <v>382</v>
      </c>
      <c r="D177" s="88">
        <f>(5.15*2.4+1.25*1.05)*10.764</f>
        <v>147.17079000000001</v>
      </c>
      <c r="E177" s="84">
        <v>0</v>
      </c>
      <c r="F177" s="84">
        <f t="shared" ref="F177:F195" si="20">D177+(IF(E177&lt;201,E177,IF(E177&lt;301,E177/2,E177/3)))</f>
        <v>147.17079000000001</v>
      </c>
      <c r="G177" s="84">
        <v>0</v>
      </c>
      <c r="H177" s="84">
        <f t="shared" si="18"/>
        <v>220.75618500000002</v>
      </c>
      <c r="I177" s="33"/>
      <c r="L177" s="111"/>
      <c r="M177" s="111"/>
      <c r="N177" s="33"/>
      <c r="T177" s="31"/>
    </row>
    <row r="178" spans="1:20" s="82" customFormat="1" ht="15.75" customHeight="1" x14ac:dyDescent="0.25">
      <c r="A178" s="112">
        <f t="shared" si="19"/>
        <v>3</v>
      </c>
      <c r="B178" s="113"/>
      <c r="C178" s="84" t="s">
        <v>382</v>
      </c>
      <c r="D178" s="88">
        <f t="shared" ref="D178:D185" si="21">(6.2*2.9+1.1*1.55+1.1*1.2)*10.764</f>
        <v>226.09782000000001</v>
      </c>
      <c r="E178" s="84">
        <v>0</v>
      </c>
      <c r="F178" s="84">
        <f t="shared" si="20"/>
        <v>226.09782000000001</v>
      </c>
      <c r="G178" s="84">
        <v>0</v>
      </c>
      <c r="H178" s="84">
        <f t="shared" si="18"/>
        <v>339.14673000000005</v>
      </c>
      <c r="I178" s="33"/>
      <c r="L178" s="111"/>
      <c r="M178" s="111"/>
      <c r="N178" s="33"/>
      <c r="T178" s="18"/>
    </row>
    <row r="179" spans="1:20" s="82" customFormat="1" ht="15.75" customHeight="1" x14ac:dyDescent="0.25">
      <c r="A179" s="112">
        <f t="shared" si="19"/>
        <v>4</v>
      </c>
      <c r="B179" s="113"/>
      <c r="C179" s="84" t="s">
        <v>382</v>
      </c>
      <c r="D179" s="88">
        <f t="shared" si="21"/>
        <v>226.09782000000001</v>
      </c>
      <c r="E179" s="84">
        <v>0</v>
      </c>
      <c r="F179" s="84">
        <f t="shared" si="20"/>
        <v>226.09782000000001</v>
      </c>
      <c r="G179" s="84">
        <v>0</v>
      </c>
      <c r="H179" s="84">
        <f t="shared" si="18"/>
        <v>339.14673000000005</v>
      </c>
      <c r="I179" s="33"/>
      <c r="L179" s="111"/>
      <c r="M179" s="111"/>
      <c r="N179" s="33"/>
      <c r="T179" s="18"/>
    </row>
    <row r="180" spans="1:20" s="82" customFormat="1" ht="15.75" customHeight="1" x14ac:dyDescent="0.25">
      <c r="A180" s="112">
        <f t="shared" si="19"/>
        <v>5</v>
      </c>
      <c r="B180" s="113"/>
      <c r="C180" s="84" t="s">
        <v>382</v>
      </c>
      <c r="D180" s="88">
        <f t="shared" si="21"/>
        <v>226.09782000000001</v>
      </c>
      <c r="E180" s="84">
        <v>0</v>
      </c>
      <c r="F180" s="84">
        <f t="shared" si="20"/>
        <v>226.09782000000001</v>
      </c>
      <c r="G180" s="84">
        <v>0</v>
      </c>
      <c r="H180" s="84">
        <f t="shared" si="18"/>
        <v>339.14673000000005</v>
      </c>
      <c r="I180" s="33"/>
      <c r="L180" s="111"/>
      <c r="M180" s="111"/>
      <c r="N180" s="33"/>
      <c r="T180" s="31"/>
    </row>
    <row r="181" spans="1:20" s="82" customFormat="1" ht="15.75" customHeight="1" x14ac:dyDescent="0.25">
      <c r="A181" s="112">
        <f t="shared" si="19"/>
        <v>6</v>
      </c>
      <c r="B181" s="113"/>
      <c r="C181" s="84" t="s">
        <v>382</v>
      </c>
      <c r="D181" s="88">
        <f t="shared" si="21"/>
        <v>226.09782000000001</v>
      </c>
      <c r="E181" s="84">
        <v>0</v>
      </c>
      <c r="F181" s="84">
        <f t="shared" si="20"/>
        <v>226.09782000000001</v>
      </c>
      <c r="G181" s="84">
        <v>0</v>
      </c>
      <c r="H181" s="84">
        <f t="shared" si="18"/>
        <v>339.14673000000005</v>
      </c>
      <c r="I181" s="33"/>
      <c r="L181" s="111"/>
      <c r="M181" s="111"/>
      <c r="N181" s="33"/>
      <c r="T181" s="18"/>
    </row>
    <row r="182" spans="1:20" s="82" customFormat="1" ht="15.75" customHeight="1" x14ac:dyDescent="0.25">
      <c r="A182" s="112">
        <f t="shared" si="19"/>
        <v>7</v>
      </c>
      <c r="B182" s="113"/>
      <c r="C182" s="84" t="s">
        <v>382</v>
      </c>
      <c r="D182" s="88">
        <f t="shared" si="21"/>
        <v>226.09782000000001</v>
      </c>
      <c r="E182" s="84">
        <v>0</v>
      </c>
      <c r="F182" s="84">
        <f t="shared" si="20"/>
        <v>226.09782000000001</v>
      </c>
      <c r="G182" s="84">
        <v>0</v>
      </c>
      <c r="H182" s="84">
        <f t="shared" si="18"/>
        <v>339.14673000000005</v>
      </c>
      <c r="I182" s="33"/>
      <c r="L182" s="111"/>
      <c r="M182" s="111"/>
      <c r="N182" s="33"/>
      <c r="T182" s="18"/>
    </row>
    <row r="183" spans="1:20" s="82" customFormat="1" ht="15.75" customHeight="1" x14ac:dyDescent="0.25">
      <c r="A183" s="112">
        <f t="shared" si="19"/>
        <v>8</v>
      </c>
      <c r="B183" s="113"/>
      <c r="C183" s="84" t="s">
        <v>382</v>
      </c>
      <c r="D183" s="88">
        <f t="shared" si="21"/>
        <v>226.09782000000001</v>
      </c>
      <c r="E183" s="84">
        <v>0</v>
      </c>
      <c r="F183" s="84">
        <f t="shared" si="20"/>
        <v>226.09782000000001</v>
      </c>
      <c r="G183" s="84">
        <v>0</v>
      </c>
      <c r="H183" s="84">
        <f t="shared" si="18"/>
        <v>339.14673000000005</v>
      </c>
      <c r="I183" s="33"/>
      <c r="L183" s="111"/>
      <c r="M183" s="111"/>
      <c r="N183" s="33"/>
      <c r="T183" s="31"/>
    </row>
    <row r="184" spans="1:20" s="82" customFormat="1" ht="15.75" customHeight="1" x14ac:dyDescent="0.25">
      <c r="A184" s="112">
        <f t="shared" si="19"/>
        <v>9</v>
      </c>
      <c r="B184" s="113"/>
      <c r="C184" s="84" t="s">
        <v>382</v>
      </c>
      <c r="D184" s="88">
        <f t="shared" si="21"/>
        <v>226.09782000000001</v>
      </c>
      <c r="E184" s="84">
        <v>0</v>
      </c>
      <c r="F184" s="84">
        <f t="shared" si="20"/>
        <v>226.09782000000001</v>
      </c>
      <c r="G184" s="84">
        <v>0</v>
      </c>
      <c r="H184" s="84">
        <f t="shared" si="18"/>
        <v>339.14673000000005</v>
      </c>
      <c r="I184" s="33"/>
      <c r="L184" s="111"/>
      <c r="M184" s="111"/>
      <c r="N184" s="33"/>
      <c r="T184" s="18"/>
    </row>
    <row r="185" spans="1:20" s="82" customFormat="1" ht="15.75" customHeight="1" x14ac:dyDescent="0.25">
      <c r="A185" s="112">
        <f t="shared" si="19"/>
        <v>10</v>
      </c>
      <c r="B185" s="113"/>
      <c r="C185" s="84" t="s">
        <v>382</v>
      </c>
      <c r="D185" s="88">
        <f t="shared" si="21"/>
        <v>226.09782000000001</v>
      </c>
      <c r="E185" s="84">
        <v>0</v>
      </c>
      <c r="F185" s="84">
        <f t="shared" si="20"/>
        <v>226.09782000000001</v>
      </c>
      <c r="G185" s="84">
        <v>0</v>
      </c>
      <c r="H185" s="84">
        <f t="shared" si="18"/>
        <v>339.14673000000005</v>
      </c>
      <c r="I185" s="33"/>
      <c r="L185" s="111"/>
      <c r="M185" s="111"/>
      <c r="N185" s="33"/>
      <c r="T185" s="18"/>
    </row>
    <row r="186" spans="1:20" s="82" customFormat="1" ht="15.75" customHeight="1" x14ac:dyDescent="0.25">
      <c r="A186" s="112">
        <f t="shared" si="19"/>
        <v>11</v>
      </c>
      <c r="B186" s="113"/>
      <c r="C186" s="84" t="s">
        <v>382</v>
      </c>
      <c r="D186" s="88">
        <f>(6.2*3+3.3*1.68+1.25*1.55+1.1*1.2)*10.764</f>
        <v>294.949746</v>
      </c>
      <c r="E186" s="84">
        <v>0</v>
      </c>
      <c r="F186" s="84">
        <f t="shared" si="20"/>
        <v>294.949746</v>
      </c>
      <c r="G186" s="84">
        <v>0</v>
      </c>
      <c r="H186" s="84">
        <f t="shared" si="18"/>
        <v>442.42461900000001</v>
      </c>
      <c r="I186" s="33"/>
      <c r="L186" s="111"/>
      <c r="M186" s="111"/>
      <c r="N186" s="33"/>
      <c r="T186" s="31"/>
    </row>
    <row r="187" spans="1:20" s="82" customFormat="1" ht="15.75" customHeight="1" x14ac:dyDescent="0.25">
      <c r="A187" s="112">
        <f t="shared" si="19"/>
        <v>12</v>
      </c>
      <c r="B187" s="113"/>
      <c r="C187" s="84" t="s">
        <v>382</v>
      </c>
      <c r="D187" s="88">
        <f>(6.2*3+3.3*1.68+1.25*1.55+1.1*1.2)*10.764</f>
        <v>294.949746</v>
      </c>
      <c r="E187" s="84">
        <v>0</v>
      </c>
      <c r="F187" s="84">
        <f t="shared" si="20"/>
        <v>294.949746</v>
      </c>
      <c r="G187" s="84">
        <v>0</v>
      </c>
      <c r="H187" s="84">
        <f t="shared" si="18"/>
        <v>442.42461900000001</v>
      </c>
      <c r="I187" s="33"/>
      <c r="L187" s="111"/>
      <c r="M187" s="111"/>
      <c r="N187" s="33"/>
      <c r="T187" s="18"/>
    </row>
    <row r="188" spans="1:20" s="82" customFormat="1" ht="15.75" customHeight="1" x14ac:dyDescent="0.25">
      <c r="A188" s="112">
        <f t="shared" si="19"/>
        <v>13</v>
      </c>
      <c r="B188" s="113"/>
      <c r="C188" s="84" t="s">
        <v>382</v>
      </c>
      <c r="D188" s="88">
        <f>(6.2*3+1.1*1.65+1.1*1.2)*10.764</f>
        <v>233.95554000000001</v>
      </c>
      <c r="E188" s="84">
        <v>0</v>
      </c>
      <c r="F188" s="84">
        <f t="shared" si="20"/>
        <v>233.95554000000001</v>
      </c>
      <c r="G188" s="84">
        <v>0</v>
      </c>
      <c r="H188" s="84">
        <f t="shared" si="18"/>
        <v>350.93331000000001</v>
      </c>
      <c r="I188" s="33"/>
      <c r="L188" s="111"/>
      <c r="M188" s="111"/>
      <c r="N188" s="33"/>
      <c r="T188" s="18"/>
    </row>
    <row r="189" spans="1:20" s="82" customFormat="1" ht="15.75" customHeight="1" x14ac:dyDescent="0.25">
      <c r="A189" s="112">
        <f t="shared" si="19"/>
        <v>14</v>
      </c>
      <c r="B189" s="113"/>
      <c r="C189" s="84" t="s">
        <v>382</v>
      </c>
      <c r="D189" s="88">
        <f>(6.2*3+2.25*1.05+1.1*1.55+1.1*1.2)*10.764</f>
        <v>258.20145000000002</v>
      </c>
      <c r="E189" s="84">
        <v>0</v>
      </c>
      <c r="F189" s="84">
        <f t="shared" si="20"/>
        <v>258.20145000000002</v>
      </c>
      <c r="G189" s="84">
        <v>0</v>
      </c>
      <c r="H189" s="84">
        <f t="shared" si="18"/>
        <v>387.30217500000003</v>
      </c>
      <c r="I189" s="33"/>
      <c r="L189" s="111"/>
      <c r="M189" s="111"/>
      <c r="N189" s="33"/>
      <c r="T189" s="31"/>
    </row>
    <row r="190" spans="1:20" s="82" customFormat="1" ht="15.75" customHeight="1" x14ac:dyDescent="0.25">
      <c r="A190" s="112">
        <f t="shared" si="19"/>
        <v>15</v>
      </c>
      <c r="B190" s="113"/>
      <c r="C190" s="84" t="s">
        <v>382</v>
      </c>
      <c r="D190" s="88">
        <f>(4.9*2.25+1.3*1.2+0.95*1.2)*10.764</f>
        <v>147.73590000000002</v>
      </c>
      <c r="E190" s="84">
        <v>0</v>
      </c>
      <c r="F190" s="84">
        <f t="shared" si="20"/>
        <v>147.73590000000002</v>
      </c>
      <c r="G190" s="84">
        <v>0</v>
      </c>
      <c r="H190" s="84">
        <f t="shared" si="18"/>
        <v>221.60385000000002</v>
      </c>
      <c r="I190" s="33"/>
      <c r="L190" s="111"/>
      <c r="M190" s="111"/>
      <c r="N190" s="33"/>
      <c r="T190" s="18"/>
    </row>
    <row r="191" spans="1:20" s="82" customFormat="1" ht="15.75" customHeight="1" x14ac:dyDescent="0.25">
      <c r="A191" s="112">
        <f t="shared" si="19"/>
        <v>16</v>
      </c>
      <c r="B191" s="113"/>
      <c r="C191" s="84" t="s">
        <v>382</v>
      </c>
      <c r="D191" s="88">
        <f>(6.05*2.75+1.25*1.2+1.4*1.4)*10.764</f>
        <v>216.32948999999999</v>
      </c>
      <c r="E191" s="84">
        <v>0</v>
      </c>
      <c r="F191" s="84">
        <f t="shared" si="20"/>
        <v>216.32948999999999</v>
      </c>
      <c r="G191" s="84">
        <v>0</v>
      </c>
      <c r="H191" s="84">
        <f t="shared" si="18"/>
        <v>324.494235</v>
      </c>
      <c r="I191" s="33"/>
      <c r="L191" s="111"/>
      <c r="M191" s="111"/>
      <c r="N191" s="33"/>
      <c r="T191" s="18"/>
    </row>
    <row r="192" spans="1:20" s="82" customFormat="1" ht="15.75" hidden="1" customHeight="1" x14ac:dyDescent="0.25">
      <c r="A192" s="112">
        <f t="shared" si="19"/>
        <v>17</v>
      </c>
      <c r="B192" s="113"/>
      <c r="C192" s="84" t="s">
        <v>382</v>
      </c>
      <c r="D192" s="88">
        <f>(6.75*3.82+4.95*1.4+1.65*1.1+0.8*3.18)*10.764</f>
        <v>399.06453599999998</v>
      </c>
      <c r="E192" s="84">
        <v>0</v>
      </c>
      <c r="F192" s="84">
        <f t="shared" si="20"/>
        <v>399.06453599999998</v>
      </c>
      <c r="G192" s="84">
        <v>0</v>
      </c>
      <c r="H192" s="84">
        <f t="shared" si="18"/>
        <v>598.59680400000002</v>
      </c>
      <c r="I192" s="33"/>
      <c r="L192" s="111"/>
      <c r="M192" s="111"/>
      <c r="N192" s="33"/>
      <c r="T192" s="31"/>
    </row>
    <row r="193" spans="1:20" s="82" customFormat="1" ht="15.75" hidden="1" customHeight="1" x14ac:dyDescent="0.25">
      <c r="A193" s="112">
        <f t="shared" si="19"/>
        <v>18</v>
      </c>
      <c r="B193" s="113"/>
      <c r="C193" s="84" t="s">
        <v>382</v>
      </c>
      <c r="D193" s="88">
        <f>(2.4*4.66+1.25*1.2+1*1.35)*10.764</f>
        <v>151.06197599999999</v>
      </c>
      <c r="E193" s="84">
        <v>0</v>
      </c>
      <c r="F193" s="84">
        <f t="shared" si="20"/>
        <v>151.06197599999999</v>
      </c>
      <c r="G193" s="84">
        <v>0</v>
      </c>
      <c r="H193" s="84">
        <f t="shared" si="18"/>
        <v>226.59296399999999</v>
      </c>
      <c r="I193" s="33"/>
      <c r="L193" s="111"/>
      <c r="M193" s="111"/>
      <c r="N193" s="33"/>
      <c r="T193" s="18"/>
    </row>
    <row r="194" spans="1:20" s="82" customFormat="1" ht="15.75" hidden="1" customHeight="1" x14ac:dyDescent="0.25">
      <c r="A194" s="112">
        <f t="shared" si="19"/>
        <v>19</v>
      </c>
      <c r="B194" s="113"/>
      <c r="C194" s="84" t="s">
        <v>382</v>
      </c>
      <c r="D194" s="88">
        <f>(2.4*4.97+1.25*1.2+1*1.2)*10.764</f>
        <v>157.45579199999997</v>
      </c>
      <c r="E194" s="84">
        <v>0</v>
      </c>
      <c r="F194" s="84">
        <f t="shared" si="20"/>
        <v>157.45579199999997</v>
      </c>
      <c r="G194" s="84">
        <v>0</v>
      </c>
      <c r="H194" s="84">
        <f t="shared" si="18"/>
        <v>236.18368799999996</v>
      </c>
      <c r="I194" s="33"/>
      <c r="L194" s="111"/>
      <c r="M194" s="111"/>
      <c r="N194" s="33"/>
      <c r="T194" s="18"/>
    </row>
    <row r="195" spans="1:20" s="82" customFormat="1" ht="15.75" hidden="1" customHeight="1" x14ac:dyDescent="0.25">
      <c r="A195" s="110">
        <f t="shared" si="19"/>
        <v>20</v>
      </c>
      <c r="B195" s="110"/>
      <c r="C195" s="98" t="s">
        <v>382</v>
      </c>
      <c r="D195" s="88">
        <f>(2.4*4.83+1.65*1.1+1.6*0.4)*10.764</f>
        <v>151.201908</v>
      </c>
      <c r="E195" s="98">
        <v>0</v>
      </c>
      <c r="F195" s="98">
        <f t="shared" si="20"/>
        <v>151.201908</v>
      </c>
      <c r="G195" s="98">
        <v>0</v>
      </c>
      <c r="H195" s="98">
        <f t="shared" si="18"/>
        <v>226.802862</v>
      </c>
      <c r="I195" s="33"/>
      <c r="L195" s="111"/>
      <c r="M195" s="111"/>
      <c r="N195" s="33"/>
      <c r="T195" s="31"/>
    </row>
    <row r="196" spans="1:20" s="85" customFormat="1" ht="15.75" hidden="1" customHeight="1" x14ac:dyDescent="0.25">
      <c r="A196" s="110">
        <f t="shared" ref="A196:A205" si="22">A195+1</f>
        <v>21</v>
      </c>
      <c r="B196" s="110"/>
      <c r="C196" s="98" t="s">
        <v>382</v>
      </c>
      <c r="D196" s="88">
        <f>2.69*6.3+1.2*1.25+1.2*1.1</f>
        <v>19.766999999999999</v>
      </c>
      <c r="E196" s="98">
        <v>0</v>
      </c>
      <c r="F196" s="98">
        <f t="shared" ref="F196:F205" si="23">D196+(IF(E196&lt;201,E196,IF(E196&lt;301,E196/2,E196/3)))</f>
        <v>19.766999999999999</v>
      </c>
      <c r="G196" s="98">
        <v>0</v>
      </c>
      <c r="H196" s="98">
        <f t="shared" ref="H196:H205" si="24">(F196+(IF(G196&lt;101,G196,IF(G196&lt;201,G196/2,IF(G196&lt;=301,G196/3,G196/4)))))*(($H$130)+1)</f>
        <v>29.650500000000001</v>
      </c>
      <c r="I196" s="33"/>
      <c r="L196" s="111"/>
      <c r="M196" s="111"/>
      <c r="N196" s="33"/>
      <c r="T196" s="31"/>
    </row>
    <row r="197" spans="1:20" s="85" customFormat="1" ht="15.75" hidden="1" customHeight="1" x14ac:dyDescent="0.25">
      <c r="A197" s="110">
        <f t="shared" si="22"/>
        <v>22</v>
      </c>
      <c r="B197" s="110"/>
      <c r="C197" s="98" t="s">
        <v>382</v>
      </c>
      <c r="D197" s="88">
        <f>(2.55*6.3+1.2*1.1+1.2*1.25)*10.764</f>
        <v>203.27813999999998</v>
      </c>
      <c r="E197" s="98">
        <v>0</v>
      </c>
      <c r="F197" s="98">
        <f t="shared" si="23"/>
        <v>203.27813999999998</v>
      </c>
      <c r="G197" s="98">
        <v>0</v>
      </c>
      <c r="H197" s="98">
        <f t="shared" si="24"/>
        <v>304.91720999999995</v>
      </c>
      <c r="I197" s="33"/>
      <c r="L197" s="111"/>
      <c r="M197" s="111"/>
      <c r="N197" s="33"/>
      <c r="T197" s="18"/>
    </row>
    <row r="198" spans="1:20" s="85" customFormat="1" ht="15.75" hidden="1" customHeight="1" x14ac:dyDescent="0.25">
      <c r="A198" s="110">
        <f t="shared" si="22"/>
        <v>23</v>
      </c>
      <c r="B198" s="110"/>
      <c r="C198" s="98" t="s">
        <v>382</v>
      </c>
      <c r="D198" s="88">
        <f>(2.56*6.3+1.2*1.25+1.2*1.1)*10.764</f>
        <v>203.95627199999998</v>
      </c>
      <c r="E198" s="98">
        <v>0</v>
      </c>
      <c r="F198" s="98">
        <f t="shared" si="23"/>
        <v>203.95627199999998</v>
      </c>
      <c r="G198" s="98">
        <v>0</v>
      </c>
      <c r="H198" s="98">
        <f t="shared" si="24"/>
        <v>305.93440799999996</v>
      </c>
      <c r="I198" s="33"/>
      <c r="L198" s="111"/>
      <c r="M198" s="111"/>
      <c r="N198" s="33"/>
      <c r="T198" s="18"/>
    </row>
    <row r="199" spans="1:20" s="85" customFormat="1" ht="15.75" hidden="1" customHeight="1" x14ac:dyDescent="0.25">
      <c r="A199" s="110">
        <f t="shared" si="22"/>
        <v>24</v>
      </c>
      <c r="B199" s="110"/>
      <c r="C199" s="98" t="s">
        <v>382</v>
      </c>
      <c r="D199" s="88">
        <f>(2.55*6.3+1.2*1.1+1.2*1.25)*10.764</f>
        <v>203.27813999999998</v>
      </c>
      <c r="E199" s="98">
        <v>0</v>
      </c>
      <c r="F199" s="98">
        <f t="shared" si="23"/>
        <v>203.27813999999998</v>
      </c>
      <c r="G199" s="98">
        <v>0</v>
      </c>
      <c r="H199" s="98">
        <f t="shared" si="24"/>
        <v>304.91720999999995</v>
      </c>
      <c r="I199" s="33"/>
      <c r="L199" s="111"/>
      <c r="M199" s="111"/>
      <c r="N199" s="33"/>
      <c r="T199" s="31"/>
    </row>
    <row r="200" spans="1:20" s="85" customFormat="1" ht="15.75" hidden="1" customHeight="1" x14ac:dyDescent="0.25">
      <c r="A200" s="110">
        <f t="shared" si="22"/>
        <v>25</v>
      </c>
      <c r="B200" s="110"/>
      <c r="C200" s="98" t="s">
        <v>382</v>
      </c>
      <c r="D200" s="88">
        <f>(2.55*6.3+1.2*1.1+1.2*1.25)*10.764</f>
        <v>203.27813999999998</v>
      </c>
      <c r="E200" s="98">
        <v>0</v>
      </c>
      <c r="F200" s="98">
        <f t="shared" si="23"/>
        <v>203.27813999999998</v>
      </c>
      <c r="G200" s="98">
        <v>0</v>
      </c>
      <c r="H200" s="98">
        <f t="shared" si="24"/>
        <v>304.91720999999995</v>
      </c>
      <c r="I200" s="33"/>
      <c r="L200" s="111"/>
      <c r="M200" s="111"/>
      <c r="N200" s="33"/>
      <c r="T200" s="18"/>
    </row>
    <row r="201" spans="1:20" s="85" customFormat="1" ht="15.75" hidden="1" customHeight="1" x14ac:dyDescent="0.25">
      <c r="A201" s="110">
        <f t="shared" si="22"/>
        <v>26</v>
      </c>
      <c r="B201" s="110"/>
      <c r="C201" s="98" t="s">
        <v>382</v>
      </c>
      <c r="D201" s="88">
        <f>(2.55*6.3+1.2*1.1+1.2*1.25)*10.764</f>
        <v>203.27813999999998</v>
      </c>
      <c r="E201" s="98">
        <v>0</v>
      </c>
      <c r="F201" s="98">
        <f t="shared" si="23"/>
        <v>203.27813999999998</v>
      </c>
      <c r="G201" s="98">
        <v>0</v>
      </c>
      <c r="H201" s="98">
        <f t="shared" si="24"/>
        <v>304.91720999999995</v>
      </c>
      <c r="I201" s="33"/>
      <c r="L201" s="111"/>
      <c r="M201" s="111"/>
      <c r="N201" s="33"/>
      <c r="T201" s="18"/>
    </row>
    <row r="202" spans="1:20" s="85" customFormat="1" ht="15.75" hidden="1" customHeight="1" x14ac:dyDescent="0.25">
      <c r="A202" s="110">
        <f t="shared" si="22"/>
        <v>27</v>
      </c>
      <c r="B202" s="110"/>
      <c r="C202" s="98" t="s">
        <v>382</v>
      </c>
      <c r="D202" s="88">
        <f>(2.7*6.3+1.35*1.25+1.2*1.1)*10.764</f>
        <v>215.46836999999999</v>
      </c>
      <c r="E202" s="98">
        <v>0</v>
      </c>
      <c r="F202" s="98">
        <f t="shared" si="23"/>
        <v>215.46836999999999</v>
      </c>
      <c r="G202" s="98">
        <v>0</v>
      </c>
      <c r="H202" s="98">
        <f t="shared" si="24"/>
        <v>323.20255499999996</v>
      </c>
      <c r="I202" s="33"/>
      <c r="L202" s="111"/>
      <c r="M202" s="111"/>
      <c r="N202" s="33"/>
      <c r="T202" s="31"/>
    </row>
    <row r="203" spans="1:20" s="85" customFormat="1" ht="15.75" hidden="1" customHeight="1" x14ac:dyDescent="0.25">
      <c r="A203" s="110">
        <f t="shared" si="22"/>
        <v>28</v>
      </c>
      <c r="B203" s="110"/>
      <c r="C203" s="98" t="s">
        <v>382</v>
      </c>
      <c r="D203" s="88">
        <f>(3.05*6.3+1.55*1.25+1.2*1.1)*10.764</f>
        <v>241.89398999999997</v>
      </c>
      <c r="E203" s="98">
        <v>0</v>
      </c>
      <c r="F203" s="98">
        <f t="shared" si="23"/>
        <v>241.89398999999997</v>
      </c>
      <c r="G203" s="98">
        <v>0</v>
      </c>
      <c r="H203" s="98">
        <f t="shared" si="24"/>
        <v>362.84098499999993</v>
      </c>
      <c r="I203" s="33"/>
      <c r="L203" s="111"/>
      <c r="M203" s="111"/>
      <c r="N203" s="33"/>
      <c r="T203" s="18"/>
    </row>
    <row r="204" spans="1:20" s="85" customFormat="1" ht="15.75" hidden="1" customHeight="1" x14ac:dyDescent="0.25">
      <c r="A204" s="110">
        <f t="shared" si="22"/>
        <v>29</v>
      </c>
      <c r="B204" s="110"/>
      <c r="C204" s="98" t="s">
        <v>382</v>
      </c>
      <c r="D204" s="88">
        <f t="shared" ref="D204:D209" si="25">(2.55*6.3+1.2*1.1+1.13*1.25)*10.764</f>
        <v>202.33628999999999</v>
      </c>
      <c r="E204" s="98">
        <v>0</v>
      </c>
      <c r="F204" s="98">
        <f t="shared" si="23"/>
        <v>202.33628999999999</v>
      </c>
      <c r="G204" s="98">
        <v>0</v>
      </c>
      <c r="H204" s="98">
        <f t="shared" si="24"/>
        <v>303.504435</v>
      </c>
      <c r="I204" s="33"/>
      <c r="L204" s="111"/>
      <c r="M204" s="111"/>
      <c r="N204" s="33"/>
      <c r="T204" s="18"/>
    </row>
    <row r="205" spans="1:20" s="85" customFormat="1" ht="15.75" hidden="1" customHeight="1" x14ac:dyDescent="0.25">
      <c r="A205" s="112">
        <f t="shared" si="22"/>
        <v>30</v>
      </c>
      <c r="B205" s="113"/>
      <c r="C205" s="86" t="s">
        <v>382</v>
      </c>
      <c r="D205" s="88">
        <f t="shared" si="25"/>
        <v>202.33628999999999</v>
      </c>
      <c r="E205" s="86">
        <v>0</v>
      </c>
      <c r="F205" s="86">
        <f t="shared" si="23"/>
        <v>202.33628999999999</v>
      </c>
      <c r="G205" s="86">
        <v>0</v>
      </c>
      <c r="H205" s="86">
        <f t="shared" si="24"/>
        <v>303.504435</v>
      </c>
      <c r="I205" s="33"/>
      <c r="L205" s="111"/>
      <c r="M205" s="111"/>
      <c r="N205" s="33"/>
      <c r="T205" s="31"/>
    </row>
    <row r="206" spans="1:20" s="85" customFormat="1" ht="15.75" hidden="1" customHeight="1" x14ac:dyDescent="0.25">
      <c r="A206" s="112">
        <f t="shared" ref="A206:A214" si="26">A205+1</f>
        <v>31</v>
      </c>
      <c r="B206" s="113"/>
      <c r="C206" s="86" t="s">
        <v>382</v>
      </c>
      <c r="D206" s="88">
        <f t="shared" si="25"/>
        <v>202.33628999999999</v>
      </c>
      <c r="E206" s="86">
        <v>0</v>
      </c>
      <c r="F206" s="86">
        <f t="shared" ref="F206:F214" si="27">D206+(IF(E206&lt;201,E206,IF(E206&lt;301,E206/2,E206/3)))</f>
        <v>202.33628999999999</v>
      </c>
      <c r="G206" s="86">
        <v>0</v>
      </c>
      <c r="H206" s="86">
        <f t="shared" ref="H206:H214" si="28">(F206+(IF(G206&lt;101,G206,IF(G206&lt;201,G206/2,IF(G206&lt;=301,G206/3,G206/4)))))*(($H$130)+1)</f>
        <v>303.504435</v>
      </c>
      <c r="I206" s="33"/>
      <c r="L206" s="111"/>
      <c r="M206" s="111"/>
      <c r="N206" s="33"/>
      <c r="T206" s="18"/>
    </row>
    <row r="207" spans="1:20" s="85" customFormat="1" ht="15.75" hidden="1" customHeight="1" x14ac:dyDescent="0.25">
      <c r="A207" s="112">
        <f t="shared" si="26"/>
        <v>32</v>
      </c>
      <c r="B207" s="113"/>
      <c r="C207" s="86" t="s">
        <v>382</v>
      </c>
      <c r="D207" s="88">
        <f t="shared" si="25"/>
        <v>202.33628999999999</v>
      </c>
      <c r="E207" s="86">
        <v>0</v>
      </c>
      <c r="F207" s="86">
        <f t="shared" si="27"/>
        <v>202.33628999999999</v>
      </c>
      <c r="G207" s="86">
        <v>0</v>
      </c>
      <c r="H207" s="86">
        <f t="shared" si="28"/>
        <v>303.504435</v>
      </c>
      <c r="I207" s="33"/>
      <c r="L207" s="111"/>
      <c r="M207" s="111"/>
      <c r="N207" s="33"/>
      <c r="T207" s="18"/>
    </row>
    <row r="208" spans="1:20" s="85" customFormat="1" ht="15.75" hidden="1" customHeight="1" x14ac:dyDescent="0.25">
      <c r="A208" s="112">
        <f t="shared" si="26"/>
        <v>33</v>
      </c>
      <c r="B208" s="113"/>
      <c r="C208" s="86" t="s">
        <v>382</v>
      </c>
      <c r="D208" s="88">
        <f t="shared" si="25"/>
        <v>202.33628999999999</v>
      </c>
      <c r="E208" s="86">
        <v>0</v>
      </c>
      <c r="F208" s="86">
        <f t="shared" si="27"/>
        <v>202.33628999999999</v>
      </c>
      <c r="G208" s="86">
        <v>0</v>
      </c>
      <c r="H208" s="86">
        <f t="shared" si="28"/>
        <v>303.504435</v>
      </c>
      <c r="I208" s="33"/>
      <c r="L208" s="111"/>
      <c r="M208" s="111"/>
      <c r="N208" s="33"/>
      <c r="T208" s="31"/>
    </row>
    <row r="209" spans="1:20" s="85" customFormat="1" ht="15.75" hidden="1" customHeight="1" x14ac:dyDescent="0.25">
      <c r="A209" s="112">
        <f t="shared" si="26"/>
        <v>34</v>
      </c>
      <c r="B209" s="113"/>
      <c r="C209" s="86" t="s">
        <v>382</v>
      </c>
      <c r="D209" s="88">
        <f t="shared" si="25"/>
        <v>202.33628999999999</v>
      </c>
      <c r="E209" s="86">
        <v>0</v>
      </c>
      <c r="F209" s="86">
        <f t="shared" si="27"/>
        <v>202.33628999999999</v>
      </c>
      <c r="G209" s="86">
        <v>0</v>
      </c>
      <c r="H209" s="86">
        <f t="shared" si="28"/>
        <v>303.504435</v>
      </c>
      <c r="I209" s="33"/>
      <c r="L209" s="111"/>
      <c r="M209" s="111"/>
      <c r="N209" s="33"/>
      <c r="T209" s="18"/>
    </row>
    <row r="210" spans="1:20" s="85" customFormat="1" ht="15.75" hidden="1" customHeight="1" x14ac:dyDescent="0.25">
      <c r="A210" s="112">
        <f t="shared" si="26"/>
        <v>35</v>
      </c>
      <c r="B210" s="113"/>
      <c r="C210" s="86" t="s">
        <v>382</v>
      </c>
      <c r="D210" s="88">
        <f>(2.55*6.3+1.2*1.1+1.05*1.25)*10.764</f>
        <v>201.25988999999996</v>
      </c>
      <c r="E210" s="86">
        <v>0</v>
      </c>
      <c r="F210" s="86">
        <f t="shared" si="27"/>
        <v>201.25988999999996</v>
      </c>
      <c r="G210" s="86">
        <v>0</v>
      </c>
      <c r="H210" s="86">
        <f t="shared" si="28"/>
        <v>301.88983499999995</v>
      </c>
      <c r="I210" s="33"/>
      <c r="L210" s="111"/>
      <c r="M210" s="111"/>
      <c r="N210" s="33"/>
      <c r="T210" s="18"/>
    </row>
    <row r="211" spans="1:20" s="85" customFormat="1" ht="15.75" hidden="1" customHeight="1" x14ac:dyDescent="0.25">
      <c r="A211" s="112">
        <f t="shared" si="26"/>
        <v>36</v>
      </c>
      <c r="B211" s="113"/>
      <c r="C211" s="86" t="s">
        <v>382</v>
      </c>
      <c r="D211" s="88">
        <f>(2.55*6.3+1.2*1.1+1.05*1.25)*10.764</f>
        <v>201.25988999999996</v>
      </c>
      <c r="E211" s="86">
        <v>0</v>
      </c>
      <c r="F211" s="86">
        <f t="shared" si="27"/>
        <v>201.25988999999996</v>
      </c>
      <c r="G211" s="86">
        <v>0</v>
      </c>
      <c r="H211" s="86">
        <f t="shared" si="28"/>
        <v>301.88983499999995</v>
      </c>
      <c r="I211" s="33"/>
      <c r="L211" s="111"/>
      <c r="M211" s="111"/>
      <c r="N211" s="33"/>
      <c r="T211" s="31"/>
    </row>
    <row r="212" spans="1:20" s="85" customFormat="1" ht="15.75" hidden="1" customHeight="1" x14ac:dyDescent="0.25">
      <c r="A212" s="112">
        <f t="shared" si="26"/>
        <v>37</v>
      </c>
      <c r="B212" s="113"/>
      <c r="C212" s="86" t="s">
        <v>382</v>
      </c>
      <c r="D212" s="88">
        <f>(2.55*6.3+1.2*1.1+1.05*1.25)*10.764</f>
        <v>201.25988999999996</v>
      </c>
      <c r="E212" s="86">
        <v>0</v>
      </c>
      <c r="F212" s="86">
        <f t="shared" si="27"/>
        <v>201.25988999999996</v>
      </c>
      <c r="G212" s="86">
        <v>0</v>
      </c>
      <c r="H212" s="86">
        <f t="shared" si="28"/>
        <v>301.88983499999995</v>
      </c>
      <c r="I212" s="33"/>
      <c r="L212" s="111"/>
      <c r="M212" s="111"/>
      <c r="N212" s="33"/>
      <c r="T212" s="18"/>
    </row>
    <row r="213" spans="1:20" s="85" customFormat="1" ht="15.75" hidden="1" customHeight="1" x14ac:dyDescent="0.25">
      <c r="A213" s="112">
        <f t="shared" si="26"/>
        <v>38</v>
      </c>
      <c r="B213" s="113"/>
      <c r="C213" s="86" t="s">
        <v>382</v>
      </c>
      <c r="D213" s="88">
        <f>(2.55*6.3+1.05*1.25+1.2*1.1)*10.764</f>
        <v>201.25988999999996</v>
      </c>
      <c r="E213" s="86">
        <v>0</v>
      </c>
      <c r="F213" s="86">
        <f t="shared" si="27"/>
        <v>201.25988999999996</v>
      </c>
      <c r="G213" s="86">
        <v>0</v>
      </c>
      <c r="H213" s="86">
        <f t="shared" si="28"/>
        <v>301.88983499999995</v>
      </c>
      <c r="I213" s="33"/>
      <c r="L213" s="111"/>
      <c r="M213" s="111"/>
      <c r="N213" s="33"/>
      <c r="T213" s="18"/>
    </row>
    <row r="214" spans="1:20" s="85" customFormat="1" ht="15.75" hidden="1" customHeight="1" x14ac:dyDescent="0.25">
      <c r="A214" s="112">
        <f t="shared" si="26"/>
        <v>39</v>
      </c>
      <c r="B214" s="113"/>
      <c r="C214" s="86" t="s">
        <v>382</v>
      </c>
      <c r="D214" s="88">
        <f>(2.92*6.6+1.2*1.1+1.27*1.25)*10.764</f>
        <v>238.74013799999994</v>
      </c>
      <c r="E214" s="86">
        <v>0</v>
      </c>
      <c r="F214" s="86">
        <f t="shared" si="27"/>
        <v>238.74013799999994</v>
      </c>
      <c r="G214" s="86">
        <v>0</v>
      </c>
      <c r="H214" s="86">
        <f t="shared" si="28"/>
        <v>358.11020699999995</v>
      </c>
      <c r="I214" s="33"/>
      <c r="L214" s="111"/>
      <c r="M214" s="111"/>
      <c r="N214" s="33"/>
      <c r="T214" s="31"/>
    </row>
    <row r="215" spans="1:20" s="82" customFormat="1" x14ac:dyDescent="0.25">
      <c r="A215" s="192" t="s">
        <v>364</v>
      </c>
      <c r="B215" s="192"/>
      <c r="C215" s="192"/>
      <c r="D215" s="192"/>
      <c r="E215" s="192"/>
      <c r="F215" s="192"/>
      <c r="G215" s="192"/>
      <c r="H215" s="192"/>
      <c r="J215" s="33"/>
      <c r="T215" s="32"/>
    </row>
    <row r="216" spans="1:20" s="82" customFormat="1" ht="15.75" customHeight="1" x14ac:dyDescent="0.25">
      <c r="A216" s="110">
        <v>1</v>
      </c>
      <c r="B216" s="110"/>
      <c r="C216" s="106" t="s">
        <v>384</v>
      </c>
      <c r="D216" s="88">
        <f>(6.95*2.4+1.25*1.05+1.1*1.2)*10.764</f>
        <v>207.87975</v>
      </c>
      <c r="E216" s="106">
        <v>0</v>
      </c>
      <c r="F216" s="106">
        <f>D216+(IF(E216&lt;201,E216,IF(E216&lt;301,E216/2,E216/3)))</f>
        <v>207.87975</v>
      </c>
      <c r="G216" s="57">
        <v>0</v>
      </c>
      <c r="H216" s="106">
        <f>(F216+(IF(G216&lt;101,G216,IF(G216&lt;201,G216/2,IF(G216&lt;=301,G216/3,G216/4)))))*(($H$130)+1)</f>
        <v>311.81962499999997</v>
      </c>
      <c r="I216" s="33"/>
      <c r="L216" s="111"/>
      <c r="M216" s="111"/>
      <c r="N216" s="33"/>
      <c r="T216" s="32"/>
    </row>
    <row r="217" spans="1:20" s="82" customFormat="1" ht="15.75" customHeight="1" x14ac:dyDescent="0.25">
      <c r="A217" s="110">
        <f t="shared" ref="A217:A254" si="29">A216+1</f>
        <v>2</v>
      </c>
      <c r="B217" s="110"/>
      <c r="C217" s="106" t="s">
        <v>384</v>
      </c>
      <c r="D217" s="88">
        <f>(5.15*2.4+1.1*1.2+1.25*1.05)*10.764</f>
        <v>161.37927000000002</v>
      </c>
      <c r="E217" s="106">
        <v>0</v>
      </c>
      <c r="F217" s="106">
        <f t="shared" ref="F217:F254" si="30">D217+(IF(E217&lt;201,E217,IF(E217&lt;301,E217/2,E217/3)))</f>
        <v>161.37927000000002</v>
      </c>
      <c r="G217" s="106">
        <v>0</v>
      </c>
      <c r="H217" s="106">
        <f t="shared" ref="H217:H254" si="31">(F217+(IF(G217&lt;101,G217,IF(G217&lt;201,G217/2,IF(G217&lt;=301,G217/3,G217/4)))))*(($H$130)+1)</f>
        <v>242.06890500000003</v>
      </c>
      <c r="I217" s="33"/>
      <c r="L217" s="111"/>
      <c r="M217" s="111"/>
      <c r="N217" s="33"/>
      <c r="T217" s="31"/>
    </row>
    <row r="218" spans="1:20" s="82" customFormat="1" ht="15.75" customHeight="1" x14ac:dyDescent="0.25">
      <c r="A218" s="110">
        <f t="shared" si="29"/>
        <v>3</v>
      </c>
      <c r="B218" s="110"/>
      <c r="C218" s="106" t="s">
        <v>384</v>
      </c>
      <c r="D218" s="88">
        <f>(6.2*2.9+1.1*1.55+1.1*1.2)*10.764</f>
        <v>226.09782000000001</v>
      </c>
      <c r="E218" s="106">
        <v>0</v>
      </c>
      <c r="F218" s="106">
        <f t="shared" si="30"/>
        <v>226.09782000000001</v>
      </c>
      <c r="G218" s="106">
        <v>0</v>
      </c>
      <c r="H218" s="106">
        <f t="shared" si="31"/>
        <v>339.14673000000005</v>
      </c>
      <c r="I218" s="33"/>
      <c r="L218" s="111"/>
      <c r="M218" s="111"/>
      <c r="N218" s="33"/>
      <c r="T218" s="18"/>
    </row>
    <row r="219" spans="1:20" s="82" customFormat="1" ht="15.75" customHeight="1" x14ac:dyDescent="0.25">
      <c r="A219" s="110">
        <f t="shared" si="29"/>
        <v>4</v>
      </c>
      <c r="B219" s="110"/>
      <c r="C219" s="106" t="s">
        <v>384</v>
      </c>
      <c r="D219" s="88">
        <f>(6.2*2.9+1.1*1.2+1.1*1.55)*10.764</f>
        <v>226.09782000000001</v>
      </c>
      <c r="E219" s="106">
        <v>0</v>
      </c>
      <c r="F219" s="106">
        <f t="shared" si="30"/>
        <v>226.09782000000001</v>
      </c>
      <c r="G219" s="106">
        <v>0</v>
      </c>
      <c r="H219" s="106">
        <f t="shared" si="31"/>
        <v>339.14673000000005</v>
      </c>
      <c r="I219" s="33"/>
      <c r="L219" s="111"/>
      <c r="M219" s="111"/>
      <c r="N219" s="33"/>
      <c r="T219" s="18"/>
    </row>
    <row r="220" spans="1:20" s="82" customFormat="1" ht="15.75" customHeight="1" x14ac:dyDescent="0.25">
      <c r="A220" s="110">
        <f t="shared" si="29"/>
        <v>5</v>
      </c>
      <c r="B220" s="110"/>
      <c r="C220" s="106" t="s">
        <v>384</v>
      </c>
      <c r="D220" s="88">
        <f>(6.2*2.4+1.1*1.55+1.1*1.2)*10.764</f>
        <v>192.72942</v>
      </c>
      <c r="E220" s="106">
        <v>0</v>
      </c>
      <c r="F220" s="106">
        <f t="shared" si="30"/>
        <v>192.72942</v>
      </c>
      <c r="G220" s="106">
        <v>0</v>
      </c>
      <c r="H220" s="106">
        <f t="shared" si="31"/>
        <v>289.09413000000001</v>
      </c>
      <c r="I220" s="33"/>
      <c r="L220" s="111"/>
      <c r="M220" s="111"/>
      <c r="N220" s="33"/>
      <c r="T220" s="31"/>
    </row>
    <row r="221" spans="1:20" s="82" customFormat="1" ht="15.75" customHeight="1" x14ac:dyDescent="0.25">
      <c r="A221" s="110">
        <f t="shared" si="29"/>
        <v>6</v>
      </c>
      <c r="B221" s="110"/>
      <c r="C221" s="106" t="s">
        <v>384</v>
      </c>
      <c r="D221" s="88">
        <f>(6.2*2.4+1.1*1.55+1.1*1.2)*10.764</f>
        <v>192.72942</v>
      </c>
      <c r="E221" s="106">
        <v>0</v>
      </c>
      <c r="F221" s="106">
        <f t="shared" si="30"/>
        <v>192.72942</v>
      </c>
      <c r="G221" s="106">
        <v>0</v>
      </c>
      <c r="H221" s="106">
        <f t="shared" si="31"/>
        <v>289.09413000000001</v>
      </c>
      <c r="I221" s="33"/>
      <c r="L221" s="111"/>
      <c r="M221" s="111"/>
      <c r="N221" s="33"/>
      <c r="T221" s="18"/>
    </row>
    <row r="222" spans="1:20" s="82" customFormat="1" ht="15.75" customHeight="1" x14ac:dyDescent="0.25">
      <c r="A222" s="110">
        <f t="shared" si="29"/>
        <v>7</v>
      </c>
      <c r="B222" s="110"/>
      <c r="C222" s="106" t="s">
        <v>384</v>
      </c>
      <c r="D222" s="88">
        <f>(6.2*2.4+1.1*1.55+1.1*1.2)*10.764</f>
        <v>192.72942</v>
      </c>
      <c r="E222" s="106">
        <v>0</v>
      </c>
      <c r="F222" s="106">
        <f t="shared" si="30"/>
        <v>192.72942</v>
      </c>
      <c r="G222" s="106">
        <v>0</v>
      </c>
      <c r="H222" s="106">
        <f t="shared" si="31"/>
        <v>289.09413000000001</v>
      </c>
      <c r="I222" s="33"/>
      <c r="L222" s="111"/>
      <c r="M222" s="111"/>
      <c r="N222" s="33"/>
      <c r="T222" s="18"/>
    </row>
    <row r="223" spans="1:20" s="82" customFormat="1" ht="15.75" customHeight="1" x14ac:dyDescent="0.25">
      <c r="A223" s="110">
        <f t="shared" si="29"/>
        <v>8</v>
      </c>
      <c r="B223" s="110"/>
      <c r="C223" s="106" t="s">
        <v>384</v>
      </c>
      <c r="D223" s="88">
        <f>(6.2*2.4+1.1*1.55+1.1*1.2)*10.764</f>
        <v>192.72942</v>
      </c>
      <c r="E223" s="106">
        <v>0</v>
      </c>
      <c r="F223" s="106">
        <f t="shared" si="30"/>
        <v>192.72942</v>
      </c>
      <c r="G223" s="106">
        <v>0</v>
      </c>
      <c r="H223" s="106">
        <f t="shared" si="31"/>
        <v>289.09413000000001</v>
      </c>
      <c r="I223" s="33"/>
      <c r="L223" s="111"/>
      <c r="M223" s="111"/>
      <c r="N223" s="33"/>
      <c r="T223" s="31"/>
    </row>
    <row r="224" spans="1:20" s="82" customFormat="1" ht="15.75" customHeight="1" x14ac:dyDescent="0.25">
      <c r="A224" s="110">
        <f t="shared" si="29"/>
        <v>9</v>
      </c>
      <c r="B224" s="110"/>
      <c r="C224" s="106" t="s">
        <v>384</v>
      </c>
      <c r="D224" s="88">
        <f>(6.2*2.9+1.1*2.9)*10.764</f>
        <v>227.87388000000001</v>
      </c>
      <c r="E224" s="106">
        <v>0</v>
      </c>
      <c r="F224" s="106">
        <f t="shared" si="30"/>
        <v>227.87388000000001</v>
      </c>
      <c r="G224" s="106">
        <v>0</v>
      </c>
      <c r="H224" s="106">
        <f t="shared" si="31"/>
        <v>341.81082000000004</v>
      </c>
      <c r="I224" s="33"/>
      <c r="L224" s="111"/>
      <c r="M224" s="111"/>
      <c r="N224" s="33"/>
      <c r="T224" s="18"/>
    </row>
    <row r="225" spans="1:20" s="82" customFormat="1" ht="15.75" customHeight="1" x14ac:dyDescent="0.25">
      <c r="A225" s="112">
        <f t="shared" si="29"/>
        <v>10</v>
      </c>
      <c r="B225" s="113"/>
      <c r="C225" s="84" t="s">
        <v>384</v>
      </c>
      <c r="D225" s="88">
        <f>(6.2*2.9+1.1*2.9)*10.764</f>
        <v>227.87388000000001</v>
      </c>
      <c r="E225" s="84">
        <v>0</v>
      </c>
      <c r="F225" s="84">
        <f t="shared" si="30"/>
        <v>227.87388000000001</v>
      </c>
      <c r="G225" s="84">
        <v>0</v>
      </c>
      <c r="H225" s="84">
        <f t="shared" si="31"/>
        <v>341.81082000000004</v>
      </c>
      <c r="I225" s="33"/>
      <c r="L225" s="111"/>
      <c r="M225" s="111"/>
      <c r="N225" s="33"/>
      <c r="T225" s="18"/>
    </row>
    <row r="226" spans="1:20" s="82" customFormat="1" ht="15.75" customHeight="1" x14ac:dyDescent="0.25">
      <c r="A226" s="112">
        <f t="shared" si="29"/>
        <v>11</v>
      </c>
      <c r="B226" s="113"/>
      <c r="C226" s="84" t="s">
        <v>384</v>
      </c>
      <c r="D226" s="88">
        <f>(6.2*3.93+3.85*1.53+1.26*2.43+1.1*1.2)*10.764</f>
        <v>372.84666119999997</v>
      </c>
      <c r="E226" s="84">
        <v>0</v>
      </c>
      <c r="F226" s="84">
        <f t="shared" si="30"/>
        <v>372.84666119999997</v>
      </c>
      <c r="G226" s="84">
        <v>0</v>
      </c>
      <c r="H226" s="84">
        <f t="shared" si="31"/>
        <v>559.26999179999996</v>
      </c>
      <c r="I226" s="33"/>
      <c r="L226" s="111"/>
      <c r="M226" s="111"/>
      <c r="N226" s="33"/>
      <c r="T226" s="31"/>
    </row>
    <row r="227" spans="1:20" s="82" customFormat="1" ht="15.75" customHeight="1" x14ac:dyDescent="0.25">
      <c r="A227" s="112">
        <f t="shared" si="29"/>
        <v>12</v>
      </c>
      <c r="B227" s="113"/>
      <c r="C227" s="84" t="s">
        <v>384</v>
      </c>
      <c r="D227" s="88">
        <f>(6.2*3+3.3*1.68+1.25*1.55+1.1*1.2)*10.764</f>
        <v>294.949746</v>
      </c>
      <c r="E227" s="84">
        <v>0</v>
      </c>
      <c r="F227" s="84">
        <f t="shared" si="30"/>
        <v>294.949746</v>
      </c>
      <c r="G227" s="84">
        <v>0</v>
      </c>
      <c r="H227" s="84">
        <f t="shared" si="31"/>
        <v>442.42461900000001</v>
      </c>
      <c r="I227" s="33"/>
      <c r="L227" s="111"/>
      <c r="M227" s="111"/>
      <c r="N227" s="33"/>
      <c r="T227" s="18"/>
    </row>
    <row r="228" spans="1:20" s="82" customFormat="1" ht="15.75" customHeight="1" x14ac:dyDescent="0.25">
      <c r="A228" s="112">
        <f t="shared" si="29"/>
        <v>13</v>
      </c>
      <c r="B228" s="113"/>
      <c r="C228" s="84" t="s">
        <v>384</v>
      </c>
      <c r="D228" s="88">
        <f>(6.2*3+1.1*1.55+1.1*1.2)*10.764</f>
        <v>232.77150000000003</v>
      </c>
      <c r="E228" s="84">
        <v>0</v>
      </c>
      <c r="F228" s="84">
        <f t="shared" si="30"/>
        <v>232.77150000000003</v>
      </c>
      <c r="G228" s="84">
        <v>0</v>
      </c>
      <c r="H228" s="84">
        <f t="shared" si="31"/>
        <v>349.15725000000003</v>
      </c>
      <c r="I228" s="33"/>
      <c r="L228" s="111"/>
      <c r="M228" s="111"/>
      <c r="N228" s="33"/>
      <c r="T228" s="18"/>
    </row>
    <row r="229" spans="1:20" s="82" customFormat="1" ht="15.75" customHeight="1" x14ac:dyDescent="0.25">
      <c r="A229" s="112">
        <f t="shared" si="29"/>
        <v>14</v>
      </c>
      <c r="B229" s="113"/>
      <c r="C229" s="84" t="s">
        <v>384</v>
      </c>
      <c r="D229" s="88">
        <f>(6.2*3+1.1*1.2+1.1*1.55+2.25*1.05)*10.764</f>
        <v>258.20145000000002</v>
      </c>
      <c r="E229" s="84">
        <v>0</v>
      </c>
      <c r="F229" s="84">
        <f t="shared" si="30"/>
        <v>258.20145000000002</v>
      </c>
      <c r="G229" s="84">
        <v>0</v>
      </c>
      <c r="H229" s="84">
        <f t="shared" si="31"/>
        <v>387.30217500000003</v>
      </c>
      <c r="I229" s="33"/>
      <c r="L229" s="111"/>
      <c r="M229" s="111"/>
      <c r="N229" s="33"/>
      <c r="T229" s="31"/>
    </row>
    <row r="230" spans="1:20" s="82" customFormat="1" ht="15.75" customHeight="1" x14ac:dyDescent="0.25">
      <c r="A230" s="112">
        <f t="shared" si="29"/>
        <v>15</v>
      </c>
      <c r="B230" s="113"/>
      <c r="C230" s="84" t="s">
        <v>384</v>
      </c>
      <c r="D230" s="88">
        <f>(4.9*2.25+1.2*1.2+0.95*1.2)*10.764</f>
        <v>146.44422</v>
      </c>
      <c r="E230" s="84">
        <v>0</v>
      </c>
      <c r="F230" s="84">
        <f t="shared" si="30"/>
        <v>146.44422</v>
      </c>
      <c r="G230" s="84">
        <v>0</v>
      </c>
      <c r="H230" s="84">
        <f t="shared" si="31"/>
        <v>219.66633000000002</v>
      </c>
      <c r="I230" s="33"/>
      <c r="L230" s="111"/>
      <c r="M230" s="111"/>
      <c r="N230" s="33"/>
      <c r="T230" s="18"/>
    </row>
    <row r="231" spans="1:20" s="82" customFormat="1" ht="15.75" customHeight="1" x14ac:dyDescent="0.25">
      <c r="A231" s="112">
        <f t="shared" si="29"/>
        <v>16</v>
      </c>
      <c r="B231" s="113"/>
      <c r="C231" s="84" t="s">
        <v>384</v>
      </c>
      <c r="D231" s="88">
        <f>(7.85*2.75+1.25*1.2+1.4*1.4)*10.764</f>
        <v>269.61129</v>
      </c>
      <c r="E231" s="84">
        <v>0</v>
      </c>
      <c r="F231" s="84">
        <f t="shared" si="30"/>
        <v>269.61129</v>
      </c>
      <c r="G231" s="84">
        <v>0</v>
      </c>
      <c r="H231" s="84">
        <f t="shared" si="31"/>
        <v>404.41693499999997</v>
      </c>
      <c r="I231" s="33"/>
      <c r="L231" s="111"/>
      <c r="M231" s="111"/>
      <c r="N231" s="33"/>
      <c r="T231" s="18"/>
    </row>
    <row r="232" spans="1:20" s="82" customFormat="1" ht="15.75" hidden="1" customHeight="1" x14ac:dyDescent="0.25">
      <c r="A232" s="112">
        <f t="shared" si="29"/>
        <v>17</v>
      </c>
      <c r="B232" s="113"/>
      <c r="C232" s="84" t="s">
        <v>384</v>
      </c>
      <c r="D232" s="88">
        <f>(6.75*3.82+4.35*1.4+1.55*1.1)*10.764</f>
        <v>361.45511999999997</v>
      </c>
      <c r="E232" s="84">
        <v>0</v>
      </c>
      <c r="F232" s="84">
        <f t="shared" si="30"/>
        <v>361.45511999999997</v>
      </c>
      <c r="G232" s="84">
        <v>0</v>
      </c>
      <c r="H232" s="84">
        <f t="shared" si="31"/>
        <v>542.18267999999989</v>
      </c>
      <c r="I232" s="33"/>
      <c r="L232" s="111"/>
      <c r="M232" s="111"/>
      <c r="N232" s="33"/>
      <c r="T232" s="31"/>
    </row>
    <row r="233" spans="1:20" s="82" customFormat="1" ht="15.75" hidden="1" customHeight="1" x14ac:dyDescent="0.25">
      <c r="A233" s="112">
        <f t="shared" si="29"/>
        <v>18</v>
      </c>
      <c r="B233" s="113"/>
      <c r="C233" s="84" t="s">
        <v>384</v>
      </c>
      <c r="D233" s="88">
        <f>(2.4*4.68+1.2*1.2+1*1.35)*10.764</f>
        <v>150.93280799999997</v>
      </c>
      <c r="E233" s="84">
        <v>0</v>
      </c>
      <c r="F233" s="84">
        <f t="shared" si="30"/>
        <v>150.93280799999997</v>
      </c>
      <c r="G233" s="84">
        <v>0</v>
      </c>
      <c r="H233" s="84">
        <f t="shared" si="31"/>
        <v>226.39921199999995</v>
      </c>
      <c r="I233" s="33"/>
      <c r="L233" s="111"/>
      <c r="M233" s="111"/>
      <c r="N233" s="33"/>
      <c r="T233" s="18"/>
    </row>
    <row r="234" spans="1:20" s="82" customFormat="1" ht="15.75" hidden="1" customHeight="1" x14ac:dyDescent="0.25">
      <c r="A234" s="112">
        <f t="shared" si="29"/>
        <v>19</v>
      </c>
      <c r="B234" s="113"/>
      <c r="C234" s="84" t="s">
        <v>384</v>
      </c>
      <c r="D234" s="88">
        <f>(2.4*4.97+1.2*1.2+1*1.2)*10.764</f>
        <v>156.80995199999998</v>
      </c>
      <c r="E234" s="84">
        <v>0</v>
      </c>
      <c r="F234" s="84">
        <f t="shared" si="30"/>
        <v>156.80995199999998</v>
      </c>
      <c r="G234" s="84">
        <v>0</v>
      </c>
      <c r="H234" s="84">
        <f t="shared" si="31"/>
        <v>235.21492799999999</v>
      </c>
      <c r="I234" s="33"/>
      <c r="L234" s="111"/>
      <c r="M234" s="111"/>
      <c r="N234" s="33"/>
      <c r="T234" s="18"/>
    </row>
    <row r="235" spans="1:20" s="82" customFormat="1" ht="15.75" hidden="1" customHeight="1" x14ac:dyDescent="0.25">
      <c r="A235" s="112">
        <f t="shared" si="29"/>
        <v>20</v>
      </c>
      <c r="B235" s="113"/>
      <c r="C235" s="84" t="s">
        <v>384</v>
      </c>
      <c r="D235" s="88">
        <f>(2.4*4.83+1.65*1.1+1.6*0.4)*10.764</f>
        <v>151.201908</v>
      </c>
      <c r="E235" s="84">
        <v>0</v>
      </c>
      <c r="F235" s="84">
        <f t="shared" si="30"/>
        <v>151.201908</v>
      </c>
      <c r="G235" s="84">
        <v>0</v>
      </c>
      <c r="H235" s="84">
        <f t="shared" si="31"/>
        <v>226.802862</v>
      </c>
      <c r="I235" s="33"/>
      <c r="L235" s="111"/>
      <c r="M235" s="111"/>
      <c r="N235" s="33"/>
      <c r="T235" s="31"/>
    </row>
    <row r="236" spans="1:20" s="85" customFormat="1" ht="15.75" hidden="1" customHeight="1" x14ac:dyDescent="0.25">
      <c r="A236" s="110">
        <f t="shared" si="29"/>
        <v>21</v>
      </c>
      <c r="B236" s="110"/>
      <c r="C236" s="98" t="s">
        <v>384</v>
      </c>
      <c r="D236" s="88">
        <f>(2.64*6.3+1.2*1.25+1.2*1.1)*10.764</f>
        <v>209.381328</v>
      </c>
      <c r="E236" s="98">
        <v>0</v>
      </c>
      <c r="F236" s="98">
        <f t="shared" si="30"/>
        <v>209.381328</v>
      </c>
      <c r="G236" s="98">
        <v>0</v>
      </c>
      <c r="H236" s="98">
        <f t="shared" si="31"/>
        <v>314.07199200000002</v>
      </c>
      <c r="I236" s="33"/>
      <c r="L236" s="111"/>
      <c r="M236" s="111"/>
      <c r="N236" s="33"/>
      <c r="T236" s="31"/>
    </row>
    <row r="237" spans="1:20" s="85" customFormat="1" ht="15.75" hidden="1" customHeight="1" x14ac:dyDescent="0.25">
      <c r="A237" s="110">
        <f t="shared" si="29"/>
        <v>22</v>
      </c>
      <c r="B237" s="110"/>
      <c r="C237" s="98" t="s">
        <v>384</v>
      </c>
      <c r="D237" s="88">
        <f>(2.55*6.3+1.2*1.1+1.2*1.25)*10.764</f>
        <v>203.27813999999998</v>
      </c>
      <c r="E237" s="98">
        <v>0</v>
      </c>
      <c r="F237" s="98">
        <f t="shared" si="30"/>
        <v>203.27813999999998</v>
      </c>
      <c r="G237" s="98">
        <v>0</v>
      </c>
      <c r="H237" s="98">
        <f t="shared" si="31"/>
        <v>304.91720999999995</v>
      </c>
      <c r="I237" s="33"/>
      <c r="L237" s="111"/>
      <c r="M237" s="111"/>
      <c r="N237" s="33"/>
      <c r="T237" s="18"/>
    </row>
    <row r="238" spans="1:20" s="85" customFormat="1" ht="15.75" hidden="1" customHeight="1" x14ac:dyDescent="0.25">
      <c r="A238" s="110">
        <f t="shared" si="29"/>
        <v>23</v>
      </c>
      <c r="B238" s="110"/>
      <c r="C238" s="98" t="s">
        <v>384</v>
      </c>
      <c r="D238" s="88">
        <f>(2.55*6.3+1.2*1.25+1.2*1.1)*10.764</f>
        <v>203.27813999999998</v>
      </c>
      <c r="E238" s="98">
        <v>0</v>
      </c>
      <c r="F238" s="98">
        <f t="shared" si="30"/>
        <v>203.27813999999998</v>
      </c>
      <c r="G238" s="98">
        <v>0</v>
      </c>
      <c r="H238" s="98">
        <f t="shared" si="31"/>
        <v>304.91720999999995</v>
      </c>
      <c r="I238" s="33"/>
      <c r="L238" s="111"/>
      <c r="M238" s="111"/>
      <c r="N238" s="33"/>
      <c r="T238" s="18"/>
    </row>
    <row r="239" spans="1:20" s="85" customFormat="1" ht="15.75" hidden="1" customHeight="1" x14ac:dyDescent="0.25">
      <c r="A239" s="110">
        <f t="shared" si="29"/>
        <v>24</v>
      </c>
      <c r="B239" s="110"/>
      <c r="C239" s="98" t="s">
        <v>384</v>
      </c>
      <c r="D239" s="88">
        <f>(2.55*6.3+1.2*1.1+1.2*1.25)*10.764</f>
        <v>203.27813999999998</v>
      </c>
      <c r="E239" s="98">
        <v>0</v>
      </c>
      <c r="F239" s="98">
        <f t="shared" si="30"/>
        <v>203.27813999999998</v>
      </c>
      <c r="G239" s="98">
        <v>0</v>
      </c>
      <c r="H239" s="98">
        <f t="shared" si="31"/>
        <v>304.91720999999995</v>
      </c>
      <c r="I239" s="33"/>
      <c r="L239" s="111"/>
      <c r="M239" s="111"/>
      <c r="N239" s="33"/>
      <c r="T239" s="31"/>
    </row>
    <row r="240" spans="1:20" s="85" customFormat="1" ht="15.75" hidden="1" customHeight="1" x14ac:dyDescent="0.25">
      <c r="A240" s="110">
        <f t="shared" si="29"/>
        <v>25</v>
      </c>
      <c r="B240" s="110"/>
      <c r="C240" s="98" t="s">
        <v>384</v>
      </c>
      <c r="D240" s="88">
        <f>(2.55*6.3+1.2*1.1+1.2*1.25)*10.764</f>
        <v>203.27813999999998</v>
      </c>
      <c r="E240" s="98">
        <v>0</v>
      </c>
      <c r="F240" s="98">
        <f t="shared" si="30"/>
        <v>203.27813999999998</v>
      </c>
      <c r="G240" s="98">
        <v>0</v>
      </c>
      <c r="H240" s="98">
        <f t="shared" si="31"/>
        <v>304.91720999999995</v>
      </c>
      <c r="I240" s="33"/>
      <c r="L240" s="111"/>
      <c r="M240" s="111"/>
      <c r="N240" s="33"/>
      <c r="T240" s="18"/>
    </row>
    <row r="241" spans="1:20" s="85" customFormat="1" ht="15.75" hidden="1" customHeight="1" x14ac:dyDescent="0.25">
      <c r="A241" s="110">
        <f t="shared" si="29"/>
        <v>26</v>
      </c>
      <c r="B241" s="110"/>
      <c r="C241" s="98" t="s">
        <v>384</v>
      </c>
      <c r="D241" s="88">
        <f>(2.55*6.3+1.2*1.1+1.2*1.25)*10.764</f>
        <v>203.27813999999998</v>
      </c>
      <c r="E241" s="98">
        <v>0</v>
      </c>
      <c r="F241" s="98">
        <f t="shared" si="30"/>
        <v>203.27813999999998</v>
      </c>
      <c r="G241" s="98">
        <v>0</v>
      </c>
      <c r="H241" s="98">
        <f t="shared" si="31"/>
        <v>304.91720999999995</v>
      </c>
      <c r="I241" s="33"/>
      <c r="L241" s="111"/>
      <c r="M241" s="111"/>
      <c r="N241" s="33"/>
      <c r="T241" s="18"/>
    </row>
    <row r="242" spans="1:20" s="85" customFormat="1" ht="15.75" hidden="1" customHeight="1" x14ac:dyDescent="0.25">
      <c r="A242" s="110">
        <f t="shared" si="29"/>
        <v>27</v>
      </c>
      <c r="B242" s="110"/>
      <c r="C242" s="98" t="s">
        <v>384</v>
      </c>
      <c r="D242" s="88">
        <f>(2.7*6.3+1.35*1.25+1.2*1.1)*10.764</f>
        <v>215.46836999999999</v>
      </c>
      <c r="E242" s="98">
        <v>0</v>
      </c>
      <c r="F242" s="98">
        <f t="shared" si="30"/>
        <v>215.46836999999999</v>
      </c>
      <c r="G242" s="98">
        <v>0</v>
      </c>
      <c r="H242" s="98">
        <f t="shared" si="31"/>
        <v>323.20255499999996</v>
      </c>
      <c r="I242" s="33"/>
      <c r="L242" s="111"/>
      <c r="M242" s="111"/>
      <c r="N242" s="33"/>
      <c r="T242" s="31"/>
    </row>
    <row r="243" spans="1:20" s="85" customFormat="1" ht="15.75" hidden="1" customHeight="1" x14ac:dyDescent="0.25">
      <c r="A243" s="110">
        <f t="shared" si="29"/>
        <v>28</v>
      </c>
      <c r="B243" s="110"/>
      <c r="C243" s="98" t="s">
        <v>384</v>
      </c>
      <c r="D243" s="88">
        <f>(3.05*6.3+1.55*1.25+1.2*1.1)*10.764</f>
        <v>241.89398999999997</v>
      </c>
      <c r="E243" s="98">
        <v>0</v>
      </c>
      <c r="F243" s="98">
        <f t="shared" si="30"/>
        <v>241.89398999999997</v>
      </c>
      <c r="G243" s="98">
        <v>0</v>
      </c>
      <c r="H243" s="98">
        <f t="shared" si="31"/>
        <v>362.84098499999993</v>
      </c>
      <c r="I243" s="33"/>
      <c r="L243" s="111"/>
      <c r="M243" s="111"/>
      <c r="N243" s="33"/>
      <c r="T243" s="18"/>
    </row>
    <row r="244" spans="1:20" s="85" customFormat="1" ht="15.75" hidden="1" customHeight="1" x14ac:dyDescent="0.25">
      <c r="A244" s="110">
        <f t="shared" si="29"/>
        <v>29</v>
      </c>
      <c r="B244" s="110"/>
      <c r="C244" s="98" t="s">
        <v>384</v>
      </c>
      <c r="D244" s="88">
        <f t="shared" ref="D244:D249" si="32">(2.55*6.3+1.2*1.1+1.13*1.25)*10.764</f>
        <v>202.33628999999999</v>
      </c>
      <c r="E244" s="98">
        <v>0</v>
      </c>
      <c r="F244" s="98">
        <f t="shared" si="30"/>
        <v>202.33628999999999</v>
      </c>
      <c r="G244" s="98">
        <v>0</v>
      </c>
      <c r="H244" s="98">
        <f t="shared" si="31"/>
        <v>303.504435</v>
      </c>
      <c r="I244" s="33"/>
      <c r="L244" s="111"/>
      <c r="M244" s="111"/>
      <c r="N244" s="33"/>
      <c r="T244" s="18"/>
    </row>
    <row r="245" spans="1:20" s="85" customFormat="1" ht="15.75" hidden="1" customHeight="1" x14ac:dyDescent="0.25">
      <c r="A245" s="112">
        <f t="shared" si="29"/>
        <v>30</v>
      </c>
      <c r="B245" s="113"/>
      <c r="C245" s="86" t="s">
        <v>384</v>
      </c>
      <c r="D245" s="88">
        <f t="shared" si="32"/>
        <v>202.33628999999999</v>
      </c>
      <c r="E245" s="86">
        <v>0</v>
      </c>
      <c r="F245" s="86">
        <f t="shared" si="30"/>
        <v>202.33628999999999</v>
      </c>
      <c r="G245" s="86">
        <v>0</v>
      </c>
      <c r="H245" s="86">
        <f t="shared" si="31"/>
        <v>303.504435</v>
      </c>
      <c r="I245" s="33"/>
      <c r="L245" s="111"/>
      <c r="M245" s="111"/>
      <c r="N245" s="33"/>
      <c r="T245" s="31"/>
    </row>
    <row r="246" spans="1:20" s="85" customFormat="1" ht="15.75" hidden="1" customHeight="1" x14ac:dyDescent="0.25">
      <c r="A246" s="112">
        <f t="shared" si="29"/>
        <v>31</v>
      </c>
      <c r="B246" s="113"/>
      <c r="C246" s="86" t="s">
        <v>384</v>
      </c>
      <c r="D246" s="88">
        <f t="shared" si="32"/>
        <v>202.33628999999999</v>
      </c>
      <c r="E246" s="86">
        <v>0</v>
      </c>
      <c r="F246" s="86">
        <f t="shared" si="30"/>
        <v>202.33628999999999</v>
      </c>
      <c r="G246" s="86">
        <v>0</v>
      </c>
      <c r="H246" s="86">
        <f t="shared" si="31"/>
        <v>303.504435</v>
      </c>
      <c r="I246" s="33"/>
      <c r="L246" s="111"/>
      <c r="M246" s="111"/>
      <c r="N246" s="33"/>
      <c r="T246" s="18"/>
    </row>
    <row r="247" spans="1:20" s="85" customFormat="1" ht="15.75" hidden="1" customHeight="1" x14ac:dyDescent="0.25">
      <c r="A247" s="112">
        <f t="shared" si="29"/>
        <v>32</v>
      </c>
      <c r="B247" s="113"/>
      <c r="C247" s="86" t="s">
        <v>384</v>
      </c>
      <c r="D247" s="88">
        <f t="shared" si="32"/>
        <v>202.33628999999999</v>
      </c>
      <c r="E247" s="86">
        <v>0</v>
      </c>
      <c r="F247" s="86">
        <f t="shared" si="30"/>
        <v>202.33628999999999</v>
      </c>
      <c r="G247" s="86">
        <v>0</v>
      </c>
      <c r="H247" s="86">
        <f t="shared" si="31"/>
        <v>303.504435</v>
      </c>
      <c r="I247" s="33"/>
      <c r="L247" s="111"/>
      <c r="M247" s="111"/>
      <c r="N247" s="33"/>
      <c r="T247" s="18"/>
    </row>
    <row r="248" spans="1:20" s="85" customFormat="1" ht="15.75" hidden="1" customHeight="1" x14ac:dyDescent="0.25">
      <c r="A248" s="112">
        <f t="shared" si="29"/>
        <v>33</v>
      </c>
      <c r="B248" s="113"/>
      <c r="C248" s="86" t="s">
        <v>384</v>
      </c>
      <c r="D248" s="88">
        <f t="shared" si="32"/>
        <v>202.33628999999999</v>
      </c>
      <c r="E248" s="86">
        <v>0</v>
      </c>
      <c r="F248" s="86">
        <f t="shared" si="30"/>
        <v>202.33628999999999</v>
      </c>
      <c r="G248" s="86">
        <v>0</v>
      </c>
      <c r="H248" s="86">
        <f t="shared" si="31"/>
        <v>303.504435</v>
      </c>
      <c r="I248" s="33"/>
      <c r="L248" s="111"/>
      <c r="M248" s="111"/>
      <c r="N248" s="33"/>
      <c r="T248" s="31"/>
    </row>
    <row r="249" spans="1:20" s="85" customFormat="1" ht="15.75" hidden="1" customHeight="1" x14ac:dyDescent="0.25">
      <c r="A249" s="112">
        <f t="shared" si="29"/>
        <v>34</v>
      </c>
      <c r="B249" s="113"/>
      <c r="C249" s="86" t="s">
        <v>384</v>
      </c>
      <c r="D249" s="88">
        <f t="shared" si="32"/>
        <v>202.33628999999999</v>
      </c>
      <c r="E249" s="86">
        <v>0</v>
      </c>
      <c r="F249" s="86">
        <f t="shared" si="30"/>
        <v>202.33628999999999</v>
      </c>
      <c r="G249" s="86">
        <v>0</v>
      </c>
      <c r="H249" s="86">
        <f t="shared" si="31"/>
        <v>303.504435</v>
      </c>
      <c r="I249" s="33"/>
      <c r="L249" s="111"/>
      <c r="M249" s="111"/>
      <c r="N249" s="33"/>
      <c r="T249" s="18"/>
    </row>
    <row r="250" spans="1:20" s="85" customFormat="1" ht="15.75" hidden="1" customHeight="1" x14ac:dyDescent="0.25">
      <c r="A250" s="112">
        <f t="shared" si="29"/>
        <v>35</v>
      </c>
      <c r="B250" s="113"/>
      <c r="C250" s="86" t="s">
        <v>384</v>
      </c>
      <c r="D250" s="88">
        <f>(2.55*6.3+1.2*1.1+1.05*1.25)*10.764</f>
        <v>201.25988999999996</v>
      </c>
      <c r="E250" s="86">
        <v>0</v>
      </c>
      <c r="F250" s="86">
        <f t="shared" si="30"/>
        <v>201.25988999999996</v>
      </c>
      <c r="G250" s="86">
        <v>0</v>
      </c>
      <c r="H250" s="86">
        <f t="shared" si="31"/>
        <v>301.88983499999995</v>
      </c>
      <c r="I250" s="33"/>
      <c r="L250" s="111"/>
      <c r="M250" s="111"/>
      <c r="N250" s="33"/>
      <c r="T250" s="18"/>
    </row>
    <row r="251" spans="1:20" s="85" customFormat="1" ht="15.75" hidden="1" customHeight="1" x14ac:dyDescent="0.25">
      <c r="A251" s="112">
        <f t="shared" si="29"/>
        <v>36</v>
      </c>
      <c r="B251" s="113"/>
      <c r="C251" s="86" t="s">
        <v>384</v>
      </c>
      <c r="D251" s="88">
        <f>(2.55*6.3+1.2*1.1+1.05*1.25)*10.764</f>
        <v>201.25988999999996</v>
      </c>
      <c r="E251" s="86">
        <v>0</v>
      </c>
      <c r="F251" s="86">
        <f t="shared" si="30"/>
        <v>201.25988999999996</v>
      </c>
      <c r="G251" s="86">
        <v>0</v>
      </c>
      <c r="H251" s="86">
        <f t="shared" si="31"/>
        <v>301.88983499999995</v>
      </c>
      <c r="I251" s="33"/>
      <c r="L251" s="111"/>
      <c r="M251" s="111"/>
      <c r="N251" s="33"/>
      <c r="T251" s="31"/>
    </row>
    <row r="252" spans="1:20" s="85" customFormat="1" ht="15.75" hidden="1" customHeight="1" x14ac:dyDescent="0.25">
      <c r="A252" s="112">
        <f t="shared" si="29"/>
        <v>37</v>
      </c>
      <c r="B252" s="113"/>
      <c r="C252" s="86" t="s">
        <v>384</v>
      </c>
      <c r="D252" s="88">
        <f>(2.55*6.3+1.2*1.1+1.05*1.25)*10.764</f>
        <v>201.25988999999996</v>
      </c>
      <c r="E252" s="86">
        <v>0</v>
      </c>
      <c r="F252" s="86">
        <f t="shared" si="30"/>
        <v>201.25988999999996</v>
      </c>
      <c r="G252" s="86">
        <v>0</v>
      </c>
      <c r="H252" s="86">
        <f t="shared" si="31"/>
        <v>301.88983499999995</v>
      </c>
      <c r="I252" s="33"/>
      <c r="L252" s="111"/>
      <c r="M252" s="111"/>
      <c r="N252" s="33"/>
      <c r="T252" s="18"/>
    </row>
    <row r="253" spans="1:20" s="85" customFormat="1" ht="15" hidden="1" customHeight="1" x14ac:dyDescent="0.25">
      <c r="A253" s="112">
        <f t="shared" si="29"/>
        <v>38</v>
      </c>
      <c r="B253" s="113"/>
      <c r="C253" s="86" t="s">
        <v>384</v>
      </c>
      <c r="D253" s="88">
        <f>(2.55*6.3+1.05*1.25+1.2*1.1)*10.764</f>
        <v>201.25988999999996</v>
      </c>
      <c r="E253" s="86">
        <v>0</v>
      </c>
      <c r="F253" s="86">
        <f t="shared" si="30"/>
        <v>201.25988999999996</v>
      </c>
      <c r="G253" s="86">
        <v>0</v>
      </c>
      <c r="H253" s="86">
        <f t="shared" si="31"/>
        <v>301.88983499999995</v>
      </c>
      <c r="I253" s="33"/>
      <c r="L253" s="111"/>
      <c r="M253" s="111"/>
      <c r="N253" s="33"/>
      <c r="T253" s="18"/>
    </row>
    <row r="254" spans="1:20" s="85" customFormat="1" ht="15.75" hidden="1" customHeight="1" x14ac:dyDescent="0.25">
      <c r="A254" s="112">
        <f t="shared" si="29"/>
        <v>39</v>
      </c>
      <c r="B254" s="113"/>
      <c r="C254" s="86" t="s">
        <v>384</v>
      </c>
      <c r="D254" s="88">
        <f>(2.92*8.1+1.2*1.1+1.27*1.25)*10.764</f>
        <v>285.88645799999995</v>
      </c>
      <c r="E254" s="86">
        <v>0</v>
      </c>
      <c r="F254" s="86">
        <f t="shared" si="30"/>
        <v>285.88645799999995</v>
      </c>
      <c r="G254" s="86">
        <v>0</v>
      </c>
      <c r="H254" s="86">
        <f t="shared" si="31"/>
        <v>428.82968699999992</v>
      </c>
      <c r="I254" s="33"/>
      <c r="L254" s="111"/>
      <c r="M254" s="111"/>
      <c r="N254" s="33"/>
      <c r="T254" s="31"/>
    </row>
    <row r="255" spans="1:20" s="82" customFormat="1" x14ac:dyDescent="0.25">
      <c r="A255" s="123" t="s">
        <v>365</v>
      </c>
      <c r="B255" s="124"/>
      <c r="C255" s="124"/>
      <c r="D255" s="124"/>
      <c r="E255" s="124"/>
      <c r="F255" s="124"/>
      <c r="G255" s="124"/>
      <c r="H255" s="125"/>
      <c r="J255" s="33"/>
      <c r="T255" s="32"/>
    </row>
    <row r="256" spans="1:20" s="82" customFormat="1" ht="15.75" customHeight="1" x14ac:dyDescent="0.25">
      <c r="A256" s="112">
        <v>1</v>
      </c>
      <c r="B256" s="113"/>
      <c r="C256" s="84" t="s">
        <v>384</v>
      </c>
      <c r="D256" s="88">
        <f>(6.95*2.4+1.25*1.05+1.1*1.2)*10.764</f>
        <v>207.87975</v>
      </c>
      <c r="E256" s="84">
        <v>0</v>
      </c>
      <c r="F256" s="84">
        <f>D256+(IF(E256&lt;201,E256,IF(E256&lt;301,E256/2,E256/3)))</f>
        <v>207.87975</v>
      </c>
      <c r="G256" s="57">
        <v>0</v>
      </c>
      <c r="H256" s="84">
        <f>(F256+(IF(G256&lt;101,G256,IF(G256&lt;201,G256/2,IF(G256&lt;=301,G256/3,G256/4)))))*(($H$130)+1)</f>
        <v>311.81962499999997</v>
      </c>
      <c r="I256" s="33"/>
      <c r="L256" s="111"/>
      <c r="M256" s="111"/>
      <c r="N256" s="33"/>
      <c r="T256" s="32"/>
    </row>
    <row r="257" spans="1:20" s="82" customFormat="1" ht="15.75" customHeight="1" x14ac:dyDescent="0.25">
      <c r="A257" s="112">
        <f t="shared" ref="A257:A294" si="33">A256+1</f>
        <v>2</v>
      </c>
      <c r="B257" s="113"/>
      <c r="C257" s="84" t="s">
        <v>384</v>
      </c>
      <c r="D257" s="88">
        <f>(5.15*2.4+1.1*1.2+1.25*1.05)*10.764</f>
        <v>161.37927000000002</v>
      </c>
      <c r="E257" s="84">
        <v>0</v>
      </c>
      <c r="F257" s="84">
        <f t="shared" ref="F257:F294" si="34">D257+(IF(E257&lt;201,E257,IF(E257&lt;301,E257/2,E257/3)))</f>
        <v>161.37927000000002</v>
      </c>
      <c r="G257" s="84">
        <v>0</v>
      </c>
      <c r="H257" s="84">
        <f t="shared" ref="H257:H294" si="35">(F257+(IF(G257&lt;101,G257,IF(G257&lt;201,G257/2,IF(G257&lt;=301,G257/3,G257/4)))))*(($H$130)+1)</f>
        <v>242.06890500000003</v>
      </c>
      <c r="I257" s="33"/>
      <c r="L257" s="111"/>
      <c r="M257" s="111"/>
      <c r="N257" s="33"/>
      <c r="T257" s="31"/>
    </row>
    <row r="258" spans="1:20" s="82" customFormat="1" ht="15.75" customHeight="1" x14ac:dyDescent="0.25">
      <c r="A258" s="112">
        <f t="shared" si="33"/>
        <v>3</v>
      </c>
      <c r="B258" s="113"/>
      <c r="C258" s="84" t="s">
        <v>384</v>
      </c>
      <c r="D258" s="88">
        <f>(6.2*2.9+1.1*1.55+1.1*1.2)*10.764</f>
        <v>226.09782000000001</v>
      </c>
      <c r="E258" s="84">
        <v>0</v>
      </c>
      <c r="F258" s="84">
        <f t="shared" si="34"/>
        <v>226.09782000000001</v>
      </c>
      <c r="G258" s="84">
        <v>0</v>
      </c>
      <c r="H258" s="84">
        <f t="shared" si="35"/>
        <v>339.14673000000005</v>
      </c>
      <c r="I258" s="33"/>
      <c r="L258" s="111"/>
      <c r="M258" s="111"/>
      <c r="N258" s="33"/>
      <c r="T258" s="18"/>
    </row>
    <row r="259" spans="1:20" s="82" customFormat="1" ht="15.75" customHeight="1" x14ac:dyDescent="0.25">
      <c r="A259" s="112">
        <f t="shared" si="33"/>
        <v>4</v>
      </c>
      <c r="B259" s="113"/>
      <c r="C259" s="84" t="s">
        <v>384</v>
      </c>
      <c r="D259" s="88">
        <f>(6.2*2.9+1.1*1.2+1.1*1.55)*10.764</f>
        <v>226.09782000000001</v>
      </c>
      <c r="E259" s="84">
        <v>0</v>
      </c>
      <c r="F259" s="84">
        <f t="shared" si="34"/>
        <v>226.09782000000001</v>
      </c>
      <c r="G259" s="84">
        <v>0</v>
      </c>
      <c r="H259" s="84">
        <f t="shared" si="35"/>
        <v>339.14673000000005</v>
      </c>
      <c r="I259" s="33"/>
      <c r="L259" s="111"/>
      <c r="M259" s="111"/>
      <c r="N259" s="33"/>
      <c r="T259" s="18"/>
    </row>
    <row r="260" spans="1:20" s="82" customFormat="1" ht="15.75" customHeight="1" x14ac:dyDescent="0.25">
      <c r="A260" s="112">
        <f t="shared" si="33"/>
        <v>5</v>
      </c>
      <c r="B260" s="113"/>
      <c r="C260" s="84" t="s">
        <v>384</v>
      </c>
      <c r="D260" s="88">
        <f>(6.2*2.4+1.1*1.55+1.1*1.2)*10.764</f>
        <v>192.72942</v>
      </c>
      <c r="E260" s="84">
        <v>0</v>
      </c>
      <c r="F260" s="84">
        <f t="shared" si="34"/>
        <v>192.72942</v>
      </c>
      <c r="G260" s="84">
        <v>0</v>
      </c>
      <c r="H260" s="84">
        <f t="shared" si="35"/>
        <v>289.09413000000001</v>
      </c>
      <c r="I260" s="33"/>
      <c r="L260" s="111"/>
      <c r="M260" s="111"/>
      <c r="N260" s="33"/>
      <c r="T260" s="31"/>
    </row>
    <row r="261" spans="1:20" s="82" customFormat="1" ht="15.75" customHeight="1" x14ac:dyDescent="0.25">
      <c r="A261" s="112">
        <f t="shared" si="33"/>
        <v>6</v>
      </c>
      <c r="B261" s="113"/>
      <c r="C261" s="84" t="s">
        <v>384</v>
      </c>
      <c r="D261" s="88">
        <f>(6.2*2.4+1.1*1.55+1.1*1.2)*10.764</f>
        <v>192.72942</v>
      </c>
      <c r="E261" s="84">
        <v>0</v>
      </c>
      <c r="F261" s="84">
        <f t="shared" si="34"/>
        <v>192.72942</v>
      </c>
      <c r="G261" s="84">
        <v>0</v>
      </c>
      <c r="H261" s="84">
        <f t="shared" si="35"/>
        <v>289.09413000000001</v>
      </c>
      <c r="I261" s="33"/>
      <c r="L261" s="111"/>
      <c r="M261" s="111"/>
      <c r="N261" s="33"/>
      <c r="T261" s="18"/>
    </row>
    <row r="262" spans="1:20" s="82" customFormat="1" ht="15.75" customHeight="1" x14ac:dyDescent="0.25">
      <c r="A262" s="112">
        <f t="shared" si="33"/>
        <v>7</v>
      </c>
      <c r="B262" s="113"/>
      <c r="C262" s="84" t="s">
        <v>384</v>
      </c>
      <c r="D262" s="88">
        <f>(6.2*2.4+1.1*1.55+1.1*1.2)*10.764</f>
        <v>192.72942</v>
      </c>
      <c r="E262" s="84">
        <v>0</v>
      </c>
      <c r="F262" s="84">
        <f t="shared" si="34"/>
        <v>192.72942</v>
      </c>
      <c r="G262" s="84">
        <v>0</v>
      </c>
      <c r="H262" s="84">
        <f t="shared" si="35"/>
        <v>289.09413000000001</v>
      </c>
      <c r="I262" s="33"/>
      <c r="L262" s="111"/>
      <c r="M262" s="111"/>
      <c r="N262" s="33"/>
      <c r="T262" s="18"/>
    </row>
    <row r="263" spans="1:20" s="82" customFormat="1" ht="15.75" customHeight="1" x14ac:dyDescent="0.25">
      <c r="A263" s="112">
        <f t="shared" si="33"/>
        <v>8</v>
      </c>
      <c r="B263" s="113"/>
      <c r="C263" s="84" t="s">
        <v>384</v>
      </c>
      <c r="D263" s="88">
        <f>(6.2*2.4+1.1*1.55+1.1*1.2)*10.764</f>
        <v>192.72942</v>
      </c>
      <c r="E263" s="84">
        <v>0</v>
      </c>
      <c r="F263" s="84">
        <f t="shared" si="34"/>
        <v>192.72942</v>
      </c>
      <c r="G263" s="84">
        <v>0</v>
      </c>
      <c r="H263" s="84">
        <f t="shared" si="35"/>
        <v>289.09413000000001</v>
      </c>
      <c r="I263" s="33"/>
      <c r="L263" s="111"/>
      <c r="M263" s="111"/>
      <c r="N263" s="33"/>
      <c r="T263" s="31"/>
    </row>
    <row r="264" spans="1:20" s="82" customFormat="1" ht="15.75" customHeight="1" x14ac:dyDescent="0.25">
      <c r="A264" s="112">
        <f t="shared" si="33"/>
        <v>9</v>
      </c>
      <c r="B264" s="113"/>
      <c r="C264" s="84" t="s">
        <v>384</v>
      </c>
      <c r="D264" s="88">
        <f>(6.2*2.9+1.1*2.9)*10.764</f>
        <v>227.87388000000001</v>
      </c>
      <c r="E264" s="84">
        <v>0</v>
      </c>
      <c r="F264" s="84">
        <f t="shared" si="34"/>
        <v>227.87388000000001</v>
      </c>
      <c r="G264" s="84">
        <v>0</v>
      </c>
      <c r="H264" s="84">
        <f t="shared" si="35"/>
        <v>341.81082000000004</v>
      </c>
      <c r="I264" s="33"/>
      <c r="L264" s="111"/>
      <c r="M264" s="111"/>
      <c r="N264" s="33"/>
      <c r="T264" s="18"/>
    </row>
    <row r="265" spans="1:20" s="82" customFormat="1" ht="15.75" customHeight="1" x14ac:dyDescent="0.25">
      <c r="A265" s="112">
        <f t="shared" si="33"/>
        <v>10</v>
      </c>
      <c r="B265" s="113"/>
      <c r="C265" s="84" t="s">
        <v>384</v>
      </c>
      <c r="D265" s="88">
        <f>(6.2*2.9+1.1*2.9)*10.764</f>
        <v>227.87388000000001</v>
      </c>
      <c r="E265" s="84">
        <v>0</v>
      </c>
      <c r="F265" s="84">
        <f t="shared" si="34"/>
        <v>227.87388000000001</v>
      </c>
      <c r="G265" s="84">
        <v>0</v>
      </c>
      <c r="H265" s="84">
        <f t="shared" si="35"/>
        <v>341.81082000000004</v>
      </c>
      <c r="I265" s="33"/>
      <c r="L265" s="111"/>
      <c r="M265" s="111"/>
      <c r="N265" s="33"/>
      <c r="T265" s="18"/>
    </row>
    <row r="266" spans="1:20" s="82" customFormat="1" ht="15.75" customHeight="1" x14ac:dyDescent="0.25">
      <c r="A266" s="112">
        <f t="shared" si="33"/>
        <v>11</v>
      </c>
      <c r="B266" s="113"/>
      <c r="C266" s="84" t="s">
        <v>384</v>
      </c>
      <c r="D266" s="88">
        <f>(6.2*3.93+3.85*1.53+1.26*2.43+1.1*1.2)*10.764</f>
        <v>372.84666119999997</v>
      </c>
      <c r="E266" s="84">
        <v>0</v>
      </c>
      <c r="F266" s="84">
        <f t="shared" si="34"/>
        <v>372.84666119999997</v>
      </c>
      <c r="G266" s="84">
        <v>0</v>
      </c>
      <c r="H266" s="84">
        <f t="shared" si="35"/>
        <v>559.26999179999996</v>
      </c>
      <c r="I266" s="33"/>
      <c r="L266" s="111"/>
      <c r="M266" s="111"/>
      <c r="N266" s="33"/>
      <c r="T266" s="31"/>
    </row>
    <row r="267" spans="1:20" s="82" customFormat="1" ht="15.75" customHeight="1" x14ac:dyDescent="0.25">
      <c r="A267" s="112">
        <f t="shared" si="33"/>
        <v>12</v>
      </c>
      <c r="B267" s="113"/>
      <c r="C267" s="84" t="s">
        <v>384</v>
      </c>
      <c r="D267" s="88">
        <f>(6.2*3+3.3*1.68+1.25*1.55+1.1*1.2)*10.764</f>
        <v>294.949746</v>
      </c>
      <c r="E267" s="84">
        <v>0</v>
      </c>
      <c r="F267" s="84">
        <f t="shared" si="34"/>
        <v>294.949746</v>
      </c>
      <c r="G267" s="84">
        <v>0</v>
      </c>
      <c r="H267" s="84">
        <f t="shared" si="35"/>
        <v>442.42461900000001</v>
      </c>
      <c r="I267" s="33"/>
      <c r="L267" s="111"/>
      <c r="M267" s="111"/>
      <c r="N267" s="33"/>
      <c r="T267" s="18"/>
    </row>
    <row r="268" spans="1:20" s="82" customFormat="1" ht="15.75" customHeight="1" x14ac:dyDescent="0.25">
      <c r="A268" s="112">
        <f t="shared" si="33"/>
        <v>13</v>
      </c>
      <c r="B268" s="113"/>
      <c r="C268" s="84" t="s">
        <v>384</v>
      </c>
      <c r="D268" s="88">
        <f>(6.2*3+1.1*1.55+1.1*1.2)*10.764</f>
        <v>232.77150000000003</v>
      </c>
      <c r="E268" s="84">
        <v>0</v>
      </c>
      <c r="F268" s="84">
        <f t="shared" si="34"/>
        <v>232.77150000000003</v>
      </c>
      <c r="G268" s="84">
        <v>0</v>
      </c>
      <c r="H268" s="84">
        <f t="shared" si="35"/>
        <v>349.15725000000003</v>
      </c>
      <c r="I268" s="33"/>
      <c r="L268" s="111"/>
      <c r="M268" s="111"/>
      <c r="N268" s="33"/>
      <c r="T268" s="18"/>
    </row>
    <row r="269" spans="1:20" s="82" customFormat="1" ht="15.75" customHeight="1" x14ac:dyDescent="0.25">
      <c r="A269" s="112">
        <f t="shared" si="33"/>
        <v>14</v>
      </c>
      <c r="B269" s="113"/>
      <c r="C269" s="84" t="s">
        <v>384</v>
      </c>
      <c r="D269" s="88">
        <f>(6.2*3+1.1*1.2+1.1*1.55+2.25*1.05)*10.764</f>
        <v>258.20145000000002</v>
      </c>
      <c r="E269" s="84">
        <v>0</v>
      </c>
      <c r="F269" s="84">
        <f t="shared" si="34"/>
        <v>258.20145000000002</v>
      </c>
      <c r="G269" s="84">
        <v>0</v>
      </c>
      <c r="H269" s="84">
        <f t="shared" si="35"/>
        <v>387.30217500000003</v>
      </c>
      <c r="I269" s="33"/>
      <c r="L269" s="111"/>
      <c r="M269" s="111"/>
      <c r="N269" s="33"/>
      <c r="T269" s="31"/>
    </row>
    <row r="270" spans="1:20" s="82" customFormat="1" ht="15.75" customHeight="1" x14ac:dyDescent="0.25">
      <c r="A270" s="112">
        <f t="shared" si="33"/>
        <v>15</v>
      </c>
      <c r="B270" s="113"/>
      <c r="C270" s="84" t="s">
        <v>384</v>
      </c>
      <c r="D270" s="88">
        <f>(4.9*2.25+1.2*1.2+0.95*1.2)*10.764</f>
        <v>146.44422</v>
      </c>
      <c r="E270" s="84">
        <v>0</v>
      </c>
      <c r="F270" s="84">
        <f t="shared" si="34"/>
        <v>146.44422</v>
      </c>
      <c r="G270" s="84">
        <v>0</v>
      </c>
      <c r="H270" s="84">
        <f t="shared" si="35"/>
        <v>219.66633000000002</v>
      </c>
      <c r="I270" s="33"/>
      <c r="L270" s="111"/>
      <c r="M270" s="111"/>
      <c r="N270" s="33"/>
      <c r="T270" s="18"/>
    </row>
    <row r="271" spans="1:20" s="82" customFormat="1" ht="15.75" customHeight="1" x14ac:dyDescent="0.25">
      <c r="A271" s="112">
        <f t="shared" si="33"/>
        <v>16</v>
      </c>
      <c r="B271" s="113"/>
      <c r="C271" s="84" t="s">
        <v>384</v>
      </c>
      <c r="D271" s="88">
        <f>(7.85*2.75+1.25*1.2+1.4*1.4)*10.764</f>
        <v>269.61129</v>
      </c>
      <c r="E271" s="84">
        <v>0</v>
      </c>
      <c r="F271" s="84">
        <f t="shared" si="34"/>
        <v>269.61129</v>
      </c>
      <c r="G271" s="84">
        <v>0</v>
      </c>
      <c r="H271" s="84">
        <f t="shared" si="35"/>
        <v>404.41693499999997</v>
      </c>
      <c r="I271" s="33"/>
      <c r="L271" s="111"/>
      <c r="M271" s="111"/>
      <c r="N271" s="33"/>
      <c r="T271" s="18"/>
    </row>
    <row r="272" spans="1:20" s="82" customFormat="1" ht="15.75" hidden="1" customHeight="1" x14ac:dyDescent="0.25">
      <c r="A272" s="112">
        <f t="shared" si="33"/>
        <v>17</v>
      </c>
      <c r="B272" s="113"/>
      <c r="C272" s="84" t="s">
        <v>384</v>
      </c>
      <c r="D272" s="88">
        <f>(6.75*3.82+4.95*1.4+1.55*1.1)*10.764</f>
        <v>370.49687999999998</v>
      </c>
      <c r="E272" s="84">
        <v>0</v>
      </c>
      <c r="F272" s="84">
        <f t="shared" si="34"/>
        <v>370.49687999999998</v>
      </c>
      <c r="G272" s="84">
        <v>0</v>
      </c>
      <c r="H272" s="84">
        <f t="shared" si="35"/>
        <v>555.74531999999999</v>
      </c>
      <c r="I272" s="33"/>
      <c r="L272" s="111"/>
      <c r="M272" s="111"/>
      <c r="N272" s="33"/>
      <c r="T272" s="31"/>
    </row>
    <row r="273" spans="1:20" s="82" customFormat="1" ht="15.75" hidden="1" customHeight="1" x14ac:dyDescent="0.25">
      <c r="A273" s="112">
        <f t="shared" si="33"/>
        <v>18</v>
      </c>
      <c r="B273" s="113"/>
      <c r="C273" s="84" t="s">
        <v>384</v>
      </c>
      <c r="D273" s="88">
        <f>(2.4*4.68+1.2*1.2+1*1.35)*10.764</f>
        <v>150.93280799999997</v>
      </c>
      <c r="E273" s="84">
        <v>0</v>
      </c>
      <c r="F273" s="84">
        <f t="shared" si="34"/>
        <v>150.93280799999997</v>
      </c>
      <c r="G273" s="84">
        <v>0</v>
      </c>
      <c r="H273" s="84">
        <f t="shared" si="35"/>
        <v>226.39921199999995</v>
      </c>
      <c r="I273" s="33"/>
      <c r="L273" s="111"/>
      <c r="M273" s="111"/>
      <c r="N273" s="33"/>
      <c r="T273" s="18"/>
    </row>
    <row r="274" spans="1:20" s="82" customFormat="1" ht="15.75" hidden="1" customHeight="1" x14ac:dyDescent="0.25">
      <c r="A274" s="112">
        <f t="shared" si="33"/>
        <v>19</v>
      </c>
      <c r="B274" s="113"/>
      <c r="C274" s="84" t="s">
        <v>384</v>
      </c>
      <c r="D274" s="88">
        <f>(2.4*4.97+1.2*1.2+1*1.2)*10.764</f>
        <v>156.80995199999998</v>
      </c>
      <c r="E274" s="84">
        <v>0</v>
      </c>
      <c r="F274" s="84">
        <f t="shared" si="34"/>
        <v>156.80995199999998</v>
      </c>
      <c r="G274" s="84">
        <v>0</v>
      </c>
      <c r="H274" s="84">
        <f t="shared" si="35"/>
        <v>235.21492799999999</v>
      </c>
      <c r="I274" s="33"/>
      <c r="L274" s="111"/>
      <c r="M274" s="111"/>
      <c r="N274" s="33"/>
      <c r="T274" s="18"/>
    </row>
    <row r="275" spans="1:20" s="82" customFormat="1" ht="15.75" hidden="1" customHeight="1" x14ac:dyDescent="0.25">
      <c r="A275" s="112">
        <f t="shared" si="33"/>
        <v>20</v>
      </c>
      <c r="B275" s="113"/>
      <c r="C275" s="84" t="s">
        <v>384</v>
      </c>
      <c r="D275" s="88">
        <f>(2.4*4.83+1.65*1.1+1.6*0.4)*10.764</f>
        <v>151.201908</v>
      </c>
      <c r="E275" s="84">
        <v>0</v>
      </c>
      <c r="F275" s="84">
        <f t="shared" si="34"/>
        <v>151.201908</v>
      </c>
      <c r="G275" s="84">
        <v>0</v>
      </c>
      <c r="H275" s="84">
        <f t="shared" si="35"/>
        <v>226.802862</v>
      </c>
      <c r="I275" s="33"/>
      <c r="L275" s="111"/>
      <c r="M275" s="111"/>
      <c r="N275" s="33"/>
      <c r="T275" s="31"/>
    </row>
    <row r="276" spans="1:20" s="85" customFormat="1" ht="15.75" hidden="1" customHeight="1" x14ac:dyDescent="0.25">
      <c r="A276" s="112">
        <f t="shared" si="33"/>
        <v>21</v>
      </c>
      <c r="B276" s="113"/>
      <c r="C276" s="86" t="s">
        <v>384</v>
      </c>
      <c r="D276" s="88">
        <f>(2.64*6.3+1.2*1.25+1.2*1.1)*10.764</f>
        <v>209.381328</v>
      </c>
      <c r="E276" s="86">
        <v>0</v>
      </c>
      <c r="F276" s="86">
        <f t="shared" si="34"/>
        <v>209.381328</v>
      </c>
      <c r="G276" s="86">
        <v>0</v>
      </c>
      <c r="H276" s="86">
        <f t="shared" si="35"/>
        <v>314.07199200000002</v>
      </c>
      <c r="I276" s="33"/>
      <c r="L276" s="111"/>
      <c r="M276" s="111"/>
      <c r="N276" s="33"/>
      <c r="T276" s="31"/>
    </row>
    <row r="277" spans="1:20" s="85" customFormat="1" ht="15.75" hidden="1" customHeight="1" x14ac:dyDescent="0.25">
      <c r="A277" s="112">
        <f t="shared" si="33"/>
        <v>22</v>
      </c>
      <c r="B277" s="113"/>
      <c r="C277" s="86" t="s">
        <v>384</v>
      </c>
      <c r="D277" s="88">
        <f>(2.55*6.3+1.2*1.1+1.2*1.25)*10.764</f>
        <v>203.27813999999998</v>
      </c>
      <c r="E277" s="86">
        <v>0</v>
      </c>
      <c r="F277" s="86">
        <f t="shared" si="34"/>
        <v>203.27813999999998</v>
      </c>
      <c r="G277" s="86">
        <v>0</v>
      </c>
      <c r="H277" s="86">
        <f t="shared" si="35"/>
        <v>304.91720999999995</v>
      </c>
      <c r="I277" s="33"/>
      <c r="L277" s="111"/>
      <c r="M277" s="111"/>
      <c r="N277" s="33"/>
      <c r="T277" s="18"/>
    </row>
    <row r="278" spans="1:20" s="85" customFormat="1" ht="15.75" hidden="1" customHeight="1" x14ac:dyDescent="0.25">
      <c r="A278" s="112">
        <f t="shared" si="33"/>
        <v>23</v>
      </c>
      <c r="B278" s="113"/>
      <c r="C278" s="86" t="s">
        <v>384</v>
      </c>
      <c r="D278" s="88">
        <f>(2.55*6.3+1.2*1.25+1.2*1.1)*10.764</f>
        <v>203.27813999999998</v>
      </c>
      <c r="E278" s="86">
        <v>0</v>
      </c>
      <c r="F278" s="86">
        <f t="shared" si="34"/>
        <v>203.27813999999998</v>
      </c>
      <c r="G278" s="86">
        <v>0</v>
      </c>
      <c r="H278" s="86">
        <f t="shared" si="35"/>
        <v>304.91720999999995</v>
      </c>
      <c r="I278" s="33"/>
      <c r="L278" s="111"/>
      <c r="M278" s="111"/>
      <c r="N278" s="33"/>
      <c r="T278" s="18"/>
    </row>
    <row r="279" spans="1:20" s="85" customFormat="1" ht="15.75" hidden="1" customHeight="1" x14ac:dyDescent="0.25">
      <c r="A279" s="112">
        <f t="shared" si="33"/>
        <v>24</v>
      </c>
      <c r="B279" s="113"/>
      <c r="C279" s="86" t="s">
        <v>384</v>
      </c>
      <c r="D279" s="88">
        <f>(2.55*6.3+1.2*1.1+1.2*1.25)*10.764</f>
        <v>203.27813999999998</v>
      </c>
      <c r="E279" s="86">
        <v>0</v>
      </c>
      <c r="F279" s="86">
        <f t="shared" si="34"/>
        <v>203.27813999999998</v>
      </c>
      <c r="G279" s="86">
        <v>0</v>
      </c>
      <c r="H279" s="86">
        <f t="shared" si="35"/>
        <v>304.91720999999995</v>
      </c>
      <c r="I279" s="33"/>
      <c r="L279" s="111"/>
      <c r="M279" s="111"/>
      <c r="N279" s="33"/>
      <c r="T279" s="31"/>
    </row>
    <row r="280" spans="1:20" s="85" customFormat="1" ht="15.75" hidden="1" customHeight="1" x14ac:dyDescent="0.25">
      <c r="A280" s="112">
        <f t="shared" si="33"/>
        <v>25</v>
      </c>
      <c r="B280" s="113"/>
      <c r="C280" s="86" t="s">
        <v>384</v>
      </c>
      <c r="D280" s="88">
        <f>(2.55*6.3+1.2*1.1+1.2*1.25)*10.764</f>
        <v>203.27813999999998</v>
      </c>
      <c r="E280" s="86">
        <v>0</v>
      </c>
      <c r="F280" s="86">
        <f t="shared" si="34"/>
        <v>203.27813999999998</v>
      </c>
      <c r="G280" s="86">
        <v>0</v>
      </c>
      <c r="H280" s="86">
        <f t="shared" si="35"/>
        <v>304.91720999999995</v>
      </c>
      <c r="I280" s="33"/>
      <c r="L280" s="111"/>
      <c r="M280" s="111"/>
      <c r="N280" s="33"/>
      <c r="T280" s="18"/>
    </row>
    <row r="281" spans="1:20" s="85" customFormat="1" ht="15.75" hidden="1" customHeight="1" x14ac:dyDescent="0.25">
      <c r="A281" s="110">
        <f t="shared" si="33"/>
        <v>26</v>
      </c>
      <c r="B281" s="110"/>
      <c r="C281" s="98" t="s">
        <v>384</v>
      </c>
      <c r="D281" s="88">
        <f>(2.55*6.3+1.2*1.1+1.2*1.25)*10.764</f>
        <v>203.27813999999998</v>
      </c>
      <c r="E281" s="98">
        <v>0</v>
      </c>
      <c r="F281" s="98">
        <f t="shared" si="34"/>
        <v>203.27813999999998</v>
      </c>
      <c r="G281" s="98">
        <v>0</v>
      </c>
      <c r="H281" s="98">
        <f t="shared" si="35"/>
        <v>304.91720999999995</v>
      </c>
      <c r="I281" s="33"/>
      <c r="L281" s="111"/>
      <c r="M281" s="111"/>
      <c r="N281" s="33"/>
      <c r="T281" s="18"/>
    </row>
    <row r="282" spans="1:20" s="85" customFormat="1" ht="15.75" hidden="1" customHeight="1" x14ac:dyDescent="0.25">
      <c r="A282" s="110">
        <f t="shared" si="33"/>
        <v>27</v>
      </c>
      <c r="B282" s="110"/>
      <c r="C282" s="98" t="s">
        <v>384</v>
      </c>
      <c r="D282" s="88">
        <f>(2.7*6.3+1.35*1.25+1.2*1.1)*10.764</f>
        <v>215.46836999999999</v>
      </c>
      <c r="E282" s="98">
        <v>0</v>
      </c>
      <c r="F282" s="98">
        <f t="shared" si="34"/>
        <v>215.46836999999999</v>
      </c>
      <c r="G282" s="98">
        <v>0</v>
      </c>
      <c r="H282" s="98">
        <f t="shared" si="35"/>
        <v>323.20255499999996</v>
      </c>
      <c r="I282" s="33"/>
      <c r="L282" s="111"/>
      <c r="M282" s="111"/>
      <c r="N282" s="33"/>
      <c r="T282" s="31"/>
    </row>
    <row r="283" spans="1:20" s="85" customFormat="1" ht="15.75" hidden="1" customHeight="1" x14ac:dyDescent="0.25">
      <c r="A283" s="110">
        <f t="shared" si="33"/>
        <v>28</v>
      </c>
      <c r="B283" s="110"/>
      <c r="C283" s="98" t="s">
        <v>384</v>
      </c>
      <c r="D283" s="88">
        <f>(3.05*6.3+1.55*1.25+1.2*1.1)*10.764</f>
        <v>241.89398999999997</v>
      </c>
      <c r="E283" s="98">
        <v>0</v>
      </c>
      <c r="F283" s="98">
        <f t="shared" si="34"/>
        <v>241.89398999999997</v>
      </c>
      <c r="G283" s="98">
        <v>0</v>
      </c>
      <c r="H283" s="98">
        <f t="shared" si="35"/>
        <v>362.84098499999993</v>
      </c>
      <c r="I283" s="33"/>
      <c r="L283" s="111"/>
      <c r="M283" s="111"/>
      <c r="N283" s="33"/>
      <c r="T283" s="18"/>
    </row>
    <row r="284" spans="1:20" s="85" customFormat="1" ht="15.75" hidden="1" customHeight="1" x14ac:dyDescent="0.25">
      <c r="A284" s="110">
        <f t="shared" si="33"/>
        <v>29</v>
      </c>
      <c r="B284" s="110"/>
      <c r="C284" s="98" t="s">
        <v>384</v>
      </c>
      <c r="D284" s="88">
        <f t="shared" ref="D284:D289" si="36">(2.55*6.3+1.2*1.1+1.13*1.25)*10.764</f>
        <v>202.33628999999999</v>
      </c>
      <c r="E284" s="98">
        <v>0</v>
      </c>
      <c r="F284" s="98">
        <f t="shared" si="34"/>
        <v>202.33628999999999</v>
      </c>
      <c r="G284" s="98">
        <v>0</v>
      </c>
      <c r="H284" s="98">
        <f t="shared" si="35"/>
        <v>303.504435</v>
      </c>
      <c r="I284" s="33"/>
      <c r="L284" s="111"/>
      <c r="M284" s="111"/>
      <c r="N284" s="33"/>
      <c r="T284" s="18"/>
    </row>
    <row r="285" spans="1:20" s="85" customFormat="1" ht="15.75" hidden="1" customHeight="1" x14ac:dyDescent="0.25">
      <c r="A285" s="110">
        <f t="shared" si="33"/>
        <v>30</v>
      </c>
      <c r="B285" s="110"/>
      <c r="C285" s="98" t="s">
        <v>384</v>
      </c>
      <c r="D285" s="88">
        <f t="shared" si="36"/>
        <v>202.33628999999999</v>
      </c>
      <c r="E285" s="98">
        <v>0</v>
      </c>
      <c r="F285" s="98">
        <f t="shared" si="34"/>
        <v>202.33628999999999</v>
      </c>
      <c r="G285" s="98">
        <v>0</v>
      </c>
      <c r="H285" s="98">
        <f t="shared" si="35"/>
        <v>303.504435</v>
      </c>
      <c r="I285" s="33"/>
      <c r="L285" s="111"/>
      <c r="M285" s="111"/>
      <c r="N285" s="33"/>
      <c r="T285" s="31"/>
    </row>
    <row r="286" spans="1:20" s="85" customFormat="1" ht="15.75" hidden="1" customHeight="1" x14ac:dyDescent="0.25">
      <c r="A286" s="110">
        <f t="shared" si="33"/>
        <v>31</v>
      </c>
      <c r="B286" s="110"/>
      <c r="C286" s="98" t="s">
        <v>384</v>
      </c>
      <c r="D286" s="88">
        <f t="shared" si="36"/>
        <v>202.33628999999999</v>
      </c>
      <c r="E286" s="98">
        <v>0</v>
      </c>
      <c r="F286" s="98">
        <f t="shared" si="34"/>
        <v>202.33628999999999</v>
      </c>
      <c r="G286" s="98">
        <v>0</v>
      </c>
      <c r="H286" s="98">
        <f t="shared" si="35"/>
        <v>303.504435</v>
      </c>
      <c r="I286" s="33"/>
      <c r="L286" s="111"/>
      <c r="M286" s="111"/>
      <c r="N286" s="33"/>
      <c r="T286" s="18"/>
    </row>
    <row r="287" spans="1:20" s="85" customFormat="1" ht="15.75" hidden="1" customHeight="1" x14ac:dyDescent="0.25">
      <c r="A287" s="112">
        <f t="shared" si="33"/>
        <v>32</v>
      </c>
      <c r="B287" s="113"/>
      <c r="C287" s="86" t="s">
        <v>384</v>
      </c>
      <c r="D287" s="88">
        <f t="shared" si="36"/>
        <v>202.33628999999999</v>
      </c>
      <c r="E287" s="86">
        <v>0</v>
      </c>
      <c r="F287" s="86">
        <f t="shared" si="34"/>
        <v>202.33628999999999</v>
      </c>
      <c r="G287" s="86">
        <v>0</v>
      </c>
      <c r="H287" s="86">
        <f t="shared" si="35"/>
        <v>303.504435</v>
      </c>
      <c r="I287" s="33"/>
      <c r="L287" s="111"/>
      <c r="M287" s="111"/>
      <c r="N287" s="33"/>
      <c r="T287" s="18"/>
    </row>
    <row r="288" spans="1:20" s="85" customFormat="1" ht="15.75" hidden="1" customHeight="1" x14ac:dyDescent="0.25">
      <c r="A288" s="112">
        <f t="shared" si="33"/>
        <v>33</v>
      </c>
      <c r="B288" s="113"/>
      <c r="C288" s="86" t="s">
        <v>384</v>
      </c>
      <c r="D288" s="88">
        <f t="shared" si="36"/>
        <v>202.33628999999999</v>
      </c>
      <c r="E288" s="86">
        <v>0</v>
      </c>
      <c r="F288" s="86">
        <f t="shared" si="34"/>
        <v>202.33628999999999</v>
      </c>
      <c r="G288" s="86">
        <v>0</v>
      </c>
      <c r="H288" s="86">
        <f t="shared" si="35"/>
        <v>303.504435</v>
      </c>
      <c r="I288" s="33"/>
      <c r="L288" s="111"/>
      <c r="M288" s="111"/>
      <c r="N288" s="33"/>
      <c r="T288" s="31"/>
    </row>
    <row r="289" spans="1:20" s="85" customFormat="1" ht="15.75" hidden="1" customHeight="1" x14ac:dyDescent="0.25">
      <c r="A289" s="112">
        <f t="shared" si="33"/>
        <v>34</v>
      </c>
      <c r="B289" s="113"/>
      <c r="C289" s="86" t="s">
        <v>384</v>
      </c>
      <c r="D289" s="88">
        <f t="shared" si="36"/>
        <v>202.33628999999999</v>
      </c>
      <c r="E289" s="86">
        <v>0</v>
      </c>
      <c r="F289" s="86">
        <f t="shared" si="34"/>
        <v>202.33628999999999</v>
      </c>
      <c r="G289" s="86">
        <v>0</v>
      </c>
      <c r="H289" s="86">
        <f t="shared" si="35"/>
        <v>303.504435</v>
      </c>
      <c r="I289" s="33"/>
      <c r="L289" s="111"/>
      <c r="M289" s="111"/>
      <c r="N289" s="33"/>
      <c r="T289" s="18"/>
    </row>
    <row r="290" spans="1:20" s="85" customFormat="1" ht="15.75" hidden="1" customHeight="1" x14ac:dyDescent="0.25">
      <c r="A290" s="112">
        <f t="shared" si="33"/>
        <v>35</v>
      </c>
      <c r="B290" s="113"/>
      <c r="C290" s="86" t="s">
        <v>384</v>
      </c>
      <c r="D290" s="88">
        <f>(2.55*6.3+1.2*1.1+1.05*1.25)*10.764</f>
        <v>201.25988999999996</v>
      </c>
      <c r="E290" s="86">
        <v>0</v>
      </c>
      <c r="F290" s="86">
        <f t="shared" si="34"/>
        <v>201.25988999999996</v>
      </c>
      <c r="G290" s="86">
        <v>0</v>
      </c>
      <c r="H290" s="86">
        <f t="shared" si="35"/>
        <v>301.88983499999995</v>
      </c>
      <c r="I290" s="33"/>
      <c r="L290" s="111"/>
      <c r="M290" s="111"/>
      <c r="N290" s="33"/>
      <c r="T290" s="18"/>
    </row>
    <row r="291" spans="1:20" s="85" customFormat="1" ht="15.75" hidden="1" customHeight="1" x14ac:dyDescent="0.25">
      <c r="A291" s="112">
        <f t="shared" si="33"/>
        <v>36</v>
      </c>
      <c r="B291" s="113"/>
      <c r="C291" s="86" t="s">
        <v>384</v>
      </c>
      <c r="D291" s="88">
        <f>(2.55*6.3+1.2*1.1+1.05*1.25)*10.764</f>
        <v>201.25988999999996</v>
      </c>
      <c r="E291" s="86">
        <v>0</v>
      </c>
      <c r="F291" s="86">
        <f t="shared" si="34"/>
        <v>201.25988999999996</v>
      </c>
      <c r="G291" s="86">
        <v>0</v>
      </c>
      <c r="H291" s="86">
        <f t="shared" si="35"/>
        <v>301.88983499999995</v>
      </c>
      <c r="I291" s="33"/>
      <c r="L291" s="111"/>
      <c r="M291" s="111"/>
      <c r="N291" s="33"/>
      <c r="T291" s="31"/>
    </row>
    <row r="292" spans="1:20" s="85" customFormat="1" ht="15.75" hidden="1" customHeight="1" x14ac:dyDescent="0.25">
      <c r="A292" s="112">
        <f t="shared" si="33"/>
        <v>37</v>
      </c>
      <c r="B292" s="113"/>
      <c r="C292" s="86" t="s">
        <v>384</v>
      </c>
      <c r="D292" s="88">
        <f>(2.55*6.3+1.2*1.1+1.05*1.25)*10.764</f>
        <v>201.25988999999996</v>
      </c>
      <c r="E292" s="86">
        <v>0</v>
      </c>
      <c r="F292" s="86">
        <f t="shared" si="34"/>
        <v>201.25988999999996</v>
      </c>
      <c r="G292" s="86">
        <v>0</v>
      </c>
      <c r="H292" s="86">
        <f t="shared" si="35"/>
        <v>301.88983499999995</v>
      </c>
      <c r="I292" s="33"/>
      <c r="L292" s="111"/>
      <c r="M292" s="111"/>
      <c r="N292" s="33"/>
      <c r="T292" s="18"/>
    </row>
    <row r="293" spans="1:20" s="85" customFormat="1" ht="15" hidden="1" customHeight="1" x14ac:dyDescent="0.25">
      <c r="A293" s="112">
        <f t="shared" si="33"/>
        <v>38</v>
      </c>
      <c r="B293" s="113"/>
      <c r="C293" s="86" t="s">
        <v>384</v>
      </c>
      <c r="D293" s="88">
        <f>(2.55*6.3+1.05*1.25+1.2*1.1)*10.764</f>
        <v>201.25988999999996</v>
      </c>
      <c r="E293" s="86">
        <v>0</v>
      </c>
      <c r="F293" s="86">
        <f t="shared" si="34"/>
        <v>201.25988999999996</v>
      </c>
      <c r="G293" s="86">
        <v>0</v>
      </c>
      <c r="H293" s="86">
        <f t="shared" si="35"/>
        <v>301.88983499999995</v>
      </c>
      <c r="I293" s="33"/>
      <c r="L293" s="111"/>
      <c r="M293" s="111"/>
      <c r="N293" s="33"/>
      <c r="T293" s="18"/>
    </row>
    <row r="294" spans="1:20" s="85" customFormat="1" ht="15.75" hidden="1" customHeight="1" x14ac:dyDescent="0.25">
      <c r="A294" s="112">
        <f t="shared" si="33"/>
        <v>39</v>
      </c>
      <c r="B294" s="113"/>
      <c r="C294" s="86" t="s">
        <v>384</v>
      </c>
      <c r="D294" s="88">
        <f>(2.92*8.1+1.2*1.1+1.27*1.25)*10.764</f>
        <v>285.88645799999995</v>
      </c>
      <c r="E294" s="86">
        <v>0</v>
      </c>
      <c r="F294" s="86">
        <f t="shared" si="34"/>
        <v>285.88645799999995</v>
      </c>
      <c r="G294" s="86">
        <v>0</v>
      </c>
      <c r="H294" s="86">
        <f t="shared" si="35"/>
        <v>428.82968699999992</v>
      </c>
      <c r="I294" s="33"/>
      <c r="L294" s="111"/>
      <c r="M294" s="111"/>
      <c r="N294" s="33"/>
      <c r="T294" s="31"/>
    </row>
    <row r="295" spans="1:20" s="82" customFormat="1" x14ac:dyDescent="0.25">
      <c r="A295" s="123" t="s">
        <v>366</v>
      </c>
      <c r="B295" s="124"/>
      <c r="C295" s="124"/>
      <c r="D295" s="124"/>
      <c r="E295" s="124"/>
      <c r="F295" s="124"/>
      <c r="G295" s="124"/>
      <c r="H295" s="125"/>
      <c r="J295" s="33"/>
      <c r="T295" s="32"/>
    </row>
    <row r="296" spans="1:20" s="82" customFormat="1" ht="15.75" customHeight="1" x14ac:dyDescent="0.25">
      <c r="A296" s="112">
        <v>1</v>
      </c>
      <c r="B296" s="113"/>
      <c r="C296" s="84" t="s">
        <v>384</v>
      </c>
      <c r="D296" s="88">
        <f>(6.95*2.4+1.25*1.05+1.1*1.2)*10.764</f>
        <v>207.87975</v>
      </c>
      <c r="E296" s="84">
        <v>0</v>
      </c>
      <c r="F296" s="84">
        <f>D296+(IF(E296&lt;201,E296,IF(E296&lt;301,E296/2,E296/3)))</f>
        <v>207.87975</v>
      </c>
      <c r="G296" s="57">
        <v>0</v>
      </c>
      <c r="H296" s="84">
        <f>(F296+(IF(G296&lt;101,G296,IF(G296&lt;201,G296/2,IF(G296&lt;=301,G296/3,G296/4)))))*(($H$130)+1)</f>
        <v>311.81962499999997</v>
      </c>
      <c r="I296" s="33"/>
      <c r="L296" s="111"/>
      <c r="M296" s="111"/>
      <c r="N296" s="33"/>
      <c r="T296" s="32"/>
    </row>
    <row r="297" spans="1:20" s="82" customFormat="1" ht="15.75" customHeight="1" x14ac:dyDescent="0.25">
      <c r="A297" s="112">
        <f t="shared" ref="A297:A334" si="37">A296+1</f>
        <v>2</v>
      </c>
      <c r="B297" s="113"/>
      <c r="C297" s="84" t="s">
        <v>384</v>
      </c>
      <c r="D297" s="88">
        <f>(5.15*2.4+1.1*1.2+1.25*1.05)*10.764</f>
        <v>161.37927000000002</v>
      </c>
      <c r="E297" s="84">
        <v>0</v>
      </c>
      <c r="F297" s="84">
        <f t="shared" ref="F297:F334" si="38">D297+(IF(E297&lt;201,E297,IF(E297&lt;301,E297/2,E297/3)))</f>
        <v>161.37927000000002</v>
      </c>
      <c r="G297" s="84">
        <v>0</v>
      </c>
      <c r="H297" s="84">
        <f t="shared" ref="H297:H334" si="39">(F297+(IF(G297&lt;101,G297,IF(G297&lt;201,G297/2,IF(G297&lt;=301,G297/3,G297/4)))))*(($H$130)+1)</f>
        <v>242.06890500000003</v>
      </c>
      <c r="I297" s="33"/>
      <c r="L297" s="111"/>
      <c r="M297" s="111"/>
      <c r="N297" s="33"/>
      <c r="T297" s="31"/>
    </row>
    <row r="298" spans="1:20" s="82" customFormat="1" ht="15.75" customHeight="1" x14ac:dyDescent="0.25">
      <c r="A298" s="112">
        <f t="shared" si="37"/>
        <v>3</v>
      </c>
      <c r="B298" s="113"/>
      <c r="C298" s="84" t="s">
        <v>384</v>
      </c>
      <c r="D298" s="88">
        <f>(6.2*2.9+1.1*1.55+1.1*1.2)*10.764</f>
        <v>226.09782000000001</v>
      </c>
      <c r="E298" s="84">
        <v>0</v>
      </c>
      <c r="F298" s="84">
        <f t="shared" si="38"/>
        <v>226.09782000000001</v>
      </c>
      <c r="G298" s="84">
        <v>0</v>
      </c>
      <c r="H298" s="84">
        <f t="shared" si="39"/>
        <v>339.14673000000005</v>
      </c>
      <c r="I298" s="33"/>
      <c r="L298" s="111"/>
      <c r="M298" s="111"/>
      <c r="N298" s="33"/>
      <c r="T298" s="18"/>
    </row>
    <row r="299" spans="1:20" s="82" customFormat="1" ht="15.75" customHeight="1" x14ac:dyDescent="0.25">
      <c r="A299" s="112">
        <f t="shared" si="37"/>
        <v>4</v>
      </c>
      <c r="B299" s="113"/>
      <c r="C299" s="84" t="s">
        <v>384</v>
      </c>
      <c r="D299" s="88">
        <f>(6.2*2.9+1.1*1.2+1.1*1.55)*10.764</f>
        <v>226.09782000000001</v>
      </c>
      <c r="E299" s="84">
        <v>0</v>
      </c>
      <c r="F299" s="84">
        <f t="shared" si="38"/>
        <v>226.09782000000001</v>
      </c>
      <c r="G299" s="84">
        <v>0</v>
      </c>
      <c r="H299" s="84">
        <f t="shared" si="39"/>
        <v>339.14673000000005</v>
      </c>
      <c r="I299" s="33"/>
      <c r="L299" s="111"/>
      <c r="M299" s="111"/>
      <c r="N299" s="33"/>
      <c r="T299" s="18"/>
    </row>
    <row r="300" spans="1:20" s="82" customFormat="1" ht="15.75" customHeight="1" x14ac:dyDescent="0.25">
      <c r="A300" s="112">
        <f t="shared" si="37"/>
        <v>5</v>
      </c>
      <c r="B300" s="113"/>
      <c r="C300" s="84" t="s">
        <v>384</v>
      </c>
      <c r="D300" s="88">
        <f>(6.2*2.4+1.1*1.55+1.1*1.2)*10.764</f>
        <v>192.72942</v>
      </c>
      <c r="E300" s="84">
        <v>0</v>
      </c>
      <c r="F300" s="84">
        <f t="shared" si="38"/>
        <v>192.72942</v>
      </c>
      <c r="G300" s="84">
        <v>0</v>
      </c>
      <c r="H300" s="84">
        <f t="shared" si="39"/>
        <v>289.09413000000001</v>
      </c>
      <c r="I300" s="33"/>
      <c r="L300" s="111"/>
      <c r="M300" s="111"/>
      <c r="N300" s="33"/>
      <c r="T300" s="31"/>
    </row>
    <row r="301" spans="1:20" s="82" customFormat="1" ht="15.75" customHeight="1" x14ac:dyDescent="0.25">
      <c r="A301" s="112">
        <f t="shared" si="37"/>
        <v>6</v>
      </c>
      <c r="B301" s="113"/>
      <c r="C301" s="84" t="s">
        <v>384</v>
      </c>
      <c r="D301" s="88">
        <f>(6.2*2.4+1.1*1.55+1.1*1.2)*10.764</f>
        <v>192.72942</v>
      </c>
      <c r="E301" s="84">
        <v>0</v>
      </c>
      <c r="F301" s="84">
        <f t="shared" si="38"/>
        <v>192.72942</v>
      </c>
      <c r="G301" s="84">
        <v>0</v>
      </c>
      <c r="H301" s="84">
        <f t="shared" si="39"/>
        <v>289.09413000000001</v>
      </c>
      <c r="I301" s="33"/>
      <c r="L301" s="111"/>
      <c r="M301" s="111"/>
      <c r="N301" s="33"/>
      <c r="T301" s="18"/>
    </row>
    <row r="302" spans="1:20" s="82" customFormat="1" ht="15.75" customHeight="1" x14ac:dyDescent="0.25">
      <c r="A302" s="112">
        <f t="shared" si="37"/>
        <v>7</v>
      </c>
      <c r="B302" s="113"/>
      <c r="C302" s="84" t="s">
        <v>384</v>
      </c>
      <c r="D302" s="88">
        <f>(6.2*2.4+1.1*1.55+1.1*1.2)*10.764</f>
        <v>192.72942</v>
      </c>
      <c r="E302" s="84">
        <v>0</v>
      </c>
      <c r="F302" s="84">
        <f t="shared" si="38"/>
        <v>192.72942</v>
      </c>
      <c r="G302" s="84">
        <v>0</v>
      </c>
      <c r="H302" s="84">
        <f t="shared" si="39"/>
        <v>289.09413000000001</v>
      </c>
      <c r="I302" s="33"/>
      <c r="L302" s="111"/>
      <c r="M302" s="111"/>
      <c r="N302" s="33"/>
      <c r="T302" s="18"/>
    </row>
    <row r="303" spans="1:20" s="82" customFormat="1" ht="15.75" customHeight="1" x14ac:dyDescent="0.25">
      <c r="A303" s="112">
        <f t="shared" si="37"/>
        <v>8</v>
      </c>
      <c r="B303" s="113"/>
      <c r="C303" s="84" t="s">
        <v>384</v>
      </c>
      <c r="D303" s="88">
        <f>(6.2*2.4+1.1*1.55+1.1*1.2)*10.764</f>
        <v>192.72942</v>
      </c>
      <c r="E303" s="84">
        <v>0</v>
      </c>
      <c r="F303" s="84">
        <f t="shared" si="38"/>
        <v>192.72942</v>
      </c>
      <c r="G303" s="84">
        <v>0</v>
      </c>
      <c r="H303" s="84">
        <f t="shared" si="39"/>
        <v>289.09413000000001</v>
      </c>
      <c r="I303" s="33"/>
      <c r="L303" s="111"/>
      <c r="M303" s="111"/>
      <c r="N303" s="33"/>
      <c r="T303" s="31"/>
    </row>
    <row r="304" spans="1:20" s="82" customFormat="1" ht="15.75" customHeight="1" x14ac:dyDescent="0.25">
      <c r="A304" s="112">
        <f t="shared" si="37"/>
        <v>9</v>
      </c>
      <c r="B304" s="113"/>
      <c r="C304" s="84" t="s">
        <v>384</v>
      </c>
      <c r="D304" s="88">
        <f>(6.2*2.9+1.1*2.9)*10.764</f>
        <v>227.87388000000001</v>
      </c>
      <c r="E304" s="84">
        <v>0</v>
      </c>
      <c r="F304" s="84">
        <f t="shared" si="38"/>
        <v>227.87388000000001</v>
      </c>
      <c r="G304" s="84">
        <v>0</v>
      </c>
      <c r="H304" s="84">
        <f t="shared" si="39"/>
        <v>341.81082000000004</v>
      </c>
      <c r="I304" s="33"/>
      <c r="L304" s="111"/>
      <c r="M304" s="111"/>
      <c r="N304" s="33"/>
      <c r="T304" s="18"/>
    </row>
    <row r="305" spans="1:20" s="82" customFormat="1" ht="15.75" customHeight="1" x14ac:dyDescent="0.25">
      <c r="A305" s="112">
        <f t="shared" si="37"/>
        <v>10</v>
      </c>
      <c r="B305" s="113"/>
      <c r="C305" s="84" t="s">
        <v>384</v>
      </c>
      <c r="D305" s="88">
        <f>(6.2*2.9+1.1*2.9)*10.764</f>
        <v>227.87388000000001</v>
      </c>
      <c r="E305" s="84">
        <v>0</v>
      </c>
      <c r="F305" s="84">
        <f t="shared" si="38"/>
        <v>227.87388000000001</v>
      </c>
      <c r="G305" s="84">
        <v>0</v>
      </c>
      <c r="H305" s="84">
        <f t="shared" si="39"/>
        <v>341.81082000000004</v>
      </c>
      <c r="I305" s="33"/>
      <c r="L305" s="111"/>
      <c r="M305" s="111"/>
      <c r="N305" s="33"/>
      <c r="T305" s="18"/>
    </row>
    <row r="306" spans="1:20" s="82" customFormat="1" ht="15.75" customHeight="1" x14ac:dyDescent="0.25">
      <c r="A306" s="110">
        <f t="shared" si="37"/>
        <v>11</v>
      </c>
      <c r="B306" s="110"/>
      <c r="C306" s="106" t="s">
        <v>384</v>
      </c>
      <c r="D306" s="88">
        <f>(6.2*3.93+3.85*1.53+1.26*2.43+1.1*1.2)*10.764</f>
        <v>372.84666119999997</v>
      </c>
      <c r="E306" s="106">
        <v>0</v>
      </c>
      <c r="F306" s="106">
        <f t="shared" si="38"/>
        <v>372.84666119999997</v>
      </c>
      <c r="G306" s="106">
        <v>0</v>
      </c>
      <c r="H306" s="106">
        <f t="shared" si="39"/>
        <v>559.26999179999996</v>
      </c>
      <c r="I306" s="33"/>
      <c r="L306" s="111"/>
      <c r="M306" s="111"/>
      <c r="N306" s="33"/>
      <c r="T306" s="31"/>
    </row>
    <row r="307" spans="1:20" s="82" customFormat="1" ht="15.75" customHeight="1" x14ac:dyDescent="0.25">
      <c r="A307" s="110">
        <f t="shared" si="37"/>
        <v>12</v>
      </c>
      <c r="B307" s="110"/>
      <c r="C307" s="106" t="s">
        <v>384</v>
      </c>
      <c r="D307" s="88">
        <f>(6.2*3+3.3*1.68+1.25*1.55+1.1*1.2)*10.764</f>
        <v>294.949746</v>
      </c>
      <c r="E307" s="106">
        <v>0</v>
      </c>
      <c r="F307" s="106">
        <f t="shared" si="38"/>
        <v>294.949746</v>
      </c>
      <c r="G307" s="106">
        <v>0</v>
      </c>
      <c r="H307" s="106">
        <f t="shared" si="39"/>
        <v>442.42461900000001</v>
      </c>
      <c r="I307" s="33"/>
      <c r="L307" s="111"/>
      <c r="M307" s="111"/>
      <c r="N307" s="33"/>
      <c r="T307" s="18"/>
    </row>
    <row r="308" spans="1:20" s="82" customFormat="1" ht="15.75" customHeight="1" x14ac:dyDescent="0.25">
      <c r="A308" s="110">
        <f t="shared" si="37"/>
        <v>13</v>
      </c>
      <c r="B308" s="110"/>
      <c r="C308" s="106" t="s">
        <v>384</v>
      </c>
      <c r="D308" s="88">
        <f>(6.2*3+1.1*1.55+1.1*1.2)*10.764</f>
        <v>232.77150000000003</v>
      </c>
      <c r="E308" s="106">
        <v>0</v>
      </c>
      <c r="F308" s="106">
        <f t="shared" si="38"/>
        <v>232.77150000000003</v>
      </c>
      <c r="G308" s="106">
        <v>0</v>
      </c>
      <c r="H308" s="106">
        <f t="shared" si="39"/>
        <v>349.15725000000003</v>
      </c>
      <c r="I308" s="33"/>
      <c r="L308" s="111"/>
      <c r="M308" s="111"/>
      <c r="N308" s="33"/>
      <c r="T308" s="18"/>
    </row>
    <row r="309" spans="1:20" s="82" customFormat="1" ht="15.75" customHeight="1" x14ac:dyDescent="0.25">
      <c r="A309" s="110">
        <f t="shared" si="37"/>
        <v>14</v>
      </c>
      <c r="B309" s="110"/>
      <c r="C309" s="106" t="s">
        <v>384</v>
      </c>
      <c r="D309" s="88">
        <f>(6.2*3+1.1*1.2+1.1*1.55+2.25*1.05)*10.764</f>
        <v>258.20145000000002</v>
      </c>
      <c r="E309" s="106">
        <v>0</v>
      </c>
      <c r="F309" s="106">
        <f t="shared" si="38"/>
        <v>258.20145000000002</v>
      </c>
      <c r="G309" s="106">
        <v>0</v>
      </c>
      <c r="H309" s="106">
        <f t="shared" si="39"/>
        <v>387.30217500000003</v>
      </c>
      <c r="I309" s="33"/>
      <c r="L309" s="111"/>
      <c r="M309" s="111"/>
      <c r="N309" s="33"/>
      <c r="T309" s="31"/>
    </row>
    <row r="310" spans="1:20" s="82" customFormat="1" ht="15.75" customHeight="1" x14ac:dyDescent="0.25">
      <c r="A310" s="110">
        <f t="shared" si="37"/>
        <v>15</v>
      </c>
      <c r="B310" s="110"/>
      <c r="C310" s="106" t="s">
        <v>384</v>
      </c>
      <c r="D310" s="88">
        <f>(4.9*2.25+1.2*1.2+0.95*1.2)*10.764</f>
        <v>146.44422</v>
      </c>
      <c r="E310" s="106">
        <v>0</v>
      </c>
      <c r="F310" s="106">
        <f t="shared" si="38"/>
        <v>146.44422</v>
      </c>
      <c r="G310" s="106">
        <v>0</v>
      </c>
      <c r="H310" s="106">
        <f t="shared" si="39"/>
        <v>219.66633000000002</v>
      </c>
      <c r="I310" s="33"/>
      <c r="L310" s="111"/>
      <c r="M310" s="111"/>
      <c r="N310" s="33"/>
      <c r="T310" s="18"/>
    </row>
    <row r="311" spans="1:20" s="82" customFormat="1" ht="15.75" customHeight="1" x14ac:dyDescent="0.25">
      <c r="A311" s="110">
        <f t="shared" si="37"/>
        <v>16</v>
      </c>
      <c r="B311" s="110"/>
      <c r="C311" s="106" t="s">
        <v>384</v>
      </c>
      <c r="D311" s="88">
        <f>(7.85*2.75+1.25*1.2+1.4*1.4)*10.764</f>
        <v>269.61129</v>
      </c>
      <c r="E311" s="106">
        <v>0</v>
      </c>
      <c r="F311" s="106">
        <f t="shared" si="38"/>
        <v>269.61129</v>
      </c>
      <c r="G311" s="106">
        <v>0</v>
      </c>
      <c r="H311" s="106">
        <f t="shared" si="39"/>
        <v>404.41693499999997</v>
      </c>
      <c r="I311" s="33"/>
      <c r="L311" s="111"/>
      <c r="M311" s="111"/>
      <c r="N311" s="33"/>
      <c r="T311" s="18"/>
    </row>
    <row r="312" spans="1:20" s="82" customFormat="1" ht="15.75" hidden="1" customHeight="1" x14ac:dyDescent="0.25">
      <c r="A312" s="110">
        <f t="shared" si="37"/>
        <v>17</v>
      </c>
      <c r="B312" s="110"/>
      <c r="C312" s="106" t="s">
        <v>384</v>
      </c>
      <c r="D312" s="88">
        <f>(6.75*3.82+4.95*1.4+1.55*1.1)*10.764</f>
        <v>370.49687999999998</v>
      </c>
      <c r="E312" s="106">
        <v>0</v>
      </c>
      <c r="F312" s="106">
        <f t="shared" si="38"/>
        <v>370.49687999999998</v>
      </c>
      <c r="G312" s="106">
        <v>0</v>
      </c>
      <c r="H312" s="106">
        <f t="shared" si="39"/>
        <v>555.74531999999999</v>
      </c>
      <c r="I312" s="33"/>
      <c r="L312" s="111"/>
      <c r="M312" s="111"/>
      <c r="N312" s="33"/>
      <c r="T312" s="31"/>
    </row>
    <row r="313" spans="1:20" s="82" customFormat="1" ht="15.75" hidden="1" customHeight="1" x14ac:dyDescent="0.25">
      <c r="A313" s="163">
        <f t="shared" si="37"/>
        <v>18</v>
      </c>
      <c r="B313" s="163"/>
      <c r="C313" s="89" t="s">
        <v>384</v>
      </c>
      <c r="D313" s="90">
        <f>(2.4*4.68+1.2*1.2+1*1.35)*10.764</f>
        <v>150.93280799999997</v>
      </c>
      <c r="E313" s="89">
        <v>0</v>
      </c>
      <c r="F313" s="89">
        <f t="shared" si="38"/>
        <v>150.93280799999997</v>
      </c>
      <c r="G313" s="89">
        <v>0</v>
      </c>
      <c r="H313" s="89">
        <f t="shared" si="39"/>
        <v>226.39921199999995</v>
      </c>
      <c r="I313" s="33"/>
      <c r="L313" s="111"/>
      <c r="M313" s="111"/>
      <c r="N313" s="33"/>
      <c r="T313" s="18"/>
    </row>
    <row r="314" spans="1:20" s="82" customFormat="1" ht="15.75" hidden="1" customHeight="1" x14ac:dyDescent="0.25">
      <c r="A314" s="163">
        <f t="shared" si="37"/>
        <v>19</v>
      </c>
      <c r="B314" s="163"/>
      <c r="C314" s="89" t="s">
        <v>384</v>
      </c>
      <c r="D314" s="90">
        <f>(2.4*4.97+1.2*1.2+1*1.2)*10.764</f>
        <v>156.80995199999998</v>
      </c>
      <c r="E314" s="89">
        <v>0</v>
      </c>
      <c r="F314" s="89">
        <f t="shared" si="38"/>
        <v>156.80995199999998</v>
      </c>
      <c r="G314" s="89">
        <v>0</v>
      </c>
      <c r="H314" s="89">
        <f t="shared" si="39"/>
        <v>235.21492799999999</v>
      </c>
      <c r="I314" s="33"/>
      <c r="L314" s="111"/>
      <c r="M314" s="111"/>
      <c r="N314" s="33"/>
      <c r="T314" s="18"/>
    </row>
    <row r="315" spans="1:20" s="82" customFormat="1" ht="15.75" hidden="1" customHeight="1" x14ac:dyDescent="0.25">
      <c r="A315" s="163">
        <f t="shared" si="37"/>
        <v>20</v>
      </c>
      <c r="B315" s="163"/>
      <c r="C315" s="89" t="s">
        <v>384</v>
      </c>
      <c r="D315" s="90">
        <f>(2.4*4.83+1.65*1.1+1.6*0.4)*10.764</f>
        <v>151.201908</v>
      </c>
      <c r="E315" s="89">
        <v>0</v>
      </c>
      <c r="F315" s="89">
        <f t="shared" si="38"/>
        <v>151.201908</v>
      </c>
      <c r="G315" s="89">
        <v>0</v>
      </c>
      <c r="H315" s="89">
        <f t="shared" si="39"/>
        <v>226.802862</v>
      </c>
      <c r="I315" s="33"/>
      <c r="L315" s="111"/>
      <c r="M315" s="111"/>
      <c r="N315" s="33"/>
      <c r="T315" s="31"/>
    </row>
    <row r="316" spans="1:20" s="85" customFormat="1" ht="15.75" hidden="1" customHeight="1" x14ac:dyDescent="0.25">
      <c r="A316" s="110">
        <f t="shared" si="37"/>
        <v>21</v>
      </c>
      <c r="B316" s="110"/>
      <c r="C316" s="106" t="s">
        <v>384</v>
      </c>
      <c r="D316" s="88">
        <f>(2.64*6.3+1.2*1.25+1.2*1.1)*10.764</f>
        <v>209.381328</v>
      </c>
      <c r="E316" s="106">
        <v>0</v>
      </c>
      <c r="F316" s="106">
        <f t="shared" si="38"/>
        <v>209.381328</v>
      </c>
      <c r="G316" s="106">
        <v>0</v>
      </c>
      <c r="H316" s="106">
        <f t="shared" si="39"/>
        <v>314.07199200000002</v>
      </c>
      <c r="I316" s="33"/>
      <c r="L316" s="111"/>
      <c r="M316" s="111"/>
      <c r="N316" s="33"/>
      <c r="T316" s="31"/>
    </row>
    <row r="317" spans="1:20" s="85" customFormat="1" ht="15.75" hidden="1" customHeight="1" x14ac:dyDescent="0.25">
      <c r="A317" s="110">
        <f t="shared" si="37"/>
        <v>22</v>
      </c>
      <c r="B317" s="110"/>
      <c r="C317" s="106" t="s">
        <v>384</v>
      </c>
      <c r="D317" s="88">
        <f>(2.55*6.3+1.2*1.1+1.2*1.25)*10.764</f>
        <v>203.27813999999998</v>
      </c>
      <c r="E317" s="106">
        <v>0</v>
      </c>
      <c r="F317" s="106">
        <f t="shared" si="38"/>
        <v>203.27813999999998</v>
      </c>
      <c r="G317" s="106">
        <v>0</v>
      </c>
      <c r="H317" s="106">
        <f t="shared" si="39"/>
        <v>304.91720999999995</v>
      </c>
      <c r="I317" s="33"/>
      <c r="L317" s="111"/>
      <c r="M317" s="111"/>
      <c r="N317" s="33"/>
      <c r="T317" s="18"/>
    </row>
    <row r="318" spans="1:20" s="85" customFormat="1" ht="15.75" hidden="1" customHeight="1" x14ac:dyDescent="0.25">
      <c r="A318" s="110">
        <f t="shared" si="37"/>
        <v>23</v>
      </c>
      <c r="B318" s="110"/>
      <c r="C318" s="106" t="s">
        <v>384</v>
      </c>
      <c r="D318" s="88">
        <f>(2.55*6.3+1.2*1.25+1.2*1.1)*10.764</f>
        <v>203.27813999999998</v>
      </c>
      <c r="E318" s="106">
        <v>0</v>
      </c>
      <c r="F318" s="106">
        <f t="shared" si="38"/>
        <v>203.27813999999998</v>
      </c>
      <c r="G318" s="106">
        <v>0</v>
      </c>
      <c r="H318" s="106">
        <f t="shared" si="39"/>
        <v>304.91720999999995</v>
      </c>
      <c r="I318" s="33"/>
      <c r="L318" s="111"/>
      <c r="M318" s="111"/>
      <c r="N318" s="33"/>
      <c r="T318" s="18"/>
    </row>
    <row r="319" spans="1:20" s="85" customFormat="1" ht="15.75" hidden="1" customHeight="1" x14ac:dyDescent="0.25">
      <c r="A319" s="110">
        <f t="shared" si="37"/>
        <v>24</v>
      </c>
      <c r="B319" s="110"/>
      <c r="C319" s="106" t="s">
        <v>384</v>
      </c>
      <c r="D319" s="88">
        <f>(2.55*6.3+1.2*1.1+1.2*1.25)*10.764</f>
        <v>203.27813999999998</v>
      </c>
      <c r="E319" s="106">
        <v>0</v>
      </c>
      <c r="F319" s="106">
        <f t="shared" si="38"/>
        <v>203.27813999999998</v>
      </c>
      <c r="G319" s="106">
        <v>0</v>
      </c>
      <c r="H319" s="106">
        <f t="shared" si="39"/>
        <v>304.91720999999995</v>
      </c>
      <c r="I319" s="33"/>
      <c r="L319" s="111"/>
      <c r="M319" s="111"/>
      <c r="N319" s="33"/>
      <c r="T319" s="31"/>
    </row>
    <row r="320" spans="1:20" s="85" customFormat="1" ht="15.75" hidden="1" customHeight="1" x14ac:dyDescent="0.25">
      <c r="A320" s="110">
        <f t="shared" si="37"/>
        <v>25</v>
      </c>
      <c r="B320" s="110"/>
      <c r="C320" s="106" t="s">
        <v>384</v>
      </c>
      <c r="D320" s="88">
        <f>(2.55*6.3+1.2*1.1+1.2*1.25)*10.764</f>
        <v>203.27813999999998</v>
      </c>
      <c r="E320" s="106">
        <v>0</v>
      </c>
      <c r="F320" s="106">
        <f t="shared" si="38"/>
        <v>203.27813999999998</v>
      </c>
      <c r="G320" s="106">
        <v>0</v>
      </c>
      <c r="H320" s="106">
        <f t="shared" si="39"/>
        <v>304.91720999999995</v>
      </c>
      <c r="I320" s="33"/>
      <c r="L320" s="111"/>
      <c r="M320" s="111"/>
      <c r="N320" s="33"/>
      <c r="T320" s="18"/>
    </row>
    <row r="321" spans="1:20" s="85" customFormat="1" ht="15.75" hidden="1" customHeight="1" x14ac:dyDescent="0.25">
      <c r="A321" s="110">
        <f t="shared" si="37"/>
        <v>26</v>
      </c>
      <c r="B321" s="110"/>
      <c r="C321" s="106" t="s">
        <v>384</v>
      </c>
      <c r="D321" s="88">
        <f>(2.55*6.3+1.2*1.1+1.2*1.25)*10.764</f>
        <v>203.27813999999998</v>
      </c>
      <c r="E321" s="106">
        <v>0</v>
      </c>
      <c r="F321" s="106">
        <f t="shared" si="38"/>
        <v>203.27813999999998</v>
      </c>
      <c r="G321" s="106">
        <v>0</v>
      </c>
      <c r="H321" s="106">
        <f t="shared" si="39"/>
        <v>304.91720999999995</v>
      </c>
      <c r="I321" s="33"/>
      <c r="L321" s="111"/>
      <c r="M321" s="111"/>
      <c r="N321" s="33"/>
      <c r="T321" s="18"/>
    </row>
    <row r="322" spans="1:20" s="85" customFormat="1" ht="15.75" hidden="1" customHeight="1" x14ac:dyDescent="0.25">
      <c r="A322" s="110">
        <f t="shared" si="37"/>
        <v>27</v>
      </c>
      <c r="B322" s="110"/>
      <c r="C322" s="106" t="s">
        <v>384</v>
      </c>
      <c r="D322" s="88">
        <f>(2.7*6.3+1.35*1.25+1.2*1.1)*10.764</f>
        <v>215.46836999999999</v>
      </c>
      <c r="E322" s="106">
        <v>0</v>
      </c>
      <c r="F322" s="106">
        <f t="shared" si="38"/>
        <v>215.46836999999999</v>
      </c>
      <c r="G322" s="106">
        <v>0</v>
      </c>
      <c r="H322" s="106">
        <f t="shared" si="39"/>
        <v>323.20255499999996</v>
      </c>
      <c r="I322" s="33"/>
      <c r="L322" s="111"/>
      <c r="M322" s="111"/>
      <c r="N322" s="33"/>
      <c r="T322" s="31"/>
    </row>
    <row r="323" spans="1:20" s="85" customFormat="1" ht="15.75" hidden="1" customHeight="1" x14ac:dyDescent="0.25">
      <c r="A323" s="110">
        <f t="shared" si="37"/>
        <v>28</v>
      </c>
      <c r="B323" s="110"/>
      <c r="C323" s="106" t="s">
        <v>384</v>
      </c>
      <c r="D323" s="88">
        <f>(3.05*6.3+1.55*1.25+1.2*1.1)*10.764</f>
        <v>241.89398999999997</v>
      </c>
      <c r="E323" s="106">
        <v>0</v>
      </c>
      <c r="F323" s="106">
        <f t="shared" si="38"/>
        <v>241.89398999999997</v>
      </c>
      <c r="G323" s="106">
        <v>0</v>
      </c>
      <c r="H323" s="106">
        <f t="shared" si="39"/>
        <v>362.84098499999993</v>
      </c>
      <c r="I323" s="33"/>
      <c r="L323" s="111"/>
      <c r="M323" s="111"/>
      <c r="N323" s="33"/>
      <c r="T323" s="18"/>
    </row>
    <row r="324" spans="1:20" s="85" customFormat="1" ht="15.75" hidden="1" customHeight="1" x14ac:dyDescent="0.25">
      <c r="A324" s="110">
        <f t="shared" si="37"/>
        <v>29</v>
      </c>
      <c r="B324" s="110"/>
      <c r="C324" s="106" t="s">
        <v>384</v>
      </c>
      <c r="D324" s="88">
        <f t="shared" ref="D324:D329" si="40">(2.55*6.3+1.2*1.1+1.13*1.25)*10.764</f>
        <v>202.33628999999999</v>
      </c>
      <c r="E324" s="106">
        <v>0</v>
      </c>
      <c r="F324" s="106">
        <f t="shared" si="38"/>
        <v>202.33628999999999</v>
      </c>
      <c r="G324" s="106">
        <v>0</v>
      </c>
      <c r="H324" s="106">
        <f t="shared" si="39"/>
        <v>303.504435</v>
      </c>
      <c r="I324" s="33"/>
      <c r="L324" s="111"/>
      <c r="M324" s="111"/>
      <c r="N324" s="33"/>
      <c r="T324" s="18"/>
    </row>
    <row r="325" spans="1:20" s="85" customFormat="1" ht="15.75" hidden="1" customHeight="1" x14ac:dyDescent="0.25">
      <c r="A325" s="110">
        <f t="shared" si="37"/>
        <v>30</v>
      </c>
      <c r="B325" s="110"/>
      <c r="C325" s="106" t="s">
        <v>384</v>
      </c>
      <c r="D325" s="88">
        <f t="shared" si="40"/>
        <v>202.33628999999999</v>
      </c>
      <c r="E325" s="106">
        <v>0</v>
      </c>
      <c r="F325" s="106">
        <f t="shared" si="38"/>
        <v>202.33628999999999</v>
      </c>
      <c r="G325" s="106">
        <v>0</v>
      </c>
      <c r="H325" s="106">
        <f t="shared" si="39"/>
        <v>303.504435</v>
      </c>
      <c r="I325" s="33"/>
      <c r="L325" s="111"/>
      <c r="M325" s="111"/>
      <c r="N325" s="33"/>
      <c r="T325" s="31"/>
    </row>
    <row r="326" spans="1:20" s="85" customFormat="1" ht="15.75" hidden="1" customHeight="1" x14ac:dyDescent="0.25">
      <c r="A326" s="110">
        <f t="shared" si="37"/>
        <v>31</v>
      </c>
      <c r="B326" s="110"/>
      <c r="C326" s="106" t="s">
        <v>384</v>
      </c>
      <c r="D326" s="88">
        <f t="shared" si="40"/>
        <v>202.33628999999999</v>
      </c>
      <c r="E326" s="106">
        <v>0</v>
      </c>
      <c r="F326" s="106">
        <f t="shared" si="38"/>
        <v>202.33628999999999</v>
      </c>
      <c r="G326" s="106">
        <v>0</v>
      </c>
      <c r="H326" s="106">
        <f t="shared" si="39"/>
        <v>303.504435</v>
      </c>
      <c r="I326" s="33"/>
      <c r="L326" s="111"/>
      <c r="M326" s="111"/>
      <c r="N326" s="33"/>
      <c r="T326" s="18"/>
    </row>
    <row r="327" spans="1:20" s="85" customFormat="1" ht="15.75" hidden="1" customHeight="1" x14ac:dyDescent="0.25">
      <c r="A327" s="110">
        <f t="shared" si="37"/>
        <v>32</v>
      </c>
      <c r="B327" s="110"/>
      <c r="C327" s="106" t="s">
        <v>384</v>
      </c>
      <c r="D327" s="88">
        <f t="shared" si="40"/>
        <v>202.33628999999999</v>
      </c>
      <c r="E327" s="106">
        <v>0</v>
      </c>
      <c r="F327" s="106">
        <f t="shared" si="38"/>
        <v>202.33628999999999</v>
      </c>
      <c r="G327" s="106">
        <v>0</v>
      </c>
      <c r="H327" s="106">
        <f t="shared" si="39"/>
        <v>303.504435</v>
      </c>
      <c r="I327" s="33"/>
      <c r="L327" s="111"/>
      <c r="M327" s="111"/>
      <c r="N327" s="33"/>
      <c r="T327" s="18"/>
    </row>
    <row r="328" spans="1:20" s="85" customFormat="1" ht="15.75" hidden="1" customHeight="1" x14ac:dyDescent="0.25">
      <c r="A328" s="110">
        <f t="shared" si="37"/>
        <v>33</v>
      </c>
      <c r="B328" s="110"/>
      <c r="C328" s="106" t="s">
        <v>384</v>
      </c>
      <c r="D328" s="88">
        <f t="shared" si="40"/>
        <v>202.33628999999999</v>
      </c>
      <c r="E328" s="106">
        <v>0</v>
      </c>
      <c r="F328" s="106">
        <f t="shared" si="38"/>
        <v>202.33628999999999</v>
      </c>
      <c r="G328" s="106">
        <v>0</v>
      </c>
      <c r="H328" s="106">
        <f t="shared" si="39"/>
        <v>303.504435</v>
      </c>
      <c r="I328" s="33"/>
      <c r="L328" s="111"/>
      <c r="M328" s="111"/>
      <c r="N328" s="33"/>
      <c r="T328" s="31"/>
    </row>
    <row r="329" spans="1:20" s="85" customFormat="1" ht="15.75" hidden="1" customHeight="1" x14ac:dyDescent="0.25">
      <c r="A329" s="110">
        <f t="shared" si="37"/>
        <v>34</v>
      </c>
      <c r="B329" s="110"/>
      <c r="C329" s="106" t="s">
        <v>384</v>
      </c>
      <c r="D329" s="88">
        <f t="shared" si="40"/>
        <v>202.33628999999999</v>
      </c>
      <c r="E329" s="106">
        <v>0</v>
      </c>
      <c r="F329" s="106">
        <f t="shared" si="38"/>
        <v>202.33628999999999</v>
      </c>
      <c r="G329" s="106">
        <v>0</v>
      </c>
      <c r="H329" s="106">
        <f t="shared" si="39"/>
        <v>303.504435</v>
      </c>
      <c r="I329" s="33"/>
      <c r="L329" s="111"/>
      <c r="M329" s="111"/>
      <c r="N329" s="33"/>
      <c r="T329" s="18"/>
    </row>
    <row r="330" spans="1:20" s="85" customFormat="1" ht="15.75" hidden="1" customHeight="1" x14ac:dyDescent="0.25">
      <c r="A330" s="110">
        <f t="shared" si="37"/>
        <v>35</v>
      </c>
      <c r="B330" s="110"/>
      <c r="C330" s="106" t="s">
        <v>384</v>
      </c>
      <c r="D330" s="88">
        <f>(2.55*6.3+1.2*1.1+1.05*1.25)*10.764</f>
        <v>201.25988999999996</v>
      </c>
      <c r="E330" s="106">
        <v>0</v>
      </c>
      <c r="F330" s="106">
        <f t="shared" si="38"/>
        <v>201.25988999999996</v>
      </c>
      <c r="G330" s="106">
        <v>0</v>
      </c>
      <c r="H330" s="106">
        <f t="shared" si="39"/>
        <v>301.88983499999995</v>
      </c>
      <c r="I330" s="33"/>
      <c r="L330" s="111"/>
      <c r="M330" s="111"/>
      <c r="N330" s="33"/>
      <c r="T330" s="18"/>
    </row>
    <row r="331" spans="1:20" s="85" customFormat="1" ht="15.75" hidden="1" customHeight="1" x14ac:dyDescent="0.25">
      <c r="A331" s="110">
        <f t="shared" si="37"/>
        <v>36</v>
      </c>
      <c r="B331" s="110"/>
      <c r="C331" s="106" t="s">
        <v>384</v>
      </c>
      <c r="D331" s="88">
        <f>(2.55*6.3+1.2*1.1+1.05*1.25)*10.764</f>
        <v>201.25988999999996</v>
      </c>
      <c r="E331" s="106">
        <v>0</v>
      </c>
      <c r="F331" s="106">
        <f t="shared" si="38"/>
        <v>201.25988999999996</v>
      </c>
      <c r="G331" s="106">
        <v>0</v>
      </c>
      <c r="H331" s="106">
        <f t="shared" si="39"/>
        <v>301.88983499999995</v>
      </c>
      <c r="I331" s="33"/>
      <c r="L331" s="111"/>
      <c r="M331" s="111"/>
      <c r="N331" s="33"/>
      <c r="T331" s="31"/>
    </row>
    <row r="332" spans="1:20" s="85" customFormat="1" ht="15.75" hidden="1" customHeight="1" x14ac:dyDescent="0.25">
      <c r="A332" s="110">
        <f t="shared" si="37"/>
        <v>37</v>
      </c>
      <c r="B332" s="110"/>
      <c r="C332" s="106" t="s">
        <v>384</v>
      </c>
      <c r="D332" s="88">
        <f>(2.55*6.3+1.2*1.1+1.05*1.25)*10.764</f>
        <v>201.25988999999996</v>
      </c>
      <c r="E332" s="106">
        <v>0</v>
      </c>
      <c r="F332" s="106">
        <f t="shared" si="38"/>
        <v>201.25988999999996</v>
      </c>
      <c r="G332" s="106">
        <v>0</v>
      </c>
      <c r="H332" s="106">
        <f t="shared" si="39"/>
        <v>301.88983499999995</v>
      </c>
      <c r="I332" s="33"/>
      <c r="L332" s="111"/>
      <c r="M332" s="111"/>
      <c r="N332" s="33"/>
      <c r="T332" s="18"/>
    </row>
    <row r="333" spans="1:20" s="85" customFormat="1" ht="15" hidden="1" customHeight="1" x14ac:dyDescent="0.25">
      <c r="A333" s="110">
        <f t="shared" si="37"/>
        <v>38</v>
      </c>
      <c r="B333" s="110"/>
      <c r="C333" s="106" t="s">
        <v>384</v>
      </c>
      <c r="D333" s="88">
        <f>(2.55*6.3+1.05*1.25+1.2*1.1)*10.764</f>
        <v>201.25988999999996</v>
      </c>
      <c r="E333" s="106">
        <v>0</v>
      </c>
      <c r="F333" s="106">
        <f t="shared" si="38"/>
        <v>201.25988999999996</v>
      </c>
      <c r="G333" s="106">
        <v>0</v>
      </c>
      <c r="H333" s="106">
        <f t="shared" si="39"/>
        <v>301.88983499999995</v>
      </c>
      <c r="I333" s="33"/>
      <c r="L333" s="111"/>
      <c r="M333" s="111"/>
      <c r="N333" s="33"/>
      <c r="T333" s="18"/>
    </row>
    <row r="334" spans="1:20" s="85" customFormat="1" ht="15.75" hidden="1" customHeight="1" x14ac:dyDescent="0.25">
      <c r="A334" s="110">
        <f t="shared" si="37"/>
        <v>39</v>
      </c>
      <c r="B334" s="110"/>
      <c r="C334" s="106" t="s">
        <v>384</v>
      </c>
      <c r="D334" s="88">
        <f>(2.92*8.1+1.2*1.1+1.27*1.25)*10.764</f>
        <v>285.88645799999995</v>
      </c>
      <c r="E334" s="106">
        <v>0</v>
      </c>
      <c r="F334" s="106">
        <f t="shared" si="38"/>
        <v>285.88645799999995</v>
      </c>
      <c r="G334" s="106">
        <v>0</v>
      </c>
      <c r="H334" s="106">
        <f t="shared" si="39"/>
        <v>428.82968699999992</v>
      </c>
      <c r="I334" s="33"/>
      <c r="L334" s="111"/>
      <c r="M334" s="111"/>
      <c r="N334" s="33"/>
      <c r="T334" s="31"/>
    </row>
    <row r="335" spans="1:20" s="34" customFormat="1" hidden="1" x14ac:dyDescent="0.25">
      <c r="A335" s="206" t="s">
        <v>116</v>
      </c>
      <c r="B335" s="206"/>
      <c r="C335" s="206"/>
      <c r="D335" s="206"/>
      <c r="E335" s="206"/>
      <c r="F335" s="206"/>
      <c r="G335" s="206"/>
      <c r="H335" s="206"/>
      <c r="J335" s="33"/>
      <c r="T335" s="32"/>
    </row>
    <row r="336" spans="1:20" s="34" customFormat="1" ht="15.75" hidden="1" customHeight="1" x14ac:dyDescent="0.25">
      <c r="A336" s="163">
        <v>1</v>
      </c>
      <c r="B336" s="163"/>
      <c r="C336" s="89"/>
      <c r="D336" s="89">
        <v>0</v>
      </c>
      <c r="E336" s="89">
        <v>0</v>
      </c>
      <c r="F336" s="89">
        <f>D336+(IF(E336&lt;201,E336,IF(E336&lt;301,E336/2,E336/3)))</f>
        <v>0</v>
      </c>
      <c r="G336" s="91">
        <v>0</v>
      </c>
      <c r="H336" s="89">
        <f>(F336+(IF(G336&lt;101,G336,IF(G336&lt;201,G336/2,IF(G336&lt;=301,G336/3,G336/4)))))*(($H$130)+1)</f>
        <v>0</v>
      </c>
      <c r="I336" s="33"/>
      <c r="L336" s="111"/>
      <c r="M336" s="111"/>
      <c r="N336" s="33"/>
      <c r="T336" s="32"/>
    </row>
    <row r="337" spans="1:20" s="34" customFormat="1" ht="15.75" hidden="1" customHeight="1" x14ac:dyDescent="0.25">
      <c r="A337" s="163">
        <f>A336+1</f>
        <v>2</v>
      </c>
      <c r="B337" s="163"/>
      <c r="C337" s="89"/>
      <c r="D337" s="89"/>
      <c r="E337" s="89">
        <v>0</v>
      </c>
      <c r="F337" s="89">
        <f t="shared" ref="F337:F339" si="41">D337+(IF(E337&lt;201,E337,IF(E337&lt;301,E337/2,E337/3)))</f>
        <v>0</v>
      </c>
      <c r="G337" s="89">
        <v>0</v>
      </c>
      <c r="H337" s="89">
        <f t="shared" ref="H337:H339" si="42">(F337+(IF(G337&lt;101,G337,IF(G337&lt;201,G337/2,IF(G337&lt;=301,G337/3,G337/4)))))*(($H$130)+1)</f>
        <v>0</v>
      </c>
      <c r="I337" s="33"/>
      <c r="L337" s="111"/>
      <c r="M337" s="111"/>
      <c r="N337" s="33"/>
      <c r="T337" s="31"/>
    </row>
    <row r="338" spans="1:20" s="34" customFormat="1" ht="15.75" hidden="1" customHeight="1" x14ac:dyDescent="0.25">
      <c r="A338" s="163">
        <f>A337+1</f>
        <v>3</v>
      </c>
      <c r="B338" s="163"/>
      <c r="C338" s="89"/>
      <c r="D338" s="89"/>
      <c r="E338" s="89">
        <v>0</v>
      </c>
      <c r="F338" s="89">
        <f t="shared" si="41"/>
        <v>0</v>
      </c>
      <c r="G338" s="89">
        <v>0</v>
      </c>
      <c r="H338" s="89">
        <f t="shared" si="42"/>
        <v>0</v>
      </c>
      <c r="I338" s="33"/>
      <c r="L338" s="111"/>
      <c r="M338" s="111"/>
      <c r="N338" s="33"/>
      <c r="T338" s="18"/>
    </row>
    <row r="339" spans="1:20" s="34" customFormat="1" ht="15.75" hidden="1" customHeight="1" x14ac:dyDescent="0.25">
      <c r="A339" s="163">
        <f>A338+1</f>
        <v>4</v>
      </c>
      <c r="B339" s="163"/>
      <c r="C339" s="89"/>
      <c r="D339" s="89"/>
      <c r="E339" s="89">
        <v>0</v>
      </c>
      <c r="F339" s="89">
        <f t="shared" si="41"/>
        <v>0</v>
      </c>
      <c r="G339" s="89">
        <v>0</v>
      </c>
      <c r="H339" s="89">
        <f t="shared" si="42"/>
        <v>0</v>
      </c>
      <c r="I339" s="33"/>
      <c r="L339" s="111"/>
      <c r="M339" s="111"/>
      <c r="N339" s="33"/>
      <c r="T339" s="18"/>
    </row>
    <row r="340" spans="1:20" s="34" customFormat="1" x14ac:dyDescent="0.25">
      <c r="A340" s="163"/>
      <c r="B340" s="163"/>
      <c r="C340" s="163"/>
      <c r="D340" s="163"/>
      <c r="E340" s="163"/>
      <c r="F340" s="163"/>
      <c r="G340" s="163"/>
      <c r="H340" s="163"/>
      <c r="I340" s="33"/>
      <c r="N340" s="33"/>
    </row>
    <row r="341" spans="1:20" ht="47.25" customHeight="1" x14ac:dyDescent="0.25">
      <c r="A341" s="187" t="s">
        <v>386</v>
      </c>
      <c r="B341" s="187" t="s">
        <v>176</v>
      </c>
      <c r="C341" s="187" t="s">
        <v>55</v>
      </c>
      <c r="D341" s="187" t="s">
        <v>374</v>
      </c>
      <c r="E341" s="187" t="s">
        <v>376</v>
      </c>
      <c r="F341" s="187" t="s">
        <v>56</v>
      </c>
      <c r="G341" s="245" t="s">
        <v>57</v>
      </c>
      <c r="H341" s="107" t="s">
        <v>147</v>
      </c>
      <c r="I341" s="33"/>
      <c r="T341" s="34"/>
    </row>
    <row r="342" spans="1:20" s="34" customFormat="1" x14ac:dyDescent="0.25">
      <c r="A342" s="187"/>
      <c r="B342" s="187"/>
      <c r="C342" s="187"/>
      <c r="D342" s="187"/>
      <c r="E342" s="187"/>
      <c r="F342" s="187"/>
      <c r="G342" s="245"/>
      <c r="H342" s="108">
        <v>0.5</v>
      </c>
      <c r="I342" s="33"/>
    </row>
    <row r="343" spans="1:20" s="82" customFormat="1" x14ac:dyDescent="0.25">
      <c r="A343" s="126" t="s">
        <v>420</v>
      </c>
      <c r="B343" s="126"/>
      <c r="C343" s="126"/>
      <c r="D343" s="126"/>
      <c r="E343" s="126"/>
      <c r="F343" s="126"/>
      <c r="G343" s="126"/>
      <c r="H343" s="126"/>
      <c r="J343" s="33"/>
    </row>
    <row r="344" spans="1:20" s="82" customFormat="1" x14ac:dyDescent="0.25">
      <c r="A344" s="127" t="s">
        <v>371</v>
      </c>
      <c r="B344" s="128"/>
      <c r="C344" s="128"/>
      <c r="D344" s="128"/>
      <c r="E344" s="128"/>
      <c r="F344" s="128"/>
      <c r="G344" s="128"/>
      <c r="H344" s="129"/>
      <c r="J344" s="33"/>
    </row>
    <row r="345" spans="1:20" s="82" customFormat="1" ht="15.75" customHeight="1" x14ac:dyDescent="0.25">
      <c r="A345" s="112">
        <v>1</v>
      </c>
      <c r="B345" s="113"/>
      <c r="C345" s="84" t="s">
        <v>375</v>
      </c>
      <c r="D345" s="88">
        <f>(82)*10.764</f>
        <v>882.64799999999991</v>
      </c>
      <c r="E345" s="88">
        <f>(0.9*3.75)*10.764</f>
        <v>36.328499999999998</v>
      </c>
      <c r="F345" s="84">
        <f>D345+E345</f>
        <v>918.97649999999987</v>
      </c>
      <c r="G345" s="88">
        <f>(4*2.15+0.5*4*0.4+2.55*5.3+3.75*3.45)*10.764</f>
        <v>385.91630999999995</v>
      </c>
      <c r="H345" s="84">
        <f>F345*(($H$342)+1)+(IF(G345&lt;101,G345,IF(G345&lt;201,G345/2,IF(G345&lt;=301,G345/3,G345/4))))</f>
        <v>1474.9438274999998</v>
      </c>
      <c r="I345" s="33"/>
      <c r="L345" s="111"/>
      <c r="M345" s="111"/>
      <c r="N345" s="33"/>
    </row>
    <row r="346" spans="1:20" s="82" customFormat="1" ht="15.75" customHeight="1" x14ac:dyDescent="0.25">
      <c r="A346" s="112">
        <f>A345+1</f>
        <v>2</v>
      </c>
      <c r="B346" s="113"/>
      <c r="C346" s="84" t="s">
        <v>360</v>
      </c>
      <c r="D346" s="88">
        <f>(60.31)*10.764</f>
        <v>649.17683999999997</v>
      </c>
      <c r="E346" s="88">
        <v>0</v>
      </c>
      <c r="F346" s="84">
        <f>D346+E346</f>
        <v>649.17683999999997</v>
      </c>
      <c r="G346" s="88">
        <f>(4*6.15+2.8*5.75)*10.764</f>
        <v>438.09480000000002</v>
      </c>
      <c r="H346" s="84">
        <f>F346*(($H$342)+1)+(IF(G346&lt;101,G346,IF(G346&lt;201,G346/2,IF(G346&lt;=301,G346/3,G346/4))))</f>
        <v>1083.2889599999999</v>
      </c>
      <c r="I346" s="33"/>
      <c r="L346" s="111"/>
      <c r="M346" s="111"/>
      <c r="N346" s="33"/>
    </row>
    <row r="347" spans="1:20" s="82" customFormat="1" ht="15.75" customHeight="1" x14ac:dyDescent="0.25">
      <c r="A347" s="112">
        <v>3</v>
      </c>
      <c r="B347" s="113"/>
      <c r="C347" s="84" t="s">
        <v>360</v>
      </c>
      <c r="D347" s="88">
        <f>(79.2)*10.764</f>
        <v>852.50879999999995</v>
      </c>
      <c r="E347" s="88">
        <v>0</v>
      </c>
      <c r="F347" s="84">
        <f>D347+E347</f>
        <v>852.50879999999995</v>
      </c>
      <c r="G347" s="88">
        <f>(1.7*1.9+2.3*3.35+4.2*5.95+2.3*5.45)*10.764</f>
        <v>521.62343999999985</v>
      </c>
      <c r="H347" s="84">
        <f>F347*(($H$342)+1)+(IF(G347&lt;101,G347,IF(G347&lt;201,G347/2,IF(G347&lt;=301,G347/3,G347/4))))</f>
        <v>1409.1690599999997</v>
      </c>
      <c r="I347" s="33"/>
      <c r="L347" s="111"/>
      <c r="M347" s="111"/>
      <c r="N347" s="33"/>
    </row>
    <row r="348" spans="1:20" s="82" customFormat="1" ht="15.75" customHeight="1" x14ac:dyDescent="0.25">
      <c r="A348" s="112">
        <v>5</v>
      </c>
      <c r="B348" s="113"/>
      <c r="C348" s="114" t="s">
        <v>377</v>
      </c>
      <c r="D348" s="115"/>
      <c r="E348" s="115"/>
      <c r="F348" s="115"/>
      <c r="G348" s="115"/>
      <c r="H348" s="116"/>
      <c r="I348" s="33"/>
      <c r="L348" s="111"/>
      <c r="M348" s="111"/>
      <c r="N348" s="33"/>
    </row>
    <row r="349" spans="1:20" s="82" customFormat="1" ht="15.75" customHeight="1" x14ac:dyDescent="0.25">
      <c r="A349" s="112">
        <f>A348+1</f>
        <v>6</v>
      </c>
      <c r="B349" s="113"/>
      <c r="C349" s="117"/>
      <c r="D349" s="118"/>
      <c r="E349" s="118"/>
      <c r="F349" s="118"/>
      <c r="G349" s="118"/>
      <c r="H349" s="119"/>
      <c r="I349" s="33"/>
      <c r="L349" s="111"/>
      <c r="M349" s="111"/>
      <c r="N349" s="33"/>
    </row>
    <row r="350" spans="1:20" s="82" customFormat="1" ht="15.75" customHeight="1" x14ac:dyDescent="0.25">
      <c r="A350" s="112">
        <f>A349+1</f>
        <v>7</v>
      </c>
      <c r="B350" s="113"/>
      <c r="C350" s="114" t="s">
        <v>367</v>
      </c>
      <c r="D350" s="115"/>
      <c r="E350" s="115"/>
      <c r="F350" s="115"/>
      <c r="G350" s="115"/>
      <c r="H350" s="116"/>
      <c r="I350" s="33"/>
      <c r="L350" s="111"/>
      <c r="M350" s="111"/>
      <c r="N350" s="33"/>
      <c r="T350" s="18"/>
    </row>
    <row r="351" spans="1:20" s="82" customFormat="1" ht="15.75" customHeight="1" x14ac:dyDescent="0.25">
      <c r="A351" s="112">
        <f>A350+1</f>
        <v>8</v>
      </c>
      <c r="B351" s="113"/>
      <c r="C351" s="117"/>
      <c r="D351" s="118"/>
      <c r="E351" s="118"/>
      <c r="F351" s="118"/>
      <c r="G351" s="118"/>
      <c r="H351" s="119"/>
      <c r="I351" s="33"/>
      <c r="L351" s="111"/>
      <c r="M351" s="111"/>
      <c r="N351" s="33"/>
      <c r="T351" s="18"/>
    </row>
    <row r="352" spans="1:20" s="82" customFormat="1" x14ac:dyDescent="0.25">
      <c r="A352" s="256" t="s">
        <v>378</v>
      </c>
      <c r="B352" s="257"/>
      <c r="C352" s="257"/>
      <c r="D352" s="257"/>
      <c r="E352" s="257"/>
      <c r="F352" s="257"/>
      <c r="G352" s="257"/>
      <c r="H352" s="258"/>
      <c r="J352" s="33">
        <v>8500</v>
      </c>
    </row>
    <row r="353" spans="1:20" s="82" customFormat="1" ht="15.75" customHeight="1" x14ac:dyDescent="0.25">
      <c r="A353" s="112">
        <v>1</v>
      </c>
      <c r="B353" s="113"/>
      <c r="C353" s="84" t="s">
        <v>375</v>
      </c>
      <c r="D353" s="88">
        <f>(82)*10.764</f>
        <v>882.64799999999991</v>
      </c>
      <c r="E353" s="88">
        <f>(0.9*(3+2.15+2.85+3.3+4.05))*10.764</f>
        <v>148.70466000000002</v>
      </c>
      <c r="F353" s="84">
        <f t="shared" ref="F353:F360" si="43">D353+E353</f>
        <v>1031.35266</v>
      </c>
      <c r="G353" s="84">
        <v>0</v>
      </c>
      <c r="H353" s="84">
        <f t="shared" ref="H353:H360" si="44">F353*(($H$342)+1)+(IF(G353&lt;101,G353,IF(G353&lt;201,G353/2,IF(G353&lt;=301,G353/3,G353/4))))</f>
        <v>1547.02899</v>
      </c>
      <c r="I353" s="33"/>
      <c r="J353" s="33">
        <f>J$352*H353</f>
        <v>13149746.415000001</v>
      </c>
      <c r="L353" s="111"/>
      <c r="M353" s="111"/>
      <c r="N353" s="33"/>
    </row>
    <row r="354" spans="1:20" s="82" customFormat="1" ht="15.75" customHeight="1" x14ac:dyDescent="0.25">
      <c r="A354" s="112">
        <f t="shared" ref="A354:A360" si="45">A353+1</f>
        <v>2</v>
      </c>
      <c r="B354" s="113"/>
      <c r="C354" s="84" t="s">
        <v>360</v>
      </c>
      <c r="D354" s="88">
        <f>(60.31)*10.764</f>
        <v>649.17683999999997</v>
      </c>
      <c r="E354" s="88">
        <f>(0.9*(3+2.25+3+3.05))*10.764</f>
        <v>109.46988000000002</v>
      </c>
      <c r="F354" s="84">
        <f t="shared" si="43"/>
        <v>758.64671999999996</v>
      </c>
      <c r="G354" s="84">
        <v>0</v>
      </c>
      <c r="H354" s="84">
        <f t="shared" si="44"/>
        <v>1137.9700800000001</v>
      </c>
      <c r="I354" s="33"/>
      <c r="J354" s="33">
        <f t="shared" ref="J354:J365" si="46">J$352*H354</f>
        <v>9672745.6799999997</v>
      </c>
      <c r="L354" s="111"/>
      <c r="M354" s="111"/>
      <c r="N354" s="33"/>
    </row>
    <row r="355" spans="1:20" s="82" customFormat="1" ht="15.75" customHeight="1" x14ac:dyDescent="0.25">
      <c r="A355" s="112">
        <f t="shared" si="45"/>
        <v>3</v>
      </c>
      <c r="B355" s="113"/>
      <c r="C355" s="84" t="s">
        <v>359</v>
      </c>
      <c r="D355" s="88">
        <f>(37.8)*10.764</f>
        <v>406.87919999999997</v>
      </c>
      <c r="E355" s="88">
        <f>(0.9*(2.9+2+2.8))*10.764</f>
        <v>74.594520000000003</v>
      </c>
      <c r="F355" s="84">
        <f t="shared" si="43"/>
        <v>481.47371999999996</v>
      </c>
      <c r="G355" s="84">
        <v>0</v>
      </c>
      <c r="H355" s="84">
        <f t="shared" si="44"/>
        <v>722.21057999999994</v>
      </c>
      <c r="I355" s="33"/>
      <c r="J355" s="33">
        <f t="shared" si="46"/>
        <v>6138789.9299999997</v>
      </c>
      <c r="L355" s="111"/>
      <c r="M355" s="111"/>
      <c r="N355" s="33"/>
    </row>
    <row r="356" spans="1:20" s="82" customFormat="1" ht="15.75" customHeight="1" x14ac:dyDescent="0.25">
      <c r="A356" s="112">
        <f t="shared" si="45"/>
        <v>4</v>
      </c>
      <c r="B356" s="113"/>
      <c r="C356" s="84" t="s">
        <v>359</v>
      </c>
      <c r="D356" s="88">
        <f>(37.8)*10.764</f>
        <v>406.87919999999997</v>
      </c>
      <c r="E356" s="88">
        <f>(0.9*(2.9+2+2.8))*10.764</f>
        <v>74.594520000000003</v>
      </c>
      <c r="F356" s="84">
        <f t="shared" si="43"/>
        <v>481.47371999999996</v>
      </c>
      <c r="G356" s="84">
        <v>0</v>
      </c>
      <c r="H356" s="84">
        <f t="shared" si="44"/>
        <v>722.21057999999994</v>
      </c>
      <c r="I356" s="33"/>
      <c r="J356" s="33">
        <f t="shared" si="46"/>
        <v>6138789.9299999997</v>
      </c>
      <c r="L356" s="111"/>
      <c r="M356" s="111"/>
      <c r="N356" s="33"/>
      <c r="T356" s="18"/>
    </row>
    <row r="357" spans="1:20" s="82" customFormat="1" ht="15.75" customHeight="1" x14ac:dyDescent="0.25">
      <c r="A357" s="112">
        <f t="shared" si="45"/>
        <v>5</v>
      </c>
      <c r="B357" s="113"/>
      <c r="C357" s="84" t="s">
        <v>359</v>
      </c>
      <c r="D357" s="88">
        <f>(37.8)*10.764</f>
        <v>406.87919999999997</v>
      </c>
      <c r="E357" s="88">
        <f>(0.9*(2.9+2+2.8))*10.764</f>
        <v>74.594520000000003</v>
      </c>
      <c r="F357" s="84">
        <f t="shared" si="43"/>
        <v>481.47371999999996</v>
      </c>
      <c r="G357" s="84">
        <v>0</v>
      </c>
      <c r="H357" s="84">
        <f t="shared" si="44"/>
        <v>722.21057999999994</v>
      </c>
      <c r="I357" s="33"/>
      <c r="J357" s="33">
        <f t="shared" si="46"/>
        <v>6138789.9299999997</v>
      </c>
      <c r="L357" s="111"/>
      <c r="M357" s="111"/>
      <c r="N357" s="33"/>
    </row>
    <row r="358" spans="1:20" s="82" customFormat="1" ht="15.75" customHeight="1" x14ac:dyDescent="0.25">
      <c r="A358" s="112">
        <f t="shared" si="45"/>
        <v>6</v>
      </c>
      <c r="B358" s="113"/>
      <c r="C358" s="84" t="s">
        <v>359</v>
      </c>
      <c r="D358" s="88">
        <f>(37.8)*10.764</f>
        <v>406.87919999999997</v>
      </c>
      <c r="E358" s="88">
        <f>(0.9*(2.9+2+2.8))*10.764</f>
        <v>74.594520000000003</v>
      </c>
      <c r="F358" s="84">
        <f t="shared" si="43"/>
        <v>481.47371999999996</v>
      </c>
      <c r="G358" s="84">
        <v>0</v>
      </c>
      <c r="H358" s="84">
        <f t="shared" si="44"/>
        <v>722.21057999999994</v>
      </c>
      <c r="I358" s="33"/>
      <c r="J358" s="33">
        <f t="shared" si="46"/>
        <v>6138789.9299999997</v>
      </c>
      <c r="L358" s="111"/>
      <c r="M358" s="111"/>
      <c r="N358" s="33"/>
    </row>
    <row r="359" spans="1:20" s="82" customFormat="1" ht="15.75" customHeight="1" x14ac:dyDescent="0.25">
      <c r="A359" s="112">
        <f t="shared" si="45"/>
        <v>7</v>
      </c>
      <c r="B359" s="113"/>
      <c r="C359" s="84" t="s">
        <v>360</v>
      </c>
      <c r="D359" s="88">
        <f>(60.31)*10.764</f>
        <v>649.17683999999997</v>
      </c>
      <c r="E359" s="88">
        <f>(0.9*(3+2.25+3+3.05))*10.764</f>
        <v>109.46988000000002</v>
      </c>
      <c r="F359" s="84">
        <f t="shared" si="43"/>
        <v>758.64671999999996</v>
      </c>
      <c r="G359" s="84">
        <v>0</v>
      </c>
      <c r="H359" s="84">
        <f t="shared" si="44"/>
        <v>1137.9700800000001</v>
      </c>
      <c r="I359" s="33"/>
      <c r="J359" s="33">
        <f t="shared" si="46"/>
        <v>9672745.6799999997</v>
      </c>
      <c r="L359" s="111"/>
      <c r="M359" s="111"/>
      <c r="N359" s="33"/>
      <c r="T359" s="18"/>
    </row>
    <row r="360" spans="1:20" s="82" customFormat="1" ht="15.75" customHeight="1" x14ac:dyDescent="0.25">
      <c r="A360" s="112">
        <f t="shared" si="45"/>
        <v>8</v>
      </c>
      <c r="B360" s="113"/>
      <c r="C360" s="84" t="s">
        <v>375</v>
      </c>
      <c r="D360" s="88">
        <f>(82)*10.764</f>
        <v>882.64799999999991</v>
      </c>
      <c r="E360" s="88">
        <f>(0.9*(3+2.15+2.85+3.3+4.05))*10.764</f>
        <v>148.70466000000002</v>
      </c>
      <c r="F360" s="84">
        <f t="shared" si="43"/>
        <v>1031.35266</v>
      </c>
      <c r="G360" s="84">
        <v>0</v>
      </c>
      <c r="H360" s="84">
        <f t="shared" si="44"/>
        <v>1547.02899</v>
      </c>
      <c r="I360" s="33">
        <f>11300000/H360</f>
        <v>7304.3233662996836</v>
      </c>
      <c r="J360" s="33">
        <f t="shared" si="46"/>
        <v>13149746.415000001</v>
      </c>
      <c r="L360" s="111"/>
      <c r="M360" s="111"/>
      <c r="N360" s="33"/>
      <c r="T360" s="18"/>
    </row>
    <row r="361" spans="1:20" s="82" customFormat="1" x14ac:dyDescent="0.25">
      <c r="A361" s="123" t="s">
        <v>379</v>
      </c>
      <c r="B361" s="124"/>
      <c r="C361" s="124"/>
      <c r="D361" s="124"/>
      <c r="E361" s="124"/>
      <c r="F361" s="124"/>
      <c r="G361" s="124"/>
      <c r="H361" s="125"/>
      <c r="J361" s="33">
        <f t="shared" si="46"/>
        <v>0</v>
      </c>
    </row>
    <row r="362" spans="1:20" s="82" customFormat="1" ht="15.75" customHeight="1" x14ac:dyDescent="0.25">
      <c r="A362" s="110">
        <v>1</v>
      </c>
      <c r="B362" s="110"/>
      <c r="C362" s="110" t="s">
        <v>380</v>
      </c>
      <c r="D362" s="110"/>
      <c r="E362" s="110"/>
      <c r="F362" s="110"/>
      <c r="G362" s="110"/>
      <c r="H362" s="110"/>
      <c r="I362" s="33"/>
      <c r="J362" s="33">
        <f t="shared" si="46"/>
        <v>0</v>
      </c>
      <c r="L362" s="111"/>
      <c r="M362" s="111"/>
      <c r="N362" s="33"/>
    </row>
    <row r="363" spans="1:20" s="82" customFormat="1" ht="15.75" customHeight="1" x14ac:dyDescent="0.25">
      <c r="A363" s="110">
        <f t="shared" ref="A363:A369" si="47">A362+1</f>
        <v>2</v>
      </c>
      <c r="B363" s="110"/>
      <c r="C363" s="98" t="s">
        <v>360</v>
      </c>
      <c r="D363" s="88">
        <f>(60.31)*10.764</f>
        <v>649.17683999999997</v>
      </c>
      <c r="E363" s="88">
        <f>(0.9*(3+2.25+3+3.05))*10.764</f>
        <v>109.46988000000002</v>
      </c>
      <c r="F363" s="98">
        <f t="shared" ref="F363:F369" si="48">D363+E363</f>
        <v>758.64671999999996</v>
      </c>
      <c r="G363" s="98">
        <v>0</v>
      </c>
      <c r="H363" s="98">
        <f t="shared" ref="H363:H369" si="49">F363*(($H$342)+1)+(IF(G363&lt;101,G363,IF(G363&lt;201,G363/2,IF(G363&lt;=301,G363/3,G363/4))))</f>
        <v>1137.9700800000001</v>
      </c>
      <c r="I363" s="33"/>
      <c r="J363" s="33">
        <f t="shared" si="46"/>
        <v>9672745.6799999997</v>
      </c>
      <c r="L363" s="111"/>
      <c r="M363" s="111"/>
      <c r="N363" s="33"/>
    </row>
    <row r="364" spans="1:20" s="82" customFormat="1" ht="15.75" customHeight="1" x14ac:dyDescent="0.25">
      <c r="A364" s="110">
        <f t="shared" si="47"/>
        <v>3</v>
      </c>
      <c r="B364" s="110"/>
      <c r="C364" s="98" t="s">
        <v>359</v>
      </c>
      <c r="D364" s="88">
        <f>(37.8)*10.764</f>
        <v>406.87919999999997</v>
      </c>
      <c r="E364" s="88">
        <f>(0.9*(2.9+2+2.8))*10.764</f>
        <v>74.594520000000003</v>
      </c>
      <c r="F364" s="98">
        <f t="shared" si="48"/>
        <v>481.47371999999996</v>
      </c>
      <c r="G364" s="98">
        <v>0</v>
      </c>
      <c r="H364" s="98">
        <f t="shared" si="49"/>
        <v>722.21057999999994</v>
      </c>
      <c r="I364" s="33"/>
      <c r="J364" s="33">
        <f t="shared" si="46"/>
        <v>6138789.9299999997</v>
      </c>
      <c r="L364" s="111"/>
      <c r="M364" s="111"/>
      <c r="N364" s="33"/>
    </row>
    <row r="365" spans="1:20" s="82" customFormat="1" ht="15.75" customHeight="1" x14ac:dyDescent="0.25">
      <c r="A365" s="110">
        <f t="shared" si="47"/>
        <v>4</v>
      </c>
      <c r="B365" s="110"/>
      <c r="C365" s="98" t="s">
        <v>359</v>
      </c>
      <c r="D365" s="88">
        <f>(37.8)*10.764</f>
        <v>406.87919999999997</v>
      </c>
      <c r="E365" s="88">
        <f>(0.9*(2.9+2+2.8))*10.764</f>
        <v>74.594520000000003</v>
      </c>
      <c r="F365" s="98">
        <f t="shared" si="48"/>
        <v>481.47371999999996</v>
      </c>
      <c r="G365" s="98">
        <v>0</v>
      </c>
      <c r="H365" s="98">
        <f t="shared" si="49"/>
        <v>722.21057999999994</v>
      </c>
      <c r="I365" s="33">
        <f>5094000/H365</f>
        <v>7053.3444691436125</v>
      </c>
      <c r="J365" s="33">
        <f t="shared" si="46"/>
        <v>6138789.9299999997</v>
      </c>
      <c r="L365" s="111"/>
      <c r="M365" s="111"/>
      <c r="N365" s="33"/>
      <c r="T365" s="18"/>
    </row>
    <row r="366" spans="1:20" s="82" customFormat="1" ht="15.75" customHeight="1" x14ac:dyDescent="0.25">
      <c r="A366" s="110">
        <f t="shared" si="47"/>
        <v>5</v>
      </c>
      <c r="B366" s="110"/>
      <c r="C366" s="98" t="s">
        <v>359</v>
      </c>
      <c r="D366" s="88">
        <f>(37.8)*10.764</f>
        <v>406.87919999999997</v>
      </c>
      <c r="E366" s="88">
        <f>(0.9*(2.9+2+2.8))*10.764</f>
        <v>74.594520000000003</v>
      </c>
      <c r="F366" s="98">
        <f t="shared" si="48"/>
        <v>481.47371999999996</v>
      </c>
      <c r="G366" s="98">
        <v>0</v>
      </c>
      <c r="H366" s="98">
        <f t="shared" si="49"/>
        <v>722.21057999999994</v>
      </c>
      <c r="I366" s="33"/>
      <c r="L366" s="111"/>
      <c r="M366" s="111"/>
      <c r="N366" s="33"/>
    </row>
    <row r="367" spans="1:20" s="82" customFormat="1" ht="15.75" customHeight="1" x14ac:dyDescent="0.25">
      <c r="A367" s="110">
        <f t="shared" si="47"/>
        <v>6</v>
      </c>
      <c r="B367" s="110"/>
      <c r="C367" s="98" t="s">
        <v>359</v>
      </c>
      <c r="D367" s="88">
        <f>(37.8)*10.764</f>
        <v>406.87919999999997</v>
      </c>
      <c r="E367" s="88">
        <f>(0.9*(2.9+2+2.8))*10.764</f>
        <v>74.594520000000003</v>
      </c>
      <c r="F367" s="98">
        <f t="shared" si="48"/>
        <v>481.47371999999996</v>
      </c>
      <c r="G367" s="98">
        <v>0</v>
      </c>
      <c r="H367" s="98">
        <f t="shared" si="49"/>
        <v>722.21057999999994</v>
      </c>
      <c r="I367" s="33"/>
      <c r="L367" s="111"/>
      <c r="M367" s="111"/>
      <c r="N367" s="33"/>
    </row>
    <row r="368" spans="1:20" s="82" customFormat="1" ht="15.75" customHeight="1" x14ac:dyDescent="0.25">
      <c r="A368" s="110">
        <f t="shared" si="47"/>
        <v>7</v>
      </c>
      <c r="B368" s="110"/>
      <c r="C368" s="98" t="s">
        <v>360</v>
      </c>
      <c r="D368" s="88">
        <f>(60.31)*10.764</f>
        <v>649.17683999999997</v>
      </c>
      <c r="E368" s="88">
        <f>(0.9*(3+2.25+3+3.05))*10.764</f>
        <v>109.46988000000002</v>
      </c>
      <c r="F368" s="98">
        <f t="shared" si="48"/>
        <v>758.64671999999996</v>
      </c>
      <c r="G368" s="98">
        <v>0</v>
      </c>
      <c r="H368" s="98">
        <f t="shared" si="49"/>
        <v>1137.9700800000001</v>
      </c>
      <c r="I368" s="33"/>
      <c r="L368" s="111"/>
      <c r="M368" s="111"/>
      <c r="N368" s="33"/>
      <c r="T368" s="18"/>
    </row>
    <row r="369" spans="1:20" s="82" customFormat="1" ht="15.75" customHeight="1" x14ac:dyDescent="0.25">
      <c r="A369" s="110">
        <f t="shared" si="47"/>
        <v>8</v>
      </c>
      <c r="B369" s="110"/>
      <c r="C369" s="98" t="s">
        <v>375</v>
      </c>
      <c r="D369" s="88">
        <f>(82)*10.764</f>
        <v>882.64799999999991</v>
      </c>
      <c r="E369" s="88">
        <f>(0.9*(3+2.15+2.85+3.3+4.05))*10.764</f>
        <v>148.70466000000002</v>
      </c>
      <c r="F369" s="98">
        <f t="shared" si="48"/>
        <v>1031.35266</v>
      </c>
      <c r="G369" s="98">
        <v>0</v>
      </c>
      <c r="H369" s="98">
        <f t="shared" si="49"/>
        <v>1547.02899</v>
      </c>
      <c r="I369" s="33"/>
      <c r="L369" s="111"/>
      <c r="M369" s="111"/>
      <c r="N369" s="33"/>
      <c r="T369" s="18"/>
    </row>
    <row r="370" spans="1:20" s="82" customFormat="1" x14ac:dyDescent="0.25">
      <c r="A370" s="192" t="s">
        <v>381</v>
      </c>
      <c r="B370" s="192"/>
      <c r="C370" s="192"/>
      <c r="D370" s="192"/>
      <c r="E370" s="192"/>
      <c r="F370" s="192"/>
      <c r="G370" s="192"/>
      <c r="H370" s="192"/>
      <c r="J370" s="33"/>
    </row>
    <row r="371" spans="1:20" s="82" customFormat="1" ht="15.75" customHeight="1" x14ac:dyDescent="0.25">
      <c r="A371" s="110">
        <v>1</v>
      </c>
      <c r="B371" s="110"/>
      <c r="C371" s="98" t="s">
        <v>375</v>
      </c>
      <c r="D371" s="88">
        <f>(83.03)*10.764</f>
        <v>893.73491999999999</v>
      </c>
      <c r="E371" s="88">
        <f>(0.9*(3.1+2.25+2.95+3.3+4.15))*10.764</f>
        <v>152.57970000000003</v>
      </c>
      <c r="F371" s="98">
        <f t="shared" ref="F371:F378" si="50">D371+E371</f>
        <v>1046.3146200000001</v>
      </c>
      <c r="G371" s="98">
        <v>0</v>
      </c>
      <c r="H371" s="98">
        <f t="shared" ref="H371:H378" si="51">F371*(($H$342)+1)+(IF(G371&lt;101,G371,IF(G371&lt;201,G371/2,IF(G371&lt;=301,G371/3,G371/4))))</f>
        <v>1569.4719300000002</v>
      </c>
      <c r="I371" s="33"/>
      <c r="L371" s="111"/>
      <c r="M371" s="111"/>
      <c r="N371" s="33"/>
    </row>
    <row r="372" spans="1:20" s="82" customFormat="1" ht="15.75" customHeight="1" x14ac:dyDescent="0.25">
      <c r="A372" s="112">
        <f t="shared" ref="A372:A378" si="52">A371+1</f>
        <v>2</v>
      </c>
      <c r="B372" s="113"/>
      <c r="C372" s="84" t="s">
        <v>360</v>
      </c>
      <c r="D372" s="88">
        <f>(60.39)*10.764</f>
        <v>650.03796</v>
      </c>
      <c r="E372" s="88">
        <f>(0.9*(3.1+2.25+3+3.05))*10.764</f>
        <v>110.43863999999999</v>
      </c>
      <c r="F372" s="84">
        <f t="shared" si="50"/>
        <v>760.47659999999996</v>
      </c>
      <c r="G372" s="84">
        <v>0</v>
      </c>
      <c r="H372" s="84">
        <f t="shared" si="51"/>
        <v>1140.7148999999999</v>
      </c>
      <c r="I372" s="33">
        <f>7600000/H372</f>
        <v>6662.4885850092787</v>
      </c>
      <c r="L372" s="111"/>
      <c r="M372" s="111"/>
      <c r="N372" s="33"/>
    </row>
    <row r="373" spans="1:20" s="82" customFormat="1" ht="15.75" customHeight="1" x14ac:dyDescent="0.25">
      <c r="A373" s="112">
        <f t="shared" si="52"/>
        <v>3</v>
      </c>
      <c r="B373" s="113"/>
      <c r="C373" s="84" t="s">
        <v>359</v>
      </c>
      <c r="D373" s="88">
        <f>(37.87)*10.764</f>
        <v>407.63267999999994</v>
      </c>
      <c r="E373" s="88">
        <f>(0.9*(2.9+2.1+2.8))*10.764</f>
        <v>75.563279999999992</v>
      </c>
      <c r="F373" s="84">
        <f t="shared" si="50"/>
        <v>483.1959599999999</v>
      </c>
      <c r="G373" s="84">
        <v>0</v>
      </c>
      <c r="H373" s="84">
        <f t="shared" si="51"/>
        <v>724.79393999999979</v>
      </c>
      <c r="I373" s="33"/>
      <c r="L373" s="111"/>
      <c r="M373" s="111"/>
      <c r="N373" s="33"/>
    </row>
    <row r="374" spans="1:20" s="82" customFormat="1" ht="15.75" customHeight="1" x14ac:dyDescent="0.25">
      <c r="A374" s="112">
        <f t="shared" si="52"/>
        <v>4</v>
      </c>
      <c r="B374" s="113"/>
      <c r="C374" s="84" t="s">
        <v>359</v>
      </c>
      <c r="D374" s="88">
        <f>(37.87)*10.764</f>
        <v>407.63267999999994</v>
      </c>
      <c r="E374" s="88">
        <f>(0.9*(2.9+2.1+2.8))*10.764</f>
        <v>75.563279999999992</v>
      </c>
      <c r="F374" s="84">
        <f t="shared" si="50"/>
        <v>483.1959599999999</v>
      </c>
      <c r="G374" s="84">
        <v>0</v>
      </c>
      <c r="H374" s="84">
        <f t="shared" si="51"/>
        <v>724.79393999999979</v>
      </c>
      <c r="I374" s="33"/>
      <c r="L374" s="111"/>
      <c r="M374" s="111"/>
      <c r="N374" s="33"/>
      <c r="T374" s="18"/>
    </row>
    <row r="375" spans="1:20" s="82" customFormat="1" ht="15.75" customHeight="1" x14ac:dyDescent="0.25">
      <c r="A375" s="112">
        <f t="shared" si="52"/>
        <v>5</v>
      </c>
      <c r="B375" s="113"/>
      <c r="C375" s="84" t="s">
        <v>359</v>
      </c>
      <c r="D375" s="88">
        <f>(37.87)*10.764</f>
        <v>407.63267999999994</v>
      </c>
      <c r="E375" s="88">
        <f>(0.9*(2.9+2.1+2.8))*10.764</f>
        <v>75.563279999999992</v>
      </c>
      <c r="F375" s="84">
        <f t="shared" si="50"/>
        <v>483.1959599999999</v>
      </c>
      <c r="G375" s="84">
        <v>0</v>
      </c>
      <c r="H375" s="84">
        <f t="shared" si="51"/>
        <v>724.79393999999979</v>
      </c>
      <c r="I375" s="33">
        <f>556600000/H375</f>
        <v>767942.40305044514</v>
      </c>
      <c r="L375" s="111"/>
      <c r="M375" s="111"/>
      <c r="N375" s="33"/>
    </row>
    <row r="376" spans="1:20" s="82" customFormat="1" ht="15.75" customHeight="1" x14ac:dyDescent="0.25">
      <c r="A376" s="112">
        <f t="shared" si="52"/>
        <v>6</v>
      </c>
      <c r="B376" s="113"/>
      <c r="C376" s="84" t="s">
        <v>359</v>
      </c>
      <c r="D376" s="88">
        <f>(37.87)*10.764</f>
        <v>407.63267999999994</v>
      </c>
      <c r="E376" s="88">
        <f>(0.9*(2.9+2.1+2.8))*10.764</f>
        <v>75.563279999999992</v>
      </c>
      <c r="F376" s="84">
        <f t="shared" si="50"/>
        <v>483.1959599999999</v>
      </c>
      <c r="G376" s="84">
        <v>0</v>
      </c>
      <c r="H376" s="84">
        <f t="shared" si="51"/>
        <v>724.79393999999979</v>
      </c>
      <c r="I376" s="33"/>
      <c r="L376" s="111"/>
      <c r="M376" s="111"/>
      <c r="N376" s="33"/>
    </row>
    <row r="377" spans="1:20" s="82" customFormat="1" ht="15.75" customHeight="1" x14ac:dyDescent="0.25">
      <c r="A377" s="112">
        <f t="shared" si="52"/>
        <v>7</v>
      </c>
      <c r="B377" s="113"/>
      <c r="C377" s="84" t="s">
        <v>360</v>
      </c>
      <c r="D377" s="88">
        <f>(60.39)*10.764</f>
        <v>650.03796</v>
      </c>
      <c r="E377" s="88">
        <f>(0.9*(3+2.25+3+3.05))*10.764</f>
        <v>109.46988000000002</v>
      </c>
      <c r="F377" s="84">
        <f t="shared" si="50"/>
        <v>759.50783999999999</v>
      </c>
      <c r="G377" s="84">
        <v>0</v>
      </c>
      <c r="H377" s="84">
        <f t="shared" si="51"/>
        <v>1139.2617599999999</v>
      </c>
      <c r="I377" s="33"/>
      <c r="L377" s="111"/>
      <c r="M377" s="111"/>
      <c r="N377" s="33"/>
      <c r="T377" s="18"/>
    </row>
    <row r="378" spans="1:20" s="82" customFormat="1" ht="15.75" customHeight="1" x14ac:dyDescent="0.25">
      <c r="A378" s="112">
        <f t="shared" si="52"/>
        <v>8</v>
      </c>
      <c r="B378" s="113"/>
      <c r="C378" s="84" t="s">
        <v>375</v>
      </c>
      <c r="D378" s="88">
        <f>(83.03)*10.764</f>
        <v>893.73491999999999</v>
      </c>
      <c r="E378" s="88">
        <f>(0.9*(3.1+2.25+2.95+3.3+4.15))*10.764</f>
        <v>152.57970000000003</v>
      </c>
      <c r="F378" s="84">
        <f t="shared" si="50"/>
        <v>1046.3146200000001</v>
      </c>
      <c r="G378" s="84">
        <v>0</v>
      </c>
      <c r="H378" s="84">
        <f t="shared" si="51"/>
        <v>1569.4719300000002</v>
      </c>
      <c r="I378" s="33"/>
      <c r="L378" s="111"/>
      <c r="M378" s="111"/>
      <c r="N378" s="33"/>
      <c r="T378" s="18"/>
    </row>
    <row r="379" spans="1:20" s="77" customFormat="1" x14ac:dyDescent="0.25">
      <c r="A379" s="262" t="s">
        <v>421</v>
      </c>
      <c r="B379" s="262"/>
      <c r="C379" s="262"/>
      <c r="D379" s="262"/>
      <c r="E379" s="262"/>
      <c r="F379" s="262"/>
      <c r="G379" s="262"/>
      <c r="H379" s="262"/>
      <c r="J379" s="33"/>
    </row>
    <row r="380" spans="1:20" s="77" customFormat="1" x14ac:dyDescent="0.25">
      <c r="A380" s="192" t="s">
        <v>356</v>
      </c>
      <c r="B380" s="192"/>
      <c r="C380" s="192"/>
      <c r="D380" s="192"/>
      <c r="E380" s="192"/>
      <c r="F380" s="192"/>
      <c r="G380" s="192"/>
      <c r="H380" s="192"/>
      <c r="J380" s="33"/>
    </row>
    <row r="381" spans="1:20" s="77" customFormat="1" x14ac:dyDescent="0.25">
      <c r="A381" s="192" t="s">
        <v>372</v>
      </c>
      <c r="B381" s="192"/>
      <c r="C381" s="192"/>
      <c r="D381" s="192"/>
      <c r="E381" s="192"/>
      <c r="F381" s="192"/>
      <c r="G381" s="192"/>
      <c r="H381" s="192"/>
      <c r="J381" s="33"/>
    </row>
    <row r="382" spans="1:20" s="77" customFormat="1" ht="15.75" customHeight="1" x14ac:dyDescent="0.25">
      <c r="A382" s="110">
        <v>1</v>
      </c>
      <c r="B382" s="110"/>
      <c r="C382" s="110" t="s">
        <v>369</v>
      </c>
      <c r="D382" s="110"/>
      <c r="E382" s="110"/>
      <c r="F382" s="110"/>
      <c r="G382" s="110"/>
      <c r="H382" s="110"/>
      <c r="I382" s="33"/>
      <c r="L382" s="111"/>
      <c r="M382" s="111"/>
      <c r="N382" s="33"/>
    </row>
    <row r="383" spans="1:20" s="77" customFormat="1" ht="15.75" customHeight="1" x14ac:dyDescent="0.25">
      <c r="A383" s="110">
        <f t="shared" ref="A383:A388" si="53">A382+1</f>
        <v>2</v>
      </c>
      <c r="B383" s="110"/>
      <c r="C383" s="110"/>
      <c r="D383" s="110"/>
      <c r="E383" s="110"/>
      <c r="F383" s="110"/>
      <c r="G383" s="110"/>
      <c r="H383" s="110"/>
      <c r="I383" s="33"/>
      <c r="L383" s="111"/>
      <c r="M383" s="111"/>
      <c r="N383" s="33"/>
    </row>
    <row r="384" spans="1:20" s="77" customFormat="1" ht="15.75" customHeight="1" x14ac:dyDescent="0.25">
      <c r="A384" s="110">
        <f t="shared" si="53"/>
        <v>3</v>
      </c>
      <c r="B384" s="110"/>
      <c r="C384" s="106" t="s">
        <v>359</v>
      </c>
      <c r="D384" s="88">
        <f>(38.71)*10.764</f>
        <v>416.67444</v>
      </c>
      <c r="E384" s="88">
        <f>(0.9*(2.9+2.1+2.7))*10.764</f>
        <v>74.594520000000003</v>
      </c>
      <c r="F384" s="106">
        <f>D384+E384</f>
        <v>491.26895999999999</v>
      </c>
      <c r="G384" s="106">
        <v>0</v>
      </c>
      <c r="H384" s="106">
        <f>F384*(($H$342)+1)+(IF(G384&lt;101,G384,IF(G384&lt;201,G384/2,IF(G384&lt;=301,G384/3,G384/4))))</f>
        <v>736.90344000000005</v>
      </c>
      <c r="I384" s="33">
        <f>2.9*4.35+1.93*1.05+2.1*2.25+2.7*3.3+2.1*1.2+2.1*1.2+0.9*2.15</f>
        <v>35.2515</v>
      </c>
      <c r="L384" s="111"/>
      <c r="M384" s="111"/>
      <c r="N384" s="33"/>
    </row>
    <row r="385" spans="1:20" s="77" customFormat="1" ht="15.75" customHeight="1" x14ac:dyDescent="0.25">
      <c r="A385" s="110">
        <f t="shared" si="53"/>
        <v>4</v>
      </c>
      <c r="B385" s="110"/>
      <c r="C385" s="106" t="s">
        <v>359</v>
      </c>
      <c r="D385" s="88">
        <f>(39.04)*10.764</f>
        <v>420.22655999999995</v>
      </c>
      <c r="E385" s="88">
        <f>(0.9*(2.9+2.1+2.8))*10.764</f>
        <v>75.563279999999992</v>
      </c>
      <c r="F385" s="106">
        <f>D385+E385</f>
        <v>495.78983999999991</v>
      </c>
      <c r="G385" s="106">
        <v>0</v>
      </c>
      <c r="H385" s="106">
        <f>F385*(($H$342)+1)+(IF(G385&lt;101,G385,IF(G385&lt;201,G385/2,IF(G385&lt;=301,G385/3,G385/4))))</f>
        <v>743.68475999999987</v>
      </c>
      <c r="I385" s="33"/>
      <c r="L385" s="111"/>
      <c r="M385" s="111"/>
      <c r="N385" s="33"/>
      <c r="T385" s="18"/>
    </row>
    <row r="386" spans="1:20" s="77" customFormat="1" ht="15.75" customHeight="1" x14ac:dyDescent="0.25">
      <c r="A386" s="110">
        <f t="shared" si="53"/>
        <v>5</v>
      </c>
      <c r="B386" s="110"/>
      <c r="C386" s="106" t="s">
        <v>360</v>
      </c>
      <c r="D386" s="88">
        <f>(59.48)*10.764</f>
        <v>640.24271999999996</v>
      </c>
      <c r="E386" s="88">
        <f>(0.9*(3.05+2.25+3.05+2.95))*10.764</f>
        <v>109.46988000000002</v>
      </c>
      <c r="F386" s="106">
        <f>D386+E386</f>
        <v>749.71259999999995</v>
      </c>
      <c r="G386" s="106">
        <v>0</v>
      </c>
      <c r="H386" s="106">
        <f>F386*(($H$342)+1)+(IF(G386&lt;101,G386,IF(G386&lt;201,G386/2,IF(G386&lt;=301,G386/3,G386/4))))</f>
        <v>1124.5689</v>
      </c>
      <c r="I386" s="33"/>
      <c r="L386" s="111"/>
      <c r="M386" s="111"/>
      <c r="N386" s="33"/>
      <c r="T386" s="18"/>
    </row>
    <row r="387" spans="1:20" s="82" customFormat="1" ht="15.75" customHeight="1" x14ac:dyDescent="0.25">
      <c r="A387" s="110">
        <f t="shared" si="53"/>
        <v>6</v>
      </c>
      <c r="B387" s="110"/>
      <c r="C387" s="110" t="s">
        <v>363</v>
      </c>
      <c r="D387" s="110"/>
      <c r="E387" s="110"/>
      <c r="F387" s="110"/>
      <c r="G387" s="110"/>
      <c r="H387" s="110"/>
      <c r="I387" s="33"/>
      <c r="L387" s="111"/>
      <c r="M387" s="111"/>
      <c r="N387" s="33"/>
      <c r="T387" s="18"/>
    </row>
    <row r="388" spans="1:20" s="82" customFormat="1" ht="15.75" customHeight="1" x14ac:dyDescent="0.25">
      <c r="A388" s="110">
        <f t="shared" si="53"/>
        <v>7</v>
      </c>
      <c r="B388" s="110"/>
      <c r="C388" s="110"/>
      <c r="D388" s="110"/>
      <c r="E388" s="110"/>
      <c r="F388" s="110"/>
      <c r="G388" s="110"/>
      <c r="H388" s="110"/>
      <c r="I388" s="33"/>
      <c r="L388" s="111"/>
      <c r="M388" s="111"/>
      <c r="N388" s="33"/>
      <c r="T388" s="18"/>
    </row>
    <row r="389" spans="1:20" s="77" customFormat="1" x14ac:dyDescent="0.25">
      <c r="A389" s="192" t="s">
        <v>117</v>
      </c>
      <c r="B389" s="192"/>
      <c r="C389" s="192"/>
      <c r="D389" s="192"/>
      <c r="E389" s="192"/>
      <c r="F389" s="192"/>
      <c r="G389" s="192"/>
      <c r="H389" s="192"/>
      <c r="J389" s="33"/>
    </row>
    <row r="390" spans="1:20" s="77" customFormat="1" ht="15.75" customHeight="1" x14ac:dyDescent="0.25">
      <c r="A390" s="112">
        <v>1</v>
      </c>
      <c r="B390" s="113"/>
      <c r="C390" s="114" t="s">
        <v>369</v>
      </c>
      <c r="D390" s="115"/>
      <c r="E390" s="115"/>
      <c r="F390" s="115"/>
      <c r="G390" s="115"/>
      <c r="H390" s="116"/>
      <c r="I390" s="33"/>
      <c r="L390" s="111"/>
      <c r="M390" s="111"/>
      <c r="N390" s="33"/>
    </row>
    <row r="391" spans="1:20" s="77" customFormat="1" ht="15.75" customHeight="1" x14ac:dyDescent="0.25">
      <c r="A391" s="112">
        <f t="shared" ref="A391:A396" si="54">A390+1</f>
        <v>2</v>
      </c>
      <c r="B391" s="113"/>
      <c r="C391" s="117"/>
      <c r="D391" s="118"/>
      <c r="E391" s="118"/>
      <c r="F391" s="118"/>
      <c r="G391" s="118"/>
      <c r="H391" s="119"/>
      <c r="I391" s="33"/>
      <c r="L391" s="111"/>
      <c r="M391" s="111"/>
      <c r="N391" s="33"/>
    </row>
    <row r="392" spans="1:20" s="77" customFormat="1" ht="15.75" customHeight="1" x14ac:dyDescent="0.25">
      <c r="A392" s="112">
        <f t="shared" si="54"/>
        <v>3</v>
      </c>
      <c r="B392" s="113"/>
      <c r="C392" s="78" t="s">
        <v>359</v>
      </c>
      <c r="D392" s="88">
        <f>(38.71)*10.764</f>
        <v>416.67444</v>
      </c>
      <c r="E392" s="88">
        <f>(0.9*(2.9+2.1+2.7))*10.764</f>
        <v>74.594520000000003</v>
      </c>
      <c r="F392" s="78">
        <f>D392+E392</f>
        <v>491.26895999999999</v>
      </c>
      <c r="G392" s="78">
        <v>0</v>
      </c>
      <c r="H392" s="78">
        <f>F392*(($H$342)+1)+(IF(G392&lt;101,G392,IF(G392&lt;201,G392/2,IF(G392&lt;=301,G392/3,G392/4))))</f>
        <v>736.90344000000005</v>
      </c>
      <c r="I392" s="33"/>
      <c r="L392" s="111"/>
      <c r="M392" s="111"/>
      <c r="N392" s="33"/>
    </row>
    <row r="393" spans="1:20" s="77" customFormat="1" ht="15.75" customHeight="1" x14ac:dyDescent="0.25">
      <c r="A393" s="112">
        <f t="shared" si="54"/>
        <v>4</v>
      </c>
      <c r="B393" s="113"/>
      <c r="C393" s="78" t="s">
        <v>359</v>
      </c>
      <c r="D393" s="88">
        <f>(39.04)*10.764</f>
        <v>420.22655999999995</v>
      </c>
      <c r="E393" s="88">
        <f>(0.9*(2.9+2.1+2.8))*10.764</f>
        <v>75.563279999999992</v>
      </c>
      <c r="F393" s="78">
        <f>D393+E393</f>
        <v>495.78983999999991</v>
      </c>
      <c r="G393" s="78">
        <v>0</v>
      </c>
      <c r="H393" s="78">
        <f>F393*(($H$342)+1)+(IF(G393&lt;101,G393,IF(G393&lt;201,G393/2,IF(G393&lt;=301,G393/3,G393/4))))</f>
        <v>743.68475999999987</v>
      </c>
      <c r="I393" s="33"/>
      <c r="L393" s="111"/>
      <c r="M393" s="111"/>
      <c r="N393" s="33"/>
      <c r="T393" s="18"/>
    </row>
    <row r="394" spans="1:20" s="77" customFormat="1" ht="15.75" customHeight="1" x14ac:dyDescent="0.25">
      <c r="A394" s="112">
        <f t="shared" si="54"/>
        <v>5</v>
      </c>
      <c r="B394" s="113"/>
      <c r="C394" s="78" t="s">
        <v>360</v>
      </c>
      <c r="D394" s="88">
        <f>(59.48)*10.764</f>
        <v>640.24271999999996</v>
      </c>
      <c r="E394" s="88">
        <f>(0.9*(3.05+2.25+3.05+2.95))*10.764</f>
        <v>109.46988000000002</v>
      </c>
      <c r="F394" s="78">
        <f>D394+E394</f>
        <v>749.71259999999995</v>
      </c>
      <c r="G394" s="78">
        <v>0</v>
      </c>
      <c r="H394" s="78">
        <f>F394*(($H$342)+1)+(IF(G394&lt;101,G394,IF(G394&lt;201,G394/2,IF(G394&lt;=301,G394/3,G394/4))))</f>
        <v>1124.5689</v>
      </c>
      <c r="I394" s="33"/>
      <c r="L394" s="111"/>
      <c r="M394" s="111"/>
      <c r="N394" s="33"/>
      <c r="T394" s="18"/>
    </row>
    <row r="395" spans="1:20" s="82" customFormat="1" ht="15.75" customHeight="1" x14ac:dyDescent="0.25">
      <c r="A395" s="112">
        <f t="shared" si="54"/>
        <v>6</v>
      </c>
      <c r="B395" s="113"/>
      <c r="C395" s="114" t="s">
        <v>362</v>
      </c>
      <c r="D395" s="115"/>
      <c r="E395" s="115"/>
      <c r="F395" s="115"/>
      <c r="G395" s="115"/>
      <c r="H395" s="116"/>
      <c r="I395" s="33"/>
      <c r="L395" s="111"/>
      <c r="M395" s="111"/>
      <c r="N395" s="33"/>
      <c r="T395" s="18"/>
    </row>
    <row r="396" spans="1:20" s="82" customFormat="1" ht="15.75" customHeight="1" x14ac:dyDescent="0.25">
      <c r="A396" s="112">
        <f t="shared" si="54"/>
        <v>7</v>
      </c>
      <c r="B396" s="113"/>
      <c r="C396" s="117"/>
      <c r="D396" s="118"/>
      <c r="E396" s="118"/>
      <c r="F396" s="118"/>
      <c r="G396" s="118"/>
      <c r="H396" s="119"/>
      <c r="I396" s="33"/>
      <c r="L396" s="111"/>
      <c r="M396" s="111"/>
      <c r="N396" s="33"/>
      <c r="T396" s="18"/>
    </row>
    <row r="397" spans="1:20" s="80" customFormat="1" x14ac:dyDescent="0.25">
      <c r="A397" s="123" t="s">
        <v>364</v>
      </c>
      <c r="B397" s="124"/>
      <c r="C397" s="124"/>
      <c r="D397" s="124"/>
      <c r="E397" s="124"/>
      <c r="F397" s="124"/>
      <c r="G397" s="124"/>
      <c r="H397" s="125"/>
      <c r="J397" s="33"/>
    </row>
    <row r="398" spans="1:20" s="80" customFormat="1" ht="15.75" customHeight="1" x14ac:dyDescent="0.25">
      <c r="A398" s="112">
        <v>1</v>
      </c>
      <c r="B398" s="113"/>
      <c r="C398" s="114" t="s">
        <v>369</v>
      </c>
      <c r="D398" s="115"/>
      <c r="E398" s="115"/>
      <c r="F398" s="115"/>
      <c r="G398" s="115"/>
      <c r="H398" s="116"/>
      <c r="I398" s="33"/>
      <c r="L398" s="111"/>
      <c r="M398" s="111"/>
      <c r="N398" s="33"/>
    </row>
    <row r="399" spans="1:20" s="80" customFormat="1" ht="15.75" customHeight="1" x14ac:dyDescent="0.25">
      <c r="A399" s="112">
        <f t="shared" ref="A399:A404" si="55">A398+1</f>
        <v>2</v>
      </c>
      <c r="B399" s="113"/>
      <c r="C399" s="117"/>
      <c r="D399" s="118"/>
      <c r="E399" s="118"/>
      <c r="F399" s="118"/>
      <c r="G399" s="118"/>
      <c r="H399" s="119"/>
      <c r="I399" s="33"/>
      <c r="L399" s="111"/>
      <c r="M399" s="111"/>
      <c r="N399" s="33"/>
    </row>
    <row r="400" spans="1:20" s="80" customFormat="1" ht="15.75" customHeight="1" x14ac:dyDescent="0.25">
      <c r="A400" s="112">
        <f t="shared" si="55"/>
        <v>3</v>
      </c>
      <c r="B400" s="113"/>
      <c r="C400" s="79" t="s">
        <v>359</v>
      </c>
      <c r="D400" s="88">
        <f>(38.71)*10.764</f>
        <v>416.67444</v>
      </c>
      <c r="E400" s="88">
        <f>(0.9*(2.9+2.1+2.7))*10.764</f>
        <v>74.594520000000003</v>
      </c>
      <c r="F400" s="79">
        <f>D400+E400</f>
        <v>491.26895999999999</v>
      </c>
      <c r="G400" s="79">
        <v>0</v>
      </c>
      <c r="H400" s="79">
        <f>F400*(($H$342)+1)+(IF(G400&lt;101,G400,IF(G400&lt;201,G400/2,IF(G400&lt;=301,G400/3,G400/4))))</f>
        <v>736.90344000000005</v>
      </c>
      <c r="I400" s="33"/>
      <c r="L400" s="111"/>
      <c r="M400" s="111"/>
      <c r="N400" s="33"/>
    </row>
    <row r="401" spans="1:20" s="80" customFormat="1" ht="15.75" customHeight="1" x14ac:dyDescent="0.25">
      <c r="A401" s="112">
        <f t="shared" si="55"/>
        <v>4</v>
      </c>
      <c r="B401" s="113"/>
      <c r="C401" s="79" t="s">
        <v>359</v>
      </c>
      <c r="D401" s="88">
        <f>(39.04)*10.764</f>
        <v>420.22655999999995</v>
      </c>
      <c r="E401" s="88">
        <f>(0.9*(2.9+2.1+2.8))*10.764</f>
        <v>75.563279999999992</v>
      </c>
      <c r="F401" s="79">
        <f>D401+E401</f>
        <v>495.78983999999991</v>
      </c>
      <c r="G401" s="79">
        <v>0</v>
      </c>
      <c r="H401" s="79">
        <f>F401*(($H$342)+1)+(IF(G401&lt;101,G401,IF(G401&lt;201,G401/2,IF(G401&lt;=301,G401/3,G401/4))))</f>
        <v>743.68475999999987</v>
      </c>
      <c r="I401" s="33"/>
      <c r="L401" s="111"/>
      <c r="M401" s="111"/>
      <c r="N401" s="33"/>
      <c r="T401" s="18"/>
    </row>
    <row r="402" spans="1:20" s="80" customFormat="1" ht="15.75" customHeight="1" x14ac:dyDescent="0.25">
      <c r="A402" s="112">
        <f t="shared" si="55"/>
        <v>5</v>
      </c>
      <c r="B402" s="113"/>
      <c r="C402" s="79" t="s">
        <v>360</v>
      </c>
      <c r="D402" s="88">
        <f>(59.48)*10.764</f>
        <v>640.24271999999996</v>
      </c>
      <c r="E402" s="88">
        <f>(0.9*(3.05+2.25+3.05+2.95))*10.764</f>
        <v>109.46988000000002</v>
      </c>
      <c r="F402" s="79">
        <f>D402+E402</f>
        <v>749.71259999999995</v>
      </c>
      <c r="G402" s="79">
        <v>0</v>
      </c>
      <c r="H402" s="79">
        <f>F402*(($H$342)+1)+(IF(G402&lt;101,G402,IF(G402&lt;201,G402/2,IF(G402&lt;=301,G402/3,G402/4))))</f>
        <v>1124.5689</v>
      </c>
      <c r="I402" s="33"/>
      <c r="L402" s="111"/>
      <c r="M402" s="111"/>
      <c r="N402" s="33"/>
      <c r="T402" s="18"/>
    </row>
    <row r="403" spans="1:20" s="82" customFormat="1" ht="15.75" customHeight="1" x14ac:dyDescent="0.25">
      <c r="A403" s="112">
        <f t="shared" si="55"/>
        <v>6</v>
      </c>
      <c r="B403" s="113"/>
      <c r="C403" s="114" t="s">
        <v>362</v>
      </c>
      <c r="D403" s="115"/>
      <c r="E403" s="115"/>
      <c r="F403" s="115"/>
      <c r="G403" s="115"/>
      <c r="H403" s="116"/>
      <c r="I403" s="33"/>
      <c r="L403" s="111"/>
      <c r="M403" s="111"/>
      <c r="N403" s="33"/>
      <c r="T403" s="18"/>
    </row>
    <row r="404" spans="1:20" s="82" customFormat="1" ht="15.75" customHeight="1" x14ac:dyDescent="0.25">
      <c r="A404" s="112">
        <f t="shared" si="55"/>
        <v>7</v>
      </c>
      <c r="B404" s="113"/>
      <c r="C404" s="117"/>
      <c r="D404" s="118"/>
      <c r="E404" s="118"/>
      <c r="F404" s="118"/>
      <c r="G404" s="118"/>
      <c r="H404" s="119"/>
      <c r="I404" s="33"/>
      <c r="L404" s="111"/>
      <c r="M404" s="111"/>
      <c r="N404" s="33"/>
      <c r="T404" s="18"/>
    </row>
    <row r="405" spans="1:20" s="80" customFormat="1" x14ac:dyDescent="0.25">
      <c r="A405" s="123" t="s">
        <v>365</v>
      </c>
      <c r="B405" s="124"/>
      <c r="C405" s="124"/>
      <c r="D405" s="124"/>
      <c r="E405" s="124"/>
      <c r="F405" s="124"/>
      <c r="G405" s="124"/>
      <c r="H405" s="125"/>
      <c r="J405" s="33"/>
    </row>
    <row r="406" spans="1:20" s="80" customFormat="1" ht="15.75" customHeight="1" x14ac:dyDescent="0.25">
      <c r="A406" s="112">
        <v>1</v>
      </c>
      <c r="B406" s="113"/>
      <c r="C406" s="114" t="s">
        <v>369</v>
      </c>
      <c r="D406" s="115"/>
      <c r="E406" s="115"/>
      <c r="F406" s="115"/>
      <c r="G406" s="115"/>
      <c r="H406" s="116"/>
      <c r="I406" s="33"/>
      <c r="L406" s="111"/>
      <c r="M406" s="111"/>
      <c r="N406" s="33"/>
    </row>
    <row r="407" spans="1:20" s="80" customFormat="1" ht="15.75" customHeight="1" x14ac:dyDescent="0.25">
      <c r="A407" s="112">
        <f t="shared" ref="A407:A412" si="56">A406+1</f>
        <v>2</v>
      </c>
      <c r="B407" s="113"/>
      <c r="C407" s="117"/>
      <c r="D407" s="118"/>
      <c r="E407" s="118"/>
      <c r="F407" s="118"/>
      <c r="G407" s="118"/>
      <c r="H407" s="119"/>
      <c r="I407" s="33"/>
      <c r="L407" s="111"/>
      <c r="M407" s="111"/>
      <c r="N407" s="33"/>
    </row>
    <row r="408" spans="1:20" s="80" customFormat="1" ht="15.75" customHeight="1" x14ac:dyDescent="0.25">
      <c r="A408" s="112">
        <f t="shared" si="56"/>
        <v>3</v>
      </c>
      <c r="B408" s="113"/>
      <c r="C408" s="79" t="s">
        <v>359</v>
      </c>
      <c r="D408" s="88">
        <f>(38.71)*10.764</f>
        <v>416.67444</v>
      </c>
      <c r="E408" s="88">
        <f>(0.9*(2.9+2.1+2.7))*10.764</f>
        <v>74.594520000000003</v>
      </c>
      <c r="F408" s="79">
        <f>D408+E408</f>
        <v>491.26895999999999</v>
      </c>
      <c r="G408" s="79">
        <v>0</v>
      </c>
      <c r="H408" s="79">
        <f>F408*(($H$342)+1)+(IF(G408&lt;101,G408,IF(G408&lt;201,G408/2,IF(G408&lt;=301,G408/3,G408/4))))</f>
        <v>736.90344000000005</v>
      </c>
      <c r="I408" s="33"/>
      <c r="L408" s="111"/>
      <c r="M408" s="111"/>
      <c r="N408" s="33"/>
    </row>
    <row r="409" spans="1:20" s="80" customFormat="1" ht="15.75" customHeight="1" x14ac:dyDescent="0.25">
      <c r="A409" s="112">
        <f t="shared" si="56"/>
        <v>4</v>
      </c>
      <c r="B409" s="113"/>
      <c r="C409" s="79" t="s">
        <v>359</v>
      </c>
      <c r="D409" s="88">
        <f>(39.04)*10.764</f>
        <v>420.22655999999995</v>
      </c>
      <c r="E409" s="88">
        <f>(0.9*(2.9+2.1+2.8))*10.764</f>
        <v>75.563279999999992</v>
      </c>
      <c r="F409" s="79">
        <f>D409+E409</f>
        <v>495.78983999999991</v>
      </c>
      <c r="G409" s="79">
        <v>0</v>
      </c>
      <c r="H409" s="79">
        <f>F409*(($H$342)+1)+(IF(G409&lt;101,G409,IF(G409&lt;201,G409/2,IF(G409&lt;=301,G409/3,G409/4))))</f>
        <v>743.68475999999987</v>
      </c>
      <c r="I409" s="33"/>
      <c r="L409" s="111"/>
      <c r="M409" s="111"/>
      <c r="N409" s="33"/>
      <c r="T409" s="18"/>
    </row>
    <row r="410" spans="1:20" s="80" customFormat="1" ht="15.75" customHeight="1" x14ac:dyDescent="0.25">
      <c r="A410" s="112">
        <f t="shared" si="56"/>
        <v>5</v>
      </c>
      <c r="B410" s="113"/>
      <c r="C410" s="79" t="s">
        <v>360</v>
      </c>
      <c r="D410" s="88">
        <f>(59.48)*10.764</f>
        <v>640.24271999999996</v>
      </c>
      <c r="E410" s="88">
        <f>(0.9*(3.05+2.25+3.05+2.95))*10.764</f>
        <v>109.46988000000002</v>
      </c>
      <c r="F410" s="79">
        <f>D410+E410</f>
        <v>749.71259999999995</v>
      </c>
      <c r="G410" s="79">
        <v>0</v>
      </c>
      <c r="H410" s="79">
        <f>F410*(($H$342)+1)+(IF(G410&lt;101,G410,IF(G410&lt;201,G410/2,IF(G410&lt;=301,G410/3,G410/4))))</f>
        <v>1124.5689</v>
      </c>
      <c r="I410" s="33"/>
      <c r="L410" s="111"/>
      <c r="M410" s="111"/>
      <c r="N410" s="33"/>
      <c r="T410" s="18"/>
    </row>
    <row r="411" spans="1:20" s="82" customFormat="1" ht="15.75" customHeight="1" x14ac:dyDescent="0.25">
      <c r="A411" s="110">
        <f t="shared" si="56"/>
        <v>6</v>
      </c>
      <c r="B411" s="110"/>
      <c r="C411" s="110" t="s">
        <v>362</v>
      </c>
      <c r="D411" s="110"/>
      <c r="E411" s="110"/>
      <c r="F411" s="110"/>
      <c r="G411" s="110"/>
      <c r="H411" s="110"/>
      <c r="I411" s="33"/>
      <c r="L411" s="111"/>
      <c r="M411" s="111"/>
      <c r="N411" s="33"/>
      <c r="T411" s="18"/>
    </row>
    <row r="412" spans="1:20" s="82" customFormat="1" ht="15.75" customHeight="1" x14ac:dyDescent="0.25">
      <c r="A412" s="110">
        <f t="shared" si="56"/>
        <v>7</v>
      </c>
      <c r="B412" s="110"/>
      <c r="C412" s="110"/>
      <c r="D412" s="110"/>
      <c r="E412" s="110"/>
      <c r="F412" s="110"/>
      <c r="G412" s="110"/>
      <c r="H412" s="110"/>
      <c r="I412" s="33"/>
      <c r="L412" s="111"/>
      <c r="M412" s="111"/>
      <c r="N412" s="33"/>
      <c r="T412" s="18"/>
    </row>
    <row r="413" spans="1:20" s="80" customFormat="1" x14ac:dyDescent="0.25">
      <c r="A413" s="192" t="s">
        <v>366</v>
      </c>
      <c r="B413" s="192"/>
      <c r="C413" s="192"/>
      <c r="D413" s="192"/>
      <c r="E413" s="192"/>
      <c r="F413" s="192"/>
      <c r="G413" s="192"/>
      <c r="H413" s="192"/>
      <c r="J413" s="33"/>
    </row>
    <row r="414" spans="1:20" s="80" customFormat="1" ht="15.75" customHeight="1" x14ac:dyDescent="0.25">
      <c r="A414" s="110">
        <v>1</v>
      </c>
      <c r="B414" s="110"/>
      <c r="C414" s="110" t="s">
        <v>369</v>
      </c>
      <c r="D414" s="110"/>
      <c r="E414" s="110"/>
      <c r="F414" s="110"/>
      <c r="G414" s="110"/>
      <c r="H414" s="110"/>
      <c r="I414" s="33"/>
      <c r="L414" s="111"/>
      <c r="M414" s="111"/>
      <c r="N414" s="33"/>
    </row>
    <row r="415" spans="1:20" s="80" customFormat="1" ht="15.75" customHeight="1" x14ac:dyDescent="0.25">
      <c r="A415" s="110">
        <f t="shared" ref="A415:A420" si="57">A414+1</f>
        <v>2</v>
      </c>
      <c r="B415" s="110"/>
      <c r="C415" s="110"/>
      <c r="D415" s="110"/>
      <c r="E415" s="110"/>
      <c r="F415" s="110"/>
      <c r="G415" s="110"/>
      <c r="H415" s="110"/>
      <c r="I415" s="33"/>
      <c r="L415" s="111"/>
      <c r="M415" s="111"/>
      <c r="N415" s="33"/>
    </row>
    <row r="416" spans="1:20" s="80" customFormat="1" ht="15.75" customHeight="1" x14ac:dyDescent="0.25">
      <c r="A416" s="110">
        <f t="shared" si="57"/>
        <v>3</v>
      </c>
      <c r="B416" s="110"/>
      <c r="C416" s="98" t="s">
        <v>359</v>
      </c>
      <c r="D416" s="88">
        <f>(38.71)*10.764</f>
        <v>416.67444</v>
      </c>
      <c r="E416" s="88">
        <f>(0.9*(2.9+2.1+2.7))*10.764</f>
        <v>74.594520000000003</v>
      </c>
      <c r="F416" s="98">
        <f>D416+E416</f>
        <v>491.26895999999999</v>
      </c>
      <c r="G416" s="98">
        <v>0</v>
      </c>
      <c r="H416" s="98">
        <f>F416*(($H$342)+1)+(IF(G416&lt;101,G416,IF(G416&lt;201,G416/2,IF(G416&lt;=301,G416/3,G416/4))))</f>
        <v>736.90344000000005</v>
      </c>
      <c r="I416" s="33"/>
      <c r="L416" s="111"/>
      <c r="M416" s="111"/>
      <c r="N416" s="33"/>
    </row>
    <row r="417" spans="1:20" s="80" customFormat="1" ht="15.75" customHeight="1" x14ac:dyDescent="0.25">
      <c r="A417" s="110">
        <f t="shared" si="57"/>
        <v>4</v>
      </c>
      <c r="B417" s="110"/>
      <c r="C417" s="98" t="s">
        <v>359</v>
      </c>
      <c r="D417" s="88">
        <f>(39.04)*10.764</f>
        <v>420.22655999999995</v>
      </c>
      <c r="E417" s="88">
        <f>(0.9*(2.9+2.1+2.8))*10.764</f>
        <v>75.563279999999992</v>
      </c>
      <c r="F417" s="98">
        <f>D417+E417</f>
        <v>495.78983999999991</v>
      </c>
      <c r="G417" s="98">
        <v>0</v>
      </c>
      <c r="H417" s="98">
        <f>F417*(($H$342)+1)+(IF(G417&lt;101,G417,IF(G417&lt;201,G417/2,IF(G417&lt;=301,G417/3,G417/4))))</f>
        <v>743.68475999999987</v>
      </c>
      <c r="I417" s="33"/>
      <c r="L417" s="111"/>
      <c r="M417" s="111"/>
      <c r="N417" s="33"/>
      <c r="T417" s="18"/>
    </row>
    <row r="418" spans="1:20" s="80" customFormat="1" ht="15.75" customHeight="1" x14ac:dyDescent="0.25">
      <c r="A418" s="112">
        <f t="shared" si="57"/>
        <v>5</v>
      </c>
      <c r="B418" s="113"/>
      <c r="C418" s="79" t="s">
        <v>360</v>
      </c>
      <c r="D418" s="88">
        <f>(59.48)*10.764</f>
        <v>640.24271999999996</v>
      </c>
      <c r="E418" s="88">
        <f>(0.9*(3.05+2.25+3.05+2.95))*10.764</f>
        <v>109.46988000000002</v>
      </c>
      <c r="F418" s="79">
        <f>D418+E418</f>
        <v>749.71259999999995</v>
      </c>
      <c r="G418" s="79">
        <v>0</v>
      </c>
      <c r="H418" s="79">
        <f>F418*(($H$342)+1)+(IF(G418&lt;101,G418,IF(G418&lt;201,G418/2,IF(G418&lt;=301,G418/3,G418/4))))</f>
        <v>1124.5689</v>
      </c>
      <c r="I418" s="33"/>
      <c r="L418" s="111"/>
      <c r="M418" s="111"/>
      <c r="N418" s="33"/>
      <c r="T418" s="18"/>
    </row>
    <row r="419" spans="1:20" s="82" customFormat="1" ht="15.75" customHeight="1" x14ac:dyDescent="0.25">
      <c r="A419" s="112">
        <f t="shared" si="57"/>
        <v>6</v>
      </c>
      <c r="B419" s="113"/>
      <c r="C419" s="114" t="s">
        <v>370</v>
      </c>
      <c r="D419" s="115"/>
      <c r="E419" s="115"/>
      <c r="F419" s="115"/>
      <c r="G419" s="115"/>
      <c r="H419" s="116"/>
      <c r="I419" s="33"/>
      <c r="L419" s="111"/>
      <c r="M419" s="111"/>
      <c r="N419" s="33"/>
      <c r="T419" s="18"/>
    </row>
    <row r="420" spans="1:20" s="82" customFormat="1" ht="15.75" customHeight="1" x14ac:dyDescent="0.25">
      <c r="A420" s="112">
        <f t="shared" si="57"/>
        <v>7</v>
      </c>
      <c r="B420" s="113"/>
      <c r="C420" s="117"/>
      <c r="D420" s="118"/>
      <c r="E420" s="118"/>
      <c r="F420" s="118"/>
      <c r="G420" s="118"/>
      <c r="H420" s="119"/>
      <c r="I420" s="33"/>
      <c r="L420" s="111"/>
      <c r="M420" s="111"/>
      <c r="N420" s="33"/>
      <c r="T420" s="18"/>
    </row>
    <row r="421" spans="1:20" s="80" customFormat="1" x14ac:dyDescent="0.25">
      <c r="A421" s="123" t="s">
        <v>371</v>
      </c>
      <c r="B421" s="124"/>
      <c r="C421" s="124"/>
      <c r="D421" s="124"/>
      <c r="E421" s="124"/>
      <c r="F421" s="124"/>
      <c r="G421" s="124"/>
      <c r="H421" s="125"/>
      <c r="J421" s="33"/>
    </row>
    <row r="422" spans="1:20" s="80" customFormat="1" ht="15.75" customHeight="1" x14ac:dyDescent="0.25">
      <c r="A422" s="112">
        <v>1</v>
      </c>
      <c r="B422" s="113"/>
      <c r="C422" s="84" t="s">
        <v>359</v>
      </c>
      <c r="D422" s="88">
        <f>(37.53)*10.764</f>
        <v>403.97291999999999</v>
      </c>
      <c r="E422" s="88">
        <v>0</v>
      </c>
      <c r="F422" s="84">
        <f t="shared" ref="F422:F423" si="58">D422+E422</f>
        <v>403.97291999999999</v>
      </c>
      <c r="G422" s="88">
        <f>(3.55*4.95+4.25*2.9)*10.764</f>
        <v>321.81668999999994</v>
      </c>
      <c r="H422" s="84">
        <f>F422*(($H$342)+1)+(IF(G422&lt;101,G422,IF(G422&lt;201,G422/2,IF(G422&lt;=301,G422/3,G422/4))))</f>
        <v>686.41355250000004</v>
      </c>
      <c r="I422" s="33"/>
      <c r="L422" s="111"/>
      <c r="M422" s="111"/>
      <c r="N422" s="33"/>
    </row>
    <row r="423" spans="1:20" s="80" customFormat="1" ht="15.75" customHeight="1" x14ac:dyDescent="0.25">
      <c r="A423" s="112">
        <f t="shared" ref="A423:A428" si="59">A422+1</f>
        <v>2</v>
      </c>
      <c r="B423" s="113"/>
      <c r="C423" s="84" t="s">
        <v>359</v>
      </c>
      <c r="D423" s="88">
        <f>(37.53)*10.764</f>
        <v>403.97291999999999</v>
      </c>
      <c r="E423" s="88">
        <v>0</v>
      </c>
      <c r="F423" s="84">
        <f t="shared" si="58"/>
        <v>403.97291999999999</v>
      </c>
      <c r="G423" s="88">
        <f>(3.55*4.95+4.25*2.9)*10.764</f>
        <v>321.81668999999994</v>
      </c>
      <c r="H423" s="84">
        <f>F423*(($H$342)+1)+(IF(G423&lt;101,G423,IF(G423&lt;201,G423/2,IF(G423&lt;=301,G423/3,G423/4))))</f>
        <v>686.41355250000004</v>
      </c>
      <c r="I423" s="33"/>
      <c r="L423" s="111"/>
      <c r="M423" s="111"/>
      <c r="N423" s="33"/>
    </row>
    <row r="424" spans="1:20" s="80" customFormat="1" ht="15.75" customHeight="1" x14ac:dyDescent="0.25">
      <c r="A424" s="112">
        <f t="shared" si="59"/>
        <v>3</v>
      </c>
      <c r="B424" s="113"/>
      <c r="C424" s="79" t="s">
        <v>359</v>
      </c>
      <c r="D424" s="88">
        <f>(38.71)*10.764</f>
        <v>416.67444</v>
      </c>
      <c r="E424" s="88">
        <f>(0.9*(2.9+2.1+2.7))*10.764</f>
        <v>74.594520000000003</v>
      </c>
      <c r="F424" s="79">
        <f>D424+E424</f>
        <v>491.26895999999999</v>
      </c>
      <c r="G424" s="79">
        <v>0</v>
      </c>
      <c r="H424" s="79">
        <f>F424*(($H$342)+1)+(IF(G424&lt;101,G424,IF(G424&lt;201,G424/2,IF(G424&lt;=301,G424/3,G424/4))))</f>
        <v>736.90344000000005</v>
      </c>
      <c r="I424" s="33"/>
      <c r="L424" s="111"/>
      <c r="M424" s="111"/>
      <c r="N424" s="33"/>
    </row>
    <row r="425" spans="1:20" s="80" customFormat="1" ht="15.75" customHeight="1" x14ac:dyDescent="0.25">
      <c r="A425" s="112">
        <f t="shared" si="59"/>
        <v>4</v>
      </c>
      <c r="B425" s="113"/>
      <c r="C425" s="79" t="s">
        <v>359</v>
      </c>
      <c r="D425" s="88">
        <f>(39.04)*10.764</f>
        <v>420.22655999999995</v>
      </c>
      <c r="E425" s="88">
        <f>(0.9*(2.9+2.1+2.8))*10.764</f>
        <v>75.563279999999992</v>
      </c>
      <c r="F425" s="79">
        <f>D425+E425</f>
        <v>495.78983999999991</v>
      </c>
      <c r="G425" s="79">
        <v>0</v>
      </c>
      <c r="H425" s="79">
        <f>F425*(($H$342)+1)+(IF(G425&lt;101,G425,IF(G425&lt;201,G425/2,IF(G425&lt;=301,G425/3,G425/4))))</f>
        <v>743.68475999999987</v>
      </c>
      <c r="I425" s="33"/>
      <c r="L425" s="111"/>
      <c r="M425" s="111"/>
      <c r="N425" s="33"/>
      <c r="T425" s="18"/>
    </row>
    <row r="426" spans="1:20" s="80" customFormat="1" ht="15.75" customHeight="1" x14ac:dyDescent="0.25">
      <c r="A426" s="112">
        <f t="shared" si="59"/>
        <v>5</v>
      </c>
      <c r="B426" s="113"/>
      <c r="C426" s="79" t="s">
        <v>360</v>
      </c>
      <c r="D426" s="88">
        <f>(59.48)*10.764</f>
        <v>640.24271999999996</v>
      </c>
      <c r="E426" s="88">
        <f>(0.9*(3.05+2.25+3.05+2.95))*10.764</f>
        <v>109.46988000000002</v>
      </c>
      <c r="F426" s="79">
        <f>D426+E426</f>
        <v>749.71259999999995</v>
      </c>
      <c r="G426" s="79">
        <v>0</v>
      </c>
      <c r="H426" s="79">
        <f>F426*(($H$342)+1)+(IF(G426&lt;101,G426,IF(G426&lt;201,G426/2,IF(G426&lt;=301,G426/3,G426/4))))</f>
        <v>1124.5689</v>
      </c>
      <c r="I426" s="33"/>
      <c r="L426" s="111"/>
      <c r="M426" s="111"/>
      <c r="N426" s="33"/>
      <c r="T426" s="18"/>
    </row>
    <row r="427" spans="1:20" s="82" customFormat="1" ht="15.75" customHeight="1" x14ac:dyDescent="0.25">
      <c r="A427" s="112">
        <f t="shared" si="59"/>
        <v>6</v>
      </c>
      <c r="B427" s="113"/>
      <c r="C427" s="114" t="s">
        <v>367</v>
      </c>
      <c r="D427" s="115"/>
      <c r="E427" s="115"/>
      <c r="F427" s="115"/>
      <c r="G427" s="115"/>
      <c r="H427" s="116"/>
      <c r="I427" s="33"/>
      <c r="L427" s="111"/>
      <c r="M427" s="111"/>
      <c r="N427" s="33"/>
      <c r="T427" s="18"/>
    </row>
    <row r="428" spans="1:20" s="82" customFormat="1" ht="15.75" customHeight="1" x14ac:dyDescent="0.25">
      <c r="A428" s="112">
        <f t="shared" si="59"/>
        <v>7</v>
      </c>
      <c r="B428" s="113"/>
      <c r="C428" s="117"/>
      <c r="D428" s="118"/>
      <c r="E428" s="118"/>
      <c r="F428" s="118"/>
      <c r="G428" s="118"/>
      <c r="H428" s="119"/>
      <c r="I428" s="33"/>
      <c r="L428" s="111"/>
      <c r="M428" s="111"/>
      <c r="N428" s="33"/>
      <c r="T428" s="18"/>
    </row>
    <row r="429" spans="1:20" s="80" customFormat="1" x14ac:dyDescent="0.25">
      <c r="A429" s="123" t="s">
        <v>368</v>
      </c>
      <c r="B429" s="124"/>
      <c r="C429" s="124"/>
      <c r="D429" s="124"/>
      <c r="E429" s="124"/>
      <c r="F429" s="124"/>
      <c r="G429" s="124"/>
      <c r="H429" s="125"/>
      <c r="J429" s="33"/>
    </row>
    <row r="430" spans="1:20" s="80" customFormat="1" ht="15.75" customHeight="1" x14ac:dyDescent="0.25">
      <c r="A430" s="112">
        <v>1</v>
      </c>
      <c r="B430" s="113"/>
      <c r="C430" s="79" t="s">
        <v>359</v>
      </c>
      <c r="D430" s="88">
        <f>(37.53)*10.764</f>
        <v>403.97291999999999</v>
      </c>
      <c r="E430" s="88">
        <f>(0.9*(2.9+2+2.8))*10.764</f>
        <v>74.594520000000003</v>
      </c>
      <c r="F430" s="79">
        <f t="shared" ref="F430:F436" si="60">D430+E430</f>
        <v>478.56743999999998</v>
      </c>
      <c r="G430" s="79">
        <v>0</v>
      </c>
      <c r="H430" s="79">
        <f t="shared" ref="H430:H436" si="61">F430*(($H$342)+1)+(IF(G430&lt;101,G430,IF(G430&lt;201,G430/2,IF(G430&lt;=301,G430/3,G430/4))))</f>
        <v>717.85115999999994</v>
      </c>
      <c r="I430" s="33"/>
      <c r="L430" s="111"/>
      <c r="M430" s="111"/>
      <c r="N430" s="33"/>
    </row>
    <row r="431" spans="1:20" s="80" customFormat="1" ht="15.75" customHeight="1" x14ac:dyDescent="0.25">
      <c r="A431" s="112">
        <f t="shared" ref="A431:A436" si="62">A430+1</f>
        <v>2</v>
      </c>
      <c r="B431" s="113"/>
      <c r="C431" s="84" t="s">
        <v>359</v>
      </c>
      <c r="D431" s="88">
        <f>(37.53)*10.764</f>
        <v>403.97291999999999</v>
      </c>
      <c r="E431" s="88">
        <f>(0.9*(2.9+2+2.8))*10.764</f>
        <v>74.594520000000003</v>
      </c>
      <c r="F431" s="79">
        <f t="shared" si="60"/>
        <v>478.56743999999998</v>
      </c>
      <c r="G431" s="79">
        <v>0</v>
      </c>
      <c r="H431" s="79">
        <f t="shared" si="61"/>
        <v>717.85115999999994</v>
      </c>
      <c r="I431" s="33">
        <f>5094000/H431</f>
        <v>7096.1785448671562</v>
      </c>
      <c r="L431" s="111"/>
      <c r="M431" s="111"/>
      <c r="N431" s="33"/>
    </row>
    <row r="432" spans="1:20" s="80" customFormat="1" ht="15.75" customHeight="1" x14ac:dyDescent="0.25">
      <c r="A432" s="112">
        <f t="shared" si="62"/>
        <v>3</v>
      </c>
      <c r="B432" s="113"/>
      <c r="C432" s="84" t="s">
        <v>359</v>
      </c>
      <c r="D432" s="88">
        <f>(38.71)*10.764</f>
        <v>416.67444</v>
      </c>
      <c r="E432" s="88">
        <f>(0.9*(2.9+2.1+2.7))*10.764</f>
        <v>74.594520000000003</v>
      </c>
      <c r="F432" s="79">
        <f t="shared" si="60"/>
        <v>491.26895999999999</v>
      </c>
      <c r="G432" s="79">
        <v>0</v>
      </c>
      <c r="H432" s="79">
        <f t="shared" si="61"/>
        <v>736.90344000000005</v>
      </c>
      <c r="I432" s="33"/>
      <c r="L432" s="111"/>
      <c r="M432" s="111"/>
      <c r="N432" s="33"/>
    </row>
    <row r="433" spans="1:20" s="80" customFormat="1" ht="15.75" customHeight="1" x14ac:dyDescent="0.25">
      <c r="A433" s="112">
        <f t="shared" si="62"/>
        <v>4</v>
      </c>
      <c r="B433" s="113"/>
      <c r="C433" s="84" t="s">
        <v>359</v>
      </c>
      <c r="D433" s="88">
        <f>(39.04)*10.764</f>
        <v>420.22655999999995</v>
      </c>
      <c r="E433" s="88">
        <f>(0.9*(2.9+2.1+2.8))*10.764</f>
        <v>75.563279999999992</v>
      </c>
      <c r="F433" s="79">
        <f t="shared" si="60"/>
        <v>495.78983999999991</v>
      </c>
      <c r="G433" s="79">
        <v>0</v>
      </c>
      <c r="H433" s="79">
        <f t="shared" si="61"/>
        <v>743.68475999999987</v>
      </c>
      <c r="I433" s="33"/>
      <c r="L433" s="111"/>
      <c r="M433" s="111"/>
      <c r="N433" s="33"/>
      <c r="T433" s="18"/>
    </row>
    <row r="434" spans="1:20" s="80" customFormat="1" ht="15.75" customHeight="1" x14ac:dyDescent="0.25">
      <c r="A434" s="112">
        <f t="shared" si="62"/>
        <v>5</v>
      </c>
      <c r="B434" s="113"/>
      <c r="C434" s="84" t="s">
        <v>360</v>
      </c>
      <c r="D434" s="88">
        <f>(59.48)*10.764</f>
        <v>640.24271999999996</v>
      </c>
      <c r="E434" s="88">
        <f>(0.9*(3.05+2.25+3.05+2.95))*10.764</f>
        <v>109.46988000000002</v>
      </c>
      <c r="F434" s="79">
        <f t="shared" si="60"/>
        <v>749.71259999999995</v>
      </c>
      <c r="G434" s="79">
        <v>0</v>
      </c>
      <c r="H434" s="79">
        <f t="shared" si="61"/>
        <v>1124.5689</v>
      </c>
      <c r="I434" s="33"/>
      <c r="L434" s="111"/>
      <c r="M434" s="111"/>
      <c r="N434" s="33"/>
    </row>
    <row r="435" spans="1:20" s="80" customFormat="1" ht="15.75" customHeight="1" x14ac:dyDescent="0.25">
      <c r="A435" s="112">
        <f t="shared" si="62"/>
        <v>6</v>
      </c>
      <c r="B435" s="113"/>
      <c r="C435" s="79" t="s">
        <v>360</v>
      </c>
      <c r="D435" s="88">
        <f>(59.74)*10.764</f>
        <v>643.04135999999994</v>
      </c>
      <c r="E435" s="88">
        <f>(0.9*(3+2.15+3.15+3.1))*10.764</f>
        <v>110.43863999999999</v>
      </c>
      <c r="F435" s="79">
        <f t="shared" si="60"/>
        <v>753.4799999999999</v>
      </c>
      <c r="G435" s="79">
        <v>0</v>
      </c>
      <c r="H435" s="79">
        <f t="shared" si="61"/>
        <v>1130.2199999999998</v>
      </c>
      <c r="I435" s="33"/>
      <c r="L435" s="111"/>
      <c r="M435" s="111"/>
      <c r="N435" s="33"/>
    </row>
    <row r="436" spans="1:20" s="80" customFormat="1" ht="15.75" customHeight="1" x14ac:dyDescent="0.25">
      <c r="A436" s="112">
        <f t="shared" si="62"/>
        <v>7</v>
      </c>
      <c r="B436" s="113"/>
      <c r="C436" s="79" t="s">
        <v>359</v>
      </c>
      <c r="D436" s="88">
        <f>(37.84)*10.764</f>
        <v>407.30976000000004</v>
      </c>
      <c r="E436" s="88">
        <f>(0.9*(3+2.1+2.8))*10.764</f>
        <v>76.532039999999995</v>
      </c>
      <c r="F436" s="79">
        <f t="shared" si="60"/>
        <v>483.84180000000003</v>
      </c>
      <c r="G436" s="79">
        <v>0</v>
      </c>
      <c r="H436" s="79">
        <f t="shared" si="61"/>
        <v>725.7627</v>
      </c>
      <c r="I436" s="33"/>
      <c r="L436" s="111"/>
      <c r="M436" s="111"/>
      <c r="N436" s="33"/>
      <c r="T436" s="18"/>
    </row>
    <row r="437" spans="1:20" s="82" customFormat="1" x14ac:dyDescent="0.25">
      <c r="A437" s="123" t="s">
        <v>379</v>
      </c>
      <c r="B437" s="124"/>
      <c r="C437" s="124"/>
      <c r="D437" s="124"/>
      <c r="E437" s="124"/>
      <c r="F437" s="124"/>
      <c r="G437" s="124"/>
      <c r="H437" s="125"/>
      <c r="J437" s="33"/>
    </row>
    <row r="438" spans="1:20" s="82" customFormat="1" ht="15.75" customHeight="1" x14ac:dyDescent="0.25">
      <c r="A438" s="112">
        <v>1</v>
      </c>
      <c r="B438" s="113"/>
      <c r="C438" s="84" t="s">
        <v>359</v>
      </c>
      <c r="D438" s="88">
        <f>(37.53)*10.764</f>
        <v>403.97291999999999</v>
      </c>
      <c r="E438" s="88">
        <f>(0.9*(2.9+2+2.8))*10.764</f>
        <v>74.594520000000003</v>
      </c>
      <c r="F438" s="84">
        <f t="shared" ref="F438:F444" si="63">D438+E438</f>
        <v>478.56743999999998</v>
      </c>
      <c r="G438" s="84">
        <v>0</v>
      </c>
      <c r="H438" s="84">
        <f>F438*(($H$342)+1)+(IF(G438&lt;101,G438,IF(G438&lt;201,G438/2,IF(G438&lt;=301,G438/3,G438/4))))</f>
        <v>717.85115999999994</v>
      </c>
      <c r="I438" s="33"/>
      <c r="L438" s="111"/>
      <c r="M438" s="111"/>
      <c r="N438" s="33"/>
    </row>
    <row r="439" spans="1:20" s="82" customFormat="1" ht="15.75" customHeight="1" x14ac:dyDescent="0.25">
      <c r="A439" s="112">
        <f t="shared" ref="A439:A444" si="64">A438+1</f>
        <v>2</v>
      </c>
      <c r="B439" s="113"/>
      <c r="C439" s="112" t="s">
        <v>380</v>
      </c>
      <c r="D439" s="255"/>
      <c r="E439" s="255"/>
      <c r="F439" s="255"/>
      <c r="G439" s="255"/>
      <c r="H439" s="113"/>
      <c r="I439" s="33"/>
      <c r="L439" s="111"/>
      <c r="M439" s="111"/>
      <c r="N439" s="33"/>
    </row>
    <row r="440" spans="1:20" s="82" customFormat="1" ht="15.75" customHeight="1" x14ac:dyDescent="0.25">
      <c r="A440" s="112">
        <f t="shared" si="64"/>
        <v>3</v>
      </c>
      <c r="B440" s="113"/>
      <c r="C440" s="84" t="s">
        <v>359</v>
      </c>
      <c r="D440" s="88">
        <f>(38.71)*10.764</f>
        <v>416.67444</v>
      </c>
      <c r="E440" s="88">
        <f>(0.9*(2.9+2.1+2.7))*10.764</f>
        <v>74.594520000000003</v>
      </c>
      <c r="F440" s="84">
        <f t="shared" si="63"/>
        <v>491.26895999999999</v>
      </c>
      <c r="G440" s="84">
        <v>0</v>
      </c>
      <c r="H440" s="84">
        <f>F440*(($H$342)+1)+(IF(G440&lt;101,G440,IF(G440&lt;201,G440/2,IF(G440&lt;=301,G440/3,G440/4))))</f>
        <v>736.90344000000005</v>
      </c>
      <c r="I440" s="33"/>
      <c r="L440" s="111"/>
      <c r="M440" s="111"/>
      <c r="N440" s="33"/>
    </row>
    <row r="441" spans="1:20" s="82" customFormat="1" ht="15.75" customHeight="1" x14ac:dyDescent="0.25">
      <c r="A441" s="112">
        <f t="shared" si="64"/>
        <v>4</v>
      </c>
      <c r="B441" s="113"/>
      <c r="C441" s="84" t="s">
        <v>359</v>
      </c>
      <c r="D441" s="88">
        <f>(39.04)*10.764</f>
        <v>420.22655999999995</v>
      </c>
      <c r="E441" s="88">
        <f>(0.9*(2.9+2.1+2.8))*10.764</f>
        <v>75.563279999999992</v>
      </c>
      <c r="F441" s="84">
        <f t="shared" si="63"/>
        <v>495.78983999999991</v>
      </c>
      <c r="G441" s="84">
        <v>0</v>
      </c>
      <c r="H441" s="84">
        <f>F441*(($H$342)+1)+(IF(G441&lt;101,G441,IF(G441&lt;201,G441/2,IF(G441&lt;=301,G441/3,G441/4))))</f>
        <v>743.68475999999987</v>
      </c>
      <c r="I441" s="33"/>
      <c r="L441" s="111"/>
      <c r="M441" s="111"/>
      <c r="N441" s="33"/>
      <c r="T441" s="18"/>
    </row>
    <row r="442" spans="1:20" s="82" customFormat="1" ht="15.75" customHeight="1" x14ac:dyDescent="0.25">
      <c r="A442" s="112">
        <f t="shared" si="64"/>
        <v>5</v>
      </c>
      <c r="B442" s="113"/>
      <c r="C442" s="84" t="s">
        <v>360</v>
      </c>
      <c r="D442" s="88">
        <f>(59.48)*10.764</f>
        <v>640.24271999999996</v>
      </c>
      <c r="E442" s="88">
        <f>(0.9*(3.05+2.25+3.05+2.95))*10.764</f>
        <v>109.46988000000002</v>
      </c>
      <c r="F442" s="84">
        <f t="shared" si="63"/>
        <v>749.71259999999995</v>
      </c>
      <c r="G442" s="84">
        <v>0</v>
      </c>
      <c r="H442" s="84">
        <f>F442*(($H$342)+1)+(IF(G442&lt;101,G442,IF(G442&lt;201,G442/2,IF(G442&lt;=301,G442/3,G442/4))))</f>
        <v>1124.5689</v>
      </c>
      <c r="I442" s="33"/>
      <c r="L442" s="111"/>
      <c r="M442" s="111"/>
      <c r="N442" s="33"/>
    </row>
    <row r="443" spans="1:20" s="82" customFormat="1" ht="15.75" customHeight="1" x14ac:dyDescent="0.25">
      <c r="A443" s="112">
        <f t="shared" si="64"/>
        <v>6</v>
      </c>
      <c r="B443" s="113"/>
      <c r="C443" s="84" t="s">
        <v>360</v>
      </c>
      <c r="D443" s="88">
        <f>(59.74)*10.764</f>
        <v>643.04135999999994</v>
      </c>
      <c r="E443" s="88">
        <f>(0.9*(3+2.15+3.15+3.1))*10.764</f>
        <v>110.43863999999999</v>
      </c>
      <c r="F443" s="84">
        <f t="shared" si="63"/>
        <v>753.4799999999999</v>
      </c>
      <c r="G443" s="84">
        <v>0</v>
      </c>
      <c r="H443" s="84">
        <f>F443*(($H$342)+1)+(IF(G443&lt;101,G443,IF(G443&lt;201,G443/2,IF(G443&lt;=301,G443/3,G443/4))))</f>
        <v>1130.2199999999998</v>
      </c>
      <c r="I443" s="33"/>
      <c r="L443" s="111"/>
      <c r="M443" s="111"/>
      <c r="N443" s="33"/>
    </row>
    <row r="444" spans="1:20" s="82" customFormat="1" ht="15.75" customHeight="1" x14ac:dyDescent="0.25">
      <c r="A444" s="112">
        <f t="shared" si="64"/>
        <v>7</v>
      </c>
      <c r="B444" s="113"/>
      <c r="C444" s="84" t="s">
        <v>359</v>
      </c>
      <c r="D444" s="88">
        <f>(37.84)*10.764</f>
        <v>407.30976000000004</v>
      </c>
      <c r="E444" s="88">
        <f>(0.9*(3+2.1+2.8))*10.764</f>
        <v>76.532039999999995</v>
      </c>
      <c r="F444" s="84">
        <f t="shared" si="63"/>
        <v>483.84180000000003</v>
      </c>
      <c r="G444" s="84">
        <v>0</v>
      </c>
      <c r="H444" s="84">
        <f>F444*(($H$342)+1)+(IF(G444&lt;101,G444,IF(G444&lt;201,G444/2,IF(G444&lt;=301,G444/3,G444/4))))</f>
        <v>725.7627</v>
      </c>
      <c r="I444" s="33"/>
      <c r="L444" s="111"/>
      <c r="M444" s="111"/>
      <c r="N444" s="33"/>
      <c r="T444" s="18"/>
    </row>
    <row r="445" spans="1:20" s="82" customFormat="1" ht="15.6" customHeight="1" x14ac:dyDescent="0.25">
      <c r="A445" s="123" t="s">
        <v>381</v>
      </c>
      <c r="B445" s="124"/>
      <c r="C445" s="124"/>
      <c r="D445" s="124"/>
      <c r="E445" s="124"/>
      <c r="F445" s="124"/>
      <c r="G445" s="124"/>
      <c r="H445" s="125"/>
      <c r="J445" s="33"/>
    </row>
    <row r="446" spans="1:20" s="82" customFormat="1" ht="15.75" customHeight="1" x14ac:dyDescent="0.25">
      <c r="A446" s="112">
        <v>1</v>
      </c>
      <c r="B446" s="113"/>
      <c r="C446" s="84" t="s">
        <v>359</v>
      </c>
      <c r="D446" s="88">
        <f>(37.77)*10.764</f>
        <v>406.55628000000002</v>
      </c>
      <c r="E446" s="88">
        <f>(0.9*(2.9+2.1+2.8))*10.764</f>
        <v>75.563279999999992</v>
      </c>
      <c r="F446" s="84">
        <f t="shared" ref="F446:F452" si="65">D446+E446</f>
        <v>482.11955999999998</v>
      </c>
      <c r="G446" s="84">
        <v>0</v>
      </c>
      <c r="H446" s="84">
        <f t="shared" ref="H446:H452" si="66">F446*(($H$342)+1)+(IF(G446&lt;101,G446,IF(G446&lt;201,G446/2,IF(G446&lt;=301,G446/3,G446/4))))</f>
        <v>723.17933999999991</v>
      </c>
      <c r="I446" s="33"/>
      <c r="L446" s="111"/>
      <c r="M446" s="111"/>
      <c r="N446" s="33"/>
    </row>
    <row r="447" spans="1:20" s="82" customFormat="1" ht="15.75" customHeight="1" x14ac:dyDescent="0.25">
      <c r="A447" s="112">
        <f t="shared" ref="A447:A452" si="67">A446+1</f>
        <v>2</v>
      </c>
      <c r="B447" s="113"/>
      <c r="C447" s="84" t="s">
        <v>359</v>
      </c>
      <c r="D447" s="88">
        <f>(38.1)*10.764</f>
        <v>410.10840000000002</v>
      </c>
      <c r="E447" s="88">
        <f>(0.9*(2.9+2.1+2.9))*10.764</f>
        <v>76.532039999999995</v>
      </c>
      <c r="F447" s="84">
        <f t="shared" si="65"/>
        <v>486.64044000000001</v>
      </c>
      <c r="G447" s="84">
        <v>0</v>
      </c>
      <c r="H447" s="84">
        <f t="shared" si="66"/>
        <v>729.96065999999996</v>
      </c>
      <c r="I447" s="33"/>
      <c r="L447" s="111"/>
      <c r="M447" s="111"/>
      <c r="N447" s="33"/>
    </row>
    <row r="448" spans="1:20" s="82" customFormat="1" ht="15.75" customHeight="1" x14ac:dyDescent="0.25">
      <c r="A448" s="112">
        <f t="shared" si="67"/>
        <v>3</v>
      </c>
      <c r="B448" s="113"/>
      <c r="C448" s="84" t="s">
        <v>359</v>
      </c>
      <c r="D448" s="88">
        <f>(39.35)*10.764</f>
        <v>423.5634</v>
      </c>
      <c r="E448" s="88">
        <f>(0.9*(3+2.1+2.8))*10.764</f>
        <v>76.532039999999995</v>
      </c>
      <c r="F448" s="84">
        <f t="shared" si="65"/>
        <v>500.09544</v>
      </c>
      <c r="G448" s="84">
        <v>0</v>
      </c>
      <c r="H448" s="84">
        <f t="shared" si="66"/>
        <v>750.14315999999997</v>
      </c>
      <c r="I448" s="33"/>
      <c r="L448" s="111"/>
      <c r="M448" s="111"/>
      <c r="N448" s="33"/>
    </row>
    <row r="449" spans="1:20" s="82" customFormat="1" ht="15.75" customHeight="1" x14ac:dyDescent="0.25">
      <c r="A449" s="112">
        <f t="shared" si="67"/>
        <v>4</v>
      </c>
      <c r="B449" s="113"/>
      <c r="C449" s="84" t="s">
        <v>359</v>
      </c>
      <c r="D449" s="88">
        <f>(39.35)*10.764</f>
        <v>423.5634</v>
      </c>
      <c r="E449" s="88">
        <f>(0.9*(3+2.1+2.8))*10.764</f>
        <v>76.532039999999995</v>
      </c>
      <c r="F449" s="84">
        <f t="shared" si="65"/>
        <v>500.09544</v>
      </c>
      <c r="G449" s="84">
        <v>0</v>
      </c>
      <c r="H449" s="84">
        <f t="shared" si="66"/>
        <v>750.14315999999997</v>
      </c>
      <c r="I449" s="33"/>
      <c r="L449" s="111"/>
      <c r="M449" s="111"/>
      <c r="N449" s="33"/>
      <c r="T449" s="18"/>
    </row>
    <row r="450" spans="1:20" s="82" customFormat="1" ht="15.75" customHeight="1" x14ac:dyDescent="0.25">
      <c r="A450" s="112">
        <f t="shared" si="67"/>
        <v>5</v>
      </c>
      <c r="B450" s="113"/>
      <c r="C450" s="84" t="s">
        <v>360</v>
      </c>
      <c r="D450" s="88">
        <f>(60.9)*10.764</f>
        <v>655.52759999999989</v>
      </c>
      <c r="E450" s="88">
        <f>(0.9*(3.15+2.25+3.05+3.05))*10.764</f>
        <v>111.4074</v>
      </c>
      <c r="F450" s="84">
        <f t="shared" si="65"/>
        <v>766.93499999999995</v>
      </c>
      <c r="G450" s="84">
        <v>0</v>
      </c>
      <c r="H450" s="84">
        <f t="shared" si="66"/>
        <v>1150.4024999999999</v>
      </c>
      <c r="I450" s="33">
        <f>12400000/H450</f>
        <v>10778.83610301612</v>
      </c>
      <c r="L450" s="111"/>
      <c r="M450" s="111"/>
      <c r="N450" s="33"/>
    </row>
    <row r="451" spans="1:20" s="82" customFormat="1" ht="15.75" customHeight="1" x14ac:dyDescent="0.25">
      <c r="A451" s="112">
        <f t="shared" si="67"/>
        <v>6</v>
      </c>
      <c r="B451" s="113"/>
      <c r="C451" s="84" t="s">
        <v>360</v>
      </c>
      <c r="D451" s="88">
        <f>(60.9)*10.764</f>
        <v>655.52759999999989</v>
      </c>
      <c r="E451" s="88">
        <f>(0.9*(3+2.25+3.15+3.2))*10.764</f>
        <v>112.37616000000001</v>
      </c>
      <c r="F451" s="84">
        <f t="shared" si="65"/>
        <v>767.90375999999992</v>
      </c>
      <c r="G451" s="84">
        <v>0</v>
      </c>
      <c r="H451" s="84">
        <f t="shared" si="66"/>
        <v>1151.8556399999998</v>
      </c>
      <c r="I451" s="33"/>
      <c r="L451" s="111"/>
      <c r="M451" s="111"/>
      <c r="N451" s="33"/>
    </row>
    <row r="452" spans="1:20" s="82" customFormat="1" ht="15.75" customHeight="1" x14ac:dyDescent="0.25">
      <c r="A452" s="112">
        <f t="shared" si="67"/>
        <v>7</v>
      </c>
      <c r="B452" s="113"/>
      <c r="C452" s="84" t="s">
        <v>359</v>
      </c>
      <c r="D452" s="88">
        <f>(38.13)*10.764</f>
        <v>410.43132000000003</v>
      </c>
      <c r="E452" s="88">
        <f>(0.9*(3+2.1+2.8))*10.764</f>
        <v>76.532039999999995</v>
      </c>
      <c r="F452" s="84">
        <f t="shared" si="65"/>
        <v>486.96336000000002</v>
      </c>
      <c r="G452" s="84">
        <v>0</v>
      </c>
      <c r="H452" s="84">
        <f t="shared" si="66"/>
        <v>730.44504000000006</v>
      </c>
      <c r="I452" s="33"/>
      <c r="L452" s="111"/>
      <c r="M452" s="111"/>
      <c r="N452" s="33"/>
      <c r="T452" s="18"/>
    </row>
    <row r="453" spans="1:20" s="77" customFormat="1" x14ac:dyDescent="0.25">
      <c r="A453" s="254" t="s">
        <v>361</v>
      </c>
      <c r="B453" s="254"/>
      <c r="C453" s="254"/>
      <c r="D453" s="254"/>
      <c r="E453" s="254"/>
      <c r="F453" s="254"/>
      <c r="G453" s="254"/>
      <c r="H453" s="254"/>
      <c r="J453" s="33"/>
    </row>
    <row r="454" spans="1:20" s="77" customFormat="1" x14ac:dyDescent="0.25">
      <c r="A454" s="192" t="s">
        <v>356</v>
      </c>
      <c r="B454" s="192"/>
      <c r="C454" s="192"/>
      <c r="D454" s="192"/>
      <c r="E454" s="192"/>
      <c r="F454" s="192"/>
      <c r="G454" s="192"/>
      <c r="H454" s="192"/>
      <c r="J454" s="33"/>
    </row>
    <row r="455" spans="1:20" s="77" customFormat="1" x14ac:dyDescent="0.25">
      <c r="A455" s="192" t="s">
        <v>358</v>
      </c>
      <c r="B455" s="192"/>
      <c r="C455" s="192"/>
      <c r="D455" s="192"/>
      <c r="E455" s="192"/>
      <c r="F455" s="192"/>
      <c r="G455" s="192"/>
      <c r="H455" s="192"/>
      <c r="J455" s="33"/>
    </row>
    <row r="456" spans="1:20" s="77" customFormat="1" ht="15.75" customHeight="1" x14ac:dyDescent="0.25">
      <c r="A456" s="110">
        <v>1</v>
      </c>
      <c r="B456" s="110"/>
      <c r="C456" s="98" t="s">
        <v>360</v>
      </c>
      <c r="D456" s="88">
        <f>(58.62)*10.764</f>
        <v>630.98567999999989</v>
      </c>
      <c r="E456" s="88">
        <f>(0.9*(3.05+2.1+2.85+2.95))*10.764</f>
        <v>106.07921999999999</v>
      </c>
      <c r="F456" s="98">
        <f>D456+E456</f>
        <v>737.06489999999985</v>
      </c>
      <c r="G456" s="98">
        <v>0</v>
      </c>
      <c r="H456" s="98">
        <f>F456*(($H$342)+1)+(IF(G456&lt;101,G456,IF(G456&lt;201,G456/2,IF(G456&lt;=301,G456/3,G456/4))))</f>
        <v>1105.5973499999998</v>
      </c>
      <c r="I456" s="33"/>
      <c r="L456" s="111"/>
      <c r="M456" s="111"/>
      <c r="N456" s="33"/>
    </row>
    <row r="457" spans="1:20" s="77" customFormat="1" ht="15.75" customHeight="1" x14ac:dyDescent="0.25">
      <c r="A457" s="110">
        <f>A456+1</f>
        <v>2</v>
      </c>
      <c r="B457" s="110"/>
      <c r="C457" s="98" t="s">
        <v>360</v>
      </c>
      <c r="D457" s="88">
        <f>(58.44)*10.764</f>
        <v>629.04815999999994</v>
      </c>
      <c r="E457" s="88">
        <f>(0.9*(3.05+2.1+2.85+2.95))*10.764</f>
        <v>106.07921999999999</v>
      </c>
      <c r="F457" s="98">
        <f>D457+E457</f>
        <v>735.1273799999999</v>
      </c>
      <c r="G457" s="98">
        <v>0</v>
      </c>
      <c r="H457" s="98">
        <f>F457*(($H$342)+1)+(IF(G457&lt;101,G457,IF(G457&lt;201,G457/2,IF(G457&lt;=301,G457/3,G457/4))))</f>
        <v>1102.6910699999999</v>
      </c>
      <c r="I457" s="33"/>
      <c r="L457" s="111"/>
      <c r="M457" s="111"/>
      <c r="N457" s="33"/>
    </row>
    <row r="458" spans="1:20" s="77" customFormat="1" ht="15.75" customHeight="1" x14ac:dyDescent="0.25">
      <c r="A458" s="110">
        <f>A457+1</f>
        <v>3</v>
      </c>
      <c r="B458" s="110"/>
      <c r="C458" s="98" t="s">
        <v>360</v>
      </c>
      <c r="D458" s="88">
        <f>(58.44)*10.764</f>
        <v>629.04815999999994</v>
      </c>
      <c r="E458" s="88">
        <f>(0.9*(3.05+2.1+2.85+2.95))*10.764</f>
        <v>106.07921999999999</v>
      </c>
      <c r="F458" s="98">
        <f>D458+E458</f>
        <v>735.1273799999999</v>
      </c>
      <c r="G458" s="98">
        <v>0</v>
      </c>
      <c r="H458" s="98">
        <f>F458*(($H$342)+1)+(IF(G458&lt;101,G458,IF(G458&lt;201,G458/2,IF(G458&lt;=301,G458/3,G458/4))))</f>
        <v>1102.6910699999999</v>
      </c>
      <c r="I458" s="33"/>
      <c r="L458" s="111"/>
      <c r="M458" s="111"/>
      <c r="N458" s="33"/>
    </row>
    <row r="459" spans="1:20" s="77" customFormat="1" ht="15.75" customHeight="1" x14ac:dyDescent="0.25">
      <c r="A459" s="110">
        <f>A458+1</f>
        <v>4</v>
      </c>
      <c r="B459" s="110"/>
      <c r="C459" s="110" t="s">
        <v>362</v>
      </c>
      <c r="D459" s="110"/>
      <c r="E459" s="110"/>
      <c r="F459" s="110"/>
      <c r="G459" s="110"/>
      <c r="H459" s="110"/>
      <c r="I459" s="33"/>
      <c r="L459" s="111"/>
      <c r="M459" s="111"/>
      <c r="N459" s="33"/>
      <c r="T459" s="18"/>
    </row>
    <row r="460" spans="1:20" s="77" customFormat="1" ht="15.75" customHeight="1" x14ac:dyDescent="0.25">
      <c r="A460" s="110">
        <f>A459+1</f>
        <v>5</v>
      </c>
      <c r="B460" s="110"/>
      <c r="C460" s="110"/>
      <c r="D460" s="110"/>
      <c r="E460" s="110"/>
      <c r="F460" s="110"/>
      <c r="G460" s="110"/>
      <c r="H460" s="110"/>
      <c r="I460" s="33"/>
      <c r="L460" s="111"/>
      <c r="M460" s="111"/>
      <c r="N460" s="33"/>
      <c r="T460" s="18"/>
    </row>
    <row r="461" spans="1:20" s="82" customFormat="1" ht="15.75" customHeight="1" x14ac:dyDescent="0.25">
      <c r="A461" s="110">
        <f>A460+1</f>
        <v>6</v>
      </c>
      <c r="B461" s="110"/>
      <c r="C461" s="110"/>
      <c r="D461" s="110"/>
      <c r="E461" s="110"/>
      <c r="F461" s="110"/>
      <c r="G461" s="110"/>
      <c r="H461" s="110"/>
      <c r="I461" s="33"/>
      <c r="L461" s="111"/>
      <c r="M461" s="111"/>
      <c r="N461" s="33"/>
      <c r="T461" s="18"/>
    </row>
    <row r="462" spans="1:20" s="80" customFormat="1" x14ac:dyDescent="0.25">
      <c r="A462" s="123" t="s">
        <v>117</v>
      </c>
      <c r="B462" s="124"/>
      <c r="C462" s="124"/>
      <c r="D462" s="124"/>
      <c r="E462" s="124"/>
      <c r="F462" s="124"/>
      <c r="G462" s="124"/>
      <c r="H462" s="125"/>
      <c r="J462" s="33"/>
    </row>
    <row r="463" spans="1:20" s="80" customFormat="1" ht="15.75" customHeight="1" x14ac:dyDescent="0.25">
      <c r="A463" s="112">
        <v>1</v>
      </c>
      <c r="B463" s="113"/>
      <c r="C463" s="79" t="s">
        <v>360</v>
      </c>
      <c r="D463" s="88">
        <f>(58.62)*10.764</f>
        <v>630.98567999999989</v>
      </c>
      <c r="E463" s="88">
        <f>(0.9*(3.05+2.1+2.85+2.95))*10.764</f>
        <v>106.07921999999999</v>
      </c>
      <c r="F463" s="79">
        <f>D463+E463</f>
        <v>737.06489999999985</v>
      </c>
      <c r="G463" s="79">
        <v>0</v>
      </c>
      <c r="H463" s="79">
        <f>F463*(($H$342)+1)+(IF(G463&lt;101,G463,IF(G463&lt;201,G463/2,IF(G463&lt;=301,G463/3,G463/4))))</f>
        <v>1105.5973499999998</v>
      </c>
      <c r="I463" s="33"/>
      <c r="L463" s="111"/>
      <c r="M463" s="111"/>
      <c r="N463" s="33"/>
    </row>
    <row r="464" spans="1:20" s="80" customFormat="1" ht="15.75" customHeight="1" x14ac:dyDescent="0.25">
      <c r="A464" s="112">
        <f>A463+1</f>
        <v>2</v>
      </c>
      <c r="B464" s="113"/>
      <c r="C464" s="79" t="s">
        <v>360</v>
      </c>
      <c r="D464" s="88">
        <f>(58.44)*10.764</f>
        <v>629.04815999999994</v>
      </c>
      <c r="E464" s="88">
        <f>(0.9*(3.05+2.1+2.85+2.95))*10.764</f>
        <v>106.07921999999999</v>
      </c>
      <c r="F464" s="79">
        <f>D464+E464</f>
        <v>735.1273799999999</v>
      </c>
      <c r="G464" s="79">
        <v>0</v>
      </c>
      <c r="H464" s="79">
        <f>F464*(($H$342)+1)+(IF(G464&lt;101,G464,IF(G464&lt;201,G464/2,IF(G464&lt;=301,G464/3,G464/4))))</f>
        <v>1102.6910699999999</v>
      </c>
      <c r="I464" s="33"/>
      <c r="L464" s="111"/>
      <c r="M464" s="111"/>
      <c r="N464" s="33"/>
    </row>
    <row r="465" spans="1:20" s="80" customFormat="1" ht="15.75" customHeight="1" x14ac:dyDescent="0.25">
      <c r="A465" s="112">
        <f>A464+1</f>
        <v>3</v>
      </c>
      <c r="B465" s="113"/>
      <c r="C465" s="79" t="s">
        <v>360</v>
      </c>
      <c r="D465" s="88">
        <f>(58.44)*10.764</f>
        <v>629.04815999999994</v>
      </c>
      <c r="E465" s="88">
        <f>(0.9*(3.05+2.1+2.85+2.95))*10.764</f>
        <v>106.07921999999999</v>
      </c>
      <c r="F465" s="79">
        <f>D465+E465</f>
        <v>735.1273799999999</v>
      </c>
      <c r="G465" s="79">
        <v>0</v>
      </c>
      <c r="H465" s="79">
        <f>F465*(($H$342)+1)+(IF(G465&lt;101,G465,IF(G465&lt;201,G465/2,IF(G465&lt;=301,G465/3,G465/4))))</f>
        <v>1102.6910699999999</v>
      </c>
      <c r="I465" s="33"/>
      <c r="L465" s="111"/>
      <c r="M465" s="111"/>
      <c r="N465" s="33"/>
    </row>
    <row r="466" spans="1:20" s="82" customFormat="1" ht="15.75" customHeight="1" x14ac:dyDescent="0.25">
      <c r="A466" s="112">
        <f>A465+1</f>
        <v>4</v>
      </c>
      <c r="B466" s="113"/>
      <c r="C466" s="114" t="s">
        <v>362</v>
      </c>
      <c r="D466" s="115"/>
      <c r="E466" s="115"/>
      <c r="F466" s="115"/>
      <c r="G466" s="115"/>
      <c r="H466" s="116"/>
      <c r="I466" s="33"/>
      <c r="L466" s="111"/>
      <c r="M466" s="111"/>
      <c r="N466" s="33"/>
      <c r="T466" s="18"/>
    </row>
    <row r="467" spans="1:20" s="82" customFormat="1" ht="15.75" customHeight="1" x14ac:dyDescent="0.25">
      <c r="A467" s="112">
        <f>A466+1</f>
        <v>5</v>
      </c>
      <c r="B467" s="113"/>
      <c r="C467" s="259"/>
      <c r="D467" s="260"/>
      <c r="E467" s="260"/>
      <c r="F467" s="260"/>
      <c r="G467" s="260"/>
      <c r="H467" s="261"/>
      <c r="I467" s="33"/>
      <c r="L467" s="111"/>
      <c r="M467" s="111"/>
      <c r="N467" s="33"/>
      <c r="T467" s="18"/>
    </row>
    <row r="468" spans="1:20" s="82" customFormat="1" ht="15.75" customHeight="1" x14ac:dyDescent="0.25">
      <c r="A468" s="112">
        <f>A467+1</f>
        <v>6</v>
      </c>
      <c r="B468" s="113"/>
      <c r="C468" s="117"/>
      <c r="D468" s="118"/>
      <c r="E468" s="118"/>
      <c r="F468" s="118"/>
      <c r="G468" s="118"/>
      <c r="H468" s="119"/>
      <c r="I468" s="33"/>
      <c r="L468" s="111"/>
      <c r="M468" s="111"/>
      <c r="N468" s="33"/>
      <c r="T468" s="18"/>
    </row>
    <row r="469" spans="1:20" s="80" customFormat="1" x14ac:dyDescent="0.25">
      <c r="A469" s="123" t="s">
        <v>364</v>
      </c>
      <c r="B469" s="124"/>
      <c r="C469" s="124"/>
      <c r="D469" s="124"/>
      <c r="E469" s="124"/>
      <c r="F469" s="124"/>
      <c r="G469" s="124"/>
      <c r="H469" s="125"/>
      <c r="J469" s="33"/>
    </row>
    <row r="470" spans="1:20" s="80" customFormat="1" ht="15.75" customHeight="1" x14ac:dyDescent="0.25">
      <c r="A470" s="112">
        <v>1</v>
      </c>
      <c r="B470" s="113"/>
      <c r="C470" s="79" t="s">
        <v>360</v>
      </c>
      <c r="D470" s="88">
        <f>(58.62)*10.764</f>
        <v>630.98567999999989</v>
      </c>
      <c r="E470" s="88">
        <f>(0.9*(3.05+2.1+2.85+2.95))*10.764</f>
        <v>106.07921999999999</v>
      </c>
      <c r="F470" s="79">
        <f>D470+E470</f>
        <v>737.06489999999985</v>
      </c>
      <c r="G470" s="79">
        <v>0</v>
      </c>
      <c r="H470" s="79">
        <f>F470*(($H$342)+1)+(IF(G470&lt;101,G470,IF(G470&lt;201,G470/2,IF(G470&lt;=301,G470/3,G470/4))))</f>
        <v>1105.5973499999998</v>
      </c>
      <c r="I470" s="33"/>
      <c r="L470" s="111"/>
      <c r="M470" s="111"/>
      <c r="N470" s="33"/>
    </row>
    <row r="471" spans="1:20" s="80" customFormat="1" ht="15.75" customHeight="1" x14ac:dyDescent="0.25">
      <c r="A471" s="112">
        <f>A470+1</f>
        <v>2</v>
      </c>
      <c r="B471" s="113"/>
      <c r="C471" s="79" t="s">
        <v>360</v>
      </c>
      <c r="D471" s="88">
        <f>(58.44)*10.764</f>
        <v>629.04815999999994</v>
      </c>
      <c r="E471" s="88">
        <f>(0.9*(3.05+2.1+2.85+2.95))*10.764</f>
        <v>106.07921999999999</v>
      </c>
      <c r="F471" s="79">
        <f>D471+E471</f>
        <v>735.1273799999999</v>
      </c>
      <c r="G471" s="79">
        <v>0</v>
      </c>
      <c r="H471" s="79">
        <f>F471*(($H$342)+1)+(IF(G471&lt;101,G471,IF(G471&lt;201,G471/2,IF(G471&lt;=301,G471/3,G471/4))))</f>
        <v>1102.6910699999999</v>
      </c>
      <c r="I471" s="33"/>
      <c r="L471" s="111"/>
      <c r="M471" s="111"/>
      <c r="N471" s="33"/>
    </row>
    <row r="472" spans="1:20" s="80" customFormat="1" ht="15.75" customHeight="1" x14ac:dyDescent="0.25">
      <c r="A472" s="112">
        <f>A471+1</f>
        <v>3</v>
      </c>
      <c r="B472" s="113"/>
      <c r="C472" s="79" t="s">
        <v>360</v>
      </c>
      <c r="D472" s="88">
        <f>(58.44)*10.764</f>
        <v>629.04815999999994</v>
      </c>
      <c r="E472" s="88">
        <f>(0.9*(3.05+2.1+2.85+2.95))*10.764</f>
        <v>106.07921999999999</v>
      </c>
      <c r="F472" s="79">
        <f>D472+E472</f>
        <v>735.1273799999999</v>
      </c>
      <c r="G472" s="79">
        <v>0</v>
      </c>
      <c r="H472" s="79">
        <f>F472*(($H$342)+1)+(IF(G472&lt;101,G472,IF(G472&lt;201,G472/2,IF(G472&lt;=301,G472/3,G472/4))))</f>
        <v>1102.6910699999999</v>
      </c>
      <c r="I472" s="33"/>
      <c r="L472" s="111"/>
      <c r="M472" s="111"/>
      <c r="N472" s="33"/>
    </row>
    <row r="473" spans="1:20" s="82" customFormat="1" ht="15.75" customHeight="1" x14ac:dyDescent="0.25">
      <c r="A473" s="112">
        <f>A472+1</f>
        <v>4</v>
      </c>
      <c r="B473" s="113"/>
      <c r="C473" s="114" t="s">
        <v>362</v>
      </c>
      <c r="D473" s="115"/>
      <c r="E473" s="115"/>
      <c r="F473" s="115"/>
      <c r="G473" s="115"/>
      <c r="H473" s="116"/>
      <c r="I473" s="33"/>
      <c r="L473" s="111"/>
      <c r="M473" s="111"/>
      <c r="N473" s="33"/>
      <c r="T473" s="18"/>
    </row>
    <row r="474" spans="1:20" s="82" customFormat="1" ht="15.75" customHeight="1" x14ac:dyDescent="0.25">
      <c r="A474" s="112">
        <f>A473+1</f>
        <v>5</v>
      </c>
      <c r="B474" s="113"/>
      <c r="C474" s="259"/>
      <c r="D474" s="260"/>
      <c r="E474" s="260"/>
      <c r="F474" s="260"/>
      <c r="G474" s="260"/>
      <c r="H474" s="261"/>
      <c r="I474" s="33"/>
      <c r="L474" s="111"/>
      <c r="M474" s="111"/>
      <c r="N474" s="33"/>
      <c r="T474" s="18"/>
    </row>
    <row r="475" spans="1:20" s="82" customFormat="1" ht="15.75" customHeight="1" x14ac:dyDescent="0.25">
      <c r="A475" s="112">
        <f>A474+1</f>
        <v>6</v>
      </c>
      <c r="B475" s="113"/>
      <c r="C475" s="117"/>
      <c r="D475" s="118"/>
      <c r="E475" s="118"/>
      <c r="F475" s="118"/>
      <c r="G475" s="118"/>
      <c r="H475" s="119"/>
      <c r="I475" s="33"/>
      <c r="L475" s="111"/>
      <c r="M475" s="111"/>
      <c r="N475" s="33"/>
      <c r="T475" s="18"/>
    </row>
    <row r="476" spans="1:20" s="80" customFormat="1" x14ac:dyDescent="0.25">
      <c r="A476" s="123" t="s">
        <v>365</v>
      </c>
      <c r="B476" s="124"/>
      <c r="C476" s="124"/>
      <c r="D476" s="124"/>
      <c r="E476" s="124"/>
      <c r="F476" s="124"/>
      <c r="G476" s="124"/>
      <c r="H476" s="125"/>
      <c r="J476" s="33"/>
    </row>
    <row r="477" spans="1:20" s="80" customFormat="1" ht="15.75" customHeight="1" x14ac:dyDescent="0.25">
      <c r="A477" s="112">
        <v>1</v>
      </c>
      <c r="B477" s="113"/>
      <c r="C477" s="79" t="s">
        <v>360</v>
      </c>
      <c r="D477" s="88">
        <f>(58.62)*10.764</f>
        <v>630.98567999999989</v>
      </c>
      <c r="E477" s="88">
        <f>(0.9*(3.05+2.1+2.85+2.95))*10.764</f>
        <v>106.07921999999999</v>
      </c>
      <c r="F477" s="79">
        <f>D477+E477</f>
        <v>737.06489999999985</v>
      </c>
      <c r="G477" s="79">
        <v>0</v>
      </c>
      <c r="H477" s="79">
        <f>F477*(($H$342)+1)+(IF(G477&lt;101,G477,IF(G477&lt;201,G477/2,IF(G477&lt;=301,G477/3,G477/4))))</f>
        <v>1105.5973499999998</v>
      </c>
      <c r="I477" s="33"/>
      <c r="L477" s="111"/>
      <c r="M477" s="111"/>
      <c r="N477" s="33"/>
    </row>
    <row r="478" spans="1:20" s="80" customFormat="1" ht="15.75" customHeight="1" x14ac:dyDescent="0.25">
      <c r="A478" s="112">
        <f>A477+1</f>
        <v>2</v>
      </c>
      <c r="B478" s="113"/>
      <c r="C478" s="79" t="s">
        <v>360</v>
      </c>
      <c r="D478" s="88">
        <f>(58.44)*10.764</f>
        <v>629.04815999999994</v>
      </c>
      <c r="E478" s="88">
        <f>(0.9*(3.05+2.1+2.85+2.95))*10.764</f>
        <v>106.07921999999999</v>
      </c>
      <c r="F478" s="79">
        <f>D478+E478</f>
        <v>735.1273799999999</v>
      </c>
      <c r="G478" s="79">
        <v>0</v>
      </c>
      <c r="H478" s="79">
        <f>F478*(($H$342)+1)+(IF(G478&lt;101,G478,IF(G478&lt;201,G478/2,IF(G478&lt;=301,G478/3,G478/4))))</f>
        <v>1102.6910699999999</v>
      </c>
      <c r="I478" s="33"/>
      <c r="L478" s="111"/>
      <c r="M478" s="111"/>
      <c r="N478" s="33"/>
    </row>
    <row r="479" spans="1:20" s="80" customFormat="1" ht="15.75" customHeight="1" x14ac:dyDescent="0.25">
      <c r="A479" s="112">
        <f>A478+1</f>
        <v>3</v>
      </c>
      <c r="B479" s="113"/>
      <c r="C479" s="79" t="s">
        <v>360</v>
      </c>
      <c r="D479" s="88">
        <f>(58.44)*10.764</f>
        <v>629.04815999999994</v>
      </c>
      <c r="E479" s="88">
        <f>(0.9*(3.05+2.1+2.85+2.95))*10.764</f>
        <v>106.07921999999999</v>
      </c>
      <c r="F479" s="79">
        <f>D479+E479</f>
        <v>735.1273799999999</v>
      </c>
      <c r="G479" s="79">
        <v>0</v>
      </c>
      <c r="H479" s="79">
        <f>F479*(($H$342)+1)+(IF(G479&lt;101,G479,IF(G479&lt;201,G479/2,IF(G479&lt;=301,G479/3,G479/4))))</f>
        <v>1102.6910699999999</v>
      </c>
      <c r="I479" s="33"/>
      <c r="L479" s="111"/>
      <c r="M479" s="111"/>
      <c r="N479" s="33"/>
    </row>
    <row r="480" spans="1:20" s="82" customFormat="1" ht="15.75" customHeight="1" x14ac:dyDescent="0.25">
      <c r="A480" s="112">
        <f>A479+1</f>
        <v>4</v>
      </c>
      <c r="B480" s="113"/>
      <c r="C480" s="114" t="s">
        <v>362</v>
      </c>
      <c r="D480" s="115"/>
      <c r="E480" s="115"/>
      <c r="F480" s="115"/>
      <c r="G480" s="115"/>
      <c r="H480" s="116"/>
      <c r="I480" s="33"/>
      <c r="L480" s="111"/>
      <c r="M480" s="111"/>
      <c r="N480" s="33"/>
      <c r="T480" s="18"/>
    </row>
    <row r="481" spans="1:20" s="82" customFormat="1" ht="15.75" customHeight="1" x14ac:dyDescent="0.25">
      <c r="A481" s="112">
        <f>A480+1</f>
        <v>5</v>
      </c>
      <c r="B481" s="113"/>
      <c r="C481" s="259"/>
      <c r="D481" s="260"/>
      <c r="E481" s="260"/>
      <c r="F481" s="260"/>
      <c r="G481" s="260"/>
      <c r="H481" s="261"/>
      <c r="I481" s="33"/>
      <c r="L481" s="111"/>
      <c r="M481" s="111"/>
      <c r="N481" s="33"/>
      <c r="T481" s="18"/>
    </row>
    <row r="482" spans="1:20" s="82" customFormat="1" ht="15.75" customHeight="1" x14ac:dyDescent="0.25">
      <c r="A482" s="112">
        <f>A481+1</f>
        <v>6</v>
      </c>
      <c r="B482" s="113"/>
      <c r="C482" s="117"/>
      <c r="D482" s="118"/>
      <c r="E482" s="118"/>
      <c r="F482" s="118"/>
      <c r="G482" s="118"/>
      <c r="H482" s="119"/>
      <c r="I482" s="33"/>
      <c r="L482" s="111"/>
      <c r="M482" s="111"/>
      <c r="N482" s="33"/>
      <c r="T482" s="18"/>
    </row>
    <row r="483" spans="1:20" s="80" customFormat="1" x14ac:dyDescent="0.25">
      <c r="A483" s="123" t="s">
        <v>366</v>
      </c>
      <c r="B483" s="124"/>
      <c r="C483" s="124"/>
      <c r="D483" s="124"/>
      <c r="E483" s="124"/>
      <c r="F483" s="124"/>
      <c r="G483" s="124"/>
      <c r="H483" s="125"/>
      <c r="J483" s="33"/>
    </row>
    <row r="484" spans="1:20" s="80" customFormat="1" ht="15.75" customHeight="1" x14ac:dyDescent="0.25">
      <c r="A484" s="112">
        <v>1</v>
      </c>
      <c r="B484" s="113"/>
      <c r="C484" s="79" t="s">
        <v>360</v>
      </c>
      <c r="D484" s="88">
        <f>(58.62)*10.764</f>
        <v>630.98567999999989</v>
      </c>
      <c r="E484" s="88">
        <f>(0.9*(3.05+2.1+2.85+2.95))*10.764</f>
        <v>106.07921999999999</v>
      </c>
      <c r="F484" s="79">
        <f>D484+E484</f>
        <v>737.06489999999985</v>
      </c>
      <c r="G484" s="79">
        <v>0</v>
      </c>
      <c r="H484" s="79">
        <f>F484*(($H$342)+1)+(IF(G484&lt;101,G484,IF(G484&lt;201,G484/2,IF(G484&lt;=301,G484/3,G484/4))))</f>
        <v>1105.5973499999998</v>
      </c>
      <c r="I484" s="33"/>
      <c r="L484" s="111"/>
      <c r="M484" s="111"/>
      <c r="N484" s="33"/>
    </row>
    <row r="485" spans="1:20" s="80" customFormat="1" ht="15.75" customHeight="1" x14ac:dyDescent="0.25">
      <c r="A485" s="112">
        <f>A484+1</f>
        <v>2</v>
      </c>
      <c r="B485" s="113"/>
      <c r="C485" s="79" t="s">
        <v>360</v>
      </c>
      <c r="D485" s="88">
        <f>(58.44)*10.764</f>
        <v>629.04815999999994</v>
      </c>
      <c r="E485" s="88">
        <f>(0.9*(3.05+2.1+2.85+2.95))*10.764</f>
        <v>106.07921999999999</v>
      </c>
      <c r="F485" s="79">
        <f>D485+E485</f>
        <v>735.1273799999999</v>
      </c>
      <c r="G485" s="79">
        <v>0</v>
      </c>
      <c r="H485" s="79">
        <f>F485*(($H$342)+1)+(IF(G485&lt;101,G485,IF(G485&lt;201,G485/2,IF(G485&lt;=301,G485/3,G485/4))))</f>
        <v>1102.6910699999999</v>
      </c>
      <c r="I485" s="33"/>
      <c r="L485" s="111"/>
      <c r="M485" s="111"/>
      <c r="N485" s="33"/>
    </row>
    <row r="486" spans="1:20" s="80" customFormat="1" ht="15.75" customHeight="1" x14ac:dyDescent="0.25">
      <c r="A486" s="112">
        <f>A485+1</f>
        <v>3</v>
      </c>
      <c r="B486" s="113"/>
      <c r="C486" s="79" t="s">
        <v>360</v>
      </c>
      <c r="D486" s="88">
        <f>(58.44)*10.764</f>
        <v>629.04815999999994</v>
      </c>
      <c r="E486" s="88">
        <f>(0.9*(3.05+2.1+2.85+2.95))*10.764</f>
        <v>106.07921999999999</v>
      </c>
      <c r="F486" s="79">
        <f>D486+E486</f>
        <v>735.1273799999999</v>
      </c>
      <c r="G486" s="79">
        <v>0</v>
      </c>
      <c r="H486" s="79">
        <f>F486*(($H$342)+1)+(IF(G486&lt;101,G486,IF(G486&lt;201,G486/2,IF(G486&lt;=301,G486/3,G486/4))))</f>
        <v>1102.6910699999999</v>
      </c>
      <c r="I486" s="33"/>
      <c r="L486" s="111"/>
      <c r="M486" s="111"/>
      <c r="N486" s="33"/>
    </row>
    <row r="487" spans="1:20" s="82" customFormat="1" ht="15.75" customHeight="1" x14ac:dyDescent="0.25">
      <c r="A487" s="112">
        <f>A486+1</f>
        <v>4</v>
      </c>
      <c r="B487" s="113"/>
      <c r="C487" s="114" t="s">
        <v>370</v>
      </c>
      <c r="D487" s="115"/>
      <c r="E487" s="115"/>
      <c r="F487" s="115"/>
      <c r="G487" s="115"/>
      <c r="H487" s="116"/>
      <c r="I487" s="33"/>
      <c r="L487" s="111"/>
      <c r="M487" s="111"/>
      <c r="N487" s="33"/>
      <c r="T487" s="18"/>
    </row>
    <row r="488" spans="1:20" s="82" customFormat="1" ht="15.75" customHeight="1" x14ac:dyDescent="0.25">
      <c r="A488" s="112">
        <f>A487+1</f>
        <v>5</v>
      </c>
      <c r="B488" s="113"/>
      <c r="C488" s="259"/>
      <c r="D488" s="260"/>
      <c r="E488" s="260"/>
      <c r="F488" s="260"/>
      <c r="G488" s="260"/>
      <c r="H488" s="261"/>
      <c r="I488" s="33"/>
      <c r="L488" s="111"/>
      <c r="M488" s="111"/>
      <c r="N488" s="33"/>
      <c r="T488" s="18"/>
    </row>
    <row r="489" spans="1:20" s="82" customFormat="1" ht="15.75" customHeight="1" x14ac:dyDescent="0.25">
      <c r="A489" s="112">
        <f>A488+1</f>
        <v>6</v>
      </c>
      <c r="B489" s="113"/>
      <c r="C489" s="117"/>
      <c r="D489" s="118"/>
      <c r="E489" s="118"/>
      <c r="F489" s="118"/>
      <c r="G489" s="118"/>
      <c r="H489" s="119"/>
      <c r="I489" s="33"/>
      <c r="L489" s="111"/>
      <c r="M489" s="111"/>
      <c r="N489" s="33"/>
      <c r="T489" s="18"/>
    </row>
    <row r="490" spans="1:20" s="80" customFormat="1" x14ac:dyDescent="0.25">
      <c r="A490" s="123" t="s">
        <v>371</v>
      </c>
      <c r="B490" s="124"/>
      <c r="C490" s="124"/>
      <c r="D490" s="124"/>
      <c r="E490" s="124"/>
      <c r="F490" s="124"/>
      <c r="G490" s="124"/>
      <c r="H490" s="125"/>
      <c r="J490" s="33"/>
    </row>
    <row r="491" spans="1:20" s="80" customFormat="1" ht="15.75" customHeight="1" x14ac:dyDescent="0.25">
      <c r="A491" s="112">
        <v>1</v>
      </c>
      <c r="B491" s="113"/>
      <c r="C491" s="79" t="s">
        <v>360</v>
      </c>
      <c r="D491" s="88">
        <f>(58.62)*10.764</f>
        <v>630.98567999999989</v>
      </c>
      <c r="E491" s="88">
        <f>(0.9*(3.05+2.1+2.85+2.95))*10.764</f>
        <v>106.07921999999999</v>
      </c>
      <c r="F491" s="79">
        <f>D491+E491</f>
        <v>737.06489999999985</v>
      </c>
      <c r="G491" s="79">
        <v>0</v>
      </c>
      <c r="H491" s="79">
        <f>F491*(($H$342)+1)+(IF(G491&lt;101,G491,IF(G491&lt;201,G491/2,IF(G491&lt;=301,G491/3,G491/4))))</f>
        <v>1105.5973499999998</v>
      </c>
      <c r="I491" s="33"/>
      <c r="L491" s="111"/>
      <c r="M491" s="111"/>
      <c r="N491" s="33"/>
    </row>
    <row r="492" spans="1:20" s="80" customFormat="1" ht="15.75" customHeight="1" x14ac:dyDescent="0.25">
      <c r="A492" s="112">
        <f>A491+1</f>
        <v>2</v>
      </c>
      <c r="B492" s="113"/>
      <c r="C492" s="79" t="s">
        <v>360</v>
      </c>
      <c r="D492" s="88">
        <f>(58.44)*10.764</f>
        <v>629.04815999999994</v>
      </c>
      <c r="E492" s="88">
        <f>(0.9*(3.05+2.1+2.85+2.95))*10.764</f>
        <v>106.07921999999999</v>
      </c>
      <c r="F492" s="79">
        <f>D492+E492</f>
        <v>735.1273799999999</v>
      </c>
      <c r="G492" s="79">
        <v>0</v>
      </c>
      <c r="H492" s="79">
        <f>F492*(($H$342)+1)+(IF(G492&lt;101,G492,IF(G492&lt;201,G492/2,IF(G492&lt;=301,G492/3,G492/4))))</f>
        <v>1102.6910699999999</v>
      </c>
      <c r="I492" s="33"/>
      <c r="L492" s="111"/>
      <c r="M492" s="111"/>
      <c r="N492" s="33"/>
    </row>
    <row r="493" spans="1:20" s="80" customFormat="1" ht="15.75" customHeight="1" x14ac:dyDescent="0.25">
      <c r="A493" s="112">
        <f>A492+1</f>
        <v>3</v>
      </c>
      <c r="B493" s="113"/>
      <c r="C493" s="79" t="s">
        <v>360</v>
      </c>
      <c r="D493" s="88">
        <f>(58.44)*10.764</f>
        <v>629.04815999999994</v>
      </c>
      <c r="E493" s="88">
        <f>(0.9*(3.05+2.1+2.85+2.95))*10.764</f>
        <v>106.07921999999999</v>
      </c>
      <c r="F493" s="79">
        <f>D493+E493</f>
        <v>735.1273799999999</v>
      </c>
      <c r="G493" s="79">
        <v>0</v>
      </c>
      <c r="H493" s="79">
        <f>F493*(($H$342)+1)+(IF(G493&lt;101,G493,IF(G493&lt;201,G493/2,IF(G493&lt;=301,G493/3,G493/4))))</f>
        <v>1102.6910699999999</v>
      </c>
      <c r="I493" s="33"/>
      <c r="L493" s="111"/>
      <c r="M493" s="111"/>
      <c r="N493" s="33"/>
    </row>
    <row r="494" spans="1:20" s="80" customFormat="1" ht="15.75" customHeight="1" x14ac:dyDescent="0.25">
      <c r="A494" s="112">
        <f>A493+1</f>
        <v>4</v>
      </c>
      <c r="B494" s="113"/>
      <c r="C494" s="114" t="s">
        <v>367</v>
      </c>
      <c r="D494" s="115"/>
      <c r="E494" s="115"/>
      <c r="F494" s="115"/>
      <c r="G494" s="115"/>
      <c r="H494" s="116"/>
      <c r="I494" s="33"/>
      <c r="L494" s="111"/>
      <c r="M494" s="111"/>
      <c r="N494" s="33"/>
      <c r="T494" s="18"/>
    </row>
    <row r="495" spans="1:20" s="80" customFormat="1" ht="15.75" customHeight="1" x14ac:dyDescent="0.25">
      <c r="A495" s="112">
        <f>A494+1</f>
        <v>5</v>
      </c>
      <c r="B495" s="113"/>
      <c r="C495" s="259"/>
      <c r="D495" s="260"/>
      <c r="E495" s="260"/>
      <c r="F495" s="260"/>
      <c r="G495" s="260"/>
      <c r="H495" s="261"/>
      <c r="I495" s="33"/>
      <c r="L495" s="111"/>
      <c r="M495" s="111"/>
      <c r="N495" s="33"/>
      <c r="T495" s="18"/>
    </row>
    <row r="496" spans="1:20" s="82" customFormat="1" ht="15.75" customHeight="1" x14ac:dyDescent="0.25">
      <c r="A496" s="112">
        <f>A495+1</f>
        <v>6</v>
      </c>
      <c r="B496" s="113"/>
      <c r="C496" s="117"/>
      <c r="D496" s="118"/>
      <c r="E496" s="118"/>
      <c r="F496" s="118"/>
      <c r="G496" s="118"/>
      <c r="H496" s="119"/>
      <c r="I496" s="33"/>
      <c r="L496" s="111"/>
      <c r="M496" s="111"/>
      <c r="N496" s="33"/>
      <c r="T496" s="18"/>
    </row>
    <row r="497" spans="1:20" s="34" customFormat="1" x14ac:dyDescent="0.25">
      <c r="A497" s="192" t="s">
        <v>368</v>
      </c>
      <c r="B497" s="192"/>
      <c r="C497" s="192"/>
      <c r="D497" s="192"/>
      <c r="E497" s="192"/>
      <c r="F497" s="192"/>
      <c r="G497" s="192"/>
      <c r="H497" s="192"/>
      <c r="J497" s="33"/>
    </row>
    <row r="498" spans="1:20" s="34" customFormat="1" ht="15.75" customHeight="1" x14ac:dyDescent="0.25">
      <c r="A498" s="110">
        <v>1</v>
      </c>
      <c r="B498" s="110"/>
      <c r="C498" s="98" t="s">
        <v>360</v>
      </c>
      <c r="D498" s="88">
        <f>(58.62)*10.764</f>
        <v>630.98567999999989</v>
      </c>
      <c r="E498" s="88">
        <f>(0.9*(3.05+2.1+2.85+2.95))*10.764</f>
        <v>106.07921999999999</v>
      </c>
      <c r="F498" s="98">
        <f t="shared" ref="F498:F503" si="68">D498+E498</f>
        <v>737.06489999999985</v>
      </c>
      <c r="G498" s="98">
        <v>0</v>
      </c>
      <c r="H498" s="98">
        <f t="shared" ref="H498:H503" si="69">F498*(($H$342)+1)+(IF(G498&lt;101,G498,IF(G498&lt;201,G498/2,IF(G498&lt;=301,G498/3,G498/4))))</f>
        <v>1105.5973499999998</v>
      </c>
      <c r="I498" s="33"/>
      <c r="L498" s="111"/>
      <c r="M498" s="111"/>
      <c r="N498" s="33"/>
    </row>
    <row r="499" spans="1:20" s="34" customFormat="1" ht="15.75" customHeight="1" x14ac:dyDescent="0.25">
      <c r="A499" s="110">
        <f>A498+1</f>
        <v>2</v>
      </c>
      <c r="B499" s="110"/>
      <c r="C499" s="98" t="s">
        <v>360</v>
      </c>
      <c r="D499" s="88">
        <f>(58.44)*10.764</f>
        <v>629.04815999999994</v>
      </c>
      <c r="E499" s="88">
        <f>(0.9*(3.05+2.1+2.85+2.95))*10.764</f>
        <v>106.07921999999999</v>
      </c>
      <c r="F499" s="98">
        <f t="shared" si="68"/>
        <v>735.1273799999999</v>
      </c>
      <c r="G499" s="98">
        <v>0</v>
      </c>
      <c r="H499" s="98">
        <f t="shared" si="69"/>
        <v>1102.6910699999999</v>
      </c>
      <c r="I499" s="33"/>
      <c r="L499" s="111"/>
      <c r="M499" s="111"/>
      <c r="N499" s="33"/>
    </row>
    <row r="500" spans="1:20" s="34" customFormat="1" ht="15.75" customHeight="1" x14ac:dyDescent="0.25">
      <c r="A500" s="110">
        <f>A499+1</f>
        <v>3</v>
      </c>
      <c r="B500" s="110"/>
      <c r="C500" s="98" t="s">
        <v>360</v>
      </c>
      <c r="D500" s="88">
        <f>(58.44)*10.764</f>
        <v>629.04815999999994</v>
      </c>
      <c r="E500" s="88">
        <f>(0.9*(3.05+2.1+2.85+2.95))*10.764</f>
        <v>106.07921999999999</v>
      </c>
      <c r="F500" s="98">
        <f t="shared" si="68"/>
        <v>735.1273799999999</v>
      </c>
      <c r="G500" s="98">
        <v>0</v>
      </c>
      <c r="H500" s="98">
        <f t="shared" si="69"/>
        <v>1102.6910699999999</v>
      </c>
      <c r="I500" s="33"/>
      <c r="L500" s="111"/>
      <c r="M500" s="111"/>
      <c r="N500" s="33"/>
    </row>
    <row r="501" spans="1:20" s="34" customFormat="1" ht="15.75" customHeight="1" x14ac:dyDescent="0.25">
      <c r="A501" s="110">
        <f>A500+1</f>
        <v>4</v>
      </c>
      <c r="B501" s="110"/>
      <c r="C501" s="98" t="s">
        <v>360</v>
      </c>
      <c r="D501" s="88">
        <f>(56.47)*10.764</f>
        <v>607.84307999999999</v>
      </c>
      <c r="E501" s="88">
        <f>(0.9*(3.075+2.1+2.95+2.85))*10.764</f>
        <v>106.32140999999999</v>
      </c>
      <c r="F501" s="98">
        <f t="shared" si="68"/>
        <v>714.16449</v>
      </c>
      <c r="G501" s="98">
        <v>0</v>
      </c>
      <c r="H501" s="98">
        <f t="shared" si="69"/>
        <v>1071.2467349999999</v>
      </c>
      <c r="I501" s="33"/>
      <c r="L501" s="111"/>
      <c r="M501" s="111"/>
      <c r="N501" s="33"/>
      <c r="T501" s="18"/>
    </row>
    <row r="502" spans="1:20" s="82" customFormat="1" ht="15.75" customHeight="1" x14ac:dyDescent="0.25">
      <c r="A502" s="110">
        <f>A501+1</f>
        <v>5</v>
      </c>
      <c r="B502" s="110"/>
      <c r="C502" s="98" t="s">
        <v>360</v>
      </c>
      <c r="D502" s="88">
        <f>(56.31)*10.764</f>
        <v>606.12084000000004</v>
      </c>
      <c r="E502" s="88">
        <f>(0.9*(3.075+2.1+2.85+2.95))*10.764</f>
        <v>106.32141000000001</v>
      </c>
      <c r="F502" s="98">
        <f t="shared" si="68"/>
        <v>712.44225000000006</v>
      </c>
      <c r="G502" s="98">
        <v>0</v>
      </c>
      <c r="H502" s="98">
        <f t="shared" si="69"/>
        <v>1068.6633750000001</v>
      </c>
      <c r="I502" s="33"/>
      <c r="L502" s="111"/>
      <c r="M502" s="111"/>
      <c r="N502" s="33"/>
    </row>
    <row r="503" spans="1:20" s="82" customFormat="1" ht="15.75" customHeight="1" x14ac:dyDescent="0.25">
      <c r="A503" s="110">
        <f>A502+1</f>
        <v>6</v>
      </c>
      <c r="B503" s="110"/>
      <c r="C503" s="98" t="s">
        <v>360</v>
      </c>
      <c r="D503" s="88">
        <f>(59.72)*10.764</f>
        <v>642.82607999999993</v>
      </c>
      <c r="E503" s="88">
        <f>(0.9*(3.05+2.1+2.85+2.95))*10.764</f>
        <v>106.07921999999999</v>
      </c>
      <c r="F503" s="98">
        <f t="shared" si="68"/>
        <v>748.9052999999999</v>
      </c>
      <c r="G503" s="98">
        <v>0</v>
      </c>
      <c r="H503" s="98">
        <f t="shared" si="69"/>
        <v>1123.3579499999998</v>
      </c>
      <c r="I503" s="33"/>
      <c r="L503" s="111"/>
      <c r="M503" s="111"/>
      <c r="N503" s="33"/>
      <c r="T503" s="18"/>
    </row>
    <row r="504" spans="1:20" s="82" customFormat="1" x14ac:dyDescent="0.25">
      <c r="A504" s="123" t="s">
        <v>422</v>
      </c>
      <c r="B504" s="124"/>
      <c r="C504" s="124"/>
      <c r="D504" s="124"/>
      <c r="E504" s="124"/>
      <c r="F504" s="124"/>
      <c r="G504" s="124"/>
      <c r="H504" s="125"/>
      <c r="J504" s="33"/>
    </row>
    <row r="505" spans="1:20" s="82" customFormat="1" ht="15.75" customHeight="1" x14ac:dyDescent="0.25">
      <c r="A505" s="112">
        <v>1</v>
      </c>
      <c r="B505" s="113"/>
      <c r="C505" s="84" t="s">
        <v>360</v>
      </c>
      <c r="D505" s="88">
        <f>(58.62)*10.764</f>
        <v>630.98567999999989</v>
      </c>
      <c r="E505" s="88">
        <f>(0.9*(3.05+2.1+2.85+2.95))*10.764</f>
        <v>106.07921999999999</v>
      </c>
      <c r="F505" s="84">
        <f t="shared" ref="F505:F510" si="70">D505+E505</f>
        <v>737.06489999999985</v>
      </c>
      <c r="G505" s="84">
        <v>0</v>
      </c>
      <c r="H505" s="84">
        <f t="shared" ref="H505:H510" si="71">F505*(($H$342)+1)+(IF(G505&lt;101,G505,IF(G505&lt;201,G505/2,IF(G505&lt;=301,G505/3,G505/4))))</f>
        <v>1105.5973499999998</v>
      </c>
      <c r="I505" s="33"/>
      <c r="L505" s="111"/>
      <c r="M505" s="111"/>
      <c r="N505" s="33"/>
    </row>
    <row r="506" spans="1:20" s="82" customFormat="1" ht="15.75" customHeight="1" x14ac:dyDescent="0.25">
      <c r="A506" s="112">
        <f>A505+1</f>
        <v>2</v>
      </c>
      <c r="B506" s="113"/>
      <c r="C506" s="84" t="s">
        <v>360</v>
      </c>
      <c r="D506" s="88">
        <f>(58.44)*10.764</f>
        <v>629.04815999999994</v>
      </c>
      <c r="E506" s="88">
        <f>(0.9*(3.05+2.1+2.85+2.95))*10.764</f>
        <v>106.07921999999999</v>
      </c>
      <c r="F506" s="84">
        <f t="shared" si="70"/>
        <v>735.1273799999999</v>
      </c>
      <c r="G506" s="84">
        <v>0</v>
      </c>
      <c r="H506" s="84">
        <f t="shared" si="71"/>
        <v>1102.6910699999999</v>
      </c>
      <c r="I506" s="33"/>
      <c r="L506" s="111"/>
      <c r="M506" s="111"/>
      <c r="N506" s="33"/>
    </row>
    <row r="507" spans="1:20" s="82" customFormat="1" ht="15.75" customHeight="1" x14ac:dyDescent="0.25">
      <c r="A507" s="112">
        <f>A506+1</f>
        <v>3</v>
      </c>
      <c r="B507" s="113"/>
      <c r="C507" s="84" t="s">
        <v>360</v>
      </c>
      <c r="D507" s="88">
        <f>(58.44)*10.764</f>
        <v>629.04815999999994</v>
      </c>
      <c r="E507" s="88">
        <f>(0.9*(3.05+2.1+2.85+2.95))*10.764</f>
        <v>106.07921999999999</v>
      </c>
      <c r="F507" s="84">
        <f t="shared" si="70"/>
        <v>735.1273799999999</v>
      </c>
      <c r="G507" s="84">
        <v>0</v>
      </c>
      <c r="H507" s="84">
        <f t="shared" si="71"/>
        <v>1102.6910699999999</v>
      </c>
      <c r="I507" s="33"/>
      <c r="L507" s="111"/>
      <c r="M507" s="111"/>
      <c r="N507" s="33"/>
    </row>
    <row r="508" spans="1:20" s="82" customFormat="1" ht="15.75" customHeight="1" x14ac:dyDescent="0.25">
      <c r="A508" s="112">
        <f>A507+1</f>
        <v>4</v>
      </c>
      <c r="B508" s="113"/>
      <c r="C508" s="84" t="s">
        <v>360</v>
      </c>
      <c r="D508" s="88">
        <f>(56.47)*10.764</f>
        <v>607.84307999999999</v>
      </c>
      <c r="E508" s="88">
        <f>(0.9*(3.075+2.1+2.95+2.85))*10.764</f>
        <v>106.32140999999999</v>
      </c>
      <c r="F508" s="84">
        <f t="shared" si="70"/>
        <v>714.16449</v>
      </c>
      <c r="G508" s="84">
        <v>0</v>
      </c>
      <c r="H508" s="84">
        <f t="shared" si="71"/>
        <v>1071.2467349999999</v>
      </c>
      <c r="I508" s="33"/>
      <c r="L508" s="111"/>
      <c r="M508" s="111"/>
      <c r="N508" s="33"/>
      <c r="T508" s="18"/>
    </row>
    <row r="509" spans="1:20" s="82" customFormat="1" ht="15.75" customHeight="1" x14ac:dyDescent="0.25">
      <c r="A509" s="112">
        <f>A508+1</f>
        <v>5</v>
      </c>
      <c r="B509" s="113"/>
      <c r="C509" s="84" t="s">
        <v>360</v>
      </c>
      <c r="D509" s="88">
        <f>(56.31)*10.764</f>
        <v>606.12084000000004</v>
      </c>
      <c r="E509" s="88">
        <f>(0.9*(3.075+2.1+2.85+2.95))*10.764</f>
        <v>106.32141000000001</v>
      </c>
      <c r="F509" s="84">
        <f t="shared" si="70"/>
        <v>712.44225000000006</v>
      </c>
      <c r="G509" s="84">
        <v>0</v>
      </c>
      <c r="H509" s="84">
        <f t="shared" si="71"/>
        <v>1068.6633750000001</v>
      </c>
      <c r="I509" s="33"/>
      <c r="L509" s="111"/>
      <c r="M509" s="111"/>
      <c r="N509" s="33"/>
    </row>
    <row r="510" spans="1:20" s="82" customFormat="1" ht="15.6" customHeight="1" x14ac:dyDescent="0.25">
      <c r="A510" s="112">
        <f>A509+1</f>
        <v>6</v>
      </c>
      <c r="B510" s="113"/>
      <c r="C510" s="84" t="s">
        <v>360</v>
      </c>
      <c r="D510" s="88">
        <f>(59.72)*10.764</f>
        <v>642.82607999999993</v>
      </c>
      <c r="E510" s="88">
        <f>(0.9*(3.05+2.1+2.85+2.95))*10.764</f>
        <v>106.07921999999999</v>
      </c>
      <c r="F510" s="84">
        <f t="shared" si="70"/>
        <v>748.9052999999999</v>
      </c>
      <c r="G510" s="84">
        <v>0</v>
      </c>
      <c r="H510" s="84">
        <f t="shared" si="71"/>
        <v>1123.3579499999998</v>
      </c>
      <c r="I510" s="33"/>
      <c r="L510" s="111"/>
      <c r="M510" s="111"/>
      <c r="N510" s="33"/>
      <c r="T510" s="18"/>
    </row>
    <row r="511" spans="1:20" s="82" customFormat="1" ht="15.6" customHeight="1" x14ac:dyDescent="0.25">
      <c r="A511" s="123" t="s">
        <v>381</v>
      </c>
      <c r="B511" s="124"/>
      <c r="C511" s="124"/>
      <c r="D511" s="124"/>
      <c r="E511" s="124"/>
      <c r="F511" s="124"/>
      <c r="G511" s="124"/>
      <c r="H511" s="125"/>
      <c r="J511" s="33"/>
    </row>
    <row r="512" spans="1:20" s="82" customFormat="1" ht="15.75" customHeight="1" x14ac:dyDescent="0.25">
      <c r="A512" s="112">
        <v>1</v>
      </c>
      <c r="B512" s="113"/>
      <c r="C512" s="84" t="s">
        <v>360</v>
      </c>
      <c r="D512" s="88">
        <f>(57.69)*10.764</f>
        <v>620.97515999999996</v>
      </c>
      <c r="E512" s="88">
        <f>(0.9*(3.05+2.1+2.95+3.05))*10.764</f>
        <v>108.01674000000001</v>
      </c>
      <c r="F512" s="84">
        <f t="shared" ref="F512:F517" si="72">D512+E512</f>
        <v>728.99189999999999</v>
      </c>
      <c r="G512" s="84">
        <v>0</v>
      </c>
      <c r="H512" s="84">
        <f t="shared" ref="H512:H517" si="73">F512*(($H$342)+1)+(IF(G512&lt;101,G512,IF(G512&lt;201,G512/2,IF(G512&lt;=301,G512/3,G512/4))))</f>
        <v>1093.48785</v>
      </c>
      <c r="I512" s="33"/>
      <c r="L512" s="111"/>
      <c r="M512" s="111"/>
      <c r="N512" s="33"/>
    </row>
    <row r="513" spans="1:20" s="82" customFormat="1" ht="15.75" customHeight="1" x14ac:dyDescent="0.25">
      <c r="A513" s="112">
        <f>A512+1</f>
        <v>2</v>
      </c>
      <c r="B513" s="113"/>
      <c r="C513" s="84" t="s">
        <v>360</v>
      </c>
      <c r="D513" s="88">
        <f>(57.76)*10.764</f>
        <v>621.72863999999993</v>
      </c>
      <c r="E513" s="88">
        <f>(0.9*(3.05+2.15+2.95+3.05))*10.764</f>
        <v>108.50112</v>
      </c>
      <c r="F513" s="84">
        <f t="shared" si="72"/>
        <v>730.22975999999994</v>
      </c>
      <c r="G513" s="84">
        <v>0</v>
      </c>
      <c r="H513" s="84">
        <f t="shared" si="73"/>
        <v>1095.3446399999998</v>
      </c>
      <c r="I513" s="33"/>
      <c r="L513" s="111"/>
      <c r="M513" s="111"/>
      <c r="N513" s="33"/>
    </row>
    <row r="514" spans="1:20" s="82" customFormat="1" ht="15.75" customHeight="1" x14ac:dyDescent="0.25">
      <c r="A514" s="112">
        <f>A513+1</f>
        <v>3</v>
      </c>
      <c r="B514" s="113"/>
      <c r="C514" s="84" t="s">
        <v>360</v>
      </c>
      <c r="D514" s="88">
        <f>(57.76)*10.764</f>
        <v>621.72863999999993</v>
      </c>
      <c r="E514" s="88">
        <f>(0.9*(3.05+2.15+3+3))*10.764</f>
        <v>108.50112</v>
      </c>
      <c r="F514" s="84">
        <f t="shared" si="72"/>
        <v>730.22975999999994</v>
      </c>
      <c r="G514" s="84">
        <v>0</v>
      </c>
      <c r="H514" s="84">
        <f t="shared" si="73"/>
        <v>1095.3446399999998</v>
      </c>
      <c r="I514" s="33"/>
      <c r="L514" s="111"/>
      <c r="M514" s="111"/>
      <c r="N514" s="33"/>
    </row>
    <row r="515" spans="1:20" s="82" customFormat="1" ht="15.75" customHeight="1" x14ac:dyDescent="0.25">
      <c r="A515" s="112">
        <f>A514+1</f>
        <v>4</v>
      </c>
      <c r="B515" s="113"/>
      <c r="C515" s="84" t="s">
        <v>360</v>
      </c>
      <c r="D515" s="88">
        <f>(57.2)*10.764</f>
        <v>615.70079999999996</v>
      </c>
      <c r="E515" s="88">
        <f>(0.9*(3.075+2.1+2.95+3.05))*10.764</f>
        <v>108.25893000000001</v>
      </c>
      <c r="F515" s="84">
        <f t="shared" si="72"/>
        <v>723.95972999999992</v>
      </c>
      <c r="G515" s="84">
        <v>0</v>
      </c>
      <c r="H515" s="84">
        <f t="shared" si="73"/>
        <v>1085.9395949999998</v>
      </c>
      <c r="I515" s="33"/>
      <c r="L515" s="111"/>
      <c r="M515" s="111"/>
      <c r="N515" s="33"/>
      <c r="T515" s="18"/>
    </row>
    <row r="516" spans="1:20" s="82" customFormat="1" ht="15.75" customHeight="1" x14ac:dyDescent="0.25">
      <c r="A516" s="112">
        <f>A515+1</f>
        <v>5</v>
      </c>
      <c r="B516" s="113"/>
      <c r="C516" s="84" t="s">
        <v>360</v>
      </c>
      <c r="D516" s="88">
        <f>(57.2)*10.764</f>
        <v>615.70079999999996</v>
      </c>
      <c r="E516" s="88">
        <f>(0.9*(3.075+2.1+2.95+2.95))*10.764</f>
        <v>107.29016999999999</v>
      </c>
      <c r="F516" s="84">
        <f t="shared" si="72"/>
        <v>722.99096999999995</v>
      </c>
      <c r="G516" s="84">
        <v>0</v>
      </c>
      <c r="H516" s="84">
        <f t="shared" si="73"/>
        <v>1084.486455</v>
      </c>
      <c r="I516" s="33"/>
      <c r="L516" s="111"/>
      <c r="M516" s="111"/>
      <c r="N516" s="33"/>
    </row>
    <row r="517" spans="1:20" s="82" customFormat="1" ht="15.6" customHeight="1" x14ac:dyDescent="0.25">
      <c r="A517" s="112">
        <f>A516+1</f>
        <v>6</v>
      </c>
      <c r="B517" s="113"/>
      <c r="C517" s="84" t="s">
        <v>360</v>
      </c>
      <c r="D517" s="88">
        <f>(60.18)*10.764</f>
        <v>647.77751999999998</v>
      </c>
      <c r="E517" s="88">
        <f>(0.9*(3.05+2.2+2.95+3.05))*10.764</f>
        <v>108.98549999999999</v>
      </c>
      <c r="F517" s="84">
        <f t="shared" si="72"/>
        <v>756.76301999999998</v>
      </c>
      <c r="G517" s="84">
        <v>0</v>
      </c>
      <c r="H517" s="84">
        <f t="shared" si="73"/>
        <v>1135.14453</v>
      </c>
      <c r="I517" s="33"/>
      <c r="L517" s="111"/>
      <c r="M517" s="111"/>
      <c r="N517" s="33"/>
      <c r="T517" s="18"/>
    </row>
    <row r="518" spans="1:20" s="34" customFormat="1" hidden="1" x14ac:dyDescent="0.25">
      <c r="A518" s="192" t="s">
        <v>117</v>
      </c>
      <c r="B518" s="192"/>
      <c r="C518" s="192"/>
      <c r="D518" s="192"/>
      <c r="E518" s="192"/>
      <c r="F518" s="192"/>
      <c r="G518" s="192"/>
      <c r="H518" s="192"/>
      <c r="I518" s="33"/>
      <c r="L518" s="111"/>
      <c r="M518" s="111"/>
    </row>
    <row r="519" spans="1:20" s="34" customFormat="1" hidden="1" x14ac:dyDescent="0.25">
      <c r="A519" s="110">
        <f>LEFT(A518,SUM(LEN(A518)-LEN(SUBSTITUTE(A518,{"0","1","2","3","4","5","6","7","8","9"},""))))*100+1</f>
        <v>201</v>
      </c>
      <c r="B519" s="110"/>
      <c r="C519" s="39"/>
      <c r="D519" s="39"/>
      <c r="E519" s="50">
        <v>0</v>
      </c>
      <c r="F519" s="50">
        <f>D519+E519</f>
        <v>0</v>
      </c>
      <c r="G519" s="50">
        <v>0</v>
      </c>
      <c r="H519" s="50">
        <f>F519*(($H$342)+1)+(IF(G519&lt;101,G519,IF(G519&lt;201,G519/2,IF(G519&lt;=301,G519/3,G519/4))))</f>
        <v>0</v>
      </c>
      <c r="I519" s="33"/>
      <c r="N519" s="33"/>
    </row>
    <row r="520" spans="1:20" s="34" customFormat="1" hidden="1" x14ac:dyDescent="0.25">
      <c r="A520" s="110">
        <f>A519+1</f>
        <v>202</v>
      </c>
      <c r="B520" s="110"/>
      <c r="C520" s="39"/>
      <c r="D520" s="39"/>
      <c r="E520" s="50">
        <v>0</v>
      </c>
      <c r="F520" s="50">
        <f>D520+E520</f>
        <v>0</v>
      </c>
      <c r="G520" s="50">
        <v>0</v>
      </c>
      <c r="H520" s="50">
        <f>F520*(($H$342)+1)+(IF(G520&lt;101,G520,IF(G520&lt;201,G520/2,IF(G520&lt;=301,G520/3,G520/4))))</f>
        <v>0</v>
      </c>
      <c r="I520" s="33"/>
      <c r="N520" s="33"/>
    </row>
    <row r="521" spans="1:20" s="34" customFormat="1" hidden="1" x14ac:dyDescent="0.25">
      <c r="A521" s="110">
        <f>A520+1</f>
        <v>203</v>
      </c>
      <c r="B521" s="110"/>
      <c r="C521" s="39"/>
      <c r="D521" s="39"/>
      <c r="E521" s="50">
        <v>0</v>
      </c>
      <c r="F521" s="50">
        <f>D521+E521</f>
        <v>0</v>
      </c>
      <c r="G521" s="50">
        <v>0</v>
      </c>
      <c r="H521" s="50">
        <f>F521*(($H$342)+1)+(IF(G521&lt;101,G521,IF(G521&lt;201,G521/2,IF(G521&lt;=301,G521/3,G521/4))))</f>
        <v>0</v>
      </c>
      <c r="I521" s="33"/>
      <c r="N521" s="33"/>
    </row>
    <row r="522" spans="1:20" s="34" customFormat="1" hidden="1" x14ac:dyDescent="0.25">
      <c r="A522" s="110">
        <f>A521+1</f>
        <v>204</v>
      </c>
      <c r="B522" s="110"/>
      <c r="C522" s="39"/>
      <c r="D522" s="39"/>
      <c r="E522" s="50">
        <v>0</v>
      </c>
      <c r="F522" s="50">
        <f>D522+E522</f>
        <v>0</v>
      </c>
      <c r="G522" s="50">
        <v>0</v>
      </c>
      <c r="H522" s="50">
        <f>F522*(($H$342)+1)+(IF(G522&lt;101,G522,IF(G522&lt;201,G522/2,IF(G522&lt;=301,G522/3,G522/4))))</f>
        <v>0</v>
      </c>
      <c r="I522" s="33"/>
      <c r="N522" s="33"/>
    </row>
    <row r="523" spans="1:20" s="34" customFormat="1" hidden="1" x14ac:dyDescent="0.25">
      <c r="A523" s="110">
        <f>A522+1</f>
        <v>205</v>
      </c>
      <c r="B523" s="110"/>
      <c r="C523" s="39"/>
      <c r="D523" s="39"/>
      <c r="E523" s="50">
        <v>0</v>
      </c>
      <c r="F523" s="50">
        <f>D523+E523</f>
        <v>0</v>
      </c>
      <c r="G523" s="50">
        <v>0</v>
      </c>
      <c r="H523" s="50">
        <f>F523*(($H$342)+1)+(IF(G523&lt;101,G523,IF(G523&lt;201,G523/2,IF(G523&lt;=301,G523/3,G523/4))))</f>
        <v>0</v>
      </c>
      <c r="I523" s="33"/>
      <c r="N523" s="33"/>
    </row>
    <row r="524" spans="1:20" s="34" customFormat="1" ht="15.75" hidden="1" customHeight="1" x14ac:dyDescent="0.25">
      <c r="A524" s="123" t="s">
        <v>148</v>
      </c>
      <c r="B524" s="124"/>
      <c r="C524" s="124"/>
      <c r="D524" s="124"/>
      <c r="E524" s="124"/>
      <c r="F524" s="124"/>
      <c r="G524" s="124"/>
      <c r="H524" s="125"/>
      <c r="I524" s="33"/>
    </row>
    <row r="525" spans="1:20" s="34" customFormat="1" ht="15.75" hidden="1" customHeight="1" x14ac:dyDescent="0.25">
      <c r="A525" s="112" t="str">
        <f ca="1">(SUMPRODUCT(MID(0&amp;(LEFT(A524,SUM(LEN(A524)-LEN(SUBSTITUTE(A524,{"0","1","2"},""))))), LARGE(INDEX(ISNUMBER(--MID((LEFT(A524,SUM(LEN(A524)-LEN(SUBSTITUTE(A524,{"0","1","2"},""))))), ROW(INDIRECT("1:"&amp;LEN((LEFT(A524,SUM(LEN(A524)-LEN(SUBSTITUTE(A524,{"0","1","2"},"")))))))), 1)) * ROW(INDIRECT("1:"&amp;LEN((LEFT(A524,SUM(LEN(A524)-LEN(SUBSTITUTE(A524,{"0","1","2"},"")))))))), 0), ROW(INDIRECT("1:"&amp;LEN((LEFT(A524,SUM(LEN(A524)-LEN(SUBSTITUTE(A524,{"0","1","2"},"")))))))))+1, 1) * 10^ROW(INDIRECT("1:"&amp;LEN((LEFT(A524,SUM(LEN(A524)-LEN(SUBSTITUTE(A524,{"0","1","2"},""))))))))/10))*100+1&amp;""&amp;" ,.., "&amp;""&amp;(SUMPRODUCT(MID(0&amp;(--TRIM(RIGHT(SUBSTITUTE(LEFT(A524,_xlfn.AGGREGATE(16,6,FIND({0,1,2,3,4,5,6,7,8,9},A524,ROW(INDIRECT("1:"&amp;LEN(A524)))),1))," ",REPT(" ",LEN(A524))),LEN(A524)))), LARGE(INDEX(ISNUMBER(--MID((--TRIM(RIGHT(SUBSTITUTE(LEFT(A524,_xlfn.AGGREGATE(16,6,FIND({0,1,2,3,4,5,6,7,8,9},A524,ROW(INDIRECT("1:"&amp;LEN(A524)))),1))," ",REPT(" ",LEN(A524))),LEN(A524)))), ROW(INDIRECT("1:"&amp;LEN((--TRIM(RIGHT(SUBSTITUTE(LEFT(A524,_xlfn.AGGREGATE(16,6,FIND({0,1,2,3,4,5,6,7,8,9},A524,ROW(INDIRECT("1:"&amp;LEN(A524)))),1))," ",REPT(" ",LEN(A524))),LEN(A524))))))), 1)) * ROW(INDIRECT("1:"&amp;LEN((--TRIM(RIGHT(SUBSTITUTE(LEFT(A524,_xlfn.AGGREGATE(16,6,FIND({0,1,2,3,4,5,6,7,8,9},A524,ROW(INDIRECT("1:"&amp;LEN(A524)))),1))," ",REPT(" ",LEN(A524))),LEN(A524))))))), 0), ROW(INDIRECT("1:"&amp;LEN((--TRIM(RIGHT(SUBSTITUTE(LEFT(A524,_xlfn.AGGREGATE(16,6,FIND({0,1,2,3,4,5,6,7,8,9},A524,ROW(INDIRECT("1:"&amp;LEN(A524)))),1))," ",REPT(" ",LEN(A524))),LEN(A524))))))))+1, 1) * 10^ROW(INDIRECT("1:"&amp;LEN((--TRIM(RIGHT(SUBSTITUTE(LEFT(A524,_xlfn.AGGREGATE(16,6,FIND({0,1,2,3,4,5,6,7,8,9},A524,ROW(INDIRECT("1:"&amp;LEN(A524)))),1))," ",REPT(" ",LEN(A524))),LEN(A524)))))))/10))*100+1</f>
        <v>301 ,.., 1501</v>
      </c>
      <c r="B525" s="113"/>
      <c r="C525" s="39"/>
      <c r="D525" s="39"/>
      <c r="E525" s="50">
        <v>0</v>
      </c>
      <c r="F525" s="50">
        <f>D525+E525</f>
        <v>0</v>
      </c>
      <c r="G525" s="50">
        <v>0</v>
      </c>
      <c r="H525" s="50">
        <f>F525*(($H$342)+1)+(IF(G525&lt;101,G525,IF(G525&lt;201,G525/2,IF(G525&lt;=301,G525/3,G525/4))))</f>
        <v>0</v>
      </c>
      <c r="I525" s="33"/>
    </row>
    <row r="526" spans="1:20" s="34" customFormat="1" ht="15.75" hidden="1" customHeight="1" x14ac:dyDescent="0.25">
      <c r="A526" s="112" t="str">
        <f ca="1">(SUMPRODUCT(MID(0&amp;(LEFT(A525,SUM(LEN(A525)-LEN(SUBSTITUTE(A525,{"0","1","2"},""))))), LARGE(INDEX(ISNUMBER(--MID((LEFT(A525,SUM(LEN(A525)-LEN(SUBSTITUTE(A525,{"0","1","2"},""))))), ROW(INDIRECT("1:"&amp;LEN((LEFT(A525,SUM(LEN(A525)-LEN(SUBSTITUTE(A525,{"0","1","2"},"")))))))), 1)) * ROW(INDIRECT("1:"&amp;LEN((LEFT(A525,SUM(LEN(A525)-LEN(SUBSTITUTE(A525,{"0","1","2"},"")))))))), 0), ROW(INDIRECT("1:"&amp;LEN((LEFT(A525,SUM(LEN(A525)-LEN(SUBSTITUTE(A525,{"0","1","2"},"")))))))))+1, 1) * 10^ROW(INDIRECT("1:"&amp;LEN((LEFT(A525,SUM(LEN(A525)-LEN(SUBSTITUTE(A525,{"0","1","2"},""))))))))/10))*1+1&amp;""&amp;" ,.., "&amp;""&amp;(SUMPRODUCT(MID(0&amp;(--TRIM(RIGHT(SUBSTITUTE(LEFT(A525,_xlfn.AGGREGATE(16,6,FIND({0,1,2,3,4,5,6,7,8,9},A525,ROW(INDIRECT("1:"&amp;LEN(A525)))),1))," ",REPT(" ",LEN(A525))),LEN(A525)))), LARGE(INDEX(ISNUMBER(--MID((--TRIM(RIGHT(SUBSTITUTE(LEFT(A525,_xlfn.AGGREGATE(16,6,FIND({0,1,2,3,4,5,6,7,8,9},A525,ROW(INDIRECT("1:"&amp;LEN(A525)))),1))," ",REPT(" ",LEN(A525))),LEN(A525)))), ROW(INDIRECT("1:"&amp;LEN((--TRIM(RIGHT(SUBSTITUTE(LEFT(A525,_xlfn.AGGREGATE(16,6,FIND({0,1,2,3,4,5,6,7,8,9},A525,ROW(INDIRECT("1:"&amp;LEN(A525)))),1))," ",REPT(" ",LEN(A525))),LEN(A525))))))), 1)) * ROW(INDIRECT("1:"&amp;LEN((--TRIM(RIGHT(SUBSTITUTE(LEFT(A525,_xlfn.AGGREGATE(16,6,FIND({0,1,2,3,4,5,6,7,8,9},A525,ROW(INDIRECT("1:"&amp;LEN(A525)))),1))," ",REPT(" ",LEN(A525))),LEN(A525))))))), 0), ROW(INDIRECT("1:"&amp;LEN((--TRIM(RIGHT(SUBSTITUTE(LEFT(A525,_xlfn.AGGREGATE(16,6,FIND({0,1,2,3,4,5,6,7,8,9},A525,ROW(INDIRECT("1:"&amp;LEN(A525)))),1))," ",REPT(" ",LEN(A525))),LEN(A525))))))))+1, 1) * 10^ROW(INDIRECT("1:"&amp;LEN((--TRIM(RIGHT(SUBSTITUTE(LEFT(A525,_xlfn.AGGREGATE(16,6,FIND({0,1,2,3,4,5,6,7,8,9},A525,ROW(INDIRECT("1:"&amp;LEN(A525)))),1))," ",REPT(" ",LEN(A525))),LEN(A525)))))))/10))*1+1</f>
        <v>302 ,.., 1502</v>
      </c>
      <c r="B526" s="113"/>
      <c r="C526" s="39"/>
      <c r="D526" s="39"/>
      <c r="E526" s="50">
        <v>0</v>
      </c>
      <c r="F526" s="50">
        <f>D526+E526</f>
        <v>0</v>
      </c>
      <c r="G526" s="50">
        <v>0</v>
      </c>
      <c r="H526" s="50">
        <f>F526*(($H$342)+1)+(IF(G526&lt;101,G526,IF(G526&lt;201,G526/2,IF(G526&lt;=301,G526/3,G526/4))))</f>
        <v>0</v>
      </c>
      <c r="I526" s="33"/>
    </row>
    <row r="527" spans="1:20" s="34" customFormat="1" ht="15.75" hidden="1" customHeight="1" x14ac:dyDescent="0.25">
      <c r="A527" s="112" t="str">
        <f ca="1">(SUMPRODUCT(MID(0&amp;(LEFT(A526,SUM(LEN(A526)-LEN(SUBSTITUTE(A526,{"0","1","2"},""))))), LARGE(INDEX(ISNUMBER(--MID((LEFT(A526,SUM(LEN(A526)-LEN(SUBSTITUTE(A526,{"0","1","2"},""))))), ROW(INDIRECT("1:"&amp;LEN((LEFT(A526,SUM(LEN(A526)-LEN(SUBSTITUTE(A526,{"0","1","2"},"")))))))), 1)) * ROW(INDIRECT("1:"&amp;LEN((LEFT(A526,SUM(LEN(A526)-LEN(SUBSTITUTE(A526,{"0","1","2"},"")))))))), 0), ROW(INDIRECT("1:"&amp;LEN((LEFT(A526,SUM(LEN(A526)-LEN(SUBSTITUTE(A526,{"0","1","2"},"")))))))))+1, 1) * 10^ROW(INDIRECT("1:"&amp;LEN((LEFT(A526,SUM(LEN(A526)-LEN(SUBSTITUTE(A526,{"0","1","2"},""))))))))/10))*1+1&amp;""&amp;" ,.., "&amp;""&amp;(SUMPRODUCT(MID(0&amp;(--TRIM(RIGHT(SUBSTITUTE(LEFT(A526,_xlfn.AGGREGATE(16,6,FIND({0,1,2,3,4,5,6,7,8,9},A526,ROW(INDIRECT("1:"&amp;LEN(A526)))),1))," ",REPT(" ",LEN(A526))),LEN(A526)))), LARGE(INDEX(ISNUMBER(--MID((--TRIM(RIGHT(SUBSTITUTE(LEFT(A526,_xlfn.AGGREGATE(16,6,FIND({0,1,2,3,4,5,6,7,8,9},A526,ROW(INDIRECT("1:"&amp;LEN(A526)))),1))," ",REPT(" ",LEN(A526))),LEN(A526)))), ROW(INDIRECT("1:"&amp;LEN((--TRIM(RIGHT(SUBSTITUTE(LEFT(A526,_xlfn.AGGREGATE(16,6,FIND({0,1,2,3,4,5,6,7,8,9},A526,ROW(INDIRECT("1:"&amp;LEN(A526)))),1))," ",REPT(" ",LEN(A526))),LEN(A526))))))), 1)) * ROW(INDIRECT("1:"&amp;LEN((--TRIM(RIGHT(SUBSTITUTE(LEFT(A526,_xlfn.AGGREGATE(16,6,FIND({0,1,2,3,4,5,6,7,8,9},A526,ROW(INDIRECT("1:"&amp;LEN(A526)))),1))," ",REPT(" ",LEN(A526))),LEN(A526))))))), 0), ROW(INDIRECT("1:"&amp;LEN((--TRIM(RIGHT(SUBSTITUTE(LEFT(A526,_xlfn.AGGREGATE(16,6,FIND({0,1,2,3,4,5,6,7,8,9},A526,ROW(INDIRECT("1:"&amp;LEN(A526)))),1))," ",REPT(" ",LEN(A526))),LEN(A526))))))))+1, 1) * 10^ROW(INDIRECT("1:"&amp;LEN((--TRIM(RIGHT(SUBSTITUTE(LEFT(A526,_xlfn.AGGREGATE(16,6,FIND({0,1,2,3,4,5,6,7,8,9},A526,ROW(INDIRECT("1:"&amp;LEN(A526)))),1))," ",REPT(" ",LEN(A526))),LEN(A526)))))))/10))*1+1</f>
        <v>303 ,.., 1503</v>
      </c>
      <c r="B527" s="113"/>
      <c r="C527" s="39"/>
      <c r="D527" s="39"/>
      <c r="E527" s="50">
        <v>0</v>
      </c>
      <c r="F527" s="50">
        <f>D527+E527</f>
        <v>0</v>
      </c>
      <c r="G527" s="50">
        <v>0</v>
      </c>
      <c r="H527" s="50">
        <f>F527*(($H$342)+1)+(IF(G527&lt;101,G527,IF(G527&lt;201,G527/2,IF(G527&lt;=301,G527/3,G527/4))))</f>
        <v>0</v>
      </c>
      <c r="I527" s="33"/>
    </row>
    <row r="528" spans="1:20" s="34" customFormat="1" ht="15.75" hidden="1" customHeight="1" x14ac:dyDescent="0.25">
      <c r="A528" s="112" t="str">
        <f ca="1">(SUMPRODUCT(MID(0&amp;(LEFT(A527,SUM(LEN(A527)-LEN(SUBSTITUTE(A527,{"0","1","2"},""))))), LARGE(INDEX(ISNUMBER(--MID((LEFT(A527,SUM(LEN(A527)-LEN(SUBSTITUTE(A527,{"0","1","2"},""))))), ROW(INDIRECT("1:"&amp;LEN((LEFT(A527,SUM(LEN(A527)-LEN(SUBSTITUTE(A527,{"0","1","2"},"")))))))), 1)) * ROW(INDIRECT("1:"&amp;LEN((LEFT(A527,SUM(LEN(A527)-LEN(SUBSTITUTE(A527,{"0","1","2"},"")))))))), 0), ROW(INDIRECT("1:"&amp;LEN((LEFT(A527,SUM(LEN(A527)-LEN(SUBSTITUTE(A527,{"0","1","2"},"")))))))))+1, 1) * 10^ROW(INDIRECT("1:"&amp;LEN((LEFT(A527,SUM(LEN(A527)-LEN(SUBSTITUTE(A527,{"0","1","2"},""))))))))/10))*1+1&amp;""&amp;" ,.., "&amp;""&amp;(SUMPRODUCT(MID(0&amp;(--TRIM(RIGHT(SUBSTITUTE(LEFT(A527,_xlfn.AGGREGATE(16,6,FIND({0,1,2,3,4,5,6,7,8,9},A527,ROW(INDIRECT("1:"&amp;LEN(A527)))),1))," ",REPT(" ",LEN(A527))),LEN(A527)))), LARGE(INDEX(ISNUMBER(--MID((--TRIM(RIGHT(SUBSTITUTE(LEFT(A527,_xlfn.AGGREGATE(16,6,FIND({0,1,2,3,4,5,6,7,8,9},A527,ROW(INDIRECT("1:"&amp;LEN(A527)))),1))," ",REPT(" ",LEN(A527))),LEN(A527)))), ROW(INDIRECT("1:"&amp;LEN((--TRIM(RIGHT(SUBSTITUTE(LEFT(A527,_xlfn.AGGREGATE(16,6,FIND({0,1,2,3,4,5,6,7,8,9},A527,ROW(INDIRECT("1:"&amp;LEN(A527)))),1))," ",REPT(" ",LEN(A527))),LEN(A527))))))), 1)) * ROW(INDIRECT("1:"&amp;LEN((--TRIM(RIGHT(SUBSTITUTE(LEFT(A527,_xlfn.AGGREGATE(16,6,FIND({0,1,2,3,4,5,6,7,8,9},A527,ROW(INDIRECT("1:"&amp;LEN(A527)))),1))," ",REPT(" ",LEN(A527))),LEN(A527))))))), 0), ROW(INDIRECT("1:"&amp;LEN((--TRIM(RIGHT(SUBSTITUTE(LEFT(A527,_xlfn.AGGREGATE(16,6,FIND({0,1,2,3,4,5,6,7,8,9},A527,ROW(INDIRECT("1:"&amp;LEN(A527)))),1))," ",REPT(" ",LEN(A527))),LEN(A527))))))))+1, 1) * 10^ROW(INDIRECT("1:"&amp;LEN((--TRIM(RIGHT(SUBSTITUTE(LEFT(A527,_xlfn.AGGREGATE(16,6,FIND({0,1,2,3,4,5,6,7,8,9},A527,ROW(INDIRECT("1:"&amp;LEN(A527)))),1))," ",REPT(" ",LEN(A527))),LEN(A527)))))))/10))*1+1</f>
        <v>304 ,.., 1504</v>
      </c>
      <c r="B528" s="113"/>
      <c r="C528" s="39"/>
      <c r="D528" s="39"/>
      <c r="E528" s="50">
        <v>0</v>
      </c>
      <c r="F528" s="50">
        <f>D528+E528</f>
        <v>0</v>
      </c>
      <c r="G528" s="50">
        <v>0</v>
      </c>
      <c r="H528" s="50">
        <f>F528*(($H$342)+1)+(IF(G528&lt;101,G528,IF(G528&lt;201,G528/2,IF(G528&lt;=301,G528/3,G528/4))))</f>
        <v>0</v>
      </c>
      <c r="I528" s="33"/>
    </row>
    <row r="529" spans="1:20" s="34" customFormat="1" ht="15.75" hidden="1" customHeight="1" x14ac:dyDescent="0.25">
      <c r="A529" s="112" t="str">
        <f ca="1">(SUMPRODUCT(MID(0&amp;(LEFT(A528,SUM(LEN(A528)-LEN(SUBSTITUTE(A528,{"0","1","2"},""))))), LARGE(INDEX(ISNUMBER(--MID((LEFT(A528,SUM(LEN(A528)-LEN(SUBSTITUTE(A528,{"0","1","2"},""))))), ROW(INDIRECT("1:"&amp;LEN((LEFT(A528,SUM(LEN(A528)-LEN(SUBSTITUTE(A528,{"0","1","2"},"")))))))), 1)) * ROW(INDIRECT("1:"&amp;LEN((LEFT(A528,SUM(LEN(A528)-LEN(SUBSTITUTE(A528,{"0","1","2"},"")))))))), 0), ROW(INDIRECT("1:"&amp;LEN((LEFT(A528,SUM(LEN(A528)-LEN(SUBSTITUTE(A528,{"0","1","2"},"")))))))))+1, 1) * 10^ROW(INDIRECT("1:"&amp;LEN((LEFT(A528,SUM(LEN(A528)-LEN(SUBSTITUTE(A528,{"0","1","2"},""))))))))/10))*1+1&amp;""&amp;" ,.., "&amp;""&amp;(SUMPRODUCT(MID(0&amp;(--TRIM(RIGHT(SUBSTITUTE(LEFT(A528,_xlfn.AGGREGATE(16,6,FIND({0,1,2,3,4,5,6,7,8,9},A528,ROW(INDIRECT("1:"&amp;LEN(A528)))),1))," ",REPT(" ",LEN(A528))),LEN(A528)))), LARGE(INDEX(ISNUMBER(--MID((--TRIM(RIGHT(SUBSTITUTE(LEFT(A528,_xlfn.AGGREGATE(16,6,FIND({0,1,2,3,4,5,6,7,8,9},A528,ROW(INDIRECT("1:"&amp;LEN(A528)))),1))," ",REPT(" ",LEN(A528))),LEN(A528)))), ROW(INDIRECT("1:"&amp;LEN((--TRIM(RIGHT(SUBSTITUTE(LEFT(A528,_xlfn.AGGREGATE(16,6,FIND({0,1,2,3,4,5,6,7,8,9},A528,ROW(INDIRECT("1:"&amp;LEN(A528)))),1))," ",REPT(" ",LEN(A528))),LEN(A528))))))), 1)) * ROW(INDIRECT("1:"&amp;LEN((--TRIM(RIGHT(SUBSTITUTE(LEFT(A528,_xlfn.AGGREGATE(16,6,FIND({0,1,2,3,4,5,6,7,8,9},A528,ROW(INDIRECT("1:"&amp;LEN(A528)))),1))," ",REPT(" ",LEN(A528))),LEN(A528))))))), 0), ROW(INDIRECT("1:"&amp;LEN((--TRIM(RIGHT(SUBSTITUTE(LEFT(A528,_xlfn.AGGREGATE(16,6,FIND({0,1,2,3,4,5,6,7,8,9},A528,ROW(INDIRECT("1:"&amp;LEN(A528)))),1))," ",REPT(" ",LEN(A528))),LEN(A528))))))))+1, 1) * 10^ROW(INDIRECT("1:"&amp;LEN((--TRIM(RIGHT(SUBSTITUTE(LEFT(A528,_xlfn.AGGREGATE(16,6,FIND({0,1,2,3,4,5,6,7,8,9},A528,ROW(INDIRECT("1:"&amp;LEN(A528)))),1))," ",REPT(" ",LEN(A528))),LEN(A528)))))))/10))*1+1</f>
        <v>305 ,.., 1505</v>
      </c>
      <c r="B529" s="113"/>
      <c r="C529" s="39"/>
      <c r="D529" s="39"/>
      <c r="E529" s="50">
        <v>0</v>
      </c>
      <c r="F529" s="50">
        <f>D529+E529</f>
        <v>0</v>
      </c>
      <c r="G529" s="50">
        <v>0</v>
      </c>
      <c r="H529" s="50">
        <f>F529*(($H$342)+1)+(IF(G529&lt;101,G529,IF(G529&lt;201,G529/2,IF(G529&lt;=301,G529/3,G529/4))))</f>
        <v>0</v>
      </c>
      <c r="I529" s="33"/>
    </row>
    <row r="530" spans="1:20" s="34" customFormat="1" hidden="1" x14ac:dyDescent="0.25">
      <c r="A530" s="123" t="s">
        <v>142</v>
      </c>
      <c r="B530" s="124"/>
      <c r="C530" s="124"/>
      <c r="D530" s="124"/>
      <c r="E530" s="124"/>
      <c r="F530" s="124"/>
      <c r="G530" s="124"/>
      <c r="H530" s="125"/>
      <c r="I530" s="33"/>
    </row>
    <row r="531" spans="1:20" s="34" customFormat="1" ht="15.75" hidden="1" customHeight="1" x14ac:dyDescent="0.25">
      <c r="A531" s="112" t="str">
        <f ca="1">(SUMPRODUCT(MID(0&amp;(LEFT(A530,SUM(LEN(A530)-LEN(SUBSTITUTE(A530,{"0","1","2"},""))))), LARGE(INDEX(ISNUMBER(--MID((LEFT(A530,SUM(LEN(A530)-LEN(SUBSTITUTE(A530,{"0","1","2"},""))))), ROW(INDIRECT("1:"&amp;LEN((LEFT(A530,SUM(LEN(A530)-LEN(SUBSTITUTE(A530,{"0","1","2"},"")))))))), 1)) * ROW(INDIRECT("1:"&amp;LEN((LEFT(A530,SUM(LEN(A530)-LEN(SUBSTITUTE(A530,{"0","1","2"},"")))))))), 0), ROW(INDIRECT("1:"&amp;LEN((LEFT(A530,SUM(LEN(A530)-LEN(SUBSTITUTE(A530,{"0","1","2"},"")))))))))+1, 1) * 10^ROW(INDIRECT("1:"&amp;LEN((LEFT(A530,SUM(LEN(A530)-LEN(SUBSTITUTE(A530,{"0","1","2"},""))))))))/10))*100+1&amp;""&amp;" to "&amp;""&amp;(SUMPRODUCT(MID(0&amp;(--TRIM(RIGHT(SUBSTITUTE(LEFT(A530,_xlfn.AGGREGATE(16,6,FIND({0,1,2,3,4,5,6,7,8,9},A530,ROW(INDIRECT("1:"&amp;LEN(A530)))),1))," ",REPT(" ",LEN(A530))),LEN(A530)))), LARGE(INDEX(ISNUMBER(--MID((--TRIM(RIGHT(SUBSTITUTE(LEFT(A530,_xlfn.AGGREGATE(16,6,FIND({0,1,2,3,4,5,6,7,8,9},A530,ROW(INDIRECT("1:"&amp;LEN(A530)))),1))," ",REPT(" ",LEN(A530))),LEN(A530)))), ROW(INDIRECT("1:"&amp;LEN((--TRIM(RIGHT(SUBSTITUTE(LEFT(A530,_xlfn.AGGREGATE(16,6,FIND({0,1,2,3,4,5,6,7,8,9},A530,ROW(INDIRECT("1:"&amp;LEN(A530)))),1))," ",REPT(" ",LEN(A530))),LEN(A530))))))), 1)) * ROW(INDIRECT("1:"&amp;LEN((--TRIM(RIGHT(SUBSTITUTE(LEFT(A530,_xlfn.AGGREGATE(16,6,FIND({0,1,2,3,4,5,6,7,8,9},A530,ROW(INDIRECT("1:"&amp;LEN(A530)))),1))," ",REPT(" ",LEN(A530))),LEN(A530))))))), 0), ROW(INDIRECT("1:"&amp;LEN((--TRIM(RIGHT(SUBSTITUTE(LEFT(A530,_xlfn.AGGREGATE(16,6,FIND({0,1,2,3,4,5,6,7,8,9},A530,ROW(INDIRECT("1:"&amp;LEN(A530)))),1))," ",REPT(" ",LEN(A530))),LEN(A530))))))))+1, 1) * 10^ROW(INDIRECT("1:"&amp;LEN((--TRIM(RIGHT(SUBSTITUTE(LEFT(A530,_xlfn.AGGREGATE(16,6,FIND({0,1,2,3,4,5,6,7,8,9},A530,ROW(INDIRECT("1:"&amp;LEN(A530)))),1))," ",REPT(" ",LEN(A530))),LEN(A530)))))))/10))*100+1</f>
        <v>201 to 501</v>
      </c>
      <c r="B531" s="113"/>
      <c r="C531" s="39"/>
      <c r="D531" s="39"/>
      <c r="E531" s="50">
        <v>0</v>
      </c>
      <c r="F531" s="50">
        <f>D531+E531</f>
        <v>0</v>
      </c>
      <c r="G531" s="50">
        <v>0</v>
      </c>
      <c r="H531" s="50">
        <f>F531*(($H$342)+1)+(IF(G531&lt;101,G531,IF(G531&lt;201,G531/2,IF(G531&lt;=301,G531/3,G531/4))))</f>
        <v>0</v>
      </c>
      <c r="I531" s="33"/>
    </row>
    <row r="532" spans="1:20" s="34" customFormat="1" ht="15.75" hidden="1" customHeight="1" x14ac:dyDescent="0.25">
      <c r="A532" s="112" t="str">
        <f ca="1">(SUMPRODUCT(MID(0&amp;(LEFT(A531,SUM(LEN(A531)-LEN(SUBSTITUTE(A531,{"0","1","2"},""))))), LARGE(INDEX(ISNUMBER(--MID((LEFT(A531,SUM(LEN(A531)-LEN(SUBSTITUTE(A531,{"0","1","2"},""))))), ROW(INDIRECT("1:"&amp;LEN((LEFT(A531,SUM(LEN(A531)-LEN(SUBSTITUTE(A531,{"0","1","2"},"")))))))), 1)) * ROW(INDIRECT("1:"&amp;LEN((LEFT(A531,SUM(LEN(A531)-LEN(SUBSTITUTE(A531,{"0","1","2"},"")))))))), 0), ROW(INDIRECT("1:"&amp;LEN((LEFT(A531,SUM(LEN(A531)-LEN(SUBSTITUTE(A531,{"0","1","2"},"")))))))))+1, 1) * 10^ROW(INDIRECT("1:"&amp;LEN((LEFT(A531,SUM(LEN(A531)-LEN(SUBSTITUTE(A531,{"0","1","2"},""))))))))/10))*1+1&amp;""&amp;" to "&amp;""&amp;(SUMPRODUCT(MID(0&amp;(--TRIM(RIGHT(SUBSTITUTE(LEFT(A531,_xlfn.AGGREGATE(16,6,FIND({0,1,2,3,4,5,6,7,8,9},A531,ROW(INDIRECT("1:"&amp;LEN(A531)))),1))," ",REPT(" ",LEN(A531))),LEN(A531)))), LARGE(INDEX(ISNUMBER(--MID((--TRIM(RIGHT(SUBSTITUTE(LEFT(A531,_xlfn.AGGREGATE(16,6,FIND({0,1,2,3,4,5,6,7,8,9},A531,ROW(INDIRECT("1:"&amp;LEN(A531)))),1))," ",REPT(" ",LEN(A531))),LEN(A531)))), ROW(INDIRECT("1:"&amp;LEN((--TRIM(RIGHT(SUBSTITUTE(LEFT(A531,_xlfn.AGGREGATE(16,6,FIND({0,1,2,3,4,5,6,7,8,9},A531,ROW(INDIRECT("1:"&amp;LEN(A531)))),1))," ",REPT(" ",LEN(A531))),LEN(A531))))))), 1)) * ROW(INDIRECT("1:"&amp;LEN((--TRIM(RIGHT(SUBSTITUTE(LEFT(A531,_xlfn.AGGREGATE(16,6,FIND({0,1,2,3,4,5,6,7,8,9},A531,ROW(INDIRECT("1:"&amp;LEN(A531)))),1))," ",REPT(" ",LEN(A531))),LEN(A531))))))), 0), ROW(INDIRECT("1:"&amp;LEN((--TRIM(RIGHT(SUBSTITUTE(LEFT(A531,_xlfn.AGGREGATE(16,6,FIND({0,1,2,3,4,5,6,7,8,9},A531,ROW(INDIRECT("1:"&amp;LEN(A531)))),1))," ",REPT(" ",LEN(A531))),LEN(A531))))))))+1, 1) * 10^ROW(INDIRECT("1:"&amp;LEN((--TRIM(RIGHT(SUBSTITUTE(LEFT(A531,_xlfn.AGGREGATE(16,6,FIND({0,1,2,3,4,5,6,7,8,9},A531,ROW(INDIRECT("1:"&amp;LEN(A531)))),1))," ",REPT(" ",LEN(A531))),LEN(A531)))))))/10))*1+1</f>
        <v>202 to 502</v>
      </c>
      <c r="B532" s="113"/>
      <c r="C532" s="39"/>
      <c r="D532" s="39"/>
      <c r="E532" s="50">
        <v>0</v>
      </c>
      <c r="F532" s="50">
        <f>D532+E532</f>
        <v>0</v>
      </c>
      <c r="G532" s="50">
        <v>0</v>
      </c>
      <c r="H532" s="50">
        <f>F532*(($H$342)+1)+(IF(G532&lt;101,G532,IF(G532&lt;201,G532/2,IF(G532&lt;=301,G532/3,G532/4))))</f>
        <v>0</v>
      </c>
      <c r="I532" s="33"/>
    </row>
    <row r="533" spans="1:20" s="34" customFormat="1" ht="15.75" hidden="1" customHeight="1" x14ac:dyDescent="0.25">
      <c r="A533" s="112" t="str">
        <f ca="1">(SUMPRODUCT(MID(0&amp;(LEFT(A532,SUM(LEN(A532)-LEN(SUBSTITUTE(A532,{"0","1","2"},""))))), LARGE(INDEX(ISNUMBER(--MID((LEFT(A532,SUM(LEN(A532)-LEN(SUBSTITUTE(A532,{"0","1","2"},""))))), ROW(INDIRECT("1:"&amp;LEN((LEFT(A532,SUM(LEN(A532)-LEN(SUBSTITUTE(A532,{"0","1","2"},"")))))))), 1)) * ROW(INDIRECT("1:"&amp;LEN((LEFT(A532,SUM(LEN(A532)-LEN(SUBSTITUTE(A532,{"0","1","2"},"")))))))), 0), ROW(INDIRECT("1:"&amp;LEN((LEFT(A532,SUM(LEN(A532)-LEN(SUBSTITUTE(A532,{"0","1","2"},"")))))))))+1, 1) * 10^ROW(INDIRECT("1:"&amp;LEN((LEFT(A532,SUM(LEN(A532)-LEN(SUBSTITUTE(A532,{"0","1","2"},""))))))))/10))*1+1&amp;""&amp;" to "&amp;""&amp;(SUMPRODUCT(MID(0&amp;(--TRIM(RIGHT(SUBSTITUTE(LEFT(A532,_xlfn.AGGREGATE(16,6,FIND({0,1,2,3,4,5,6,7,8,9},A532,ROW(INDIRECT("1:"&amp;LEN(A532)))),1))," ",REPT(" ",LEN(A532))),LEN(A532)))), LARGE(INDEX(ISNUMBER(--MID((--TRIM(RIGHT(SUBSTITUTE(LEFT(A532,_xlfn.AGGREGATE(16,6,FIND({0,1,2,3,4,5,6,7,8,9},A532,ROW(INDIRECT("1:"&amp;LEN(A532)))),1))," ",REPT(" ",LEN(A532))),LEN(A532)))), ROW(INDIRECT("1:"&amp;LEN((--TRIM(RIGHT(SUBSTITUTE(LEFT(A532,_xlfn.AGGREGATE(16,6,FIND({0,1,2,3,4,5,6,7,8,9},A532,ROW(INDIRECT("1:"&amp;LEN(A532)))),1))," ",REPT(" ",LEN(A532))),LEN(A532))))))), 1)) * ROW(INDIRECT("1:"&amp;LEN((--TRIM(RIGHT(SUBSTITUTE(LEFT(A532,_xlfn.AGGREGATE(16,6,FIND({0,1,2,3,4,5,6,7,8,9},A532,ROW(INDIRECT("1:"&amp;LEN(A532)))),1))," ",REPT(" ",LEN(A532))),LEN(A532))))))), 0), ROW(INDIRECT("1:"&amp;LEN((--TRIM(RIGHT(SUBSTITUTE(LEFT(A532,_xlfn.AGGREGATE(16,6,FIND({0,1,2,3,4,5,6,7,8,9},A532,ROW(INDIRECT("1:"&amp;LEN(A532)))),1))," ",REPT(" ",LEN(A532))),LEN(A532))))))))+1, 1) * 10^ROW(INDIRECT("1:"&amp;LEN((--TRIM(RIGHT(SUBSTITUTE(LEFT(A532,_xlfn.AGGREGATE(16,6,FIND({0,1,2,3,4,5,6,7,8,9},A532,ROW(INDIRECT("1:"&amp;LEN(A532)))),1))," ",REPT(" ",LEN(A532))),LEN(A532)))))))/10))*1+1</f>
        <v>203 to 503</v>
      </c>
      <c r="B533" s="113"/>
      <c r="C533" s="39"/>
      <c r="D533" s="39"/>
      <c r="E533" s="50">
        <v>0</v>
      </c>
      <c r="F533" s="50">
        <f>D533+E533</f>
        <v>0</v>
      </c>
      <c r="G533" s="50">
        <v>0</v>
      </c>
      <c r="H533" s="50">
        <f>F533*(($H$342)+1)+(IF(G533&lt;101,G533,IF(G533&lt;201,G533/2,IF(G533&lt;=301,G533/3,G533/4))))</f>
        <v>0</v>
      </c>
      <c r="I533" s="33"/>
    </row>
    <row r="534" spans="1:20" s="34" customFormat="1" ht="15.75" hidden="1" customHeight="1" x14ac:dyDescent="0.25">
      <c r="A534" s="112" t="str">
        <f ca="1">(SUMPRODUCT(MID(0&amp;(LEFT(A533,SUM(LEN(A533)-LEN(SUBSTITUTE(A533,{"0","1","2"},""))))), LARGE(INDEX(ISNUMBER(--MID((LEFT(A533,SUM(LEN(A533)-LEN(SUBSTITUTE(A533,{"0","1","2"},""))))), ROW(INDIRECT("1:"&amp;LEN((LEFT(A533,SUM(LEN(A533)-LEN(SUBSTITUTE(A533,{"0","1","2"},"")))))))), 1)) * ROW(INDIRECT("1:"&amp;LEN((LEFT(A533,SUM(LEN(A533)-LEN(SUBSTITUTE(A533,{"0","1","2"},"")))))))), 0), ROW(INDIRECT("1:"&amp;LEN((LEFT(A533,SUM(LEN(A533)-LEN(SUBSTITUTE(A533,{"0","1","2"},"")))))))))+1, 1) * 10^ROW(INDIRECT("1:"&amp;LEN((LEFT(A533,SUM(LEN(A533)-LEN(SUBSTITUTE(A533,{"0","1","2"},""))))))))/10))*1+1&amp;""&amp;" to "&amp;""&amp;(SUMPRODUCT(MID(0&amp;(--TRIM(RIGHT(SUBSTITUTE(LEFT(A533,_xlfn.AGGREGATE(16,6,FIND({0,1,2,3,4,5,6,7,8,9},A533,ROW(INDIRECT("1:"&amp;LEN(A533)))),1))," ",REPT(" ",LEN(A533))),LEN(A533)))), LARGE(INDEX(ISNUMBER(--MID((--TRIM(RIGHT(SUBSTITUTE(LEFT(A533,_xlfn.AGGREGATE(16,6,FIND({0,1,2,3,4,5,6,7,8,9},A533,ROW(INDIRECT("1:"&amp;LEN(A533)))),1))," ",REPT(" ",LEN(A533))),LEN(A533)))), ROW(INDIRECT("1:"&amp;LEN((--TRIM(RIGHT(SUBSTITUTE(LEFT(A533,_xlfn.AGGREGATE(16,6,FIND({0,1,2,3,4,5,6,7,8,9},A533,ROW(INDIRECT("1:"&amp;LEN(A533)))),1))," ",REPT(" ",LEN(A533))),LEN(A533))))))), 1)) * ROW(INDIRECT("1:"&amp;LEN((--TRIM(RIGHT(SUBSTITUTE(LEFT(A533,_xlfn.AGGREGATE(16,6,FIND({0,1,2,3,4,5,6,7,8,9},A533,ROW(INDIRECT("1:"&amp;LEN(A533)))),1))," ",REPT(" ",LEN(A533))),LEN(A533))))))), 0), ROW(INDIRECT("1:"&amp;LEN((--TRIM(RIGHT(SUBSTITUTE(LEFT(A533,_xlfn.AGGREGATE(16,6,FIND({0,1,2,3,4,5,6,7,8,9},A533,ROW(INDIRECT("1:"&amp;LEN(A533)))),1))," ",REPT(" ",LEN(A533))),LEN(A533))))))))+1, 1) * 10^ROW(INDIRECT("1:"&amp;LEN((--TRIM(RIGHT(SUBSTITUTE(LEFT(A533,_xlfn.AGGREGATE(16,6,FIND({0,1,2,3,4,5,6,7,8,9},A533,ROW(INDIRECT("1:"&amp;LEN(A533)))),1))," ",REPT(" ",LEN(A533))),LEN(A533)))))))/10))*1+1</f>
        <v>204 to 504</v>
      </c>
      <c r="B534" s="113"/>
      <c r="C534" s="39"/>
      <c r="D534" s="39"/>
      <c r="E534" s="50">
        <v>0</v>
      </c>
      <c r="F534" s="50">
        <f>D534+E534</f>
        <v>0</v>
      </c>
      <c r="G534" s="50">
        <v>0</v>
      </c>
      <c r="H534" s="50">
        <f>F534*(($H$342)+1)+(IF(G534&lt;101,G534,IF(G534&lt;201,G534/2,IF(G534&lt;=301,G534/3,G534/4))))</f>
        <v>0</v>
      </c>
      <c r="I534" s="33"/>
    </row>
    <row r="535" spans="1:20" s="34" customFormat="1" ht="15.75" hidden="1" customHeight="1" x14ac:dyDescent="0.25">
      <c r="A535" s="112" t="str">
        <f ca="1">(SUMPRODUCT(MID(0&amp;(LEFT(A534,SUM(LEN(A534)-LEN(SUBSTITUTE(A534,{"0","1","2"},""))))), LARGE(INDEX(ISNUMBER(--MID((LEFT(A534,SUM(LEN(A534)-LEN(SUBSTITUTE(A534,{"0","1","2"},""))))), ROW(INDIRECT("1:"&amp;LEN((LEFT(A534,SUM(LEN(A534)-LEN(SUBSTITUTE(A534,{"0","1","2"},"")))))))), 1)) * ROW(INDIRECT("1:"&amp;LEN((LEFT(A534,SUM(LEN(A534)-LEN(SUBSTITUTE(A534,{"0","1","2"},"")))))))), 0), ROW(INDIRECT("1:"&amp;LEN((LEFT(A534,SUM(LEN(A534)-LEN(SUBSTITUTE(A534,{"0","1","2"},"")))))))))+1, 1) * 10^ROW(INDIRECT("1:"&amp;LEN((LEFT(A534,SUM(LEN(A534)-LEN(SUBSTITUTE(A534,{"0","1","2"},""))))))))/10))*1+1&amp;""&amp;" to "&amp;""&amp;(SUMPRODUCT(MID(0&amp;(--TRIM(RIGHT(SUBSTITUTE(LEFT(A534,_xlfn.AGGREGATE(16,6,FIND({0,1,2,3,4,5,6,7,8,9},A534,ROW(INDIRECT("1:"&amp;LEN(A534)))),1))," ",REPT(" ",LEN(A534))),LEN(A534)))), LARGE(INDEX(ISNUMBER(--MID((--TRIM(RIGHT(SUBSTITUTE(LEFT(A534,_xlfn.AGGREGATE(16,6,FIND({0,1,2,3,4,5,6,7,8,9},A534,ROW(INDIRECT("1:"&amp;LEN(A534)))),1))," ",REPT(" ",LEN(A534))),LEN(A534)))), ROW(INDIRECT("1:"&amp;LEN((--TRIM(RIGHT(SUBSTITUTE(LEFT(A534,_xlfn.AGGREGATE(16,6,FIND({0,1,2,3,4,5,6,7,8,9},A534,ROW(INDIRECT("1:"&amp;LEN(A534)))),1))," ",REPT(" ",LEN(A534))),LEN(A534))))))), 1)) * ROW(INDIRECT("1:"&amp;LEN((--TRIM(RIGHT(SUBSTITUTE(LEFT(A534,_xlfn.AGGREGATE(16,6,FIND({0,1,2,3,4,5,6,7,8,9},A534,ROW(INDIRECT("1:"&amp;LEN(A534)))),1))," ",REPT(" ",LEN(A534))),LEN(A534))))))), 0), ROW(INDIRECT("1:"&amp;LEN((--TRIM(RIGHT(SUBSTITUTE(LEFT(A534,_xlfn.AGGREGATE(16,6,FIND({0,1,2,3,4,5,6,7,8,9},A534,ROW(INDIRECT("1:"&amp;LEN(A534)))),1))," ",REPT(" ",LEN(A534))),LEN(A534))))))))+1, 1) * 10^ROW(INDIRECT("1:"&amp;LEN((--TRIM(RIGHT(SUBSTITUTE(LEFT(A534,_xlfn.AGGREGATE(16,6,FIND({0,1,2,3,4,5,6,7,8,9},A534,ROW(INDIRECT("1:"&amp;LEN(A534)))),1))," ",REPT(" ",LEN(A534))),LEN(A534)))))))/10))*1+1</f>
        <v>205 to 505</v>
      </c>
      <c r="B535" s="113"/>
      <c r="C535" s="39"/>
      <c r="D535" s="39"/>
      <c r="E535" s="50">
        <v>0</v>
      </c>
      <c r="F535" s="50">
        <f>D535+E535</f>
        <v>0</v>
      </c>
      <c r="G535" s="50">
        <v>0</v>
      </c>
      <c r="H535" s="50">
        <f>F535*(($H$342)+1)+(IF(G535&lt;101,G535,IF(G535&lt;201,G535/2,IF(G535&lt;=301,G535/3,G535/4))))</f>
        <v>0</v>
      </c>
      <c r="I535" s="33"/>
    </row>
    <row r="536" spans="1:20" s="34" customFormat="1" hidden="1" x14ac:dyDescent="0.25">
      <c r="A536" s="123" t="s">
        <v>143</v>
      </c>
      <c r="B536" s="124"/>
      <c r="C536" s="124"/>
      <c r="D536" s="124"/>
      <c r="E536" s="124"/>
      <c r="F536" s="124"/>
      <c r="G536" s="124"/>
      <c r="H536" s="125"/>
      <c r="I536" s="33"/>
    </row>
    <row r="537" spans="1:20" s="34" customFormat="1" ht="15.75" hidden="1" customHeight="1" x14ac:dyDescent="0.25">
      <c r="A537" s="112" t="str">
        <f ca="1">(SUMPRODUCT(MID(0&amp;(LEFT(A536,SUM(LEN(A536)-LEN(SUBSTITUTE(A536,{"0","1","2"},""))))), LARGE(INDEX(ISNUMBER(--MID((LEFT(A536,SUM(LEN(A536)-LEN(SUBSTITUTE(A536,{"0","1","2"},""))))), ROW(INDIRECT("1:"&amp;LEN((LEFT(A536,SUM(LEN(A536)-LEN(SUBSTITUTE(A536,{"0","1","2"},"")))))))), 1)) * ROW(INDIRECT("1:"&amp;LEN((LEFT(A536,SUM(LEN(A536)-LEN(SUBSTITUTE(A536,{"0","1","2"},"")))))))), 0), ROW(INDIRECT("1:"&amp;LEN((LEFT(A536,SUM(LEN(A536)-LEN(SUBSTITUTE(A536,{"0","1","2"},"")))))))))+1, 1) * 10^ROW(INDIRECT("1:"&amp;LEN((LEFT(A536,SUM(LEN(A536)-LEN(SUBSTITUTE(A536,{"0","1","2"},""))))))))/10))*100+1&amp;""&amp;" &amp; "&amp;""&amp;(SUMPRODUCT(MID(0&amp;(--TRIM(RIGHT(SUBSTITUTE(LEFT(A536,_xlfn.AGGREGATE(16,6,FIND({0,1,2,3,4,5,6,7,8,9},A536,ROW(INDIRECT("1:"&amp;LEN(A536)))),1))," ",REPT(" ",LEN(A536))),LEN(A536)))), LARGE(INDEX(ISNUMBER(--MID((--TRIM(RIGHT(SUBSTITUTE(LEFT(A536,_xlfn.AGGREGATE(16,6,FIND({0,1,2,3,4,5,6,7,8,9},A536,ROW(INDIRECT("1:"&amp;LEN(A536)))),1))," ",REPT(" ",LEN(A536))),LEN(A536)))), ROW(INDIRECT("1:"&amp;LEN((--TRIM(RIGHT(SUBSTITUTE(LEFT(A536,_xlfn.AGGREGATE(16,6,FIND({0,1,2,3,4,5,6,7,8,9},A536,ROW(INDIRECT("1:"&amp;LEN(A536)))),1))," ",REPT(" ",LEN(A536))),LEN(A536))))))), 1)) * ROW(INDIRECT("1:"&amp;LEN((--TRIM(RIGHT(SUBSTITUTE(LEFT(A536,_xlfn.AGGREGATE(16,6,FIND({0,1,2,3,4,5,6,7,8,9},A536,ROW(INDIRECT("1:"&amp;LEN(A536)))),1))," ",REPT(" ",LEN(A536))),LEN(A536))))))), 0), ROW(INDIRECT("1:"&amp;LEN((--TRIM(RIGHT(SUBSTITUTE(LEFT(A536,_xlfn.AGGREGATE(16,6,FIND({0,1,2,3,4,5,6,7,8,9},A536,ROW(INDIRECT("1:"&amp;LEN(A536)))),1))," ",REPT(" ",LEN(A536))),LEN(A536))))))))+1, 1) * 10^ROW(INDIRECT("1:"&amp;LEN((--TRIM(RIGHT(SUBSTITUTE(LEFT(A536,_xlfn.AGGREGATE(16,6,FIND({0,1,2,3,4,5,6,7,8,9},A536,ROW(INDIRECT("1:"&amp;LEN(A536)))),1))," ",REPT(" ",LEN(A536))),LEN(A536)))))))/10))*100+1</f>
        <v>201 &amp; 501</v>
      </c>
      <c r="B537" s="113"/>
      <c r="C537" s="39"/>
      <c r="D537" s="39"/>
      <c r="E537" s="50">
        <v>0</v>
      </c>
      <c r="F537" s="50">
        <f>D537+E537</f>
        <v>0</v>
      </c>
      <c r="G537" s="50">
        <v>0</v>
      </c>
      <c r="H537" s="50">
        <f>F537*(($H$342)+1)+(IF(G537&lt;101,G537,IF(G537&lt;201,G537/2,IF(G537&lt;=301,G537/3,G537/4))))</f>
        <v>0</v>
      </c>
      <c r="I537" s="33"/>
    </row>
    <row r="538" spans="1:20" s="34" customFormat="1" ht="15.75" hidden="1" customHeight="1" x14ac:dyDescent="0.25">
      <c r="A538" s="112" t="str">
        <f ca="1">(SUMPRODUCT(MID(0&amp;(LEFT(A537,SUM(LEN(A537)-LEN(SUBSTITUTE(A537,{"0","1","2"},""))))), LARGE(INDEX(ISNUMBER(--MID((LEFT(A537,SUM(LEN(A537)-LEN(SUBSTITUTE(A537,{"0","1","2"},""))))), ROW(INDIRECT("1:"&amp;LEN((LEFT(A537,SUM(LEN(A537)-LEN(SUBSTITUTE(A537,{"0","1","2"},"")))))))), 1)) * ROW(INDIRECT("1:"&amp;LEN((LEFT(A537,SUM(LEN(A537)-LEN(SUBSTITUTE(A537,{"0","1","2"},"")))))))), 0), ROW(INDIRECT("1:"&amp;LEN((LEFT(A537,SUM(LEN(A537)-LEN(SUBSTITUTE(A537,{"0","1","2"},"")))))))))+1, 1) * 10^ROW(INDIRECT("1:"&amp;LEN((LEFT(A537,SUM(LEN(A537)-LEN(SUBSTITUTE(A537,{"0","1","2"},""))))))))/10))*1+1&amp;""&amp;" &amp; "&amp;""&amp;(SUMPRODUCT(MID(0&amp;(--TRIM(RIGHT(SUBSTITUTE(LEFT(A537,_xlfn.AGGREGATE(16,6,FIND({0,1,2,3,4,5,6,7,8,9},A537,ROW(INDIRECT("1:"&amp;LEN(A537)))),1))," ",REPT(" ",LEN(A537))),LEN(A537)))), LARGE(INDEX(ISNUMBER(--MID((--TRIM(RIGHT(SUBSTITUTE(LEFT(A537,_xlfn.AGGREGATE(16,6,FIND({0,1,2,3,4,5,6,7,8,9},A537,ROW(INDIRECT("1:"&amp;LEN(A537)))),1))," ",REPT(" ",LEN(A537))),LEN(A537)))), ROW(INDIRECT("1:"&amp;LEN((--TRIM(RIGHT(SUBSTITUTE(LEFT(A537,_xlfn.AGGREGATE(16,6,FIND({0,1,2,3,4,5,6,7,8,9},A537,ROW(INDIRECT("1:"&amp;LEN(A537)))),1))," ",REPT(" ",LEN(A537))),LEN(A537))))))), 1)) * ROW(INDIRECT("1:"&amp;LEN((--TRIM(RIGHT(SUBSTITUTE(LEFT(A537,_xlfn.AGGREGATE(16,6,FIND({0,1,2,3,4,5,6,7,8,9},A537,ROW(INDIRECT("1:"&amp;LEN(A537)))),1))," ",REPT(" ",LEN(A537))),LEN(A537))))))), 0), ROW(INDIRECT("1:"&amp;LEN((--TRIM(RIGHT(SUBSTITUTE(LEFT(A537,_xlfn.AGGREGATE(16,6,FIND({0,1,2,3,4,5,6,7,8,9},A537,ROW(INDIRECT("1:"&amp;LEN(A537)))),1))," ",REPT(" ",LEN(A537))),LEN(A537))))))))+1, 1) * 10^ROW(INDIRECT("1:"&amp;LEN((--TRIM(RIGHT(SUBSTITUTE(LEFT(A537,_xlfn.AGGREGATE(16,6,FIND({0,1,2,3,4,5,6,7,8,9},A537,ROW(INDIRECT("1:"&amp;LEN(A537)))),1))," ",REPT(" ",LEN(A537))),LEN(A537)))))))/10))*1+1</f>
        <v>202 &amp; 502</v>
      </c>
      <c r="B538" s="113"/>
      <c r="C538" s="39"/>
      <c r="D538" s="39"/>
      <c r="E538" s="50">
        <v>0</v>
      </c>
      <c r="F538" s="50">
        <f>D538+E538</f>
        <v>0</v>
      </c>
      <c r="G538" s="50">
        <v>0</v>
      </c>
      <c r="H538" s="50">
        <f>F538*(($H$342)+1)+(IF(G538&lt;101,G538,IF(G538&lt;201,G538/2,IF(G538&lt;=301,G538/3,G538/4))))</f>
        <v>0</v>
      </c>
      <c r="I538" s="33"/>
    </row>
    <row r="539" spans="1:20" s="34" customFormat="1" ht="15.75" hidden="1" customHeight="1" x14ac:dyDescent="0.25">
      <c r="A539" s="112" t="str">
        <f ca="1">(SUMPRODUCT(MID(0&amp;(LEFT(A538,SUM(LEN(A538)-LEN(SUBSTITUTE(A538,{"0","1","2"},""))))), LARGE(INDEX(ISNUMBER(--MID((LEFT(A538,SUM(LEN(A538)-LEN(SUBSTITUTE(A538,{"0","1","2"},""))))), ROW(INDIRECT("1:"&amp;LEN((LEFT(A538,SUM(LEN(A538)-LEN(SUBSTITUTE(A538,{"0","1","2"},"")))))))), 1)) * ROW(INDIRECT("1:"&amp;LEN((LEFT(A538,SUM(LEN(A538)-LEN(SUBSTITUTE(A538,{"0","1","2"},"")))))))), 0), ROW(INDIRECT("1:"&amp;LEN((LEFT(A538,SUM(LEN(A538)-LEN(SUBSTITUTE(A538,{"0","1","2"},"")))))))))+1, 1) * 10^ROW(INDIRECT("1:"&amp;LEN((LEFT(A538,SUM(LEN(A538)-LEN(SUBSTITUTE(A538,{"0","1","2"},""))))))))/10))*1+1&amp;""&amp;" &amp; "&amp;""&amp;(SUMPRODUCT(MID(0&amp;(--TRIM(RIGHT(SUBSTITUTE(LEFT(A538,_xlfn.AGGREGATE(16,6,FIND({0,1,2,3,4,5,6,7,8,9},A538,ROW(INDIRECT("1:"&amp;LEN(A538)))),1))," ",REPT(" ",LEN(A538))),LEN(A538)))), LARGE(INDEX(ISNUMBER(--MID((--TRIM(RIGHT(SUBSTITUTE(LEFT(A538,_xlfn.AGGREGATE(16,6,FIND({0,1,2,3,4,5,6,7,8,9},A538,ROW(INDIRECT("1:"&amp;LEN(A538)))),1))," ",REPT(" ",LEN(A538))),LEN(A538)))), ROW(INDIRECT("1:"&amp;LEN((--TRIM(RIGHT(SUBSTITUTE(LEFT(A538,_xlfn.AGGREGATE(16,6,FIND({0,1,2,3,4,5,6,7,8,9},A538,ROW(INDIRECT("1:"&amp;LEN(A538)))),1))," ",REPT(" ",LEN(A538))),LEN(A538))))))), 1)) * ROW(INDIRECT("1:"&amp;LEN((--TRIM(RIGHT(SUBSTITUTE(LEFT(A538,_xlfn.AGGREGATE(16,6,FIND({0,1,2,3,4,5,6,7,8,9},A538,ROW(INDIRECT("1:"&amp;LEN(A538)))),1))," ",REPT(" ",LEN(A538))),LEN(A538))))))), 0), ROW(INDIRECT("1:"&amp;LEN((--TRIM(RIGHT(SUBSTITUTE(LEFT(A538,_xlfn.AGGREGATE(16,6,FIND({0,1,2,3,4,5,6,7,8,9},A538,ROW(INDIRECT("1:"&amp;LEN(A538)))),1))," ",REPT(" ",LEN(A538))),LEN(A538))))))))+1, 1) * 10^ROW(INDIRECT("1:"&amp;LEN((--TRIM(RIGHT(SUBSTITUTE(LEFT(A538,_xlfn.AGGREGATE(16,6,FIND({0,1,2,3,4,5,6,7,8,9},A538,ROW(INDIRECT("1:"&amp;LEN(A538)))),1))," ",REPT(" ",LEN(A538))),LEN(A538)))))))/10))*1+1</f>
        <v>203 &amp; 503</v>
      </c>
      <c r="B539" s="113"/>
      <c r="C539" s="39"/>
      <c r="D539" s="39"/>
      <c r="E539" s="50">
        <v>0</v>
      </c>
      <c r="F539" s="50">
        <f>D539+E539</f>
        <v>0</v>
      </c>
      <c r="G539" s="50">
        <v>0</v>
      </c>
      <c r="H539" s="50">
        <f>F539*(($H$342)+1)+(IF(G539&lt;101,G539,IF(G539&lt;201,G539/2,IF(G539&lt;=301,G539/3,G539/4))))</f>
        <v>0</v>
      </c>
      <c r="I539" s="33"/>
    </row>
    <row r="540" spans="1:20" s="34" customFormat="1" ht="15.75" hidden="1" customHeight="1" x14ac:dyDescent="0.25">
      <c r="A540" s="112" t="str">
        <f ca="1">(SUMPRODUCT(MID(0&amp;(LEFT(A539,SUM(LEN(A539)-LEN(SUBSTITUTE(A539,{"0","1","2"},""))))), LARGE(INDEX(ISNUMBER(--MID((LEFT(A539,SUM(LEN(A539)-LEN(SUBSTITUTE(A539,{"0","1","2"},""))))), ROW(INDIRECT("1:"&amp;LEN((LEFT(A539,SUM(LEN(A539)-LEN(SUBSTITUTE(A539,{"0","1","2"},"")))))))), 1)) * ROW(INDIRECT("1:"&amp;LEN((LEFT(A539,SUM(LEN(A539)-LEN(SUBSTITUTE(A539,{"0","1","2"},"")))))))), 0), ROW(INDIRECT("1:"&amp;LEN((LEFT(A539,SUM(LEN(A539)-LEN(SUBSTITUTE(A539,{"0","1","2"},"")))))))))+1, 1) * 10^ROW(INDIRECT("1:"&amp;LEN((LEFT(A539,SUM(LEN(A539)-LEN(SUBSTITUTE(A539,{"0","1","2"},""))))))))/10))*1+1&amp;""&amp;" &amp; "&amp;""&amp;(SUMPRODUCT(MID(0&amp;(--TRIM(RIGHT(SUBSTITUTE(LEFT(A539,_xlfn.AGGREGATE(16,6,FIND({0,1,2,3,4,5,6,7,8,9},A539,ROW(INDIRECT("1:"&amp;LEN(A539)))),1))," ",REPT(" ",LEN(A539))),LEN(A539)))), LARGE(INDEX(ISNUMBER(--MID((--TRIM(RIGHT(SUBSTITUTE(LEFT(A539,_xlfn.AGGREGATE(16,6,FIND({0,1,2,3,4,5,6,7,8,9},A539,ROW(INDIRECT("1:"&amp;LEN(A539)))),1))," ",REPT(" ",LEN(A539))),LEN(A539)))), ROW(INDIRECT("1:"&amp;LEN((--TRIM(RIGHT(SUBSTITUTE(LEFT(A539,_xlfn.AGGREGATE(16,6,FIND({0,1,2,3,4,5,6,7,8,9},A539,ROW(INDIRECT("1:"&amp;LEN(A539)))),1))," ",REPT(" ",LEN(A539))),LEN(A539))))))), 1)) * ROW(INDIRECT("1:"&amp;LEN((--TRIM(RIGHT(SUBSTITUTE(LEFT(A539,_xlfn.AGGREGATE(16,6,FIND({0,1,2,3,4,5,6,7,8,9},A539,ROW(INDIRECT("1:"&amp;LEN(A539)))),1))," ",REPT(" ",LEN(A539))),LEN(A539))))))), 0), ROW(INDIRECT("1:"&amp;LEN((--TRIM(RIGHT(SUBSTITUTE(LEFT(A539,_xlfn.AGGREGATE(16,6,FIND({0,1,2,3,4,5,6,7,8,9},A539,ROW(INDIRECT("1:"&amp;LEN(A539)))),1))," ",REPT(" ",LEN(A539))),LEN(A539))))))))+1, 1) * 10^ROW(INDIRECT("1:"&amp;LEN((--TRIM(RIGHT(SUBSTITUTE(LEFT(A539,_xlfn.AGGREGATE(16,6,FIND({0,1,2,3,4,5,6,7,8,9},A539,ROW(INDIRECT("1:"&amp;LEN(A539)))),1))," ",REPT(" ",LEN(A539))),LEN(A539)))))))/10))*1+1</f>
        <v>204 &amp; 504</v>
      </c>
      <c r="B540" s="113"/>
      <c r="C540" s="39"/>
      <c r="D540" s="39"/>
      <c r="E540" s="50">
        <v>0</v>
      </c>
      <c r="F540" s="50">
        <f>D540+E540</f>
        <v>0</v>
      </c>
      <c r="G540" s="50">
        <v>0</v>
      </c>
      <c r="H540" s="50">
        <f>F540*(($H$342)+1)+(IF(G540&lt;101,G540,IF(G540&lt;201,G540/2,IF(G540&lt;=301,G540/3,G540/4))))</f>
        <v>0</v>
      </c>
      <c r="I540" s="33"/>
    </row>
    <row r="541" spans="1:20" s="34" customFormat="1" ht="15.75" hidden="1" customHeight="1" x14ac:dyDescent="0.25">
      <c r="A541" s="112" t="str">
        <f ca="1">(SUMPRODUCT(MID(0&amp;(LEFT(A540,SUM(LEN(A540)-LEN(SUBSTITUTE(A540,{"0","1","2"},""))))), LARGE(INDEX(ISNUMBER(--MID((LEFT(A540,SUM(LEN(A540)-LEN(SUBSTITUTE(A540,{"0","1","2"},""))))), ROW(INDIRECT("1:"&amp;LEN((LEFT(A540,SUM(LEN(A540)-LEN(SUBSTITUTE(A540,{"0","1","2"},"")))))))), 1)) * ROW(INDIRECT("1:"&amp;LEN((LEFT(A540,SUM(LEN(A540)-LEN(SUBSTITUTE(A540,{"0","1","2"},"")))))))), 0), ROW(INDIRECT("1:"&amp;LEN((LEFT(A540,SUM(LEN(A540)-LEN(SUBSTITUTE(A540,{"0","1","2"},"")))))))))+1, 1) * 10^ROW(INDIRECT("1:"&amp;LEN((LEFT(A540,SUM(LEN(A540)-LEN(SUBSTITUTE(A540,{"0","1","2"},""))))))))/10))*1+1&amp;""&amp;" &amp; "&amp;""&amp;(SUMPRODUCT(MID(0&amp;(--TRIM(RIGHT(SUBSTITUTE(LEFT(A540,_xlfn.AGGREGATE(16,6,FIND({0,1,2,3,4,5,6,7,8,9},A540,ROW(INDIRECT("1:"&amp;LEN(A540)))),1))," ",REPT(" ",LEN(A540))),LEN(A540)))), LARGE(INDEX(ISNUMBER(--MID((--TRIM(RIGHT(SUBSTITUTE(LEFT(A540,_xlfn.AGGREGATE(16,6,FIND({0,1,2,3,4,5,6,7,8,9},A540,ROW(INDIRECT("1:"&amp;LEN(A540)))),1))," ",REPT(" ",LEN(A540))),LEN(A540)))), ROW(INDIRECT("1:"&amp;LEN((--TRIM(RIGHT(SUBSTITUTE(LEFT(A540,_xlfn.AGGREGATE(16,6,FIND({0,1,2,3,4,5,6,7,8,9},A540,ROW(INDIRECT("1:"&amp;LEN(A540)))),1))," ",REPT(" ",LEN(A540))),LEN(A540))))))), 1)) * ROW(INDIRECT("1:"&amp;LEN((--TRIM(RIGHT(SUBSTITUTE(LEFT(A540,_xlfn.AGGREGATE(16,6,FIND({0,1,2,3,4,5,6,7,8,9},A540,ROW(INDIRECT("1:"&amp;LEN(A540)))),1))," ",REPT(" ",LEN(A540))),LEN(A540))))))), 0), ROW(INDIRECT("1:"&amp;LEN((--TRIM(RIGHT(SUBSTITUTE(LEFT(A540,_xlfn.AGGREGATE(16,6,FIND({0,1,2,3,4,5,6,7,8,9},A540,ROW(INDIRECT("1:"&amp;LEN(A540)))),1))," ",REPT(" ",LEN(A540))),LEN(A540))))))))+1, 1) * 10^ROW(INDIRECT("1:"&amp;LEN((--TRIM(RIGHT(SUBSTITUTE(LEFT(A540,_xlfn.AGGREGATE(16,6,FIND({0,1,2,3,4,5,6,7,8,9},A540,ROW(INDIRECT("1:"&amp;LEN(A540)))),1))," ",REPT(" ",LEN(A540))),LEN(A540)))))))/10))*1+1</f>
        <v>205 &amp; 505</v>
      </c>
      <c r="B541" s="113"/>
      <c r="C541" s="39"/>
      <c r="D541" s="39"/>
      <c r="E541" s="50">
        <v>0</v>
      </c>
      <c r="F541" s="50">
        <f>D541+E541</f>
        <v>0</v>
      </c>
      <c r="G541" s="50">
        <v>0</v>
      </c>
      <c r="H541" s="50">
        <f>F541*(($H$342)+1)+(IF(G541&lt;101,G541,IF(G541&lt;201,G541/2,IF(G541&lt;=301,G541/3,G541/4))))</f>
        <v>0</v>
      </c>
      <c r="I541" s="33"/>
    </row>
    <row r="542" spans="1:20" s="32" customFormat="1" x14ac:dyDescent="0.25">
      <c r="A542" s="158" t="s">
        <v>65</v>
      </c>
      <c r="B542" s="158"/>
      <c r="C542" s="158"/>
      <c r="D542" s="158"/>
      <c r="E542" s="158"/>
      <c r="F542" s="158"/>
      <c r="G542" s="158"/>
      <c r="H542" s="158"/>
      <c r="T542" s="34"/>
    </row>
    <row r="543" spans="1:20" s="32" customFormat="1" x14ac:dyDescent="0.25">
      <c r="A543" s="41" t="s">
        <v>152</v>
      </c>
      <c r="B543" s="120" t="s">
        <v>441</v>
      </c>
      <c r="C543" s="121"/>
      <c r="D543" s="121"/>
      <c r="E543" s="121"/>
      <c r="F543" s="121"/>
      <c r="G543" s="121"/>
      <c r="H543" s="122"/>
      <c r="T543" s="34"/>
    </row>
    <row r="544" spans="1:20" s="32" customFormat="1" x14ac:dyDescent="0.25">
      <c r="A544" s="41" t="s">
        <v>152</v>
      </c>
      <c r="B544" s="120" t="str">
        <f>(IF(H341="Saleable area Loading :","We have considered Saleable area of Flats as per our Calculation.","We considered Saleable area of Flat as per Builder area Sheet."))</f>
        <v>We have considered Saleable area of Flats as per our Calculation.</v>
      </c>
      <c r="C544" s="121"/>
      <c r="D544" s="121"/>
      <c r="E544" s="121"/>
      <c r="F544" s="121"/>
      <c r="G544" s="121"/>
      <c r="H544" s="122"/>
      <c r="T544" s="34"/>
    </row>
    <row r="545" spans="1:20" s="32" customFormat="1" x14ac:dyDescent="0.25">
      <c r="A545" s="41" t="s">
        <v>152</v>
      </c>
      <c r="B545" s="120" t="str">
        <f>(IF(H129="Saleable area Loading :","We have considered Saleable area of Commercial as per our Calculation.","We considered Saleable area of Commercial as per Builder area Sheet."))</f>
        <v>We have considered Saleable area of Commercial as per our Calculation.</v>
      </c>
      <c r="C545" s="121"/>
      <c r="D545" s="121"/>
      <c r="E545" s="121"/>
      <c r="F545" s="121"/>
      <c r="G545" s="121"/>
      <c r="H545" s="122"/>
      <c r="T545" s="34"/>
    </row>
    <row r="546" spans="1:20" s="32" customFormat="1" x14ac:dyDescent="0.25">
      <c r="A546" s="41" t="s">
        <v>152</v>
      </c>
      <c r="B546" s="193" t="s">
        <v>119</v>
      </c>
      <c r="C546" s="194"/>
      <c r="D546" s="194"/>
      <c r="E546" s="194"/>
      <c r="F546" s="194"/>
      <c r="G546" s="194"/>
      <c r="H546" s="195"/>
      <c r="T546" s="34"/>
    </row>
    <row r="547" spans="1:20" s="32" customFormat="1" x14ac:dyDescent="0.25">
      <c r="A547" s="41" t="s">
        <v>152</v>
      </c>
      <c r="B547" s="193" t="s">
        <v>385</v>
      </c>
      <c r="C547" s="194"/>
      <c r="D547" s="194"/>
      <c r="E547" s="194"/>
      <c r="F547" s="194"/>
      <c r="G547" s="194"/>
      <c r="H547" s="195"/>
      <c r="T547" s="34"/>
    </row>
    <row r="548" spans="1:20" s="32" customFormat="1" x14ac:dyDescent="0.25">
      <c r="A548" s="41" t="s">
        <v>152</v>
      </c>
      <c r="B548" s="193" t="s">
        <v>151</v>
      </c>
      <c r="C548" s="194"/>
      <c r="D548" s="194"/>
      <c r="E548" s="194"/>
      <c r="F548" s="194"/>
      <c r="G548" s="194"/>
      <c r="H548" s="195"/>
    </row>
    <row r="549" spans="1:20" s="32" customFormat="1" x14ac:dyDescent="0.25">
      <c r="A549" s="41" t="s">
        <v>152</v>
      </c>
      <c r="B549" s="193" t="s">
        <v>120</v>
      </c>
      <c r="C549" s="194"/>
      <c r="D549" s="194"/>
      <c r="E549" s="194"/>
      <c r="F549" s="194"/>
      <c r="G549" s="194"/>
      <c r="H549" s="195"/>
    </row>
    <row r="550" spans="1:20" s="32" customFormat="1" ht="34.5" customHeight="1" x14ac:dyDescent="0.25">
      <c r="A550" s="41" t="s">
        <v>152</v>
      </c>
      <c r="B550" s="193" t="s">
        <v>153</v>
      </c>
      <c r="C550" s="194"/>
      <c r="D550" s="194"/>
      <c r="E550" s="194"/>
      <c r="F550" s="194"/>
      <c r="G550" s="194"/>
      <c r="H550" s="195"/>
    </row>
    <row r="551" spans="1:20" s="32" customFormat="1" x14ac:dyDescent="0.25">
      <c r="A551" s="41" t="s">
        <v>152</v>
      </c>
      <c r="B551" s="193" t="s">
        <v>121</v>
      </c>
      <c r="C551" s="194"/>
      <c r="D551" s="194"/>
      <c r="E551" s="194"/>
      <c r="F551" s="194"/>
      <c r="G551" s="194"/>
      <c r="H551" s="195"/>
    </row>
    <row r="552" spans="1:20" s="32" customFormat="1" x14ac:dyDescent="0.25">
      <c r="A552" s="83" t="s">
        <v>152</v>
      </c>
      <c r="B552" s="193" t="s">
        <v>388</v>
      </c>
      <c r="C552" s="194"/>
      <c r="D552" s="194"/>
      <c r="E552" s="194"/>
      <c r="F552" s="194"/>
      <c r="G552" s="194"/>
      <c r="H552" s="195"/>
    </row>
    <row r="553" spans="1:20" s="32" customFormat="1" ht="32.25" hidden="1" customHeight="1" x14ac:dyDescent="0.25">
      <c r="A553" s="47" t="s">
        <v>152</v>
      </c>
      <c r="B553" s="202" t="s">
        <v>177</v>
      </c>
      <c r="C553" s="203"/>
      <c r="D553" s="203"/>
      <c r="E553" s="203"/>
      <c r="F553" s="203"/>
      <c r="G553" s="203"/>
      <c r="H553" s="204"/>
    </row>
    <row r="554" spans="1:20" s="32" customFormat="1" x14ac:dyDescent="0.25">
      <c r="A554" s="104" t="s">
        <v>152</v>
      </c>
      <c r="B554" s="120" t="s">
        <v>424</v>
      </c>
      <c r="C554" s="121"/>
      <c r="D554" s="121"/>
      <c r="E554" s="121"/>
      <c r="F554" s="121"/>
      <c r="G554" s="121"/>
      <c r="H554" s="122"/>
    </row>
    <row r="555" spans="1:20" s="32" customFormat="1" x14ac:dyDescent="0.25">
      <c r="A555" s="51" t="s">
        <v>152</v>
      </c>
      <c r="B555" s="120" t="s">
        <v>434</v>
      </c>
      <c r="C555" s="121"/>
      <c r="D555" s="121"/>
      <c r="E555" s="121"/>
      <c r="F555" s="121"/>
      <c r="G555" s="121"/>
      <c r="H555" s="122"/>
    </row>
    <row r="556" spans="1:20" x14ac:dyDescent="0.25">
      <c r="A556" s="205" t="s">
        <v>58</v>
      </c>
      <c r="B556" s="205"/>
      <c r="C556" s="205"/>
      <c r="D556" s="205"/>
      <c r="E556" s="205"/>
      <c r="F556" s="205"/>
      <c r="G556" s="205"/>
      <c r="H556" s="205"/>
      <c r="T556" s="32"/>
    </row>
    <row r="557" spans="1:20" x14ac:dyDescent="0.25">
      <c r="A557" s="136" t="s">
        <v>59</v>
      </c>
      <c r="B557" s="136"/>
      <c r="C557" s="136"/>
      <c r="D557" s="136"/>
      <c r="E557" s="136"/>
      <c r="F557" s="136"/>
      <c r="G557" s="136"/>
      <c r="H557" s="136"/>
      <c r="T557" s="32"/>
    </row>
    <row r="558" spans="1:20" ht="15.75" customHeight="1" x14ac:dyDescent="0.25">
      <c r="A558" s="186" t="s">
        <v>60</v>
      </c>
      <c r="B558" s="186"/>
      <c r="C558" s="186"/>
      <c r="D558" s="186"/>
      <c r="E558" s="186"/>
      <c r="F558" s="186"/>
      <c r="G558" s="186"/>
      <c r="H558" s="186"/>
      <c r="T558" s="32"/>
    </row>
    <row r="559" spans="1:20" x14ac:dyDescent="0.25">
      <c r="A559" s="109" t="s">
        <v>61</v>
      </c>
      <c r="B559" s="109"/>
      <c r="C559" s="109"/>
      <c r="D559" s="109"/>
      <c r="E559" s="109"/>
      <c r="F559" s="109"/>
      <c r="G559" s="109"/>
      <c r="H559" s="109"/>
      <c r="T559" s="32"/>
    </row>
    <row r="560" spans="1:20" x14ac:dyDescent="0.25">
      <c r="A560" s="109" t="s">
        <v>62</v>
      </c>
      <c r="B560" s="109"/>
      <c r="C560" s="109"/>
      <c r="D560" s="109"/>
      <c r="E560" s="109"/>
      <c r="F560" s="109"/>
      <c r="G560" s="109"/>
      <c r="H560" s="109"/>
      <c r="T560" s="32"/>
    </row>
    <row r="561" spans="1:20" x14ac:dyDescent="0.25">
      <c r="A561" s="109" t="s">
        <v>122</v>
      </c>
      <c r="B561" s="109"/>
      <c r="C561" s="109"/>
      <c r="D561" s="109"/>
      <c r="E561" s="109"/>
      <c r="F561" s="109"/>
      <c r="G561" s="109"/>
      <c r="H561" s="109"/>
      <c r="T561" s="32"/>
    </row>
    <row r="562" spans="1:20" ht="33.950000000000003" customHeight="1" x14ac:dyDescent="0.25">
      <c r="A562" s="138" t="s">
        <v>123</v>
      </c>
      <c r="B562" s="138"/>
      <c r="C562" s="138"/>
      <c r="D562" s="138"/>
      <c r="E562" s="138"/>
      <c r="F562" s="138"/>
      <c r="G562" s="138"/>
      <c r="H562" s="138"/>
    </row>
    <row r="563" spans="1:20" x14ac:dyDescent="0.25">
      <c r="A563" s="198" t="s">
        <v>74</v>
      </c>
      <c r="B563" s="198"/>
      <c r="C563" s="198" t="s">
        <v>440</v>
      </c>
      <c r="D563" s="198"/>
      <c r="E563" s="198" t="s">
        <v>103</v>
      </c>
      <c r="F563" s="198"/>
      <c r="G563" s="198" t="s">
        <v>439</v>
      </c>
      <c r="H563" s="198"/>
    </row>
    <row r="564" spans="1:20" x14ac:dyDescent="0.25">
      <c r="A564" s="197" t="s">
        <v>76</v>
      </c>
      <c r="B564" s="197"/>
      <c r="C564" s="197"/>
      <c r="D564" s="197"/>
      <c r="E564" s="197"/>
      <c r="F564" s="197"/>
      <c r="G564" s="197"/>
      <c r="H564" s="197"/>
    </row>
    <row r="565" spans="1:20" x14ac:dyDescent="0.25">
      <c r="A565" s="197"/>
      <c r="B565" s="197"/>
      <c r="C565" s="197"/>
      <c r="D565" s="197"/>
      <c r="E565" s="197"/>
      <c r="F565" s="197"/>
      <c r="G565" s="197"/>
      <c r="H565" s="197"/>
    </row>
    <row r="566" spans="1:20" x14ac:dyDescent="0.25">
      <c r="A566" s="197"/>
      <c r="B566" s="197"/>
      <c r="C566" s="197"/>
      <c r="D566" s="197"/>
      <c r="E566" s="197"/>
      <c r="F566" s="197"/>
      <c r="G566" s="197"/>
      <c r="H566" s="197"/>
    </row>
    <row r="567" spans="1:20" x14ac:dyDescent="0.25">
      <c r="A567" s="197"/>
      <c r="B567" s="197"/>
      <c r="C567" s="197"/>
      <c r="D567" s="197"/>
      <c r="E567" s="197"/>
      <c r="F567" s="197"/>
      <c r="G567" s="197"/>
      <c r="H567" s="197"/>
    </row>
    <row r="568" spans="1:20" x14ac:dyDescent="0.25">
      <c r="A568" s="35" t="s">
        <v>63</v>
      </c>
      <c r="B568" s="36"/>
      <c r="C568" s="36"/>
      <c r="D568" s="35" t="str">
        <f>E9</f>
        <v>North Westend Tower 1</v>
      </c>
      <c r="F568" s="36"/>
      <c r="G568" s="36"/>
      <c r="H568" s="36"/>
    </row>
    <row r="569" spans="1:20" x14ac:dyDescent="0.25">
      <c r="A569" s="36"/>
      <c r="B569" s="36"/>
      <c r="C569" s="36"/>
      <c r="D569" s="36"/>
      <c r="E569" s="36"/>
      <c r="F569" s="36"/>
      <c r="G569" s="36"/>
      <c r="H569" s="36"/>
    </row>
    <row r="570" spans="1:20" x14ac:dyDescent="0.25">
      <c r="A570" s="36"/>
      <c r="B570" s="36"/>
      <c r="C570" s="36"/>
      <c r="D570" s="36"/>
      <c r="E570" s="36"/>
      <c r="F570" s="36"/>
      <c r="G570" s="36"/>
      <c r="H570" s="36"/>
    </row>
    <row r="571" spans="1:20" ht="15" customHeight="1" x14ac:dyDescent="0.25"/>
    <row r="611" spans="1:1" x14ac:dyDescent="0.25">
      <c r="A611" s="38" t="s">
        <v>162</v>
      </c>
    </row>
    <row r="612" spans="1:1" x14ac:dyDescent="0.25">
      <c r="A612" s="38"/>
    </row>
    <row r="643" spans="1:1" hidden="1" x14ac:dyDescent="0.25"/>
    <row r="644" spans="1:1" hidden="1" x14ac:dyDescent="0.25"/>
    <row r="645" spans="1:1" hidden="1" x14ac:dyDescent="0.25"/>
    <row r="646" spans="1:1" hidden="1" x14ac:dyDescent="0.25"/>
    <row r="647" spans="1:1" hidden="1" x14ac:dyDescent="0.25"/>
    <row r="648" spans="1:1" hidden="1" x14ac:dyDescent="0.25"/>
    <row r="649" spans="1:1" hidden="1" x14ac:dyDescent="0.25"/>
    <row r="650" spans="1:1" hidden="1" x14ac:dyDescent="0.25"/>
    <row r="651" spans="1:1" hidden="1" x14ac:dyDescent="0.25"/>
    <row r="652" spans="1:1" hidden="1" x14ac:dyDescent="0.25"/>
    <row r="653" spans="1:1" hidden="1" x14ac:dyDescent="0.25"/>
    <row r="654" spans="1:1" x14ac:dyDescent="0.25">
      <c r="A654" s="38" t="s">
        <v>64</v>
      </c>
    </row>
  </sheetData>
  <mergeCells count="1083">
    <mergeCell ref="I12:L12"/>
    <mergeCell ref="A131:H131"/>
    <mergeCell ref="B552:H552"/>
    <mergeCell ref="A311:B311"/>
    <mergeCell ref="L311:M311"/>
    <mergeCell ref="A312:B312"/>
    <mergeCell ref="L312:M312"/>
    <mergeCell ref="A313:B313"/>
    <mergeCell ref="L313:M313"/>
    <mergeCell ref="A314:B314"/>
    <mergeCell ref="L314:M314"/>
    <mergeCell ref="A315:B315"/>
    <mergeCell ref="L315:M315"/>
    <mergeCell ref="A306:B306"/>
    <mergeCell ref="L306:M306"/>
    <mergeCell ref="A307:B307"/>
    <mergeCell ref="L307:M307"/>
    <mergeCell ref="A308:B308"/>
    <mergeCell ref="L308:M308"/>
    <mergeCell ref="A309:B309"/>
    <mergeCell ref="L309:M309"/>
    <mergeCell ref="L452:M452"/>
    <mergeCell ref="A511:H511"/>
    <mergeCell ref="A512:B512"/>
    <mergeCell ref="L512:M512"/>
    <mergeCell ref="A513:B513"/>
    <mergeCell ref="L513:M513"/>
    <mergeCell ref="A514:B514"/>
    <mergeCell ref="L514:M514"/>
    <mergeCell ref="A515:B515"/>
    <mergeCell ref="L515:M515"/>
    <mergeCell ref="A516:B516"/>
    <mergeCell ref="L516:M516"/>
    <mergeCell ref="A517:B517"/>
    <mergeCell ref="A296:B296"/>
    <mergeCell ref="L296:M296"/>
    <mergeCell ref="A297:B297"/>
    <mergeCell ref="L297:M297"/>
    <mergeCell ref="A298:B298"/>
    <mergeCell ref="L298:M298"/>
    <mergeCell ref="A299:B299"/>
    <mergeCell ref="L299:M299"/>
    <mergeCell ref="A300:B300"/>
    <mergeCell ref="L300:M300"/>
    <mergeCell ref="A310:B310"/>
    <mergeCell ref="L310:M310"/>
    <mergeCell ref="A301:B301"/>
    <mergeCell ref="L301:M301"/>
    <mergeCell ref="A302:B302"/>
    <mergeCell ref="L302:M302"/>
    <mergeCell ref="A303:B303"/>
    <mergeCell ref="L303:M303"/>
    <mergeCell ref="A304:B304"/>
    <mergeCell ref="L304:M304"/>
    <mergeCell ref="A305:B305"/>
    <mergeCell ref="L305:M305"/>
    <mergeCell ref="L406:M406"/>
    <mergeCell ref="A407:B407"/>
    <mergeCell ref="L407:M407"/>
    <mergeCell ref="A408:B408"/>
    <mergeCell ref="L408:M408"/>
    <mergeCell ref="A409:B409"/>
    <mergeCell ref="L409:M409"/>
    <mergeCell ref="L517:M517"/>
    <mergeCell ref="L373:M373"/>
    <mergeCell ref="L282:M282"/>
    <mergeCell ref="A283:B283"/>
    <mergeCell ref="L283:M283"/>
    <mergeCell ref="A284:B284"/>
    <mergeCell ref="L284:M284"/>
    <mergeCell ref="A285:B285"/>
    <mergeCell ref="A290:B290"/>
    <mergeCell ref="L290:M290"/>
    <mergeCell ref="A291:B291"/>
    <mergeCell ref="L291:M291"/>
    <mergeCell ref="A292:B292"/>
    <mergeCell ref="L292:M292"/>
    <mergeCell ref="A293:B293"/>
    <mergeCell ref="L293:M293"/>
    <mergeCell ref="A294:B294"/>
    <mergeCell ref="L294:M294"/>
    <mergeCell ref="L285:M285"/>
    <mergeCell ref="A286:B286"/>
    <mergeCell ref="L286:M286"/>
    <mergeCell ref="A287:B287"/>
    <mergeCell ref="A234:B234"/>
    <mergeCell ref="L234:M234"/>
    <mergeCell ref="A235:B235"/>
    <mergeCell ref="L235:M235"/>
    <mergeCell ref="A255:H255"/>
    <mergeCell ref="A256:B256"/>
    <mergeCell ref="L256:M256"/>
    <mergeCell ref="A240:B240"/>
    <mergeCell ref="L240:M240"/>
    <mergeCell ref="A241:B241"/>
    <mergeCell ref="L241:M241"/>
    <mergeCell ref="A242:B242"/>
    <mergeCell ref="L242:M242"/>
    <mergeCell ref="A243:B243"/>
    <mergeCell ref="L243:M243"/>
    <mergeCell ref="A244:B244"/>
    <mergeCell ref="L244:M244"/>
    <mergeCell ref="A245:B245"/>
    <mergeCell ref="L245:M245"/>
    <mergeCell ref="A246:B246"/>
    <mergeCell ref="L246:M246"/>
    <mergeCell ref="A247:B247"/>
    <mergeCell ref="A237:B237"/>
    <mergeCell ref="L237:M237"/>
    <mergeCell ref="A238:B238"/>
    <mergeCell ref="L238:M238"/>
    <mergeCell ref="A239:B239"/>
    <mergeCell ref="L239:M239"/>
    <mergeCell ref="A223:B223"/>
    <mergeCell ref="L223:M223"/>
    <mergeCell ref="A224:B224"/>
    <mergeCell ref="L224:M224"/>
    <mergeCell ref="A225:B225"/>
    <mergeCell ref="L225:M225"/>
    <mergeCell ref="A226:B226"/>
    <mergeCell ref="L226:M226"/>
    <mergeCell ref="A227:B227"/>
    <mergeCell ref="L227:M227"/>
    <mergeCell ref="A228:B228"/>
    <mergeCell ref="L228:M228"/>
    <mergeCell ref="A229:B229"/>
    <mergeCell ref="L229:M229"/>
    <mergeCell ref="L218:M218"/>
    <mergeCell ref="A219:B219"/>
    <mergeCell ref="L219:M219"/>
    <mergeCell ref="A220:B220"/>
    <mergeCell ref="L220:M220"/>
    <mergeCell ref="A221:B221"/>
    <mergeCell ref="L221:M221"/>
    <mergeCell ref="A222:B222"/>
    <mergeCell ref="L222:M222"/>
    <mergeCell ref="L195:M195"/>
    <mergeCell ref="A195:B195"/>
    <mergeCell ref="A215:H215"/>
    <mergeCell ref="A217:B217"/>
    <mergeCell ref="L217:M217"/>
    <mergeCell ref="A192:B192"/>
    <mergeCell ref="L192:M192"/>
    <mergeCell ref="A193:B193"/>
    <mergeCell ref="L193:M193"/>
    <mergeCell ref="A194:B194"/>
    <mergeCell ref="L194:M194"/>
    <mergeCell ref="A199:B199"/>
    <mergeCell ref="L199:M199"/>
    <mergeCell ref="A200:B200"/>
    <mergeCell ref="L200:M200"/>
    <mergeCell ref="A201:B201"/>
    <mergeCell ref="L201:M201"/>
    <mergeCell ref="A202:B202"/>
    <mergeCell ref="L202:M202"/>
    <mergeCell ref="A203:B203"/>
    <mergeCell ref="L203:M203"/>
    <mergeCell ref="A204:B204"/>
    <mergeCell ref="A198:B198"/>
    <mergeCell ref="L198:M198"/>
    <mergeCell ref="A207:B207"/>
    <mergeCell ref="L207:M207"/>
    <mergeCell ref="A208:B208"/>
    <mergeCell ref="L208:M208"/>
    <mergeCell ref="A214:B214"/>
    <mergeCell ref="L214:M214"/>
    <mergeCell ref="A156:B156"/>
    <mergeCell ref="L156:M156"/>
    <mergeCell ref="A157:B157"/>
    <mergeCell ref="L157:M157"/>
    <mergeCell ref="A158:B158"/>
    <mergeCell ref="L158:M158"/>
    <mergeCell ref="A159:B159"/>
    <mergeCell ref="L159:M159"/>
    <mergeCell ref="A160:B160"/>
    <mergeCell ref="L160:M160"/>
    <mergeCell ref="A161:B161"/>
    <mergeCell ref="L161:M161"/>
    <mergeCell ref="A173:B173"/>
    <mergeCell ref="L189:M189"/>
    <mergeCell ref="A190:B190"/>
    <mergeCell ref="L190:M190"/>
    <mergeCell ref="A191:B191"/>
    <mergeCell ref="L191:M191"/>
    <mergeCell ref="A175:H175"/>
    <mergeCell ref="A176:B176"/>
    <mergeCell ref="L176:M176"/>
    <mergeCell ref="L165:M165"/>
    <mergeCell ref="A166:B166"/>
    <mergeCell ref="L166:M166"/>
    <mergeCell ref="A167:B167"/>
    <mergeCell ref="L167:M167"/>
    <mergeCell ref="A168:B168"/>
    <mergeCell ref="L168:M168"/>
    <mergeCell ref="A169:B169"/>
    <mergeCell ref="L169:M169"/>
    <mergeCell ref="A170:B170"/>
    <mergeCell ref="L170:M170"/>
    <mergeCell ref="A171:B171"/>
    <mergeCell ref="L171:M171"/>
    <mergeCell ref="A172:B172"/>
    <mergeCell ref="L172:M172"/>
    <mergeCell ref="A133:H133"/>
    <mergeCell ref="A134:B134"/>
    <mergeCell ref="L134:M134"/>
    <mergeCell ref="A135:B135"/>
    <mergeCell ref="L135:M135"/>
    <mergeCell ref="A136:B136"/>
    <mergeCell ref="L136:M136"/>
    <mergeCell ref="A137:B137"/>
    <mergeCell ref="L137:M137"/>
    <mergeCell ref="A138:B138"/>
    <mergeCell ref="L138:M138"/>
    <mergeCell ref="A139:B139"/>
    <mergeCell ref="L139:M139"/>
    <mergeCell ref="A140:B140"/>
    <mergeCell ref="L140:M140"/>
    <mergeCell ref="A141:B141"/>
    <mergeCell ref="L141:M141"/>
    <mergeCell ref="A376:B376"/>
    <mergeCell ref="L376:M376"/>
    <mergeCell ref="A377:B377"/>
    <mergeCell ref="A385:B385"/>
    <mergeCell ref="L385:M385"/>
    <mergeCell ref="A386:B386"/>
    <mergeCell ref="L386:M386"/>
    <mergeCell ref="A380:H380"/>
    <mergeCell ref="A379:H379"/>
    <mergeCell ref="A381:H381"/>
    <mergeCell ref="A382:B382"/>
    <mergeCell ref="L382:M382"/>
    <mergeCell ref="A155:B155"/>
    <mergeCell ref="A378:B378"/>
    <mergeCell ref="L378:M378"/>
    <mergeCell ref="C362:H362"/>
    <mergeCell ref="A361:H361"/>
    <mergeCell ref="A362:B362"/>
    <mergeCell ref="L362:M362"/>
    <mergeCell ref="A363:B363"/>
    <mergeCell ref="L363:M363"/>
    <mergeCell ref="A364:B364"/>
    <mergeCell ref="L364:M364"/>
    <mergeCell ref="A365:B365"/>
    <mergeCell ref="L365:M365"/>
    <mergeCell ref="A370:H370"/>
    <mergeCell ref="A371:B371"/>
    <mergeCell ref="L371:M371"/>
    <mergeCell ref="A372:B372"/>
    <mergeCell ref="L372:M372"/>
    <mergeCell ref="A373:B373"/>
    <mergeCell ref="L155:M155"/>
    <mergeCell ref="A374:B374"/>
    <mergeCell ref="L374:M374"/>
    <mergeCell ref="A375:B375"/>
    <mergeCell ref="L375:M375"/>
    <mergeCell ref="A457:B457"/>
    <mergeCell ref="L457:M457"/>
    <mergeCell ref="A458:B458"/>
    <mergeCell ref="L458:M458"/>
    <mergeCell ref="A459:B459"/>
    <mergeCell ref="A389:H389"/>
    <mergeCell ref="A390:B390"/>
    <mergeCell ref="L390:M390"/>
    <mergeCell ref="A391:B391"/>
    <mergeCell ref="L391:M391"/>
    <mergeCell ref="A392:B392"/>
    <mergeCell ref="L392:M392"/>
    <mergeCell ref="A393:B393"/>
    <mergeCell ref="L393:M393"/>
    <mergeCell ref="A394:B394"/>
    <mergeCell ref="L394:M394"/>
    <mergeCell ref="A410:B410"/>
    <mergeCell ref="L410:M410"/>
    <mergeCell ref="A435:B435"/>
    <mergeCell ref="L418:M418"/>
    <mergeCell ref="A431:B431"/>
    <mergeCell ref="L431:M431"/>
    <mergeCell ref="A432:B432"/>
    <mergeCell ref="L432:M432"/>
    <mergeCell ref="L414:M414"/>
    <mergeCell ref="L415:M415"/>
    <mergeCell ref="L416:M416"/>
    <mergeCell ref="A417:B417"/>
    <mergeCell ref="A493:B493"/>
    <mergeCell ref="L493:M493"/>
    <mergeCell ref="A483:H483"/>
    <mergeCell ref="A484:B484"/>
    <mergeCell ref="L484:M484"/>
    <mergeCell ref="A485:B485"/>
    <mergeCell ref="L485:M485"/>
    <mergeCell ref="A486:B486"/>
    <mergeCell ref="L486:M486"/>
    <mergeCell ref="A487:B487"/>
    <mergeCell ref="L487:M487"/>
    <mergeCell ref="A488:B488"/>
    <mergeCell ref="L488:M488"/>
    <mergeCell ref="A490:H490"/>
    <mergeCell ref="A491:B491"/>
    <mergeCell ref="A436:B436"/>
    <mergeCell ref="L436:M436"/>
    <mergeCell ref="L472:M472"/>
    <mergeCell ref="A473:B473"/>
    <mergeCell ref="L473:M473"/>
    <mergeCell ref="A474:B474"/>
    <mergeCell ref="L474:M474"/>
    <mergeCell ref="L456:M456"/>
    <mergeCell ref="A468:B468"/>
    <mergeCell ref="L468:M468"/>
    <mergeCell ref="C473:H475"/>
    <mergeCell ref="A475:B475"/>
    <mergeCell ref="L475:M475"/>
    <mergeCell ref="A510:B510"/>
    <mergeCell ref="L510:M510"/>
    <mergeCell ref="A496:B496"/>
    <mergeCell ref="L496:M496"/>
    <mergeCell ref="C494:H496"/>
    <mergeCell ref="A502:B502"/>
    <mergeCell ref="L502:M502"/>
    <mergeCell ref="A503:B503"/>
    <mergeCell ref="L503:M503"/>
    <mergeCell ref="A504:H504"/>
    <mergeCell ref="A505:B505"/>
    <mergeCell ref="L505:M505"/>
    <mergeCell ref="A494:B494"/>
    <mergeCell ref="L494:M494"/>
    <mergeCell ref="A495:B495"/>
    <mergeCell ref="L495:M495"/>
    <mergeCell ref="A508:B508"/>
    <mergeCell ref="L508:M508"/>
    <mergeCell ref="A507:B507"/>
    <mergeCell ref="L507:M507"/>
    <mergeCell ref="A427:B427"/>
    <mergeCell ref="C427:H428"/>
    <mergeCell ref="L427:M427"/>
    <mergeCell ref="A428:B428"/>
    <mergeCell ref="L428:M428"/>
    <mergeCell ref="L387:M387"/>
    <mergeCell ref="A388:B388"/>
    <mergeCell ref="L388:M388"/>
    <mergeCell ref="C387:H388"/>
    <mergeCell ref="A395:B395"/>
    <mergeCell ref="C395:H396"/>
    <mergeCell ref="L395:M395"/>
    <mergeCell ref="A396:B396"/>
    <mergeCell ref="A509:B509"/>
    <mergeCell ref="L509:M509"/>
    <mergeCell ref="A480:B480"/>
    <mergeCell ref="C480:H482"/>
    <mergeCell ref="L480:M480"/>
    <mergeCell ref="A481:B481"/>
    <mergeCell ref="L481:M481"/>
    <mergeCell ref="A482:B482"/>
    <mergeCell ref="L482:M482"/>
    <mergeCell ref="C487:H489"/>
    <mergeCell ref="A489:B489"/>
    <mergeCell ref="L489:M489"/>
    <mergeCell ref="A466:B466"/>
    <mergeCell ref="C466:H468"/>
    <mergeCell ref="L466:M466"/>
    <mergeCell ref="A467:B467"/>
    <mergeCell ref="L467:M467"/>
    <mergeCell ref="A506:B506"/>
    <mergeCell ref="L506:M506"/>
    <mergeCell ref="L417:M417"/>
    <mergeCell ref="A418:B418"/>
    <mergeCell ref="L350:M350"/>
    <mergeCell ref="A351:B351"/>
    <mergeCell ref="L351:M351"/>
    <mergeCell ref="A352:H352"/>
    <mergeCell ref="C350:H351"/>
    <mergeCell ref="C348:H349"/>
    <mergeCell ref="A461:B461"/>
    <mergeCell ref="L461:M461"/>
    <mergeCell ref="C459:H461"/>
    <mergeCell ref="A437:H437"/>
    <mergeCell ref="A438:B438"/>
    <mergeCell ref="L438:M438"/>
    <mergeCell ref="A439:B439"/>
    <mergeCell ref="L439:M439"/>
    <mergeCell ref="A440:B440"/>
    <mergeCell ref="L440:M440"/>
    <mergeCell ref="A441:B441"/>
    <mergeCell ref="L441:M441"/>
    <mergeCell ref="A442:B442"/>
    <mergeCell ref="L442:M442"/>
    <mergeCell ref="A443:B443"/>
    <mergeCell ref="L443:M443"/>
    <mergeCell ref="A353:B353"/>
    <mergeCell ref="L353:M353"/>
    <mergeCell ref="A354:B354"/>
    <mergeCell ref="L354:M354"/>
    <mergeCell ref="A355:B355"/>
    <mergeCell ref="L355:M355"/>
    <mergeCell ref="A358:B358"/>
    <mergeCell ref="L358:M358"/>
    <mergeCell ref="L403:M403"/>
    <mergeCell ref="A404:B404"/>
    <mergeCell ref="L404:M404"/>
    <mergeCell ref="A411:B411"/>
    <mergeCell ref="C411:H412"/>
    <mergeCell ref="L411:M411"/>
    <mergeCell ref="A412:B412"/>
    <mergeCell ref="L412:M412"/>
    <mergeCell ref="A387:B387"/>
    <mergeCell ref="A356:B356"/>
    <mergeCell ref="L356:M356"/>
    <mergeCell ref="A357:B357"/>
    <mergeCell ref="L357:M357"/>
    <mergeCell ref="A348:B348"/>
    <mergeCell ref="L348:M348"/>
    <mergeCell ref="A349:B349"/>
    <mergeCell ref="L349:M349"/>
    <mergeCell ref="A359:B359"/>
    <mergeCell ref="L359:M359"/>
    <mergeCell ref="A360:B360"/>
    <mergeCell ref="L360:M360"/>
    <mergeCell ref="A383:B383"/>
    <mergeCell ref="L383:M383"/>
    <mergeCell ref="A366:B366"/>
    <mergeCell ref="L366:M366"/>
    <mergeCell ref="A367:B367"/>
    <mergeCell ref="L367:M367"/>
    <mergeCell ref="A368:B368"/>
    <mergeCell ref="L368:M368"/>
    <mergeCell ref="A369:B369"/>
    <mergeCell ref="L369:M369"/>
    <mergeCell ref="L377:M377"/>
    <mergeCell ref="A151:B151"/>
    <mergeCell ref="L151:M151"/>
    <mergeCell ref="A152:B152"/>
    <mergeCell ref="L152:M152"/>
    <mergeCell ref="A153:B153"/>
    <mergeCell ref="L153:M153"/>
    <mergeCell ref="A413:H413"/>
    <mergeCell ref="A414:B414"/>
    <mergeCell ref="A453:H453"/>
    <mergeCell ref="A448:B448"/>
    <mergeCell ref="L448:M448"/>
    <mergeCell ref="A449:B449"/>
    <mergeCell ref="L449:M449"/>
    <mergeCell ref="A450:B450"/>
    <mergeCell ref="L450:M450"/>
    <mergeCell ref="L398:M398"/>
    <mergeCell ref="L399:M399"/>
    <mergeCell ref="L400:M400"/>
    <mergeCell ref="L401:M401"/>
    <mergeCell ref="L402:M402"/>
    <mergeCell ref="A405:H405"/>
    <mergeCell ref="A406:B406"/>
    <mergeCell ref="C439:H439"/>
    <mergeCell ref="L422:M422"/>
    <mergeCell ref="L423:M423"/>
    <mergeCell ref="A424:B424"/>
    <mergeCell ref="L424:M424"/>
    <mergeCell ref="A451:B451"/>
    <mergeCell ref="L451:M451"/>
    <mergeCell ref="A452:B452"/>
    <mergeCell ref="A425:B425"/>
    <mergeCell ref="L425:M425"/>
    <mergeCell ref="L143:M143"/>
    <mergeCell ref="A144:B144"/>
    <mergeCell ref="L144:M144"/>
    <mergeCell ref="A145:B145"/>
    <mergeCell ref="L145:M145"/>
    <mergeCell ref="A146:B146"/>
    <mergeCell ref="L146:M146"/>
    <mergeCell ref="A147:B147"/>
    <mergeCell ref="L147:M147"/>
    <mergeCell ref="A148:B148"/>
    <mergeCell ref="L142:M142"/>
    <mergeCell ref="A143:B143"/>
    <mergeCell ref="L148:M148"/>
    <mergeCell ref="A149:B149"/>
    <mergeCell ref="L149:M149"/>
    <mergeCell ref="A150:B150"/>
    <mergeCell ref="L150:M150"/>
    <mergeCell ref="A142:B142"/>
    <mergeCell ref="B555:H555"/>
    <mergeCell ref="A107:E107"/>
    <mergeCell ref="A125:B125"/>
    <mergeCell ref="E125:F125"/>
    <mergeCell ref="A112:E112"/>
    <mergeCell ref="G125:H125"/>
    <mergeCell ref="C118:D118"/>
    <mergeCell ref="E118:F118"/>
    <mergeCell ref="G118:H118"/>
    <mergeCell ref="A119:B119"/>
    <mergeCell ref="C119:D119"/>
    <mergeCell ref="E119:F119"/>
    <mergeCell ref="G119:H119"/>
    <mergeCell ref="A123:B123"/>
    <mergeCell ref="C123:D123"/>
    <mergeCell ref="E123:F123"/>
    <mergeCell ref="G123:H123"/>
    <mergeCell ref="B550:H550"/>
    <mergeCell ref="C122:D122"/>
    <mergeCell ref="E122:F122"/>
    <mergeCell ref="G122:H122"/>
    <mergeCell ref="A384:B384"/>
    <mergeCell ref="C382:H383"/>
    <mergeCell ref="B545:H545"/>
    <mergeCell ref="C129:C130"/>
    <mergeCell ref="B341:B342"/>
    <mergeCell ref="A454:H454"/>
    <mergeCell ref="A455:H455"/>
    <mergeCell ref="A456:B456"/>
    <mergeCell ref="A416:B416"/>
    <mergeCell ref="C406:H407"/>
    <mergeCell ref="A132:H132"/>
    <mergeCell ref="B549:H549"/>
    <mergeCell ref="L518:M518"/>
    <mergeCell ref="A523:B523"/>
    <mergeCell ref="A520:B520"/>
    <mergeCell ref="A521:B521"/>
    <mergeCell ref="A531:B531"/>
    <mergeCell ref="A40:B40"/>
    <mergeCell ref="C40:H40"/>
    <mergeCell ref="F129:F130"/>
    <mergeCell ref="C117:D117"/>
    <mergeCell ref="E117:F117"/>
    <mergeCell ref="B129:B130"/>
    <mergeCell ref="A129:A130"/>
    <mergeCell ref="C341:C342"/>
    <mergeCell ref="G341:G342"/>
    <mergeCell ref="L501:M501"/>
    <mergeCell ref="L498:M498"/>
    <mergeCell ref="A499:B499"/>
    <mergeCell ref="G126:H126"/>
    <mergeCell ref="L499:M499"/>
    <mergeCell ref="A500:B500"/>
    <mergeCell ref="L500:M500"/>
    <mergeCell ref="G129:G130"/>
    <mergeCell ref="A532:B532"/>
    <mergeCell ref="L384:M384"/>
    <mergeCell ref="A91:B91"/>
    <mergeCell ref="E91:F91"/>
    <mergeCell ref="E92:F101"/>
    <mergeCell ref="A90:B90"/>
    <mergeCell ref="A80:B80"/>
    <mergeCell ref="A154:B154"/>
    <mergeCell ref="L154:M154"/>
    <mergeCell ref="A76:B76"/>
    <mergeCell ref="E78:F87"/>
    <mergeCell ref="G78:H87"/>
    <mergeCell ref="E129:E130"/>
    <mergeCell ref="A92:B92"/>
    <mergeCell ref="C90:H90"/>
    <mergeCell ref="A93:B93"/>
    <mergeCell ref="A94:B94"/>
    <mergeCell ref="G92:H101"/>
    <mergeCell ref="A95:B95"/>
    <mergeCell ref="F104:H104"/>
    <mergeCell ref="A104:E104"/>
    <mergeCell ref="D129:D130"/>
    <mergeCell ref="A106:E106"/>
    <mergeCell ref="A97:B97"/>
    <mergeCell ref="A99:B99"/>
    <mergeCell ref="A100:B100"/>
    <mergeCell ref="A105:E105"/>
    <mergeCell ref="A102:E102"/>
    <mergeCell ref="F106:H106"/>
    <mergeCell ref="G91:H91"/>
    <mergeCell ref="F108:H108"/>
    <mergeCell ref="A110:E110"/>
    <mergeCell ref="A117:A118"/>
    <mergeCell ref="A124:B124"/>
    <mergeCell ref="C124:D124"/>
    <mergeCell ref="E124:F124"/>
    <mergeCell ref="G124:H124"/>
    <mergeCell ref="A83:B83"/>
    <mergeCell ref="A85:B85"/>
    <mergeCell ref="A103:E103"/>
    <mergeCell ref="A37:B37"/>
    <mergeCell ref="C37:E37"/>
    <mergeCell ref="A42:D42"/>
    <mergeCell ref="E42:H42"/>
    <mergeCell ref="A41:H41"/>
    <mergeCell ref="A67:C67"/>
    <mergeCell ref="A68:C68"/>
    <mergeCell ref="D67:H67"/>
    <mergeCell ref="F37:H37"/>
    <mergeCell ref="C51:E51"/>
    <mergeCell ref="C50:E50"/>
    <mergeCell ref="G50:H50"/>
    <mergeCell ref="A51:B51"/>
    <mergeCell ref="G56:H56"/>
    <mergeCell ref="A58:B59"/>
    <mergeCell ref="C58:E58"/>
    <mergeCell ref="G58:H58"/>
    <mergeCell ref="G51:H51"/>
    <mergeCell ref="A52:B53"/>
    <mergeCell ref="A39:B39"/>
    <mergeCell ref="C55:H55"/>
    <mergeCell ref="C39:H39"/>
    <mergeCell ref="A46:D46"/>
    <mergeCell ref="A47:D47"/>
    <mergeCell ref="D68:H68"/>
    <mergeCell ref="A44:D44"/>
    <mergeCell ref="E44:H44"/>
    <mergeCell ref="E45:H45"/>
    <mergeCell ref="E46:H46"/>
    <mergeCell ref="E47:H47"/>
    <mergeCell ref="C57:H57"/>
    <mergeCell ref="A48:H48"/>
    <mergeCell ref="D64:H64"/>
    <mergeCell ref="A64:C64"/>
    <mergeCell ref="A45:D45"/>
    <mergeCell ref="A49:B49"/>
    <mergeCell ref="C49:H49"/>
    <mergeCell ref="A65:C66"/>
    <mergeCell ref="D65:H65"/>
    <mergeCell ref="D66:H66"/>
    <mergeCell ref="G52:H52"/>
    <mergeCell ref="A43:D43"/>
    <mergeCell ref="A61:H61"/>
    <mergeCell ref="A62:C62"/>
    <mergeCell ref="A63:C63"/>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A38:H38"/>
    <mergeCell ref="E32:H32"/>
    <mergeCell ref="E28:H28"/>
    <mergeCell ref="C33:E33"/>
    <mergeCell ref="F36:H36"/>
    <mergeCell ref="F33:H33"/>
    <mergeCell ref="A34:B34"/>
    <mergeCell ref="A33:B33"/>
    <mergeCell ref="C34:E34"/>
    <mergeCell ref="A35:B35"/>
    <mergeCell ref="C35:E35"/>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A335:H335"/>
    <mergeCell ref="E19:F19"/>
    <mergeCell ref="G19:H19"/>
    <mergeCell ref="A20:B20"/>
    <mergeCell ref="C20:D20"/>
    <mergeCell ref="E20:F20"/>
    <mergeCell ref="G20:H20"/>
    <mergeCell ref="A21:B21"/>
    <mergeCell ref="C21:D21"/>
    <mergeCell ref="E21:F21"/>
    <mergeCell ref="G21:H21"/>
    <mergeCell ref="A22:B22"/>
    <mergeCell ref="C22:D2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8:D28"/>
    <mergeCell ref="A525:B525"/>
    <mergeCell ref="A564:H567"/>
    <mergeCell ref="A563:B563"/>
    <mergeCell ref="E563:F563"/>
    <mergeCell ref="C563:D563"/>
    <mergeCell ref="G563:H563"/>
    <mergeCell ref="A115:H115"/>
    <mergeCell ref="A113:E113"/>
    <mergeCell ref="F113:H113"/>
    <mergeCell ref="A114:E114"/>
    <mergeCell ref="F114:H114"/>
    <mergeCell ref="A518:H518"/>
    <mergeCell ref="A122:B122"/>
    <mergeCell ref="A527:B527"/>
    <mergeCell ref="A559:H559"/>
    <mergeCell ref="A120:H120"/>
    <mergeCell ref="A562:H562"/>
    <mergeCell ref="A560:H560"/>
    <mergeCell ref="A557:H557"/>
    <mergeCell ref="A498:B498"/>
    <mergeCell ref="A339:B339"/>
    <mergeCell ref="A338:B338"/>
    <mergeCell ref="B553:H553"/>
    <mergeCell ref="B551:H551"/>
    <mergeCell ref="A561:H561"/>
    <mergeCell ref="A556:H556"/>
    <mergeCell ref="G121:H121"/>
    <mergeCell ref="B548:H548"/>
    <mergeCell ref="A533:B533"/>
    <mergeCell ref="A522:B522"/>
    <mergeCell ref="A529:B529"/>
    <mergeCell ref="A501:B501"/>
    <mergeCell ref="C398:H399"/>
    <mergeCell ref="A558:H558"/>
    <mergeCell ref="A519:B519"/>
    <mergeCell ref="A121:B121"/>
    <mergeCell ref="D341:D342"/>
    <mergeCell ref="E341:E342"/>
    <mergeCell ref="A96:B96"/>
    <mergeCell ref="A98:B98"/>
    <mergeCell ref="F103:H103"/>
    <mergeCell ref="G117:H117"/>
    <mergeCell ref="A101:B101"/>
    <mergeCell ref="F109:H109"/>
    <mergeCell ref="C116:D116"/>
    <mergeCell ref="C125:D125"/>
    <mergeCell ref="A497:H497"/>
    <mergeCell ref="A528:B528"/>
    <mergeCell ref="B547:H547"/>
    <mergeCell ref="A537:B537"/>
    <mergeCell ref="A538:B538"/>
    <mergeCell ref="A541:B541"/>
    <mergeCell ref="A540:B540"/>
    <mergeCell ref="B543:H543"/>
    <mergeCell ref="B544:H544"/>
    <mergeCell ref="B546:H546"/>
    <mergeCell ref="A415:B415"/>
    <mergeCell ref="F105:H105"/>
    <mergeCell ref="A109:E109"/>
    <mergeCell ref="A340:H340"/>
    <mergeCell ref="E121:F121"/>
    <mergeCell ref="A127:H127"/>
    <mergeCell ref="A341:A342"/>
    <mergeCell ref="F341:F342"/>
    <mergeCell ref="L346:M346"/>
    <mergeCell ref="I15:P15"/>
    <mergeCell ref="F112:H112"/>
    <mergeCell ref="F110:H110"/>
    <mergeCell ref="A526:B526"/>
    <mergeCell ref="A128:H128"/>
    <mergeCell ref="G116:H116"/>
    <mergeCell ref="A111:E111"/>
    <mergeCell ref="A337:B337"/>
    <mergeCell ref="A60:B60"/>
    <mergeCell ref="C60:E60"/>
    <mergeCell ref="D62:H62"/>
    <mergeCell ref="F111:H111"/>
    <mergeCell ref="E116:F116"/>
    <mergeCell ref="A116:B116"/>
    <mergeCell ref="C121:D121"/>
    <mergeCell ref="D71:H71"/>
    <mergeCell ref="D63:H63"/>
    <mergeCell ref="G60:H60"/>
    <mergeCell ref="A54:B55"/>
    <mergeCell ref="C54:E54"/>
    <mergeCell ref="G54:H54"/>
    <mergeCell ref="A56:B57"/>
    <mergeCell ref="C56:E56"/>
    <mergeCell ref="E43:H43"/>
    <mergeCell ref="A336:B336"/>
    <mergeCell ref="A126:B126"/>
    <mergeCell ref="C126:D126"/>
    <mergeCell ref="E126:F126"/>
    <mergeCell ref="C390:H391"/>
    <mergeCell ref="A397:H397"/>
    <mergeCell ref="A398:B398"/>
    <mergeCell ref="C59:H59"/>
    <mergeCell ref="L162:M162"/>
    <mergeCell ref="A163:B163"/>
    <mergeCell ref="L163:M163"/>
    <mergeCell ref="A164:B164"/>
    <mergeCell ref="L164:M164"/>
    <mergeCell ref="A165:B165"/>
    <mergeCell ref="A433:B433"/>
    <mergeCell ref="L433:M433"/>
    <mergeCell ref="A434:B434"/>
    <mergeCell ref="L434:M434"/>
    <mergeCell ref="A542:H542"/>
    <mergeCell ref="A534:B534"/>
    <mergeCell ref="A535:B535"/>
    <mergeCell ref="A530:H530"/>
    <mergeCell ref="A524:H524"/>
    <mergeCell ref="A539:B539"/>
    <mergeCell ref="A536:H536"/>
    <mergeCell ref="C414:H415"/>
    <mergeCell ref="A399:B399"/>
    <mergeCell ref="A400:B400"/>
    <mergeCell ref="A401:B401"/>
    <mergeCell ref="A402:B402"/>
    <mergeCell ref="A462:H462"/>
    <mergeCell ref="A463:B463"/>
    <mergeCell ref="A469:H469"/>
    <mergeCell ref="A470:B470"/>
    <mergeCell ref="A421:H421"/>
    <mergeCell ref="A423:B423"/>
    <mergeCell ref="A345:B345"/>
    <mergeCell ref="L345:M345"/>
    <mergeCell ref="A346:B346"/>
    <mergeCell ref="A218:B218"/>
    <mergeCell ref="A50:B50"/>
    <mergeCell ref="C52:E52"/>
    <mergeCell ref="C53:H53"/>
    <mergeCell ref="A69:C69"/>
    <mergeCell ref="D69:H69"/>
    <mergeCell ref="A70:C70"/>
    <mergeCell ref="D70:H70"/>
    <mergeCell ref="A73:C73"/>
    <mergeCell ref="D73:H73"/>
    <mergeCell ref="A72:C72"/>
    <mergeCell ref="F102:H102"/>
    <mergeCell ref="F107:H107"/>
    <mergeCell ref="A108:E108"/>
    <mergeCell ref="A77:B77"/>
    <mergeCell ref="A88:B88"/>
    <mergeCell ref="C88:H88"/>
    <mergeCell ref="A162:B162"/>
    <mergeCell ref="A71:C71"/>
    <mergeCell ref="D72:H72"/>
    <mergeCell ref="A78:B78"/>
    <mergeCell ref="G77:H77"/>
    <mergeCell ref="A86:B86"/>
    <mergeCell ref="A87:B87"/>
    <mergeCell ref="A82:B82"/>
    <mergeCell ref="A79:B79"/>
    <mergeCell ref="A81:B81"/>
    <mergeCell ref="E77:F77"/>
    <mergeCell ref="A84:B84"/>
    <mergeCell ref="A74:B74"/>
    <mergeCell ref="C74:H74"/>
    <mergeCell ref="C76:H76"/>
    <mergeCell ref="A189:B189"/>
    <mergeCell ref="L204:M204"/>
    <mergeCell ref="A205:B205"/>
    <mergeCell ref="L205:M205"/>
    <mergeCell ref="A206:B206"/>
    <mergeCell ref="L206:M206"/>
    <mergeCell ref="A343:H343"/>
    <mergeCell ref="A344:H344"/>
    <mergeCell ref="L396:M396"/>
    <mergeCell ref="L339:M339"/>
    <mergeCell ref="L338:M338"/>
    <mergeCell ref="L337:M337"/>
    <mergeCell ref="L336:M336"/>
    <mergeCell ref="A426:B426"/>
    <mergeCell ref="L426:M426"/>
    <mergeCell ref="A422:B422"/>
    <mergeCell ref="L435:M435"/>
    <mergeCell ref="A350:B350"/>
    <mergeCell ref="A236:B236"/>
    <mergeCell ref="L236:M236"/>
    <mergeCell ref="A209:B209"/>
    <mergeCell ref="L209:M209"/>
    <mergeCell ref="A210:B210"/>
    <mergeCell ref="L210:M210"/>
    <mergeCell ref="A211:B211"/>
    <mergeCell ref="L211:M211"/>
    <mergeCell ref="A212:B212"/>
    <mergeCell ref="L212:M212"/>
    <mergeCell ref="A213:B213"/>
    <mergeCell ref="L213:M213"/>
    <mergeCell ref="A216:B216"/>
    <mergeCell ref="L216:M216"/>
    <mergeCell ref="A259:B259"/>
    <mergeCell ref="L173:M173"/>
    <mergeCell ref="A174:B174"/>
    <mergeCell ref="L174:M174"/>
    <mergeCell ref="A196:B196"/>
    <mergeCell ref="L196:M196"/>
    <mergeCell ref="A197:B197"/>
    <mergeCell ref="L197:M197"/>
    <mergeCell ref="A177:B177"/>
    <mergeCell ref="L177:M177"/>
    <mergeCell ref="A178:B178"/>
    <mergeCell ref="L178:M178"/>
    <mergeCell ref="A179:B179"/>
    <mergeCell ref="L179:M179"/>
    <mergeCell ref="A180:B180"/>
    <mergeCell ref="L180:M180"/>
    <mergeCell ref="A181:B181"/>
    <mergeCell ref="L181:M181"/>
    <mergeCell ref="A182:B182"/>
    <mergeCell ref="L182:M182"/>
    <mergeCell ref="A183:B183"/>
    <mergeCell ref="L183:M183"/>
    <mergeCell ref="A184:B184"/>
    <mergeCell ref="L184:M184"/>
    <mergeCell ref="A185:B185"/>
    <mergeCell ref="L185:M185"/>
    <mergeCell ref="A186:B186"/>
    <mergeCell ref="L186:M186"/>
    <mergeCell ref="A187:B187"/>
    <mergeCell ref="L187:M187"/>
    <mergeCell ref="A188:B188"/>
    <mergeCell ref="L188:M188"/>
    <mergeCell ref="A282:B282"/>
    <mergeCell ref="A230:B230"/>
    <mergeCell ref="L230:M230"/>
    <mergeCell ref="A231:B231"/>
    <mergeCell ref="L231:M231"/>
    <mergeCell ref="A232:B232"/>
    <mergeCell ref="L232:M232"/>
    <mergeCell ref="A233:B233"/>
    <mergeCell ref="L233:M233"/>
    <mergeCell ref="A252:B252"/>
    <mergeCell ref="L252:M252"/>
    <mergeCell ref="A253:B253"/>
    <mergeCell ref="L253:M253"/>
    <mergeCell ref="A254:B254"/>
    <mergeCell ref="L254:M254"/>
    <mergeCell ref="A276:B276"/>
    <mergeCell ref="L276:M276"/>
    <mergeCell ref="A277:B277"/>
    <mergeCell ref="L277:M277"/>
    <mergeCell ref="L247:M247"/>
    <mergeCell ref="A248:B248"/>
    <mergeCell ref="L248:M248"/>
    <mergeCell ref="A249:B249"/>
    <mergeCell ref="L249:M249"/>
    <mergeCell ref="A250:B250"/>
    <mergeCell ref="L250:M250"/>
    <mergeCell ref="A251:B251"/>
    <mergeCell ref="L251:M251"/>
    <mergeCell ref="A257:B257"/>
    <mergeCell ref="L257:M257"/>
    <mergeCell ref="A258:B258"/>
    <mergeCell ref="L258:M258"/>
    <mergeCell ref="A295:H295"/>
    <mergeCell ref="L259:M259"/>
    <mergeCell ref="A260:B260"/>
    <mergeCell ref="L260:M260"/>
    <mergeCell ref="A261:B261"/>
    <mergeCell ref="L261:M261"/>
    <mergeCell ref="A262:B262"/>
    <mergeCell ref="L262:M262"/>
    <mergeCell ref="A263:B263"/>
    <mergeCell ref="L287:M287"/>
    <mergeCell ref="A288:B288"/>
    <mergeCell ref="L288:M288"/>
    <mergeCell ref="A289:B289"/>
    <mergeCell ref="L289:M289"/>
    <mergeCell ref="L263:M263"/>
    <mergeCell ref="A264:B264"/>
    <mergeCell ref="L264:M264"/>
    <mergeCell ref="A265:B265"/>
    <mergeCell ref="L265:M265"/>
    <mergeCell ref="A266:B266"/>
    <mergeCell ref="A274:B274"/>
    <mergeCell ref="L274:M274"/>
    <mergeCell ref="A275:B275"/>
    <mergeCell ref="L275:M275"/>
    <mergeCell ref="A278:B278"/>
    <mergeCell ref="L278:M278"/>
    <mergeCell ref="A279:B279"/>
    <mergeCell ref="L279:M279"/>
    <mergeCell ref="A280:B280"/>
    <mergeCell ref="L280:M280"/>
    <mergeCell ref="A281:B281"/>
    <mergeCell ref="L281:M281"/>
    <mergeCell ref="L430:M430"/>
    <mergeCell ref="A321:B321"/>
    <mergeCell ref="L321:M321"/>
    <mergeCell ref="A322:B322"/>
    <mergeCell ref="L322:M322"/>
    <mergeCell ref="A323:B323"/>
    <mergeCell ref="L323:M323"/>
    <mergeCell ref="L266:M266"/>
    <mergeCell ref="A267:B267"/>
    <mergeCell ref="L267:M267"/>
    <mergeCell ref="A268:B268"/>
    <mergeCell ref="L268:M268"/>
    <mergeCell ref="A269:B269"/>
    <mergeCell ref="L269:M269"/>
    <mergeCell ref="A270:B270"/>
    <mergeCell ref="L270:M270"/>
    <mergeCell ref="A271:B271"/>
    <mergeCell ref="L271:M271"/>
    <mergeCell ref="A272:B272"/>
    <mergeCell ref="L272:M272"/>
    <mergeCell ref="A273:B273"/>
    <mergeCell ref="L273:M273"/>
    <mergeCell ref="A316:B316"/>
    <mergeCell ref="L316:M316"/>
    <mergeCell ref="A317:B317"/>
    <mergeCell ref="L317:M317"/>
    <mergeCell ref="A318:B318"/>
    <mergeCell ref="L318:M318"/>
    <mergeCell ref="A319:B319"/>
    <mergeCell ref="L319:M319"/>
    <mergeCell ref="A320:B320"/>
    <mergeCell ref="L320:M320"/>
    <mergeCell ref="C403:H404"/>
    <mergeCell ref="B554:H554"/>
    <mergeCell ref="A331:B331"/>
    <mergeCell ref="L331:M331"/>
    <mergeCell ref="A332:B332"/>
    <mergeCell ref="L332:M332"/>
    <mergeCell ref="A333:B333"/>
    <mergeCell ref="L333:M333"/>
    <mergeCell ref="A334:B334"/>
    <mergeCell ref="L334:M334"/>
    <mergeCell ref="A326:B326"/>
    <mergeCell ref="L326:M326"/>
    <mergeCell ref="A327:B327"/>
    <mergeCell ref="L327:M327"/>
    <mergeCell ref="A328:B328"/>
    <mergeCell ref="L328:M328"/>
    <mergeCell ref="A329:B329"/>
    <mergeCell ref="L329:M329"/>
    <mergeCell ref="A330:B330"/>
    <mergeCell ref="A445:H445"/>
    <mergeCell ref="A446:B446"/>
    <mergeCell ref="L446:M446"/>
    <mergeCell ref="A447:B447"/>
    <mergeCell ref="L330:M330"/>
    <mergeCell ref="L491:M491"/>
    <mergeCell ref="A492:B492"/>
    <mergeCell ref="L492:M492"/>
    <mergeCell ref="A476:H476"/>
    <mergeCell ref="A477:B477"/>
    <mergeCell ref="L477:M477"/>
    <mergeCell ref="A429:H429"/>
    <mergeCell ref="A430:B430"/>
    <mergeCell ref="I11:L11"/>
    <mergeCell ref="A324:B324"/>
    <mergeCell ref="L324:M324"/>
    <mergeCell ref="A325:B325"/>
    <mergeCell ref="L325:M325"/>
    <mergeCell ref="L447:M447"/>
    <mergeCell ref="A444:B444"/>
    <mergeCell ref="L444:M444"/>
    <mergeCell ref="L463:M463"/>
    <mergeCell ref="A464:B464"/>
    <mergeCell ref="L464:M464"/>
    <mergeCell ref="A465:B465"/>
    <mergeCell ref="L465:M465"/>
    <mergeCell ref="A479:B479"/>
    <mergeCell ref="L479:M479"/>
    <mergeCell ref="L470:M470"/>
    <mergeCell ref="A471:B471"/>
    <mergeCell ref="L471:M471"/>
    <mergeCell ref="A472:B472"/>
    <mergeCell ref="A478:B478"/>
    <mergeCell ref="L478:M478"/>
    <mergeCell ref="L459:M459"/>
    <mergeCell ref="A460:B460"/>
    <mergeCell ref="L460:M460"/>
    <mergeCell ref="A347:B347"/>
    <mergeCell ref="L347:M347"/>
    <mergeCell ref="A419:B419"/>
    <mergeCell ref="C419:H420"/>
    <mergeCell ref="L419:M419"/>
    <mergeCell ref="A420:B420"/>
    <mergeCell ref="L420:M420"/>
    <mergeCell ref="A403:B403"/>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9:E130" xr:uid="{00000000-0002-0000-0000-000003000000}">
      <formula1>"Attached Loft area,Attached Otla area,Attached Mezzanine area"</formula1>
    </dataValidation>
    <dataValidation type="list" allowBlank="1" showInputMessage="1" showErrorMessage="1" sqref="G563:H563" xr:uid="{00000000-0002-0000-0000-000004000000}">
      <formula1>"Kunal Kadam,Pranita Mhatre,Shruti Fule,Pooja Kawale,Gaurav Panchal,Shruti Tathare, Hitakshi Mhatre, Sachin Sawant"</formula1>
    </dataValidation>
    <dataValidation type="list" allowBlank="1" showInputMessage="1" showErrorMessage="1" sqref="F102:H102" xr:uid="{00000000-0002-0000-0000-000005000000}">
      <formula1>"On Saleable Area,On Builtup Area,On Carpet Area,On Plot Area"</formula1>
    </dataValidation>
    <dataValidation type="list" allowBlank="1" showInputMessage="1" showErrorMessage="1" sqref="F113:H113" xr:uid="{00000000-0002-0000-0000-000006000000}">
      <formula1>OFFSET($S$102,1,MATCH($G20,$S$102:$W$102,0)-1,15,1)</formula1>
    </dataValidation>
    <dataValidation type="list" allowBlank="1" showInputMessage="1" showErrorMessage="1" sqref="B129:B130" xr:uid="{00000000-0002-0000-0000-000007000000}">
      <formula1>"Shop No. (Sale Plan),Sale / Rehab,Sale / Mhada"</formula1>
    </dataValidation>
    <dataValidation type="list" allowBlank="1" showInputMessage="1" showErrorMessage="1" sqref="B341:B342"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341:E342" xr:uid="{00000000-0002-0000-0000-00000B000000}">
      <formula1>"Fungible area,Balcony Area,Chajja Area,Cornice Area,AP Area,WS Area"</formula1>
    </dataValidation>
    <dataValidation type="list" allowBlank="1" showInputMessage="1" showErrorMessage="1" sqref="H342 H13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29 H341" xr:uid="{00000000-0002-0000-0000-00000F000000}">
      <formula1>"Saleable area Loading :,Builder Saleable Area"</formula1>
    </dataValidation>
    <dataValidation type="list" allowBlank="1" showInputMessage="1" showErrorMessage="1" sqref="D341:D342 D129:D130"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340" max="16383" man="1"/>
    <brk id="567" max="16383" man="1"/>
    <brk id="610" max="16383" man="1"/>
    <brk id="65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D10" sqref="D1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63" t="s">
        <v>104</v>
      </c>
      <c r="C3" s="263"/>
      <c r="D3" s="263"/>
      <c r="E3" s="263"/>
      <c r="F3" s="263"/>
      <c r="G3" s="263"/>
      <c r="H3" s="263"/>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8"/>
      <c r="C4" s="48" t="s">
        <v>11</v>
      </c>
      <c r="D4" s="49" t="s">
        <v>178</v>
      </c>
      <c r="E4" s="49" t="s">
        <v>188</v>
      </c>
      <c r="F4" s="49" t="s">
        <v>171</v>
      </c>
      <c r="G4" s="49" t="s">
        <v>193</v>
      </c>
      <c r="H4" s="49" t="s">
        <v>211</v>
      </c>
      <c r="J4" t="s">
        <v>193</v>
      </c>
      <c r="K4" t="s">
        <v>209</v>
      </c>
    </row>
    <row r="5" spans="2:11" x14ac:dyDescent="0.25">
      <c r="B5" s="48"/>
      <c r="C5" s="48"/>
      <c r="D5" s="49" t="s">
        <v>179</v>
      </c>
      <c r="E5" s="49" t="s">
        <v>186</v>
      </c>
      <c r="F5" s="49" t="s">
        <v>208</v>
      </c>
      <c r="G5" s="49" t="s">
        <v>194</v>
      </c>
      <c r="H5" s="49" t="s">
        <v>212</v>
      </c>
    </row>
    <row r="6" spans="2:11" x14ac:dyDescent="0.25">
      <c r="B6" s="48"/>
      <c r="C6" s="48"/>
      <c r="D6" s="49" t="s">
        <v>180</v>
      </c>
      <c r="E6" s="49" t="s">
        <v>187</v>
      </c>
      <c r="F6" s="49" t="s">
        <v>209</v>
      </c>
      <c r="G6" s="49" t="s">
        <v>195</v>
      </c>
      <c r="H6" s="49" t="s">
        <v>225</v>
      </c>
    </row>
    <row r="7" spans="2:11" x14ac:dyDescent="0.25">
      <c r="B7" s="48"/>
      <c r="C7" s="48"/>
      <c r="D7" s="49" t="s">
        <v>181</v>
      </c>
      <c r="E7" s="49" t="s">
        <v>189</v>
      </c>
      <c r="F7" s="49" t="s">
        <v>210</v>
      </c>
      <c r="G7" s="49" t="s">
        <v>196</v>
      </c>
      <c r="H7" s="49" t="s">
        <v>213</v>
      </c>
    </row>
    <row r="8" spans="2:11" x14ac:dyDescent="0.25">
      <c r="B8" s="48"/>
      <c r="C8" s="48"/>
      <c r="D8" s="49" t="s">
        <v>182</v>
      </c>
      <c r="E8" s="49" t="s">
        <v>190</v>
      </c>
      <c r="F8" s="49"/>
      <c r="G8" s="49" t="s">
        <v>197</v>
      </c>
      <c r="H8" s="49" t="s">
        <v>214</v>
      </c>
    </row>
    <row r="9" spans="2:11" x14ac:dyDescent="0.25">
      <c r="B9" s="48"/>
      <c r="C9" s="48"/>
      <c r="D9" s="49" t="s">
        <v>183</v>
      </c>
      <c r="E9" s="49" t="s">
        <v>188</v>
      </c>
      <c r="F9" s="49"/>
      <c r="G9" s="49" t="s">
        <v>198</v>
      </c>
      <c r="H9" s="49" t="s">
        <v>215</v>
      </c>
    </row>
    <row r="10" spans="2:11" x14ac:dyDescent="0.25">
      <c r="B10" s="48"/>
      <c r="C10" s="48"/>
      <c r="D10" s="49" t="s">
        <v>184</v>
      </c>
      <c r="E10" s="49" t="s">
        <v>191</v>
      </c>
      <c r="F10" s="49"/>
      <c r="G10" s="49" t="s">
        <v>199</v>
      </c>
      <c r="H10" s="49" t="s">
        <v>216</v>
      </c>
    </row>
    <row r="11" spans="2:11" x14ac:dyDescent="0.25">
      <c r="B11" s="48"/>
      <c r="C11" s="48"/>
      <c r="D11" s="49" t="s">
        <v>185</v>
      </c>
      <c r="E11" s="49" t="s">
        <v>192</v>
      </c>
      <c r="F11" s="49"/>
      <c r="G11" s="49" t="s">
        <v>200</v>
      </c>
      <c r="H11" s="49" t="s">
        <v>217</v>
      </c>
    </row>
    <row r="12" spans="2:11" x14ac:dyDescent="0.25">
      <c r="B12" s="48"/>
      <c r="C12" s="48"/>
      <c r="D12" s="49"/>
      <c r="E12" s="49"/>
      <c r="F12" s="49"/>
      <c r="G12" s="49" t="s">
        <v>201</v>
      </c>
      <c r="H12" s="49" t="s">
        <v>218</v>
      </c>
    </row>
    <row r="13" spans="2:11" x14ac:dyDescent="0.25">
      <c r="B13" s="48"/>
      <c r="C13" s="48"/>
      <c r="D13" s="49"/>
      <c r="E13" s="49"/>
      <c r="F13" s="49"/>
      <c r="G13" s="49" t="s">
        <v>202</v>
      </c>
      <c r="H13" s="49" t="s">
        <v>219</v>
      </c>
    </row>
    <row r="14" spans="2:11" x14ac:dyDescent="0.25">
      <c r="B14" s="48"/>
      <c r="C14" s="48"/>
      <c r="D14" s="49"/>
      <c r="E14" s="49"/>
      <c r="F14" s="49"/>
      <c r="G14" s="49" t="s">
        <v>203</v>
      </c>
      <c r="H14" s="49" t="s">
        <v>220</v>
      </c>
    </row>
    <row r="15" spans="2:11" x14ac:dyDescent="0.25">
      <c r="B15" s="48"/>
      <c r="C15" s="48"/>
      <c r="D15" s="49"/>
      <c r="E15" s="49"/>
      <c r="F15" s="49"/>
      <c r="G15" s="49" t="s">
        <v>204</v>
      </c>
      <c r="H15" s="49" t="s">
        <v>221</v>
      </c>
    </row>
    <row r="16" spans="2:11" x14ac:dyDescent="0.25">
      <c r="B16" s="48"/>
      <c r="C16" s="48"/>
      <c r="D16" s="49"/>
      <c r="E16" s="49"/>
      <c r="F16" s="49"/>
      <c r="G16" s="49" t="s">
        <v>205</v>
      </c>
      <c r="H16" s="49" t="s">
        <v>222</v>
      </c>
    </row>
    <row r="17" spans="2:8" x14ac:dyDescent="0.25">
      <c r="B17" s="48"/>
      <c r="C17" s="48"/>
      <c r="D17" s="49"/>
      <c r="E17" s="49"/>
      <c r="F17" s="49"/>
      <c r="G17" s="49" t="s">
        <v>206</v>
      </c>
      <c r="H17" s="49" t="s">
        <v>223</v>
      </c>
    </row>
    <row r="18" spans="2:8" x14ac:dyDescent="0.25">
      <c r="B18" s="48"/>
      <c r="C18" s="48"/>
      <c r="D18" s="49"/>
      <c r="E18" s="49"/>
      <c r="F18" s="49"/>
      <c r="G18" s="49" t="s">
        <v>207</v>
      </c>
      <c r="H18" s="49" t="s">
        <v>224</v>
      </c>
    </row>
    <row r="24" spans="2:8" x14ac:dyDescent="0.25">
      <c r="C24" t="s">
        <v>168</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168</v>
      </c>
    </row>
    <row r="33" spans="3:11" x14ac:dyDescent="0.25">
      <c r="J33">
        <v>1</v>
      </c>
      <c r="K33">
        <v>2</v>
      </c>
    </row>
    <row r="34" spans="3:11" x14ac:dyDescent="0.25">
      <c r="C34" s="52" t="s">
        <v>235</v>
      </c>
      <c r="D34" s="49" t="s">
        <v>233</v>
      </c>
      <c r="E34" s="49" t="s">
        <v>238</v>
      </c>
      <c r="F34" s="49" t="s">
        <v>236</v>
      </c>
      <c r="G34" s="49" t="s">
        <v>237</v>
      </c>
      <c r="H34" s="49" t="s">
        <v>239</v>
      </c>
      <c r="J34" t="s">
        <v>193</v>
      </c>
      <c r="K34" t="s">
        <v>209</v>
      </c>
    </row>
    <row r="35" spans="3:11" x14ac:dyDescent="0.25">
      <c r="C35" s="48" t="s">
        <v>234</v>
      </c>
      <c r="D35" s="49" t="s">
        <v>169</v>
      </c>
      <c r="E35" s="49" t="s">
        <v>243</v>
      </c>
      <c r="F35" s="49" t="s">
        <v>245</v>
      </c>
      <c r="G35" s="49" t="s">
        <v>247</v>
      </c>
      <c r="H35" s="49"/>
    </row>
    <row r="36" spans="3:11" x14ac:dyDescent="0.25">
      <c r="C36" s="48"/>
      <c r="D36" s="49" t="s">
        <v>240</v>
      </c>
      <c r="E36" s="49" t="s">
        <v>244</v>
      </c>
      <c r="F36" s="49" t="s">
        <v>246</v>
      </c>
      <c r="G36" s="49" t="s">
        <v>248</v>
      </c>
      <c r="H36" s="49"/>
    </row>
    <row r="37" spans="3:11" x14ac:dyDescent="0.25">
      <c r="C37" s="48"/>
      <c r="D37" s="49" t="s">
        <v>241</v>
      </c>
      <c r="E37" s="49"/>
      <c r="F37" s="49"/>
      <c r="G37" s="49" t="s">
        <v>249</v>
      </c>
      <c r="H37" s="49"/>
    </row>
    <row r="38" spans="3:11" x14ac:dyDescent="0.25">
      <c r="C38" s="48"/>
      <c r="D38" s="49" t="s">
        <v>242</v>
      </c>
      <c r="E38" s="49"/>
      <c r="F38" s="49"/>
      <c r="G38" s="49" t="s">
        <v>249</v>
      </c>
      <c r="H38" s="49"/>
    </row>
    <row r="39" spans="3:11" x14ac:dyDescent="0.25">
      <c r="C39" s="48"/>
      <c r="D39" s="49"/>
      <c r="E39" s="49"/>
      <c r="F39" s="49"/>
      <c r="G39" s="49" t="s">
        <v>250</v>
      </c>
      <c r="H39" s="49"/>
    </row>
    <row r="40" spans="3:11" x14ac:dyDescent="0.25">
      <c r="C40" s="48"/>
      <c r="D40" s="49"/>
      <c r="E40" s="49"/>
      <c r="F40" s="49"/>
      <c r="G40" s="49" t="s">
        <v>251</v>
      </c>
      <c r="H40" s="49"/>
    </row>
    <row r="41" spans="3:11" x14ac:dyDescent="0.25">
      <c r="C41" s="48"/>
      <c r="D41" s="49"/>
      <c r="E41" s="49"/>
      <c r="F41" s="49"/>
      <c r="G41" s="49"/>
      <c r="H41" s="49"/>
    </row>
    <row r="43" spans="3:11" x14ac:dyDescent="0.25">
      <c r="C43" t="s">
        <v>252</v>
      </c>
    </row>
    <row r="44" spans="3:11" x14ac:dyDescent="0.25">
      <c r="C44" t="s">
        <v>171</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178</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193</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188</v>
      </c>
      <c r="D67" t="s">
        <v>274</v>
      </c>
    </row>
    <row r="68" spans="3:4" x14ac:dyDescent="0.25">
      <c r="D68" t="s">
        <v>275</v>
      </c>
    </row>
    <row r="69" spans="3:4" x14ac:dyDescent="0.25">
      <c r="D69" t="s">
        <v>276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22" workbookViewId="0">
      <selection activeCell="C34" sqref="C34"/>
    </sheetView>
  </sheetViews>
  <sheetFormatPr defaultRowHeight="15" x14ac:dyDescent="0.25"/>
  <cols>
    <col min="2" max="2" width="3" bestFit="1" customWidth="1"/>
    <col min="3" max="3" width="155.28515625" customWidth="1"/>
  </cols>
  <sheetData>
    <row r="2" spans="2:3" ht="15" customHeight="1" x14ac:dyDescent="0.25">
      <c r="B2" s="53">
        <v>1</v>
      </c>
      <c r="C2" s="56" t="s">
        <v>282</v>
      </c>
    </row>
    <row r="3" spans="2:3" x14ac:dyDescent="0.25">
      <c r="B3" s="53">
        <v>2</v>
      </c>
      <c r="C3" s="54" t="s">
        <v>283</v>
      </c>
    </row>
    <row r="4" spans="2:3" x14ac:dyDescent="0.25">
      <c r="B4" s="53">
        <v>3</v>
      </c>
      <c r="C4" s="55" t="s">
        <v>284</v>
      </c>
    </row>
    <row r="5" spans="2:3" x14ac:dyDescent="0.25">
      <c r="B5" s="53">
        <v>4</v>
      </c>
      <c r="C5" s="54" t="s">
        <v>285</v>
      </c>
    </row>
    <row r="6" spans="2:3" x14ac:dyDescent="0.25">
      <c r="B6" s="53">
        <v>5</v>
      </c>
      <c r="C6" s="55" t="s">
        <v>286</v>
      </c>
    </row>
    <row r="7" spans="2:3" ht="30" x14ac:dyDescent="0.25">
      <c r="B7" s="53">
        <v>6</v>
      </c>
      <c r="C7" s="54" t="s">
        <v>287</v>
      </c>
    </row>
    <row r="8" spans="2:3" ht="75" x14ac:dyDescent="0.25">
      <c r="B8" s="53">
        <v>7</v>
      </c>
      <c r="C8" s="54" t="s">
        <v>288</v>
      </c>
    </row>
    <row r="9" spans="2:3" x14ac:dyDescent="0.25">
      <c r="B9" s="53">
        <v>8</v>
      </c>
      <c r="C9" s="55" t="s">
        <v>289</v>
      </c>
    </row>
    <row r="10" spans="2:3" x14ac:dyDescent="0.25">
      <c r="B10" s="53">
        <v>9</v>
      </c>
      <c r="C10" s="55" t="s">
        <v>290</v>
      </c>
    </row>
    <row r="11" spans="2:3" x14ac:dyDescent="0.25">
      <c r="B11" s="53">
        <v>10</v>
      </c>
      <c r="C11" s="55" t="s">
        <v>291</v>
      </c>
    </row>
    <row r="12" spans="2:3" x14ac:dyDescent="0.25">
      <c r="B12" s="53">
        <v>11</v>
      </c>
      <c r="C12" s="55" t="s">
        <v>292</v>
      </c>
    </row>
    <row r="13" spans="2:3" x14ac:dyDescent="0.25">
      <c r="B13" s="53">
        <v>12</v>
      </c>
      <c r="C13" s="55" t="s">
        <v>293</v>
      </c>
    </row>
    <row r="14" spans="2:3" x14ac:dyDescent="0.25">
      <c r="B14" s="53">
        <v>13</v>
      </c>
      <c r="C14" s="55" t="s">
        <v>294</v>
      </c>
    </row>
    <row r="15" spans="2:3" x14ac:dyDescent="0.25">
      <c r="B15" s="53">
        <v>14</v>
      </c>
      <c r="C15" s="55" t="s">
        <v>284</v>
      </c>
    </row>
    <row r="16" spans="2:3" x14ac:dyDescent="0.25">
      <c r="B16" s="53">
        <v>15</v>
      </c>
      <c r="C16" s="55" t="s">
        <v>296</v>
      </c>
    </row>
    <row r="17" spans="2:3" x14ac:dyDescent="0.25">
      <c r="B17" s="75">
        <v>16</v>
      </c>
      <c r="C17" s="60" t="s">
        <v>297</v>
      </c>
    </row>
    <row r="18" spans="2:3" x14ac:dyDescent="0.25">
      <c r="B18" s="59">
        <v>17</v>
      </c>
      <c r="C18" s="60" t="s">
        <v>298</v>
      </c>
    </row>
    <row r="19" spans="2:3" x14ac:dyDescent="0.25">
      <c r="B19" s="58">
        <v>18</v>
      </c>
      <c r="C19" s="53" t="s">
        <v>299</v>
      </c>
    </row>
    <row r="20" spans="2:3" x14ac:dyDescent="0.25">
      <c r="B20" s="59">
        <v>19</v>
      </c>
      <c r="C20" s="53" t="s">
        <v>335</v>
      </c>
    </row>
    <row r="21" spans="2:3" x14ac:dyDescent="0.25">
      <c r="B21" s="61">
        <v>20</v>
      </c>
      <c r="C21" s="53" t="s">
        <v>300</v>
      </c>
    </row>
    <row r="22" spans="2:3" x14ac:dyDescent="0.25">
      <c r="B22" s="59">
        <v>21</v>
      </c>
      <c r="C22" s="53" t="s">
        <v>299</v>
      </c>
    </row>
    <row r="23" spans="2:3" s="69" customFormat="1" ht="29.25" customHeight="1" x14ac:dyDescent="0.25">
      <c r="B23" s="68">
        <v>22</v>
      </c>
      <c r="C23" s="56" t="s">
        <v>327</v>
      </c>
    </row>
    <row r="24" spans="2:3" s="69" customFormat="1" ht="30.75" customHeight="1" x14ac:dyDescent="0.25">
      <c r="B24" s="70">
        <v>23</v>
      </c>
      <c r="C24" s="56" t="s">
        <v>328</v>
      </c>
    </row>
    <row r="25" spans="2:3" x14ac:dyDescent="0.25">
      <c r="B25" s="61">
        <v>24</v>
      </c>
      <c r="C25" s="53" t="s">
        <v>331</v>
      </c>
    </row>
    <row r="26" spans="2:3" x14ac:dyDescent="0.25">
      <c r="B26" s="59">
        <v>25</v>
      </c>
      <c r="C26" s="53" t="s">
        <v>329</v>
      </c>
    </row>
    <row r="27" spans="2:3" x14ac:dyDescent="0.25">
      <c r="B27" s="70">
        <v>26</v>
      </c>
      <c r="C27" s="61" t="s">
        <v>330</v>
      </c>
    </row>
    <row r="28" spans="2:3" x14ac:dyDescent="0.25">
      <c r="B28" s="71">
        <v>27</v>
      </c>
      <c r="C28" s="53" t="s">
        <v>332</v>
      </c>
    </row>
    <row r="29" spans="2:3" ht="60" x14ac:dyDescent="0.25">
      <c r="B29" s="74">
        <v>28</v>
      </c>
      <c r="C29" s="54" t="s">
        <v>333</v>
      </c>
    </row>
    <row r="30" spans="2:3" x14ac:dyDescent="0.25">
      <c r="B30" s="70">
        <v>29</v>
      </c>
      <c r="C30" s="53" t="s">
        <v>334</v>
      </c>
    </row>
    <row r="31" spans="2:3" ht="30" x14ac:dyDescent="0.25">
      <c r="B31" s="76">
        <v>30</v>
      </c>
      <c r="C31" s="54" t="s">
        <v>336</v>
      </c>
    </row>
    <row r="32" spans="2:3" x14ac:dyDescent="0.25">
      <c r="B32" s="70">
        <v>31</v>
      </c>
      <c r="C32" s="53" t="s">
        <v>337</v>
      </c>
    </row>
    <row r="33" spans="2:3" x14ac:dyDescent="0.25">
      <c r="B33" s="70">
        <v>32</v>
      </c>
      <c r="C33" s="53" t="s">
        <v>338</v>
      </c>
    </row>
    <row r="34" spans="2:3" ht="36.75" customHeight="1" x14ac:dyDescent="0.25">
      <c r="B34" s="76">
        <v>33</v>
      </c>
      <c r="C34" s="60" t="s">
        <v>339</v>
      </c>
    </row>
    <row r="35" spans="2:3" x14ac:dyDescent="0.25">
      <c r="B35" s="70">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40625" defaultRowHeight="15" x14ac:dyDescent="0.25"/>
  <cols>
    <col min="1" max="1" width="9.140625" style="48"/>
    <col min="2" max="2" width="12.28515625" style="48" customWidth="1"/>
    <col min="3" max="16384" width="9.140625" style="48"/>
  </cols>
  <sheetData>
    <row r="2" spans="1:12" x14ac:dyDescent="0.25">
      <c r="B2" s="62" t="s">
        <v>301</v>
      </c>
      <c r="C2" s="264"/>
      <c r="D2" s="264"/>
    </row>
    <row r="3" spans="1:12" x14ac:dyDescent="0.25">
      <c r="D3" s="63"/>
      <c r="E3" s="63"/>
      <c r="F3" s="63"/>
      <c r="G3" s="63"/>
      <c r="H3" s="63"/>
      <c r="I3" s="63"/>
    </row>
    <row r="4" spans="1:12" x14ac:dyDescent="0.25">
      <c r="A4" s="62" t="s">
        <v>66</v>
      </c>
      <c r="B4" s="64" t="s">
        <v>302</v>
      </c>
      <c r="C4" s="265" t="s">
        <v>303</v>
      </c>
      <c r="D4" s="265"/>
      <c r="E4" s="265"/>
      <c r="F4" s="64"/>
      <c r="G4" s="266" t="s">
        <v>304</v>
      </c>
      <c r="H4" s="266"/>
      <c r="I4" s="266"/>
      <c r="J4" s="267" t="s">
        <v>305</v>
      </c>
      <c r="K4" s="267"/>
      <c r="L4" s="267"/>
    </row>
    <row r="5" spans="1:12" x14ac:dyDescent="0.25">
      <c r="A5" s="62"/>
      <c r="B5" s="64"/>
      <c r="C5" s="64" t="s">
        <v>306</v>
      </c>
      <c r="D5" s="64" t="s">
        <v>307</v>
      </c>
      <c r="E5" s="64" t="s">
        <v>308</v>
      </c>
      <c r="F5" s="64"/>
      <c r="G5" s="64" t="s">
        <v>306</v>
      </c>
      <c r="H5" s="64" t="s">
        <v>307</v>
      </c>
      <c r="I5" s="64" t="s">
        <v>308</v>
      </c>
      <c r="J5" s="64" t="s">
        <v>306</v>
      </c>
      <c r="K5" s="64" t="s">
        <v>307</v>
      </c>
      <c r="L5" s="64" t="s">
        <v>308</v>
      </c>
    </row>
    <row r="6" spans="1:12" x14ac:dyDescent="0.25">
      <c r="B6" s="49" t="s">
        <v>309</v>
      </c>
      <c r="C6" s="49"/>
      <c r="D6" s="49"/>
      <c r="E6" s="49">
        <f>C6*D6</f>
        <v>0</v>
      </c>
      <c r="F6" s="49" t="s">
        <v>326</v>
      </c>
      <c r="G6" s="49"/>
      <c r="H6" s="49"/>
      <c r="I6" s="49">
        <f>G6*H6</f>
        <v>0</v>
      </c>
      <c r="J6" s="49"/>
      <c r="K6" s="49"/>
      <c r="L6" s="49">
        <f>J6*K6</f>
        <v>0</v>
      </c>
    </row>
    <row r="7" spans="1:12" x14ac:dyDescent="0.25">
      <c r="B7" s="49"/>
      <c r="C7" s="49"/>
      <c r="D7" s="49"/>
      <c r="E7" s="49">
        <f t="shared" ref="E7:E41" si="0">C7*D7</f>
        <v>0</v>
      </c>
      <c r="F7" s="49" t="s">
        <v>326</v>
      </c>
      <c r="G7" s="49"/>
      <c r="H7" s="49"/>
      <c r="I7" s="49">
        <f t="shared" ref="I7:I35" si="1">G7*H7</f>
        <v>0</v>
      </c>
      <c r="J7" s="49"/>
      <c r="K7" s="49"/>
      <c r="L7" s="49">
        <f t="shared" ref="L7:L35" si="2">J7*K7</f>
        <v>0</v>
      </c>
    </row>
    <row r="8" spans="1:12" x14ac:dyDescent="0.25">
      <c r="B8" s="49"/>
      <c r="C8" s="49"/>
      <c r="D8" s="49"/>
      <c r="E8" s="49">
        <f t="shared" si="0"/>
        <v>0</v>
      </c>
      <c r="F8" s="49"/>
      <c r="G8" s="49"/>
      <c r="H8" s="49"/>
      <c r="I8" s="49">
        <f t="shared" si="1"/>
        <v>0</v>
      </c>
      <c r="J8" s="49"/>
      <c r="K8" s="49"/>
      <c r="L8" s="49">
        <f t="shared" si="2"/>
        <v>0</v>
      </c>
    </row>
    <row r="9" spans="1:12" x14ac:dyDescent="0.25">
      <c r="B9" s="49"/>
      <c r="C9" s="49"/>
      <c r="D9" s="49"/>
      <c r="E9" s="49">
        <f t="shared" si="0"/>
        <v>0</v>
      </c>
      <c r="F9" s="49" t="s">
        <v>310</v>
      </c>
      <c r="G9" s="49"/>
      <c r="H9" s="49"/>
      <c r="I9" s="49">
        <f t="shared" si="1"/>
        <v>0</v>
      </c>
      <c r="J9" s="49"/>
      <c r="K9" s="49"/>
      <c r="L9" s="49">
        <f t="shared" si="2"/>
        <v>0</v>
      </c>
    </row>
    <row r="10" spans="1:12" x14ac:dyDescent="0.25">
      <c r="B10" s="49" t="s">
        <v>311</v>
      </c>
      <c r="C10" s="49"/>
      <c r="D10" s="49"/>
      <c r="E10" s="49">
        <f t="shared" si="0"/>
        <v>0</v>
      </c>
      <c r="F10" s="49" t="s">
        <v>310</v>
      </c>
      <c r="G10" s="49"/>
      <c r="H10" s="49"/>
      <c r="I10" s="49">
        <f t="shared" si="1"/>
        <v>0</v>
      </c>
      <c r="J10" s="49"/>
      <c r="K10" s="49"/>
      <c r="L10" s="49">
        <f t="shared" si="2"/>
        <v>0</v>
      </c>
    </row>
    <row r="11" spans="1:12" x14ac:dyDescent="0.25">
      <c r="B11" s="49"/>
      <c r="C11" s="49"/>
      <c r="D11" s="49"/>
      <c r="E11" s="49">
        <f t="shared" si="0"/>
        <v>0</v>
      </c>
      <c r="F11" s="49" t="s">
        <v>312</v>
      </c>
      <c r="G11" s="49"/>
      <c r="H11" s="49"/>
      <c r="I11" s="49">
        <f t="shared" si="1"/>
        <v>0</v>
      </c>
      <c r="J11" s="49"/>
      <c r="K11" s="49"/>
      <c r="L11" s="49">
        <f t="shared" si="2"/>
        <v>0</v>
      </c>
    </row>
    <row r="12" spans="1:12" x14ac:dyDescent="0.25">
      <c r="B12" s="49"/>
      <c r="C12" s="49"/>
      <c r="D12" s="49"/>
      <c r="E12" s="49">
        <f t="shared" si="0"/>
        <v>0</v>
      </c>
      <c r="F12" s="49"/>
      <c r="G12" s="49"/>
      <c r="H12" s="49"/>
      <c r="I12" s="49">
        <f t="shared" si="1"/>
        <v>0</v>
      </c>
      <c r="J12" s="49"/>
      <c r="K12" s="49"/>
      <c r="L12" s="49">
        <f t="shared" si="2"/>
        <v>0</v>
      </c>
    </row>
    <row r="13" spans="1:12" x14ac:dyDescent="0.25">
      <c r="B13" s="49"/>
      <c r="C13" s="49"/>
      <c r="D13" s="49"/>
      <c r="E13" s="49">
        <f t="shared" si="0"/>
        <v>0</v>
      </c>
      <c r="F13" s="49"/>
      <c r="G13" s="49"/>
      <c r="H13" s="49"/>
      <c r="I13" s="49">
        <f t="shared" si="1"/>
        <v>0</v>
      </c>
      <c r="J13" s="49"/>
      <c r="K13" s="49"/>
      <c r="L13" s="49">
        <f t="shared" si="2"/>
        <v>0</v>
      </c>
    </row>
    <row r="14" spans="1:12" x14ac:dyDescent="0.25">
      <c r="B14" s="49" t="s">
        <v>313</v>
      </c>
      <c r="C14" s="49"/>
      <c r="D14" s="49"/>
      <c r="E14" s="49">
        <f t="shared" si="0"/>
        <v>0</v>
      </c>
      <c r="F14" s="49" t="s">
        <v>310</v>
      </c>
      <c r="G14" s="49"/>
      <c r="H14" s="49"/>
      <c r="I14" s="49">
        <f t="shared" si="1"/>
        <v>0</v>
      </c>
      <c r="J14" s="49"/>
      <c r="K14" s="49"/>
      <c r="L14" s="49">
        <f t="shared" si="2"/>
        <v>0</v>
      </c>
    </row>
    <row r="15" spans="1:12" x14ac:dyDescent="0.25">
      <c r="B15" s="49"/>
      <c r="C15" s="49"/>
      <c r="D15" s="49"/>
      <c r="E15" s="49">
        <f t="shared" si="0"/>
        <v>0</v>
      </c>
      <c r="F15" s="49" t="s">
        <v>312</v>
      </c>
      <c r="G15" s="49"/>
      <c r="H15" s="49"/>
      <c r="I15" s="49">
        <f t="shared" si="1"/>
        <v>0</v>
      </c>
      <c r="J15" s="49"/>
      <c r="K15" s="49"/>
      <c r="L15" s="49">
        <f t="shared" si="2"/>
        <v>0</v>
      </c>
    </row>
    <row r="16" spans="1:12" x14ac:dyDescent="0.25">
      <c r="B16" s="49"/>
      <c r="C16" s="49"/>
      <c r="D16" s="49"/>
      <c r="E16" s="49">
        <f t="shared" si="0"/>
        <v>0</v>
      </c>
      <c r="F16" s="49"/>
      <c r="G16" s="49"/>
      <c r="H16" s="49"/>
      <c r="I16" s="49">
        <f t="shared" si="1"/>
        <v>0</v>
      </c>
      <c r="J16" s="49"/>
      <c r="K16" s="49"/>
      <c r="L16" s="49">
        <f t="shared" si="2"/>
        <v>0</v>
      </c>
    </row>
    <row r="17" spans="2:12" x14ac:dyDescent="0.25">
      <c r="B17" s="49"/>
      <c r="C17" s="49"/>
      <c r="D17" s="49"/>
      <c r="E17" s="49">
        <f t="shared" si="0"/>
        <v>0</v>
      </c>
      <c r="F17" s="49"/>
      <c r="G17" s="49"/>
      <c r="H17" s="49"/>
      <c r="I17" s="49">
        <f t="shared" si="1"/>
        <v>0</v>
      </c>
      <c r="J17" s="49"/>
      <c r="K17" s="49"/>
      <c r="L17" s="49">
        <f t="shared" si="2"/>
        <v>0</v>
      </c>
    </row>
    <row r="18" spans="2:12" x14ac:dyDescent="0.25">
      <c r="B18" s="49" t="s">
        <v>314</v>
      </c>
      <c r="C18" s="49"/>
      <c r="D18" s="49"/>
      <c r="E18" s="49">
        <f t="shared" si="0"/>
        <v>0</v>
      </c>
      <c r="F18" s="49" t="s">
        <v>310</v>
      </c>
      <c r="G18" s="49"/>
      <c r="H18" s="49"/>
      <c r="I18" s="49">
        <f t="shared" si="1"/>
        <v>0</v>
      </c>
      <c r="J18" s="49"/>
      <c r="K18" s="49"/>
      <c r="L18" s="49">
        <f t="shared" si="2"/>
        <v>0</v>
      </c>
    </row>
    <row r="19" spans="2:12" x14ac:dyDescent="0.25">
      <c r="B19" s="49"/>
      <c r="C19" s="49"/>
      <c r="D19" s="49"/>
      <c r="E19" s="49">
        <f t="shared" si="0"/>
        <v>0</v>
      </c>
      <c r="F19" s="49" t="s">
        <v>312</v>
      </c>
      <c r="G19" s="49"/>
      <c r="H19" s="49"/>
      <c r="I19" s="49">
        <f t="shared" si="1"/>
        <v>0</v>
      </c>
      <c r="J19" s="49"/>
      <c r="K19" s="49"/>
      <c r="L19" s="49">
        <f t="shared" si="2"/>
        <v>0</v>
      </c>
    </row>
    <row r="20" spans="2:12" x14ac:dyDescent="0.25">
      <c r="B20" s="49"/>
      <c r="C20" s="49"/>
      <c r="D20" s="49"/>
      <c r="E20" s="49">
        <f t="shared" si="0"/>
        <v>0</v>
      </c>
      <c r="F20" s="49"/>
      <c r="G20" s="49"/>
      <c r="H20" s="49"/>
      <c r="I20" s="49">
        <f t="shared" si="1"/>
        <v>0</v>
      </c>
      <c r="J20" s="49"/>
      <c r="K20" s="49"/>
      <c r="L20" s="49">
        <f t="shared" si="2"/>
        <v>0</v>
      </c>
    </row>
    <row r="21" spans="2:12" x14ac:dyDescent="0.25">
      <c r="B21" s="49" t="s">
        <v>315</v>
      </c>
      <c r="C21" s="49"/>
      <c r="D21" s="49"/>
      <c r="E21" s="49">
        <f t="shared" si="0"/>
        <v>0</v>
      </c>
      <c r="F21" s="49" t="s">
        <v>310</v>
      </c>
      <c r="G21" s="49"/>
      <c r="H21" s="49"/>
      <c r="I21" s="49">
        <f t="shared" si="1"/>
        <v>0</v>
      </c>
      <c r="J21" s="49"/>
      <c r="K21" s="49"/>
      <c r="L21" s="49">
        <f t="shared" si="2"/>
        <v>0</v>
      </c>
    </row>
    <row r="22" spans="2:12" x14ac:dyDescent="0.25">
      <c r="B22" s="49"/>
      <c r="C22" s="49"/>
      <c r="D22" s="49"/>
      <c r="E22" s="49">
        <f t="shared" si="0"/>
        <v>0</v>
      </c>
      <c r="F22" s="49" t="s">
        <v>312</v>
      </c>
      <c r="G22" s="49"/>
      <c r="H22" s="49"/>
      <c r="I22" s="49">
        <f t="shared" si="1"/>
        <v>0</v>
      </c>
      <c r="J22" s="49"/>
      <c r="K22" s="49"/>
      <c r="L22" s="49">
        <f t="shared" si="2"/>
        <v>0</v>
      </c>
    </row>
    <row r="23" spans="2:12" x14ac:dyDescent="0.25">
      <c r="B23" s="49"/>
      <c r="C23" s="49"/>
      <c r="D23" s="49"/>
      <c r="E23" s="49">
        <f t="shared" si="0"/>
        <v>0</v>
      </c>
      <c r="F23" s="49"/>
      <c r="G23" s="49"/>
      <c r="H23" s="49"/>
      <c r="I23" s="49">
        <f t="shared" si="1"/>
        <v>0</v>
      </c>
      <c r="J23" s="49"/>
      <c r="K23" s="49"/>
      <c r="L23" s="49">
        <f t="shared" si="2"/>
        <v>0</v>
      </c>
    </row>
    <row r="24" spans="2:12" x14ac:dyDescent="0.25">
      <c r="B24" s="49" t="s">
        <v>316</v>
      </c>
      <c r="C24" s="49"/>
      <c r="D24" s="49"/>
      <c r="E24" s="49">
        <f t="shared" si="0"/>
        <v>0</v>
      </c>
      <c r="F24" s="49" t="s">
        <v>317</v>
      </c>
      <c r="G24" s="49"/>
      <c r="H24" s="49"/>
      <c r="I24" s="49">
        <f t="shared" si="1"/>
        <v>0</v>
      </c>
      <c r="J24" s="49"/>
      <c r="K24" s="49"/>
      <c r="L24" s="49">
        <f t="shared" si="2"/>
        <v>0</v>
      </c>
    </row>
    <row r="25" spans="2:12" x14ac:dyDescent="0.25">
      <c r="B25" s="49"/>
      <c r="C25" s="49"/>
      <c r="D25" s="49"/>
      <c r="E25" s="49">
        <f t="shared" ref="E25:E27" si="3">C25*D25</f>
        <v>0</v>
      </c>
      <c r="F25" s="49" t="s">
        <v>317</v>
      </c>
      <c r="G25" s="49"/>
      <c r="H25" s="49"/>
      <c r="I25" s="49">
        <f t="shared" ref="I25:I27" si="4">G25*H25</f>
        <v>0</v>
      </c>
      <c r="J25" s="49"/>
      <c r="K25" s="49"/>
      <c r="L25" s="49">
        <f t="shared" ref="L25:L27" si="5">J25*K25</f>
        <v>0</v>
      </c>
    </row>
    <row r="26" spans="2:12" x14ac:dyDescent="0.25">
      <c r="B26" s="49"/>
      <c r="C26" s="49"/>
      <c r="D26" s="49"/>
      <c r="E26" s="49">
        <f t="shared" si="3"/>
        <v>0</v>
      </c>
      <c r="F26" s="49" t="s">
        <v>317</v>
      </c>
      <c r="G26" s="49"/>
      <c r="H26" s="49"/>
      <c r="I26" s="49">
        <f t="shared" si="4"/>
        <v>0</v>
      </c>
      <c r="J26" s="49"/>
      <c r="K26" s="49"/>
      <c r="L26" s="49">
        <f t="shared" si="5"/>
        <v>0</v>
      </c>
    </row>
    <row r="27" spans="2:12" x14ac:dyDescent="0.25">
      <c r="B27" s="49"/>
      <c r="C27" s="49"/>
      <c r="D27" s="49"/>
      <c r="E27" s="49">
        <f t="shared" si="3"/>
        <v>0</v>
      </c>
      <c r="F27" s="49" t="s">
        <v>317</v>
      </c>
      <c r="G27" s="49"/>
      <c r="H27" s="49"/>
      <c r="I27" s="49">
        <f t="shared" si="4"/>
        <v>0</v>
      </c>
      <c r="J27" s="49"/>
      <c r="K27" s="49"/>
      <c r="L27" s="49">
        <f t="shared" si="5"/>
        <v>0</v>
      </c>
    </row>
    <row r="28" spans="2:12" x14ac:dyDescent="0.25">
      <c r="B28" s="49" t="s">
        <v>318</v>
      </c>
      <c r="C28" s="49"/>
      <c r="D28" s="49"/>
      <c r="E28" s="49">
        <f t="shared" si="0"/>
        <v>0</v>
      </c>
      <c r="F28" s="49" t="s">
        <v>317</v>
      </c>
      <c r="G28" s="49"/>
      <c r="H28" s="49"/>
      <c r="I28" s="49">
        <f t="shared" si="1"/>
        <v>0</v>
      </c>
      <c r="J28" s="49"/>
      <c r="K28" s="49"/>
      <c r="L28" s="49">
        <f t="shared" si="2"/>
        <v>0</v>
      </c>
    </row>
    <row r="29" spans="2:12" x14ac:dyDescent="0.25">
      <c r="B29" s="49" t="s">
        <v>319</v>
      </c>
      <c r="C29" s="49"/>
      <c r="D29" s="49"/>
      <c r="E29" s="49">
        <f t="shared" si="0"/>
        <v>0</v>
      </c>
      <c r="F29" s="49" t="s">
        <v>317</v>
      </c>
      <c r="G29" s="49"/>
      <c r="H29" s="49"/>
      <c r="I29" s="49">
        <f t="shared" si="1"/>
        <v>0</v>
      </c>
      <c r="J29" s="49"/>
      <c r="K29" s="49"/>
      <c r="L29" s="49">
        <f t="shared" si="2"/>
        <v>0</v>
      </c>
    </row>
    <row r="30" spans="2:12" x14ac:dyDescent="0.25">
      <c r="B30" s="49" t="s">
        <v>323</v>
      </c>
      <c r="C30" s="49"/>
      <c r="D30" s="49"/>
      <c r="E30" s="49">
        <f t="shared" si="0"/>
        <v>0</v>
      </c>
      <c r="F30" s="49"/>
      <c r="G30" s="49"/>
      <c r="H30" s="49"/>
      <c r="I30" s="49">
        <f t="shared" si="1"/>
        <v>0</v>
      </c>
      <c r="J30" s="49"/>
      <c r="K30" s="49"/>
      <c r="L30" s="49">
        <f t="shared" si="2"/>
        <v>0</v>
      </c>
    </row>
    <row r="31" spans="2:12" x14ac:dyDescent="0.25">
      <c r="B31" s="49"/>
      <c r="C31" s="49"/>
      <c r="D31" s="49"/>
      <c r="E31" s="49">
        <f t="shared" ref="E31:E32" si="6">C31*D31</f>
        <v>0</v>
      </c>
      <c r="F31" s="49"/>
      <c r="G31" s="49"/>
      <c r="H31" s="49"/>
      <c r="I31" s="49">
        <f t="shared" ref="I31:I32" si="7">G31*H31</f>
        <v>0</v>
      </c>
      <c r="J31" s="49"/>
      <c r="K31" s="49"/>
      <c r="L31" s="49">
        <f t="shared" ref="L31:L32" si="8">J31*K31</f>
        <v>0</v>
      </c>
    </row>
    <row r="32" spans="2:12" x14ac:dyDescent="0.25">
      <c r="B32" s="49"/>
      <c r="C32" s="49"/>
      <c r="D32" s="49"/>
      <c r="E32" s="49">
        <f t="shared" si="6"/>
        <v>0</v>
      </c>
      <c r="F32" s="49"/>
      <c r="G32" s="49"/>
      <c r="H32" s="49"/>
      <c r="I32" s="49">
        <f t="shared" si="7"/>
        <v>0</v>
      </c>
      <c r="J32" s="49"/>
      <c r="K32" s="49"/>
      <c r="L32" s="49">
        <f t="shared" si="8"/>
        <v>0</v>
      </c>
    </row>
    <row r="33" spans="2:12" x14ac:dyDescent="0.25">
      <c r="B33" s="49" t="s">
        <v>320</v>
      </c>
      <c r="C33" s="49"/>
      <c r="D33" s="49"/>
      <c r="E33" s="49">
        <f t="shared" si="0"/>
        <v>0</v>
      </c>
      <c r="F33" s="49"/>
      <c r="G33" s="49"/>
      <c r="H33" s="49"/>
      <c r="I33" s="49">
        <f t="shared" si="1"/>
        <v>0</v>
      </c>
      <c r="J33" s="49"/>
      <c r="K33" s="49"/>
      <c r="L33" s="49">
        <f t="shared" si="2"/>
        <v>0</v>
      </c>
    </row>
    <row r="34" spans="2:12" x14ac:dyDescent="0.25">
      <c r="B34" s="49" t="s">
        <v>324</v>
      </c>
      <c r="C34" s="49"/>
      <c r="D34" s="49"/>
      <c r="E34" s="49">
        <f t="shared" si="0"/>
        <v>0</v>
      </c>
      <c r="F34" s="49"/>
      <c r="G34" s="49"/>
      <c r="H34" s="49"/>
      <c r="I34" s="49">
        <f t="shared" si="1"/>
        <v>0</v>
      </c>
      <c r="J34" s="49"/>
      <c r="K34" s="49"/>
      <c r="L34" s="49">
        <f t="shared" si="2"/>
        <v>0</v>
      </c>
    </row>
    <row r="35" spans="2:12" x14ac:dyDescent="0.25">
      <c r="B35" s="49" t="s">
        <v>321</v>
      </c>
      <c r="C35" s="49"/>
      <c r="D35" s="49"/>
      <c r="E35" s="49">
        <f t="shared" si="0"/>
        <v>0</v>
      </c>
      <c r="F35" s="49"/>
      <c r="G35" s="49"/>
      <c r="H35" s="49"/>
      <c r="I35" s="49">
        <f t="shared" si="1"/>
        <v>0</v>
      </c>
      <c r="J35" s="49"/>
      <c r="K35" s="49"/>
      <c r="L35" s="49">
        <f t="shared" si="2"/>
        <v>0</v>
      </c>
    </row>
    <row r="36" spans="2:12" x14ac:dyDescent="0.25">
      <c r="B36" s="49" t="s">
        <v>322</v>
      </c>
      <c r="C36" s="49"/>
      <c r="D36" s="49"/>
      <c r="E36" s="49">
        <f t="shared" si="0"/>
        <v>0</v>
      </c>
      <c r="F36" s="49"/>
      <c r="G36" s="49"/>
      <c r="H36" s="49"/>
      <c r="I36" s="49">
        <f>G36*H36</f>
        <v>0</v>
      </c>
      <c r="J36" s="49"/>
      <c r="K36" s="49"/>
      <c r="L36" s="49">
        <f>J36*K36</f>
        <v>0</v>
      </c>
    </row>
    <row r="37" spans="2:12" x14ac:dyDescent="0.25">
      <c r="B37" s="49"/>
      <c r="C37" s="49"/>
      <c r="D37" s="49"/>
      <c r="E37" s="49">
        <f t="shared" ref="E37:E38" si="9">C37*D37</f>
        <v>0</v>
      </c>
      <c r="F37" s="49"/>
      <c r="G37" s="49"/>
      <c r="H37" s="49"/>
      <c r="I37" s="49">
        <f t="shared" ref="I37:I38" si="10">G37*H37</f>
        <v>0</v>
      </c>
      <c r="J37" s="49"/>
      <c r="K37" s="49"/>
      <c r="L37" s="49">
        <f t="shared" ref="L37:L38" si="11">J37*K37</f>
        <v>0</v>
      </c>
    </row>
    <row r="38" spans="2:12" x14ac:dyDescent="0.25">
      <c r="B38" s="49" t="s">
        <v>325</v>
      </c>
      <c r="C38" s="49"/>
      <c r="D38" s="49"/>
      <c r="E38" s="49">
        <f t="shared" si="9"/>
        <v>0</v>
      </c>
      <c r="F38" s="49"/>
      <c r="G38" s="49"/>
      <c r="H38" s="49"/>
      <c r="I38" s="49">
        <f t="shared" si="10"/>
        <v>0</v>
      </c>
      <c r="J38" s="49"/>
      <c r="K38" s="49"/>
      <c r="L38" s="49">
        <f t="shared" si="11"/>
        <v>0</v>
      </c>
    </row>
    <row r="39" spans="2:12" x14ac:dyDescent="0.25">
      <c r="B39" s="49"/>
      <c r="C39" s="49"/>
      <c r="D39" s="49"/>
      <c r="E39" s="49">
        <f t="shared" si="0"/>
        <v>0</v>
      </c>
      <c r="F39" s="49"/>
      <c r="G39" s="49"/>
      <c r="H39" s="49"/>
      <c r="I39" s="49">
        <f>G39*H39</f>
        <v>0</v>
      </c>
      <c r="J39" s="49"/>
      <c r="K39" s="49"/>
      <c r="L39" s="49">
        <f>J39*K39</f>
        <v>0</v>
      </c>
    </row>
    <row r="40" spans="2:12" x14ac:dyDescent="0.25">
      <c r="B40" s="49"/>
      <c r="C40" s="49"/>
      <c r="D40" s="49"/>
      <c r="E40" s="49">
        <f t="shared" si="0"/>
        <v>0</v>
      </c>
      <c r="F40" s="49"/>
      <c r="G40" s="49"/>
      <c r="H40" s="49"/>
      <c r="I40" s="49">
        <f>G40*H40</f>
        <v>0</v>
      </c>
      <c r="J40" s="49"/>
      <c r="K40" s="49"/>
      <c r="L40" s="49">
        <f>J40*K40</f>
        <v>0</v>
      </c>
    </row>
    <row r="41" spans="2:12" x14ac:dyDescent="0.25">
      <c r="B41" s="49"/>
      <c r="C41" s="49"/>
      <c r="D41" s="49"/>
      <c r="E41" s="49">
        <f t="shared" si="0"/>
        <v>0</v>
      </c>
      <c r="F41" s="49"/>
      <c r="G41" s="49"/>
      <c r="H41" s="49"/>
      <c r="I41" s="49">
        <f>G41*H41</f>
        <v>0</v>
      </c>
      <c r="J41" s="49"/>
      <c r="K41" s="49"/>
      <c r="L41" s="49">
        <f>J41*K41</f>
        <v>0</v>
      </c>
    </row>
    <row r="42" spans="2:12" x14ac:dyDescent="0.25">
      <c r="B42" s="49" t="s">
        <v>149</v>
      </c>
      <c r="C42" s="49"/>
      <c r="D42" s="49">
        <f>E42*10.764</f>
        <v>0</v>
      </c>
      <c r="E42" s="67">
        <f>SUM(E6:E41)</f>
        <v>0</v>
      </c>
      <c r="F42" s="49"/>
      <c r="G42" s="49"/>
      <c r="H42" s="49">
        <f>I42*10.764</f>
        <v>0</v>
      </c>
      <c r="I42" s="66">
        <f>SUM(I6:I41)</f>
        <v>0</v>
      </c>
      <c r="J42" s="49"/>
      <c r="K42" s="49">
        <f>L42*10.764</f>
        <v>0</v>
      </c>
      <c r="L42" s="65">
        <f>SUM(L6:L41)</f>
        <v>0</v>
      </c>
    </row>
    <row r="44" spans="2:12" x14ac:dyDescent="0.2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2025-08-20T06:18:26Z</cp:lastPrinted>
  <dcterms:created xsi:type="dcterms:W3CDTF">2019-07-16T09:29:46Z</dcterms:created>
  <dcterms:modified xsi:type="dcterms:W3CDTF">2025-08-20T06:20:58Z</dcterms:modified>
</cp:coreProperties>
</file>