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1" i="1" l="1"/>
  <c r="J167" i="1" l="1"/>
  <c r="J168" i="1"/>
  <c r="K159" i="1"/>
  <c r="L159" i="1" s="1"/>
  <c r="K157" i="1"/>
  <c r="L157" i="1" s="1"/>
  <c r="K154" i="1"/>
  <c r="L154" i="1" s="1"/>
  <c r="K155" i="1"/>
  <c r="L155" i="1" s="1"/>
  <c r="K156" i="1"/>
  <c r="L156" i="1" s="1"/>
  <c r="K158" i="1"/>
  <c r="L158" i="1" s="1"/>
  <c r="K153" i="1"/>
  <c r="L153" i="1" s="1"/>
  <c r="E183" i="1" l="1"/>
  <c r="D183" i="1"/>
  <c r="E181" i="1"/>
  <c r="D181" i="1"/>
  <c r="E180" i="1"/>
  <c r="D180" i="1"/>
  <c r="E179" i="1"/>
  <c r="D179" i="1"/>
  <c r="E178" i="1"/>
  <c r="D178" i="1"/>
  <c r="E177" i="1"/>
  <c r="D177" i="1"/>
  <c r="J126" i="1"/>
  <c r="G150" i="1"/>
  <c r="G149" i="1"/>
  <c r="G148" i="1"/>
  <c r="G147" i="1"/>
  <c r="G146" i="1"/>
  <c r="G145" i="1"/>
  <c r="E151" i="1"/>
  <c r="D151" i="1"/>
  <c r="E150" i="1"/>
  <c r="D150" i="1"/>
  <c r="E149" i="1"/>
  <c r="D149" i="1"/>
  <c r="E148" i="1"/>
  <c r="D148" i="1"/>
  <c r="E147" i="1"/>
  <c r="D147" i="1"/>
  <c r="E146" i="1"/>
  <c r="D146" i="1"/>
  <c r="E145" i="1"/>
  <c r="D145" i="1"/>
  <c r="E159" i="1"/>
  <c r="D159" i="1"/>
  <c r="E158" i="1"/>
  <c r="D158" i="1"/>
  <c r="E157" i="1"/>
  <c r="D157" i="1"/>
  <c r="E156" i="1"/>
  <c r="D156" i="1"/>
  <c r="E155" i="1"/>
  <c r="D155" i="1"/>
  <c r="E154" i="1"/>
  <c r="D154" i="1"/>
  <c r="E153" i="1"/>
  <c r="D153" i="1"/>
  <c r="E166" i="1"/>
  <c r="D166" i="1"/>
  <c r="E165" i="1"/>
  <c r="D165" i="1"/>
  <c r="E164" i="1"/>
  <c r="D164" i="1"/>
  <c r="E163" i="1"/>
  <c r="D163" i="1"/>
  <c r="E162" i="1"/>
  <c r="D162" i="1"/>
  <c r="E161" i="1"/>
  <c r="D161" i="1"/>
  <c r="E175" i="1"/>
  <c r="D175" i="1"/>
  <c r="E174" i="1"/>
  <c r="D174" i="1"/>
  <c r="E173" i="1"/>
  <c r="D173" i="1"/>
  <c r="E172" i="1"/>
  <c r="D172" i="1"/>
  <c r="E171" i="1"/>
  <c r="D171" i="1"/>
  <c r="E170" i="1"/>
  <c r="D170" i="1"/>
  <c r="E169" i="1"/>
  <c r="D169" i="1"/>
  <c r="D140" i="1"/>
  <c r="F140" i="1" s="1"/>
  <c r="D139" i="1"/>
  <c r="F139" i="1" s="1"/>
  <c r="D138" i="1"/>
  <c r="F138" i="1" s="1"/>
  <c r="D137" i="1"/>
  <c r="F137" i="1" s="1"/>
  <c r="D136" i="1"/>
  <c r="F136" i="1" s="1"/>
  <c r="D135" i="1"/>
  <c r="F135" i="1" s="1"/>
  <c r="D134" i="1"/>
  <c r="F134" i="1" s="1"/>
  <c r="D133" i="1"/>
  <c r="F133" i="1" s="1"/>
  <c r="D132" i="1"/>
  <c r="F132" i="1" s="1"/>
  <c r="D131" i="1"/>
  <c r="D130" i="1"/>
  <c r="D129" i="1"/>
  <c r="D128" i="1"/>
  <c r="I148" i="1"/>
  <c r="I181" i="1"/>
  <c r="I174" i="1"/>
  <c r="A177" i="1"/>
  <c r="A178" i="1" s="1"/>
  <c r="A179" i="1" s="1"/>
  <c r="A180" i="1" s="1"/>
  <c r="A181" i="1" s="1"/>
  <c r="A182" i="1" s="1"/>
  <c r="A183" i="1" s="1"/>
  <c r="A169" i="1"/>
  <c r="A170" i="1" s="1"/>
  <c r="A171" i="1" s="1"/>
  <c r="A172" i="1" s="1"/>
  <c r="A173" i="1" s="1"/>
  <c r="A174" i="1" s="1"/>
  <c r="A175" i="1" s="1"/>
  <c r="A161" i="1"/>
  <c r="A162" i="1" s="1"/>
  <c r="A163" i="1" s="1"/>
  <c r="A164" i="1" s="1"/>
  <c r="A165" i="1" s="1"/>
  <c r="A166" i="1" s="1"/>
  <c r="A167" i="1" s="1"/>
  <c r="I151" i="1"/>
  <c r="I147" i="1"/>
  <c r="A145" i="1"/>
  <c r="A146" i="1" s="1"/>
  <c r="A147" i="1" s="1"/>
  <c r="A148" i="1" s="1"/>
  <c r="A149" i="1" s="1"/>
  <c r="A150" i="1" s="1"/>
  <c r="A151" i="1" s="1"/>
  <c r="I134" i="1"/>
  <c r="I128" i="1"/>
  <c r="E43" i="1"/>
  <c r="A153" i="1"/>
  <c r="F170" i="1" l="1"/>
  <c r="H170" i="1" s="1"/>
  <c r="J170" i="1" s="1"/>
  <c r="F146" i="1"/>
  <c r="K146" i="1" s="1"/>
  <c r="F150" i="1"/>
  <c r="K150" i="1" s="1"/>
  <c r="F166" i="1"/>
  <c r="H166" i="1" s="1"/>
  <c r="J166" i="1" s="1"/>
  <c r="F145" i="1"/>
  <c r="H145" i="1" s="1"/>
  <c r="F153" i="1"/>
  <c r="H153" i="1" s="1"/>
  <c r="M153" i="1" s="1"/>
  <c r="F180" i="1"/>
  <c r="H180" i="1" s="1"/>
  <c r="H133" i="1"/>
  <c r="K133" i="1"/>
  <c r="H135" i="1"/>
  <c r="K135" i="1"/>
  <c r="F174" i="1"/>
  <c r="H174" i="1" s="1"/>
  <c r="J174" i="1" s="1"/>
  <c r="F157" i="1"/>
  <c r="H157" i="1" s="1"/>
  <c r="H134" i="1"/>
  <c r="K134" i="1"/>
  <c r="H136" i="1"/>
  <c r="K136" i="1"/>
  <c r="F149" i="1"/>
  <c r="H138" i="1"/>
  <c r="K138" i="1"/>
  <c r="H139" i="1"/>
  <c r="K139" i="1"/>
  <c r="H137" i="1"/>
  <c r="K137" i="1"/>
  <c r="H132" i="1"/>
  <c r="K132" i="1"/>
  <c r="H140" i="1"/>
  <c r="K140" i="1"/>
  <c r="F178" i="1"/>
  <c r="H178" i="1" s="1"/>
  <c r="F183" i="1"/>
  <c r="H183" i="1" s="1"/>
  <c r="C116" i="1"/>
  <c r="C117" i="1" s="1"/>
  <c r="F171" i="1"/>
  <c r="H171" i="1" s="1"/>
  <c r="J171" i="1" s="1"/>
  <c r="F154" i="1"/>
  <c r="H154" i="1" s="1"/>
  <c r="F158" i="1"/>
  <c r="H158" i="1" s="1"/>
  <c r="F147" i="1"/>
  <c r="F151" i="1"/>
  <c r="F148" i="1"/>
  <c r="C120" i="1"/>
  <c r="C121" i="1" s="1"/>
  <c r="F172" i="1"/>
  <c r="H172" i="1" s="1"/>
  <c r="J172" i="1" s="1"/>
  <c r="F161" i="1"/>
  <c r="H161" i="1" s="1"/>
  <c r="J161" i="1" s="1"/>
  <c r="F165" i="1"/>
  <c r="H165" i="1" s="1"/>
  <c r="J165" i="1" s="1"/>
  <c r="F155" i="1"/>
  <c r="H155" i="1" s="1"/>
  <c r="F159" i="1"/>
  <c r="H159" i="1" s="1"/>
  <c r="F179" i="1"/>
  <c r="H179" i="1" s="1"/>
  <c r="F177" i="1"/>
  <c r="H177" i="1" s="1"/>
  <c r="F169" i="1"/>
  <c r="H169" i="1" s="1"/>
  <c r="J169" i="1" s="1"/>
  <c r="F164" i="1"/>
  <c r="H164" i="1" s="1"/>
  <c r="J164" i="1" s="1"/>
  <c r="F181" i="1"/>
  <c r="H181" i="1" s="1"/>
  <c r="F173" i="1"/>
  <c r="H173" i="1" s="1"/>
  <c r="J173" i="1" s="1"/>
  <c r="F162" i="1"/>
  <c r="H162" i="1" s="1"/>
  <c r="J162" i="1" s="1"/>
  <c r="F175" i="1"/>
  <c r="H175" i="1" s="1"/>
  <c r="J175" i="1" s="1"/>
  <c r="F163" i="1"/>
  <c r="H163" i="1" s="1"/>
  <c r="J163" i="1" s="1"/>
  <c r="F156" i="1"/>
  <c r="H156" i="1" s="1"/>
  <c r="B210" i="1"/>
  <c r="A154" i="1"/>
  <c r="H150" i="1" l="1"/>
  <c r="H146" i="1"/>
  <c r="K145" i="1"/>
  <c r="J153" i="1"/>
  <c r="I153" i="1"/>
  <c r="H149" i="1"/>
  <c r="K149" i="1"/>
  <c r="I156" i="1"/>
  <c r="J156" i="1"/>
  <c r="M156" i="1"/>
  <c r="H148" i="1"/>
  <c r="K148" i="1"/>
  <c r="I155" i="1"/>
  <c r="J155" i="1"/>
  <c r="M155" i="1"/>
  <c r="J158" i="1"/>
  <c r="I158" i="1"/>
  <c r="M158" i="1"/>
  <c r="J157" i="1"/>
  <c r="I157" i="1"/>
  <c r="M157" i="1"/>
  <c r="H151" i="1"/>
  <c r="K151" i="1"/>
  <c r="E120" i="1"/>
  <c r="E121" i="1" s="1"/>
  <c r="N159" i="1"/>
  <c r="J159" i="1"/>
  <c r="I159" i="1"/>
  <c r="M159" i="1"/>
  <c r="H147" i="1"/>
  <c r="K147" i="1"/>
  <c r="I154" i="1"/>
  <c r="J154" i="1"/>
  <c r="M154" i="1"/>
  <c r="F129" i="1"/>
  <c r="F130" i="1"/>
  <c r="F131" i="1"/>
  <c r="F128" i="1"/>
  <c r="K128" i="1" s="1"/>
  <c r="A155" i="1"/>
  <c r="G120" i="1" l="1"/>
  <c r="G121" i="1" s="1"/>
  <c r="H130" i="1"/>
  <c r="K130" i="1"/>
  <c r="H129" i="1"/>
  <c r="K129" i="1"/>
  <c r="H131" i="1"/>
  <c r="K131" i="1"/>
  <c r="H128" i="1"/>
  <c r="E116" i="1"/>
  <c r="E117" i="1" s="1"/>
  <c r="G58" i="1"/>
  <c r="C58" i="1"/>
  <c r="G56" i="1"/>
  <c r="C56" i="1"/>
  <c r="C54" i="1"/>
  <c r="A156" i="1"/>
  <c r="G116" i="1" l="1"/>
  <c r="G117" i="1" s="1"/>
  <c r="S33" i="1"/>
  <c r="A157" i="1"/>
  <c r="F11" i="5" l="1"/>
  <c r="G11" i="5" s="1"/>
  <c r="F10" i="5"/>
  <c r="G10" i="5" s="1"/>
  <c r="F9" i="5"/>
  <c r="G9" i="5" s="1"/>
  <c r="F8" i="5"/>
  <c r="G8" i="5" s="1"/>
  <c r="F7" i="5"/>
  <c r="G7" i="5" s="1"/>
  <c r="F6" i="5"/>
  <c r="G6" i="5" s="1"/>
  <c r="F5" i="5"/>
  <c r="G5" i="5" s="1"/>
  <c r="G12" i="5" s="1"/>
  <c r="D233" i="1"/>
  <c r="B211" i="1"/>
  <c r="F207" i="1"/>
  <c r="H207" i="1" s="1"/>
  <c r="F206" i="1"/>
  <c r="H206" i="1" s="1"/>
  <c r="F205" i="1"/>
  <c r="H205" i="1" s="1"/>
  <c r="F204" i="1"/>
  <c r="H204" i="1" s="1"/>
  <c r="F203" i="1"/>
  <c r="H203" i="1" s="1"/>
  <c r="F201" i="1"/>
  <c r="H201" i="1" s="1"/>
  <c r="F200" i="1"/>
  <c r="H200" i="1" s="1"/>
  <c r="F199" i="1"/>
  <c r="H199" i="1" s="1"/>
  <c r="F198" i="1"/>
  <c r="H198" i="1" s="1"/>
  <c r="F197" i="1"/>
  <c r="H197" i="1" s="1"/>
  <c r="F195" i="1"/>
  <c r="H195" i="1" s="1"/>
  <c r="F194" i="1"/>
  <c r="H194" i="1" s="1"/>
  <c r="F193" i="1"/>
  <c r="H193" i="1" s="1"/>
  <c r="F192" i="1"/>
  <c r="H192" i="1" s="1"/>
  <c r="F191" i="1"/>
  <c r="H191" i="1" s="1"/>
  <c r="F189" i="1"/>
  <c r="H189" i="1" s="1"/>
  <c r="F188" i="1"/>
  <c r="H188" i="1" s="1"/>
  <c r="F187" i="1"/>
  <c r="H187" i="1" s="1"/>
  <c r="F186" i="1"/>
  <c r="H186" i="1" s="1"/>
  <c r="F185" i="1"/>
  <c r="H185" i="1" s="1"/>
  <c r="A185" i="1"/>
  <c r="A186" i="1" s="1"/>
  <c r="A187" i="1" s="1"/>
  <c r="A188" i="1" s="1"/>
  <c r="A189" i="1" s="1"/>
  <c r="A129" i="1"/>
  <c r="A130" i="1" s="1"/>
  <c r="A131" i="1" s="1"/>
  <c r="A132" i="1" s="1"/>
  <c r="A133" i="1" s="1"/>
  <c r="A134" i="1" s="1"/>
  <c r="A135" i="1" s="1"/>
  <c r="A136" i="1" s="1"/>
  <c r="A137" i="1" s="1"/>
  <c r="A138" i="1" s="1"/>
  <c r="A139" i="1" s="1"/>
  <c r="A140" i="1" s="1"/>
  <c r="G122" i="1"/>
  <c r="E122" i="1"/>
  <c r="C122" i="1"/>
  <c r="F113" i="1"/>
  <c r="C87" i="1"/>
  <c r="C73" i="1"/>
  <c r="D67" i="1"/>
  <c r="D62" i="1"/>
  <c r="C51" i="1"/>
  <c r="C52" i="1" s="1"/>
  <c r="E44" i="1"/>
  <c r="E45" i="1" s="1"/>
  <c r="E31" i="1"/>
  <c r="E28" i="1"/>
  <c r="E26" i="1"/>
  <c r="C16" i="1"/>
  <c r="I15" i="1"/>
  <c r="Z13" i="1"/>
  <c r="E8" i="1"/>
  <c r="E3" i="1"/>
  <c r="A203" i="1"/>
  <c r="A197" i="1"/>
  <c r="H88" i="1"/>
  <c r="A158" i="1"/>
  <c r="A191" i="1"/>
  <c r="H74"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B88" i="1"/>
  <c r="B74" i="1"/>
  <c r="J79" i="1" s="1"/>
  <c r="A204" i="1"/>
  <c r="A198" i="1"/>
  <c r="A159" i="1"/>
  <c r="A192" i="1"/>
  <c r="C91" i="1" l="1"/>
  <c r="D91" i="1" s="1"/>
  <c r="I88" i="1" s="1"/>
  <c r="I89" i="1" s="1"/>
  <c r="D77" i="1"/>
  <c r="J98" i="1"/>
  <c r="J95" i="1"/>
  <c r="J97" i="1"/>
  <c r="J96" i="1"/>
  <c r="J93" i="1"/>
  <c r="J94" i="1" s="1"/>
  <c r="J83" i="1"/>
  <c r="J81" i="1"/>
  <c r="J82" i="1"/>
  <c r="J80" i="1"/>
  <c r="J85" i="1" s="1"/>
  <c r="J86" i="1" s="1"/>
  <c r="C78" i="1" s="1"/>
  <c r="J84" i="1"/>
  <c r="A205" i="1"/>
  <c r="A193" i="1"/>
  <c r="A199" i="1"/>
  <c r="G91" i="1" l="1"/>
  <c r="J74" i="1"/>
  <c r="J99" i="1"/>
  <c r="J100" i="1" s="1"/>
  <c r="J88" i="1" s="1"/>
  <c r="I87" i="1" s="1"/>
  <c r="C89" i="1" s="1"/>
  <c r="E77" i="1"/>
  <c r="D78" i="1"/>
  <c r="I74" i="1" s="1"/>
  <c r="G77" i="1"/>
  <c r="D71" i="1" s="1"/>
  <c r="A206" i="1"/>
  <c r="A194" i="1"/>
  <c r="A200" i="1"/>
  <c r="F72" i="1" l="1"/>
  <c r="D72" i="1"/>
  <c r="I75" i="1"/>
  <c r="I73" i="1" s="1"/>
  <c r="C75" i="1" s="1"/>
  <c r="A207" i="1"/>
  <c r="A201" i="1"/>
  <c r="A195"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<sst xmlns="http://schemas.openxmlformats.org/spreadsheetml/2006/main" count="615" uniqueCount="357">
  <si>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</si>
  <si>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</si>
  <si>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</si>
  <si>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</si>
  <si>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</si>
  <si>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</si>
  <si>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</si>
  <si>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</si>
  <si>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</si>
  <si>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</si>
  <si>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</si>
  <si>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</si>
  <si>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</si>
  <si>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</si>
  <si>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</si>
  <si>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</si>
  <si>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</si>
  <si>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</si>
  <si>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</si>
  <si>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</si>
  <si>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</si>
  <si>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</si>
  <si>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</si>
  <si>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</si>
  <si>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</si>
  <si>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</si>
  <si>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</si>
  <si>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</si>
  <si>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</si>
  <si>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</si>
  <si>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</si>
  <si>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</si>
  <si>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</si>
  <si>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</si>
  <si>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</si>
  <si>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</si>
  <si>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</si>
  <si>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</si>
  <si>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</si>
  <si>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</si>
  <si>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</si>
  <si>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</si>
  <si>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</si>
  <si>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</si>
  <si>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</si>
  <si>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</si>
  <si>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</si>
  <si>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</si>
  <si>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</si>
  <si>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</si>
  <si>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</si>
  <si>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</si>
  <si>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</si>
  <si>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</si>
  <si>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</si>
  <si>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</si>
  <si>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</si>
  <si>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</si>
  <si>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</si>
  <si>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</si>
  <si>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</si>
  <si>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</si>
  <si>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</si>
  <si>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</si>
  <si>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</si>
  <si>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</si>
  <si>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</si>
  <si>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</si>
  <si>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</si>
  <si>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</si>
  <si>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</si>
  <si>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</si>
  <si>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</si>
  <si>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</si>
  <si>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</si>
  <si>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</si>
  <si>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</si>
  <si>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</si>
  <si>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</si>
  <si>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</si>
  <si>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</si>
  <si>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</si>
  <si>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</si>
  <si>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</si>
  <si>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</si>
  <si>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</si>
  <si>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</si>
  <si>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</si>
  <si>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</si>
  <si>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</si>
  <si>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</si>
  <si>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</si>
  <si>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</si>
  <si>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</si>
  <si>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</si>
  <si>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</si>
  <si>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</si>
  <si>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</si>
  <si>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</si>
  <si>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</si>
  <si>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</si>
  <si>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</si>
  <si>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</si>
  <si>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</si>
  <si>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</si>
  <si>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</si>
  <si>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</si>
  <si>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</si>
  <si>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</si>
  <si>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</si>
  <si>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</si>
  <si>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</si>
  <si>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</si>
  <si>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</si>
  <si>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</si>
  <si>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</si>
  <si>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</si>
  <si>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</si>
  <si>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</si>
  <si>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</si>
  <si>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</si>
  <si>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</si>
  <si>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</si>
  <si>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</si>
  <si>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</si>
  <si>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</si>
  <si>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</si>
  <si>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</si>
  <si>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</si>
  <si>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</si>
  <si>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</si>
  <si>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</si>
  <si>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</si>
  <si>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</si>
  <si>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</si>
  <si>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</si>
  <si>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</si>
  <si>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</si>
  <si>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</si>
  <si>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</si>
  <si>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</si>
  <si>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</si>
  <si>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</si>
  <si>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</si>
  <si>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</si>
  <si>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</si>
  <si>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</si>
  <si>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</si>
  <si>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</si>
  <si>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</si>
  <si>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</si>
  <si>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</si>
  <si>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</si>
  <si>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</si>
  <si>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</si>
  <si>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</si>
  <si>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</si>
  <si>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</si>
  <si>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</si>
  <si>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</si>
  <si>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</si>
  <si>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</si>
  <si>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</si>
  <si>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</si>
  <si>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</si>
  <si>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</si>
  <si>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</si>
  <si>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</si>
  <si>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</si>
  <si>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</si>
  <si>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</si>
  <si>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</si>
  <si>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</si>
  <si>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</si>
  <si>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</si>
  <si>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</si>
  <si>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</si>
  <si>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</si>
  <si>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</si>
  <si>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</si>
  <si>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</si>
  <si>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</si>
  <si>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</si>
  <si>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</si>
  <si>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</si>
  <si>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</si>
  <si>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</si>
  <si>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</si>
  <si>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</si>
  <si>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</si>
  <si>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</si>
  <si>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</si>
  <si>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</si>
  <si>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</si>
  <si>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</si>
  <si>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</si>
  <si>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</si>
  <si>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</si>
  <si>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</si>
  <si>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</si>
  <si>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</si>
  <si>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</si>
  <si>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</si>
  <si>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</si>
  <si>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</si>
  <si>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</si>
  <si>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</si>
  <si>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</si>
  <si>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</si>
  <si>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</si>
  <si>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</si>
  <si>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</si>
  <si>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</si>
  <si>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</si>
  <si>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</si>
  <si>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</si>
  <si>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</si>
  <si>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</si>
  <si>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</si>
  <si>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</si>
  <si>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</si>
  <si>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</si>
  <si>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</si>
  <si>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</si>
  <si>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</si>
  <si>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</si>
  <si>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</si>
  <si>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</si>
  <si>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</si>
  <si>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</si>
  <si>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</si>
  <si>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</si>
  <si>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</si>
  <si>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</si>
  <si>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</si>
  <si>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</si>
  <si>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</si>
  <si>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</si>
  <si>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</si>
  <si>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</si>
  <si>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</si>
  <si>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</si>
  <si>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</si>
  <si>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</si>
  <si>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</si>
  <si>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</si>
  <si>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</si>
  <si>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</si>
  <si>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</si>
  <si>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</si>
  <si>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</si>
  <si>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</si>
  <si>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</si>
  <si>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</si>
  <si>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</si>
  <si>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</si>
  <si>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</si>
  <si>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</si>
  <si>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</si>
  <si>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</si>
  <si>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</si>
  <si>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</si>
  <si>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</si>
  <si>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</si>
  <si>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</si>
  <si>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</si>
  <si>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</si>
  <si>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</si>
  <si>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</si>
  <si>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</si>
  <si>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</si>
  <si>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</si>
  <si>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</si>
  <si>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</si>
  <si>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</si>
  <si>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</si>
  <si>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</si>
  <si>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</si>
  <si>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</si>
  <si>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</si>
  <si>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</si>
  <si>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</si>
  <si>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</si>
  <si>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</si>
  <si>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</si>
  <si>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</si>
  <si>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</si>
  <si>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</si>
  <si>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</si>
  <si>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</si>
  <si>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</si>
  <si>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</si>
  <si>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</si>
  <si>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</si>
  <si>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</si>
  <si>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</si>
  <si>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</si>
  <si>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</si>
  <si>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</si>
  <si>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</si>
  <si>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</si>
  <si>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</si>
  <si>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Shreeji Lifespaces Infrastructure
</t>
  </si>
  <si>
    <t>Shreeji Cloud</t>
  </si>
  <si>
    <t>Mr. Akur Shinde 9309124976</t>
  </si>
  <si>
    <t>P51700052841</t>
  </si>
  <si>
    <t>Plot No</t>
  </si>
  <si>
    <t>Ulwe</t>
  </si>
  <si>
    <t>Swaminarayan Road</t>
  </si>
  <si>
    <t>1.3 KM from Bamandongri Railway Station</t>
  </si>
  <si>
    <t>Bamandongri East</t>
  </si>
  <si>
    <t>Aramus Galasia</t>
  </si>
  <si>
    <t>Other Plot</t>
  </si>
  <si>
    <t>Aadinath Homes</t>
  </si>
  <si>
    <t>11M W Road</t>
  </si>
  <si>
    <t>15 M W Road</t>
  </si>
  <si>
    <t>https://maps.app.goo.gl/1M5MgoF3yrwXyesK9</t>
  </si>
  <si>
    <t>CIDCO/BP-18321/TPO(NM &amp; K)/2022/12210</t>
  </si>
  <si>
    <t>G + 1st to 11th Floor (Total Builtup Area = 6194.57 Sq.mtrs)</t>
  </si>
  <si>
    <t xml:space="preserve">G + 1st to 11th Floor
</t>
  </si>
  <si>
    <t>G + 1st to 11th Floor</t>
  </si>
  <si>
    <t>As per RERA - 30/06/2026</t>
  </si>
  <si>
    <t>Ground Floor For Commercial, Meter Room, Parking &amp; Lobby</t>
  </si>
  <si>
    <t>Shop</t>
  </si>
  <si>
    <t>2BHK</t>
  </si>
  <si>
    <t>1BHK</t>
  </si>
  <si>
    <t>1st Floor For Residential</t>
  </si>
  <si>
    <t>8th Floor (Part Refuge Area)</t>
  </si>
  <si>
    <t>Refuge Area</t>
  </si>
  <si>
    <t>10th Floor</t>
  </si>
  <si>
    <t>Drivers Room/Society Office</t>
  </si>
  <si>
    <t>Shops</t>
  </si>
  <si>
    <t>Flats</t>
  </si>
  <si>
    <t>We considered Gross carpet area = Net carpet + Enclose balcony + Balcony</t>
  </si>
  <si>
    <t>Please check for  Fire Noc.</t>
  </si>
  <si>
    <t>78 &amp; Sector No.21</t>
  </si>
  <si>
    <t>Flats -75, Shops -13</t>
  </si>
  <si>
    <t>Approved Plans, CC, Cost Sheet</t>
  </si>
  <si>
    <t>18.9807964, 73.0316661</t>
  </si>
  <si>
    <t>Swaminarayan Road/Radha residency</t>
  </si>
  <si>
    <t>Internal Rd/Empress Court</t>
  </si>
  <si>
    <r>
      <t xml:space="preserve">Shop No.
</t>
    </r>
    <r>
      <rPr>
        <b/>
        <sz val="11"/>
        <color theme="1"/>
        <rFont val="Times New Roman"/>
        <family val="1"/>
      </rPr>
      <t>(Approved Plan)</t>
    </r>
  </si>
  <si>
    <r>
      <t xml:space="preserve">Flat No.
</t>
    </r>
    <r>
      <rPr>
        <b/>
        <sz val="11"/>
        <color theme="1"/>
        <rFont val="Times New Roman"/>
        <family val="1"/>
      </rPr>
      <t>(Approved Plan)</t>
    </r>
  </si>
  <si>
    <t>2nd to 7th &amp; 9th Floor</t>
  </si>
  <si>
    <t>11th Floor (Part Drivers Room &amp; Society Office)</t>
  </si>
  <si>
    <t xml:space="preserve">Vitrified tiles flooring, Granite Kitchen Platform, Decorative Enternace, &amp; etc.
</t>
  </si>
  <si>
    <r>
      <t xml:space="preserve">Proposed Amenities :                                                                                                                                                                                                                         </t>
    </r>
    <r>
      <rPr>
        <b/>
        <sz val="12"/>
        <color theme="1"/>
        <rFont val="Times New Roman"/>
        <family val="1"/>
      </rPr>
      <t xml:space="preserve">                                               </t>
    </r>
  </si>
  <si>
    <t>7500 to 8500</t>
  </si>
  <si>
    <t>Please provide approved CC.</t>
  </si>
  <si>
    <t>rate done with sachin sir</t>
  </si>
  <si>
    <t>Mr. Ramaji : 9920997317</t>
  </si>
  <si>
    <t>Recommended Rates of the Property (Shop) have been revised on 24/10/2024.</t>
  </si>
  <si>
    <t>10000 to 11000 sanjay on 18/11/2024</t>
  </si>
  <si>
    <t>Office No. 1031, Wing J, Akshar Business Park, Plot No. 03 Sector 25, Near APMC Market,
Vashi, Navi Mumbai, Maharashtra 400703 TEL: 022-46090378/79/80
Email : vsjcapf@gmail.com. Web site : www.vsjadon.com</t>
  </si>
  <si>
    <t>Construction work is in process at the time of Visit.</t>
  </si>
  <si>
    <t>Pooja Kawale</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</si>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</sst>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29" xfId="0" applyFont="1" applyFill="1" applyBorder="1"/>
    <xf numFmtId="0" fontId="24" fillId="0" borderId="30" xfId="0" applyFont="1" applyBorder="1"/>
    <xf numFmtId="0" fontId="24" fillId="0" borderId="1" xfId="0" applyFont="1" applyBorder="1"/>
    <xf numFmtId="0" fontId="24"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4"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9" fontId="9" fillId="0" borderId="15" xfId="8" applyFont="1" applyFill="1" applyBorder="1" applyAlignment="1" applyProtection="1">
      <alignment horizontal="center" vertical="top" wrapText="1"/>
      <protection locked="0"/>
    </xf>
    <xf numFmtId="0" fontId="6" fillId="0" borderId="1" xfId="1" applyFont="1" applyBorder="1" applyAlignment="1" applyProtection="1">
      <alignment horizontal="center" vertical="top"/>
      <protection locked="0"/>
    </xf>
    <xf numFmtId="2" fontId="6" fillId="0" borderId="0" xfId="1" applyNumberFormat="1" applyFont="1" applyAlignment="1">
      <alignment horizontal="center" vertical="center"/>
    </xf>
    <xf numFmtId="0" fontId="6" fillId="0" borderId="1" xfId="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1" fontId="16" fillId="0" borderId="20"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6" fillId="0" borderId="3" xfId="1" applyFont="1" applyBorder="1" applyAlignment="1" applyProtection="1">
      <alignment horizontal="center"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9" fontId="6" fillId="0" borderId="16"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5" fillId="0" borderId="20" xfId="1" applyFont="1" applyBorder="1" applyAlignment="1" applyProtection="1">
      <alignment horizontal="left" vertical="top" wrapText="1"/>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14" fontId="5" fillId="0" borderId="7"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67" fontId="6" fillId="0" borderId="1" xfId="9" applyNumberFormat="1" applyFont="1" applyFill="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0" fontId="7" fillId="0" borderId="15"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6" fillId="0" borderId="24"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1" fontId="5" fillId="0" borderId="20" xfId="1" applyNumberFormat="1" applyFont="1" applyBorder="1" applyAlignment="1" applyProtection="1">
      <alignment horizontal="center" vertical="center" wrapText="1"/>
      <protection locked="0"/>
    </xf>
    <xf numFmtId="1" fontId="9" fillId="0" borderId="16"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0" fontId="8" fillId="0" borderId="1" xfId="5" applyFont="1" applyBorder="1" applyAlignment="1">
      <alignment horizontal="left"/>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23" fillId="2" borderId="14" xfId="0" applyFont="1" applyFill="1" applyBorder="1"/>
    <xf numFmtId="0" fontId="24" fillId="0" borderId="8" xfId="0" applyFont="1" applyBorder="1"/>
    <xf numFmtId="0" fontId="7" fillId="0" borderId="1"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276</xdr:row>
      <xdr:rowOff>133349</xdr:rowOff>
    </xdr:from>
    <xdr:to>
      <xdr:col>7</xdr:col>
      <xdr:colOff>294529</xdr:colOff>
      <xdr:row>301</xdr:row>
      <xdr:rowOff>172724</xdr:rowOff>
    </xdr:to>
    <xdr:pic>
      <xdr:nvPicPr>
        <xdr:cNvPr id="2" name="Picture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6193"/>
        <a:stretch/>
      </xdr:blipFill>
      <xdr:spPr>
        <a:xfrm>
          <a:off x="333375" y="50139599"/>
          <a:ext cx="5542804" cy="5040000"/>
        </a:xfrm>
        <a:prstGeom prst="rect">
          <a:avLst/>
        </a:prstGeom>
        <a:ln>
          <a:solidFill>
            <a:schemeClr val="tx1"/>
          </a:solidFill>
        </a:ln>
      </xdr:spPr>
    </xdr:pic>
    <xdr:clientData/>
  </xdr:twoCellAnchor>
  <xdr:twoCellAnchor editAs="oneCell">
    <xdr:from>
      <xdr:col>1</xdr:col>
      <xdr:colOff>228600</xdr:colOff>
      <xdr:row>309</xdr:row>
      <xdr:rowOff>104775</xdr:rowOff>
    </xdr:from>
    <xdr:to>
      <xdr:col>6</xdr:col>
      <xdr:colOff>494614</xdr:colOff>
      <xdr:row>327</xdr:row>
      <xdr:rowOff>104325</xdr:rowOff>
    </xdr:to>
    <xdr:pic>
      <xdr:nvPicPr>
        <xdr:cNvPr id="3" name="Picture 2"/>
        <xdr:cNvPicPr>
          <a:picLocks noChangeAspect="1"/>
        </xdr:cNvPicPr>
      </xdr:nvPicPr>
      <xdr:blipFill>
        <a:blip xmlns:r="http://schemas.openxmlformats.org/officeDocument/2006/relationships" r:embed="rId2"/>
        <a:stretch>
          <a:fillRect/>
        </a:stretch>
      </xdr:blipFill>
      <xdr:spPr>
        <a:xfrm>
          <a:off x="990600" y="58912125"/>
          <a:ext cx="4352239" cy="3600000"/>
        </a:xfrm>
        <a:prstGeom prst="rect">
          <a:avLst/>
        </a:prstGeom>
        <a:ln>
          <a:solidFill>
            <a:schemeClr val="tx1"/>
          </a:solidFill>
        </a:ln>
      </xdr:spPr>
    </xdr:pic>
    <xdr:clientData/>
  </xdr:twoCellAnchor>
  <xdr:twoCellAnchor editAs="oneCell">
    <xdr:from>
      <xdr:col>1</xdr:col>
      <xdr:colOff>268288</xdr:colOff>
      <xdr:row>328</xdr:row>
      <xdr:rowOff>19049</xdr:rowOff>
    </xdr:from>
    <xdr:to>
      <xdr:col>6</xdr:col>
      <xdr:colOff>429822</xdr:colOff>
      <xdr:row>349</xdr:row>
      <xdr:rowOff>138524</xdr:rowOff>
    </xdr:to>
    <xdr:pic>
      <xdr:nvPicPr>
        <xdr:cNvPr id="4" name="Picture 3"/>
        <xdr:cNvPicPr>
          <a:picLocks noChangeAspect="1"/>
        </xdr:cNvPicPr>
      </xdr:nvPicPr>
      <xdr:blipFill>
        <a:blip xmlns:r="http://schemas.openxmlformats.org/officeDocument/2006/relationships" r:embed="rId3"/>
        <a:stretch>
          <a:fillRect/>
        </a:stretch>
      </xdr:blipFill>
      <xdr:spPr>
        <a:xfrm>
          <a:off x="1030288" y="62626874"/>
          <a:ext cx="4247759" cy="4320000"/>
        </a:xfrm>
        <a:prstGeom prst="rect">
          <a:avLst/>
        </a:prstGeom>
        <a:ln>
          <a:solidFill>
            <a:schemeClr val="tx1"/>
          </a:solidFill>
        </a:ln>
      </xdr:spPr>
    </xdr:pic>
    <xdr:clientData/>
  </xdr:twoCellAnchor>
  <xdr:twoCellAnchor>
    <xdr:from>
      <xdr:col>2</xdr:col>
      <xdr:colOff>661355</xdr:colOff>
      <xdr:row>339</xdr:row>
      <xdr:rowOff>32406</xdr:rowOff>
    </xdr:from>
    <xdr:to>
      <xdr:col>3</xdr:col>
      <xdr:colOff>780520</xdr:colOff>
      <xdr:row>344</xdr:row>
      <xdr:rowOff>86186</xdr:rowOff>
    </xdr:to>
    <xdr:sp macro="" textlink="">
      <xdr:nvSpPr>
        <xdr:cNvPr id="5" name="Rectangle 4"/>
        <xdr:cNvSpPr/>
      </xdr:nvSpPr>
      <xdr:spPr>
        <a:xfrm rot="1898435">
          <a:off x="2223455" y="64840506"/>
          <a:ext cx="966890" cy="105390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714375</xdr:colOff>
      <xdr:row>233</xdr:row>
      <xdr:rowOff>66674</xdr:rowOff>
    </xdr:from>
    <xdr:to>
      <xdr:col>16</xdr:col>
      <xdr:colOff>152498</xdr:colOff>
      <xdr:row>273</xdr:row>
      <xdr:rowOff>180547</xdr:rowOff>
    </xdr:to>
    <xdr:grpSp>
      <xdr:nvGrpSpPr>
        <xdr:cNvPr id="8" name="Group 7"/>
        <xdr:cNvGrpSpPr/>
      </xdr:nvGrpSpPr>
      <xdr:grpSpPr>
        <a:xfrm>
          <a:off x="7546975" y="38903274"/>
          <a:ext cx="6531073" cy="7981523"/>
          <a:chOff x="133350" y="39414449"/>
          <a:chExt cx="6210398" cy="8105348"/>
        </a:xfrm>
      </xdr:grpSpPr>
      <xdr:pic>
        <xdr:nvPicPr>
          <xdr:cNvPr id="22" name="Picture 21" descr="https://vsjcllp.vsjadon.com/upload/insp-217401-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781300" y="45410437"/>
            <a:ext cx="2809875" cy="21093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17401-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33350" y="39419211"/>
            <a:ext cx="3914340" cy="29384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17401-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90500" y="42448161"/>
            <a:ext cx="3827375" cy="28731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17401-102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14800" y="42443399"/>
            <a:ext cx="2152650" cy="28731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17401-9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104901" y="45405675"/>
            <a:ext cx="1580372" cy="21093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17401-151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142186" y="39414449"/>
            <a:ext cx="2201562" cy="29384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323850</xdr:colOff>
      <xdr:row>233</xdr:row>
      <xdr:rowOff>82550</xdr:rowOff>
    </xdr:from>
    <xdr:to>
      <xdr:col>7</xdr:col>
      <xdr:colOff>589798</xdr:colOff>
      <xdr:row>274</xdr:row>
      <xdr:rowOff>171016</xdr:rowOff>
    </xdr:to>
    <xdr:grpSp>
      <xdr:nvGrpSpPr>
        <xdr:cNvPr id="7" name="Group 6"/>
        <xdr:cNvGrpSpPr/>
      </xdr:nvGrpSpPr>
      <xdr:grpSpPr>
        <a:xfrm>
          <a:off x="323850" y="38919150"/>
          <a:ext cx="6120648" cy="8152966"/>
          <a:chOff x="323850" y="38919150"/>
          <a:chExt cx="6120648" cy="8152966"/>
        </a:xfrm>
      </xdr:grpSpPr>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465216" y="45272116"/>
            <a:ext cx="1354219" cy="180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3850" y="38919150"/>
            <a:ext cx="2979282" cy="39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36416" y="42995633"/>
            <a:ext cx="2866716"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465216" y="42995633"/>
            <a:ext cx="2866716"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954538" y="45272116"/>
            <a:ext cx="1348594" cy="180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465216" y="38919150"/>
            <a:ext cx="2979282"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M5MgoF3yrwXyesK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9"/>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7" width="11" style="40" customWidth="1"/>
    <col min="8" max="8" width="14"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63" t="s">
        <v>353</v>
      </c>
      <c r="B1" s="163"/>
      <c r="C1" s="163"/>
      <c r="D1" s="163"/>
      <c r="E1" s="163"/>
      <c r="F1" s="163"/>
      <c r="G1" s="163"/>
      <c r="H1" s="163"/>
    </row>
    <row r="2" spans="1:26" ht="16.5" customHeight="1" x14ac:dyDescent="0.35">
      <c r="A2" s="164" t="s">
        <v>0</v>
      </c>
      <c r="B2" s="164"/>
      <c r="C2" s="164"/>
      <c r="D2" s="164"/>
      <c r="E2" s="164"/>
      <c r="F2" s="164"/>
      <c r="G2" s="164"/>
      <c r="H2" s="164"/>
    </row>
    <row r="3" spans="1:26" x14ac:dyDescent="0.35">
      <c r="A3" s="136" t="s">
        <v>1</v>
      </c>
      <c r="B3" s="136"/>
      <c r="C3" s="136"/>
      <c r="D3" s="136"/>
      <c r="E3" s="136" t="str">
        <f ca="1">TEXT(TODAY(),"DD/MM/YYYY")</f>
        <v>19/08/2025</v>
      </c>
      <c r="F3" s="136"/>
      <c r="G3" s="136"/>
      <c r="H3" s="136"/>
      <c r="K3" s="58" t="s">
        <v>236</v>
      </c>
      <c r="L3" s="55" t="s">
        <v>234</v>
      </c>
      <c r="M3" s="55" t="s">
        <v>239</v>
      </c>
      <c r="N3" s="55" t="s">
        <v>237</v>
      </c>
      <c r="O3" s="55" t="s">
        <v>238</v>
      </c>
      <c r="P3" s="55" t="s">
        <v>240</v>
      </c>
    </row>
    <row r="4" spans="1:26" ht="15" customHeight="1" x14ac:dyDescent="0.35">
      <c r="A4" s="136" t="s">
        <v>233</v>
      </c>
      <c r="B4" s="136"/>
      <c r="C4" s="136"/>
      <c r="D4" s="136"/>
      <c r="E4" s="151" t="s">
        <v>234</v>
      </c>
      <c r="F4" s="151"/>
      <c r="G4" s="151"/>
      <c r="H4" s="151"/>
      <c r="K4" s="54" t="s">
        <v>235</v>
      </c>
      <c r="L4" s="55" t="s">
        <v>170</v>
      </c>
      <c r="M4" s="55" t="s">
        <v>244</v>
      </c>
      <c r="N4" s="55" t="s">
        <v>246</v>
      </c>
      <c r="O4" s="55" t="s">
        <v>248</v>
      </c>
      <c r="P4" s="55"/>
    </row>
    <row r="5" spans="1:26" ht="15" customHeight="1" x14ac:dyDescent="0.35">
      <c r="A5" s="136" t="s">
        <v>2</v>
      </c>
      <c r="B5" s="136"/>
      <c r="C5" s="136"/>
      <c r="D5" s="136"/>
      <c r="E5" s="151" t="s">
        <v>241</v>
      </c>
      <c r="F5" s="151"/>
      <c r="G5" s="151"/>
      <c r="H5" s="151"/>
      <c r="K5" s="54"/>
      <c r="L5" s="55" t="s">
        <v>241</v>
      </c>
      <c r="M5" s="55" t="s">
        <v>245</v>
      </c>
      <c r="N5" s="55" t="s">
        <v>247</v>
      </c>
      <c r="O5" s="55" t="s">
        <v>249</v>
      </c>
      <c r="P5" s="55"/>
    </row>
    <row r="6" spans="1:26" x14ac:dyDescent="0.35">
      <c r="A6" s="136" t="s">
        <v>3</v>
      </c>
      <c r="B6" s="136"/>
      <c r="C6" s="136"/>
      <c r="D6" s="136"/>
      <c r="E6" s="165">
        <v>45880</v>
      </c>
      <c r="F6" s="136"/>
      <c r="G6" s="136"/>
      <c r="H6" s="136"/>
      <c r="K6" s="54"/>
      <c r="L6" s="55" t="s">
        <v>242</v>
      </c>
      <c r="M6" s="55"/>
      <c r="N6" s="55"/>
      <c r="O6" s="55" t="s">
        <v>250</v>
      </c>
      <c r="P6" s="55"/>
    </row>
    <row r="7" spans="1:26" ht="16.5" customHeight="1" x14ac:dyDescent="0.35">
      <c r="A7" s="136" t="s">
        <v>4</v>
      </c>
      <c r="B7" s="136"/>
      <c r="C7" s="136"/>
      <c r="D7" s="136"/>
      <c r="E7" s="113" t="s">
        <v>302</v>
      </c>
      <c r="F7" s="136"/>
      <c r="G7" s="136"/>
      <c r="H7" s="136"/>
      <c r="K7" s="54"/>
      <c r="L7" s="55" t="s">
        <v>243</v>
      </c>
      <c r="M7" s="55"/>
      <c r="N7" s="55"/>
      <c r="O7" s="55" t="s">
        <v>250</v>
      </c>
      <c r="P7" s="55"/>
    </row>
    <row r="8" spans="1:26" ht="15" customHeight="1" x14ac:dyDescent="0.35">
      <c r="A8" s="136" t="s">
        <v>5</v>
      </c>
      <c r="B8" s="136"/>
      <c r="C8" s="136"/>
      <c r="D8" s="136"/>
      <c r="E8" s="136" t="str">
        <f>E7</f>
        <v xml:space="preserve">Shreeji Lifespaces Infrastructure
</v>
      </c>
      <c r="F8" s="136"/>
      <c r="G8" s="136"/>
      <c r="H8" s="136"/>
      <c r="K8" s="54"/>
      <c r="L8" s="55"/>
      <c r="M8" s="55"/>
      <c r="N8" s="55"/>
      <c r="O8" s="55" t="s">
        <v>251</v>
      </c>
      <c r="P8" s="55"/>
    </row>
    <row r="9" spans="1:26" x14ac:dyDescent="0.35">
      <c r="A9" s="136" t="s">
        <v>6</v>
      </c>
      <c r="B9" s="136"/>
      <c r="C9" s="136"/>
      <c r="D9" s="136"/>
      <c r="E9" s="142" t="s">
        <v>303</v>
      </c>
      <c r="F9" s="87"/>
      <c r="G9" s="87"/>
      <c r="H9" s="87"/>
      <c r="K9" s="54"/>
      <c r="L9" s="55"/>
      <c r="M9" s="55"/>
      <c r="N9" s="55"/>
      <c r="O9" s="55" t="s">
        <v>252</v>
      </c>
      <c r="P9" s="55"/>
    </row>
    <row r="10" spans="1:26" x14ac:dyDescent="0.35">
      <c r="A10" s="136" t="s">
        <v>167</v>
      </c>
      <c r="B10" s="136"/>
      <c r="C10" s="136"/>
      <c r="D10" s="136"/>
      <c r="E10" s="136" t="s">
        <v>304</v>
      </c>
      <c r="F10" s="136"/>
      <c r="G10" s="136"/>
      <c r="H10" s="136"/>
      <c r="K10" s="54"/>
      <c r="L10" s="55"/>
      <c r="M10" s="55"/>
      <c r="N10" s="55"/>
      <c r="O10" s="55"/>
      <c r="P10" s="55"/>
    </row>
    <row r="11" spans="1:26" hidden="1" x14ac:dyDescent="0.35">
      <c r="A11" s="136" t="s">
        <v>168</v>
      </c>
      <c r="B11" s="136"/>
      <c r="C11" s="136"/>
      <c r="D11" s="136"/>
      <c r="E11" s="136" t="s">
        <v>350</v>
      </c>
      <c r="F11" s="136"/>
      <c r="G11" s="136"/>
      <c r="H11" s="136"/>
    </row>
    <row r="12" spans="1:26" x14ac:dyDescent="0.35">
      <c r="A12" s="136" t="s">
        <v>7</v>
      </c>
      <c r="B12" s="136"/>
      <c r="C12" s="136"/>
      <c r="D12" s="136"/>
      <c r="E12" s="136" t="s">
        <v>118</v>
      </c>
      <c r="F12" s="136"/>
      <c r="G12" s="136"/>
      <c r="H12" s="136"/>
    </row>
    <row r="13" spans="1:26" x14ac:dyDescent="0.35">
      <c r="A13" s="136" t="s">
        <v>171</v>
      </c>
      <c r="B13" s="136"/>
      <c r="C13" s="136"/>
      <c r="D13" s="136"/>
      <c r="E13" s="136" t="s">
        <v>28</v>
      </c>
      <c r="F13" s="136"/>
      <c r="G13" s="136"/>
      <c r="H13" s="136"/>
      <c r="S13" s="55" t="s">
        <v>178</v>
      </c>
      <c r="T13" s="55" t="s">
        <v>188</v>
      </c>
      <c r="U13" s="55" t="s">
        <v>172</v>
      </c>
      <c r="V13" s="55" t="s">
        <v>193</v>
      </c>
      <c r="W13" s="55" t="s">
        <v>211</v>
      </c>
      <c r="X13"/>
      <c r="Y13" t="s">
        <v>193</v>
      </c>
      <c r="Z13" t="e">
        <f ca="1">OFFSET($S$13,1,MATCH($G20,$S$13:$W$13,0)-1,15,1)</f>
        <v>#VALUE!</v>
      </c>
    </row>
    <row r="14" spans="1:26" x14ac:dyDescent="0.35">
      <c r="A14" s="101" t="s">
        <v>279</v>
      </c>
      <c r="B14" s="101"/>
      <c r="C14" s="101"/>
      <c r="D14" s="101"/>
      <c r="E14" s="161" t="s">
        <v>337</v>
      </c>
      <c r="F14" s="161"/>
      <c r="G14" s="161"/>
      <c r="H14" s="161"/>
      <c r="S14" s="55" t="s">
        <v>179</v>
      </c>
      <c r="T14" s="55" t="s">
        <v>186</v>
      </c>
      <c r="U14" s="55" t="s">
        <v>208</v>
      </c>
      <c r="V14" s="55" t="s">
        <v>194</v>
      </c>
      <c r="W14" s="55" t="s">
        <v>212</v>
      </c>
      <c r="X14"/>
      <c r="Y14"/>
      <c r="Z14"/>
    </row>
    <row r="15" spans="1:26" x14ac:dyDescent="0.35">
      <c r="A15" s="101" t="s">
        <v>8</v>
      </c>
      <c r="B15" s="101"/>
      <c r="C15" s="101"/>
      <c r="D15" s="101"/>
      <c r="E15" s="161" t="s">
        <v>305</v>
      </c>
      <c r="F15" s="151"/>
      <c r="G15" s="151"/>
      <c r="H15" s="151"/>
      <c r="I15" s="196" t="e">
        <f ca="1">OFFSET($D$5,1,MATCH($J13,$D$5:$H$5,0)-1,15,1)</f>
        <v>#N/A</v>
      </c>
      <c r="J15" s="197"/>
      <c r="K15" s="197"/>
      <c r="L15" s="197"/>
      <c r="M15" s="197"/>
      <c r="N15" s="197"/>
      <c r="O15" s="197"/>
      <c r="P15" s="197"/>
      <c r="S15" s="55" t="s">
        <v>180</v>
      </c>
      <c r="T15" s="55" t="s">
        <v>187</v>
      </c>
      <c r="U15" s="55" t="s">
        <v>209</v>
      </c>
      <c r="V15" s="55" t="s">
        <v>195</v>
      </c>
      <c r="W15" s="55" t="s">
        <v>225</v>
      </c>
      <c r="X15"/>
      <c r="Y15"/>
      <c r="Z15"/>
    </row>
    <row r="16" spans="1:26" ht="33" customHeight="1" x14ac:dyDescent="0.35">
      <c r="A16" s="160" t="s">
        <v>9</v>
      </c>
      <c r="B16" s="160"/>
      <c r="C16" s="160" t="str">
        <f>CONCATENATE((IF(OR(E9="",E9="NA"),"",E9)),", ",(IF(OR(A17="",A17="NA"),"",A17)),".",(IF(OR(C17="",C17="NA"),"",C17)),", near ",(IF(OR(C22="",C22="NA"),"",C22)),", ",(IF(OR(C19="",C19="NA"),"",C19)),", ",(IF(OR(C18="",C18="NA"),"",C18)),", ",(IF(OR(G19="",G19="NA"),"",G19)),", ",(IF(OR(C20="",C20="NA"),"",C20)),", ",(IF(OR(C21="",C21="NA"),"",C21)),", ",(IF(OR(G20="",G20="NA"),"",G20))," - ",(IF(OR(G21="",G21="NA"),"",G21)),".")</f>
        <v>Shreeji Cloud, Plot No.78 &amp; Sector No.21, near Aramus Galasia, Swaminarayan Road, Ulwe, Ulwe, Bamandongri East, Panvel, Raigad - 410206.</v>
      </c>
      <c r="D16" s="160"/>
      <c r="E16" s="160"/>
      <c r="F16" s="160"/>
      <c r="G16" s="160"/>
      <c r="H16" s="160"/>
      <c r="S16" s="55" t="s">
        <v>181</v>
      </c>
      <c r="T16" s="55" t="s">
        <v>189</v>
      </c>
      <c r="U16" s="55" t="s">
        <v>210</v>
      </c>
      <c r="V16" s="55" t="s">
        <v>196</v>
      </c>
      <c r="W16" s="55" t="s">
        <v>213</v>
      </c>
      <c r="X16"/>
      <c r="Y16"/>
      <c r="Z16"/>
    </row>
    <row r="17" spans="1:26" x14ac:dyDescent="0.35">
      <c r="A17" s="161" t="s">
        <v>306</v>
      </c>
      <c r="B17" s="161"/>
      <c r="C17" s="161" t="s">
        <v>335</v>
      </c>
      <c r="D17" s="161"/>
      <c r="E17" s="161"/>
      <c r="F17" s="161"/>
      <c r="G17" s="161"/>
      <c r="H17" s="161"/>
      <c r="S17" s="55" t="s">
        <v>182</v>
      </c>
      <c r="T17" s="55" t="s">
        <v>190</v>
      </c>
      <c r="U17" s="55" t="s">
        <v>172</v>
      </c>
      <c r="V17" s="55" t="s">
        <v>197</v>
      </c>
      <c r="W17" s="55" t="s">
        <v>214</v>
      </c>
      <c r="X17"/>
      <c r="Y17"/>
      <c r="Z17"/>
    </row>
    <row r="18" spans="1:26" ht="15.75" customHeight="1" x14ac:dyDescent="0.35">
      <c r="A18" s="113" t="s">
        <v>163</v>
      </c>
      <c r="B18" s="113"/>
      <c r="C18" s="161" t="s">
        <v>307</v>
      </c>
      <c r="D18" s="161"/>
      <c r="E18" s="161"/>
      <c r="F18" s="161"/>
      <c r="G18" s="161"/>
      <c r="H18" s="161"/>
      <c r="S18" s="55" t="s">
        <v>183</v>
      </c>
      <c r="T18" s="55" t="s">
        <v>188</v>
      </c>
      <c r="U18" s="55"/>
      <c r="V18" s="55" t="s">
        <v>198</v>
      </c>
      <c r="W18" s="55" t="s">
        <v>215</v>
      </c>
      <c r="X18"/>
      <c r="Y18"/>
      <c r="Z18"/>
    </row>
    <row r="19" spans="1:26" ht="15.75" customHeight="1" x14ac:dyDescent="0.35">
      <c r="A19" s="160" t="s">
        <v>10</v>
      </c>
      <c r="B19" s="160"/>
      <c r="C19" s="151" t="s">
        <v>308</v>
      </c>
      <c r="D19" s="151"/>
      <c r="E19" s="161" t="s">
        <v>70</v>
      </c>
      <c r="F19" s="161"/>
      <c r="G19" s="161" t="s">
        <v>307</v>
      </c>
      <c r="H19" s="161"/>
      <c r="S19" s="55" t="s">
        <v>184</v>
      </c>
      <c r="T19" s="55" t="s">
        <v>191</v>
      </c>
      <c r="U19" s="55"/>
      <c r="V19" s="55" t="s">
        <v>199</v>
      </c>
      <c r="W19" s="55" t="s">
        <v>216</v>
      </c>
      <c r="X19"/>
      <c r="Y19"/>
      <c r="Z19"/>
    </row>
    <row r="20" spans="1:26" x14ac:dyDescent="0.35">
      <c r="A20" s="101" t="s">
        <v>12</v>
      </c>
      <c r="B20" s="101"/>
      <c r="C20" s="161" t="s">
        <v>310</v>
      </c>
      <c r="D20" s="161"/>
      <c r="E20" s="161" t="s">
        <v>11</v>
      </c>
      <c r="F20" s="161"/>
      <c r="G20" s="162" t="s">
        <v>193</v>
      </c>
      <c r="H20" s="162"/>
      <c r="S20" s="55" t="s">
        <v>185</v>
      </c>
      <c r="T20" s="55" t="s">
        <v>192</v>
      </c>
      <c r="U20" s="55"/>
      <c r="V20" s="55" t="s">
        <v>200</v>
      </c>
      <c r="W20" s="55" t="s">
        <v>217</v>
      </c>
      <c r="X20"/>
      <c r="Y20"/>
      <c r="Z20"/>
    </row>
    <row r="21" spans="1:26" x14ac:dyDescent="0.35">
      <c r="A21" s="101" t="s">
        <v>71</v>
      </c>
      <c r="B21" s="101"/>
      <c r="C21" s="161" t="s">
        <v>195</v>
      </c>
      <c r="D21" s="161"/>
      <c r="E21" s="161" t="s">
        <v>13</v>
      </c>
      <c r="F21" s="161"/>
      <c r="G21" s="161">
        <v>410206</v>
      </c>
      <c r="H21" s="161"/>
      <c r="S21" s="55"/>
      <c r="T21" s="55"/>
      <c r="U21" s="55"/>
      <c r="V21" s="55" t="s">
        <v>201</v>
      </c>
      <c r="W21" s="55" t="s">
        <v>218</v>
      </c>
      <c r="X21"/>
      <c r="Y21"/>
      <c r="Z21"/>
    </row>
    <row r="22" spans="1:26" ht="47.25" customHeight="1" x14ac:dyDescent="0.35">
      <c r="A22" s="101" t="s">
        <v>119</v>
      </c>
      <c r="B22" s="101"/>
      <c r="C22" s="161" t="s">
        <v>311</v>
      </c>
      <c r="D22" s="161"/>
      <c r="E22" s="161" t="s">
        <v>14</v>
      </c>
      <c r="F22" s="161"/>
      <c r="G22" s="161" t="s">
        <v>309</v>
      </c>
      <c r="H22" s="161"/>
      <c r="S22" s="55"/>
      <c r="T22" s="55"/>
      <c r="U22" s="55"/>
      <c r="V22" s="55" t="s">
        <v>202</v>
      </c>
      <c r="W22" s="55" t="s">
        <v>219</v>
      </c>
      <c r="X22"/>
      <c r="Y22"/>
      <c r="Z22"/>
    </row>
    <row r="23" spans="1:26" ht="15" customHeight="1" x14ac:dyDescent="0.35">
      <c r="A23" s="160" t="s">
        <v>73</v>
      </c>
      <c r="B23" s="160"/>
      <c r="C23" s="160"/>
      <c r="D23" s="160"/>
      <c r="E23" s="136" t="s">
        <v>15</v>
      </c>
      <c r="F23" s="136"/>
      <c r="G23" s="136"/>
      <c r="H23" s="136"/>
      <c r="S23" s="55"/>
      <c r="T23" s="55"/>
      <c r="U23" s="55"/>
      <c r="V23" s="55" t="s">
        <v>203</v>
      </c>
      <c r="W23" s="55" t="s">
        <v>220</v>
      </c>
      <c r="X23"/>
      <c r="Y23"/>
      <c r="Z23"/>
    </row>
    <row r="24" spans="1:26" ht="18.75" customHeight="1" x14ac:dyDescent="0.35">
      <c r="A24" s="160"/>
      <c r="B24" s="160"/>
      <c r="C24" s="160"/>
      <c r="D24" s="160"/>
      <c r="E24" s="136"/>
      <c r="F24" s="136"/>
      <c r="G24" s="136"/>
      <c r="H24" s="136"/>
      <c r="S24" s="55"/>
      <c r="T24" s="55"/>
      <c r="U24" s="55"/>
      <c r="V24" s="55" t="s">
        <v>204</v>
      </c>
      <c r="W24" s="55" t="s">
        <v>221</v>
      </c>
      <c r="X24"/>
      <c r="Y24"/>
      <c r="Z24"/>
    </row>
    <row r="25" spans="1:26" ht="15" customHeight="1" x14ac:dyDescent="0.35">
      <c r="A25" s="160" t="s">
        <v>16</v>
      </c>
      <c r="B25" s="160"/>
      <c r="C25" s="160"/>
      <c r="D25" s="160"/>
      <c r="E25" s="113" t="s">
        <v>17</v>
      </c>
      <c r="F25" s="113"/>
      <c r="G25" s="113"/>
      <c r="H25" s="113"/>
      <c r="S25" s="55"/>
      <c r="T25" s="55"/>
      <c r="U25" s="55"/>
      <c r="V25" s="55" t="s">
        <v>205</v>
      </c>
      <c r="W25" s="55" t="s">
        <v>222</v>
      </c>
      <c r="X25"/>
      <c r="Y25"/>
      <c r="Z25"/>
    </row>
    <row r="26" spans="1:26" ht="15" customHeight="1" x14ac:dyDescent="0.35">
      <c r="A26" s="101" t="s">
        <v>18</v>
      </c>
      <c r="B26" s="101"/>
      <c r="C26" s="101"/>
      <c r="D26" s="101"/>
      <c r="E26" s="113" t="str">
        <f>IF(AND(G20="Mumbai"),"Upper Class","Middle Class")</f>
        <v>Middle Class</v>
      </c>
      <c r="F26" s="113"/>
      <c r="G26" s="113"/>
      <c r="H26" s="113"/>
      <c r="S26" s="55"/>
      <c r="T26" s="55"/>
      <c r="U26" s="55"/>
      <c r="V26" s="55" t="s">
        <v>206</v>
      </c>
      <c r="W26" s="55" t="s">
        <v>223</v>
      </c>
      <c r="X26"/>
      <c r="Y26"/>
      <c r="Z26"/>
    </row>
    <row r="27" spans="1:26" x14ac:dyDescent="0.35">
      <c r="A27" s="101" t="s">
        <v>19</v>
      </c>
      <c r="B27" s="101"/>
      <c r="C27" s="101"/>
      <c r="D27" s="101"/>
      <c r="E27" s="113" t="s">
        <v>20</v>
      </c>
      <c r="F27" s="113"/>
      <c r="G27" s="113"/>
      <c r="H27" s="113"/>
      <c r="S27" s="55"/>
      <c r="T27" s="55"/>
      <c r="U27" s="55"/>
      <c r="V27" s="55" t="s">
        <v>207</v>
      </c>
      <c r="W27" s="55" t="s">
        <v>224</v>
      </c>
      <c r="X27"/>
      <c r="Y27"/>
      <c r="Z27"/>
    </row>
    <row r="28" spans="1:26" ht="15.75" customHeight="1" x14ac:dyDescent="0.35">
      <c r="A28" s="101" t="s">
        <v>21</v>
      </c>
      <c r="B28" s="101"/>
      <c r="C28" s="101"/>
      <c r="D28" s="101"/>
      <c r="E28" s="113" t="str">
        <f>IF(AND(G20="Mumbai"),"Developed","Developing")</f>
        <v>Developing</v>
      </c>
      <c r="F28" s="113"/>
      <c r="G28" s="113"/>
      <c r="H28" s="113"/>
    </row>
    <row r="29" spans="1:26" x14ac:dyDescent="0.35">
      <c r="A29" s="101" t="s">
        <v>22</v>
      </c>
      <c r="B29" s="101"/>
      <c r="C29" s="101"/>
      <c r="D29" s="101"/>
      <c r="E29" s="113" t="s">
        <v>23</v>
      </c>
      <c r="F29" s="113"/>
      <c r="G29" s="113"/>
      <c r="H29" s="113"/>
    </row>
    <row r="30" spans="1:26" ht="15.75" customHeight="1" x14ac:dyDescent="0.35">
      <c r="A30" s="101" t="s">
        <v>78</v>
      </c>
      <c r="B30" s="101"/>
      <c r="C30" s="101"/>
      <c r="D30" s="101"/>
      <c r="E30" s="113" t="s">
        <v>79</v>
      </c>
      <c r="F30" s="113"/>
      <c r="G30" s="113"/>
      <c r="H30" s="113"/>
    </row>
    <row r="31" spans="1:26" ht="15" customHeight="1" x14ac:dyDescent="0.35">
      <c r="A31" s="101" t="s">
        <v>30</v>
      </c>
      <c r="B31" s="101"/>
      <c r="C31" s="101"/>
      <c r="D31" s="101"/>
      <c r="E31" s="11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3"/>
      <c r="G31" s="113"/>
      <c r="H31" s="113"/>
    </row>
    <row r="32" spans="1:26" ht="15.75" customHeight="1" x14ac:dyDescent="0.35">
      <c r="A32" s="101" t="s">
        <v>90</v>
      </c>
      <c r="B32" s="101"/>
      <c r="C32" s="101"/>
      <c r="D32" s="101"/>
      <c r="E32" s="113" t="s">
        <v>31</v>
      </c>
      <c r="F32" s="113"/>
      <c r="G32" s="113"/>
      <c r="H32" s="113"/>
    </row>
    <row r="33" spans="1:19" s="22" customFormat="1" x14ac:dyDescent="0.35">
      <c r="A33" s="159" t="s">
        <v>91</v>
      </c>
      <c r="B33" s="159"/>
      <c r="C33" s="221" t="s">
        <v>173</v>
      </c>
      <c r="D33" s="221"/>
      <c r="E33" s="221"/>
      <c r="F33" s="221" t="s">
        <v>29</v>
      </c>
      <c r="G33" s="221"/>
      <c r="H33" s="221"/>
      <c r="S33" s="22" t="e">
        <f ca="1">OFFSET($S$13,1,MATCH($G20,$S$13:$W$13,0)-1,15,1)</f>
        <v>#VALUE!</v>
      </c>
    </row>
    <row r="34" spans="1:19" s="22" customFormat="1" x14ac:dyDescent="0.35">
      <c r="A34" s="145" t="s">
        <v>24</v>
      </c>
      <c r="B34" s="145" t="s">
        <v>28</v>
      </c>
      <c r="C34" s="222" t="s">
        <v>314</v>
      </c>
      <c r="D34" s="222"/>
      <c r="E34" s="222"/>
      <c r="F34" s="222" t="s">
        <v>339</v>
      </c>
      <c r="G34" s="222"/>
      <c r="H34" s="222"/>
    </row>
    <row r="35" spans="1:19" x14ac:dyDescent="0.35">
      <c r="A35" s="145" t="s">
        <v>25</v>
      </c>
      <c r="B35" s="145" t="s">
        <v>28</v>
      </c>
      <c r="C35" s="222" t="s">
        <v>312</v>
      </c>
      <c r="D35" s="222"/>
      <c r="E35" s="222"/>
      <c r="F35" s="222" t="s">
        <v>311</v>
      </c>
      <c r="G35" s="222"/>
      <c r="H35" s="222"/>
    </row>
    <row r="36" spans="1:19" s="22" customFormat="1" x14ac:dyDescent="0.35">
      <c r="A36" s="145" t="s">
        <v>27</v>
      </c>
      <c r="B36" s="145" t="s">
        <v>28</v>
      </c>
      <c r="C36" s="222" t="s">
        <v>312</v>
      </c>
      <c r="D36" s="222"/>
      <c r="E36" s="222"/>
      <c r="F36" s="222" t="s">
        <v>313</v>
      </c>
      <c r="G36" s="222"/>
      <c r="H36" s="222"/>
    </row>
    <row r="37" spans="1:19" x14ac:dyDescent="0.35">
      <c r="A37" s="145" t="s">
        <v>26</v>
      </c>
      <c r="B37" s="145" t="s">
        <v>28</v>
      </c>
      <c r="C37" s="222" t="s">
        <v>315</v>
      </c>
      <c r="D37" s="222"/>
      <c r="E37" s="222"/>
      <c r="F37" s="222" t="s">
        <v>340</v>
      </c>
      <c r="G37" s="222"/>
      <c r="H37" s="222"/>
    </row>
    <row r="38" spans="1:19" x14ac:dyDescent="0.35">
      <c r="A38" s="101" t="s">
        <v>280</v>
      </c>
      <c r="B38" s="101"/>
      <c r="C38" s="101"/>
      <c r="D38" s="101"/>
      <c r="E38" s="101"/>
      <c r="F38" s="101"/>
      <c r="G38" s="101"/>
      <c r="H38" s="101"/>
    </row>
    <row r="39" spans="1:19" ht="15.75" customHeight="1" x14ac:dyDescent="0.35">
      <c r="A39" s="101" t="s">
        <v>165</v>
      </c>
      <c r="B39" s="101"/>
      <c r="C39" s="135" t="s">
        <v>338</v>
      </c>
      <c r="D39" s="135"/>
      <c r="E39" s="135"/>
      <c r="F39" s="135"/>
      <c r="G39" s="135"/>
      <c r="H39" s="135"/>
    </row>
    <row r="40" spans="1:19" x14ac:dyDescent="0.35">
      <c r="A40" s="101" t="s">
        <v>162</v>
      </c>
      <c r="B40" s="101"/>
      <c r="C40" s="112" t="s">
        <v>316</v>
      </c>
      <c r="D40" s="113"/>
      <c r="E40" s="113"/>
      <c r="F40" s="113"/>
      <c r="G40" s="113"/>
      <c r="H40" s="113"/>
    </row>
    <row r="41" spans="1:19" x14ac:dyDescent="0.35">
      <c r="A41" s="135" t="s">
        <v>32</v>
      </c>
      <c r="B41" s="135"/>
      <c r="C41" s="135"/>
      <c r="D41" s="135"/>
      <c r="E41" s="135"/>
      <c r="F41" s="135"/>
      <c r="G41" s="135"/>
      <c r="H41" s="135"/>
    </row>
    <row r="42" spans="1:19" x14ac:dyDescent="0.35">
      <c r="A42" s="101" t="s">
        <v>33</v>
      </c>
      <c r="B42" s="101"/>
      <c r="C42" s="101"/>
      <c r="D42" s="101"/>
      <c r="E42" s="146">
        <v>1349.97</v>
      </c>
      <c r="F42" s="146"/>
      <c r="G42" s="146"/>
      <c r="H42" s="146"/>
    </row>
    <row r="43" spans="1:19" x14ac:dyDescent="0.35">
      <c r="A43" s="101" t="s">
        <v>34</v>
      </c>
      <c r="B43" s="101"/>
      <c r="C43" s="101"/>
      <c r="D43" s="101"/>
      <c r="E43" s="149">
        <f>2024.955/E42</f>
        <v>1.5</v>
      </c>
      <c r="F43" s="149"/>
      <c r="G43" s="149"/>
      <c r="H43" s="149"/>
    </row>
    <row r="44" spans="1:19" x14ac:dyDescent="0.35">
      <c r="A44" s="101" t="s">
        <v>35</v>
      </c>
      <c r="B44" s="101"/>
      <c r="C44" s="101"/>
      <c r="D44" s="101"/>
      <c r="E44" s="149">
        <f>E46/E42-E43</f>
        <v>3.0886760446528436</v>
      </c>
      <c r="F44" s="149"/>
      <c r="G44" s="149"/>
      <c r="H44" s="149"/>
    </row>
    <row r="45" spans="1:19" x14ac:dyDescent="0.35">
      <c r="A45" s="101" t="s">
        <v>36</v>
      </c>
      <c r="B45" s="101"/>
      <c r="C45" s="101"/>
      <c r="D45" s="101"/>
      <c r="E45" s="149">
        <f>E43+E44</f>
        <v>4.5886760446528436</v>
      </c>
      <c r="F45" s="149"/>
      <c r="G45" s="149"/>
      <c r="H45" s="149"/>
    </row>
    <row r="46" spans="1:19" x14ac:dyDescent="0.35">
      <c r="A46" s="101" t="s">
        <v>89</v>
      </c>
      <c r="B46" s="101"/>
      <c r="C46" s="101"/>
      <c r="D46" s="101"/>
      <c r="E46" s="150">
        <v>6194.5749999999998</v>
      </c>
      <c r="F46" s="150"/>
      <c r="G46" s="150"/>
      <c r="H46" s="150"/>
    </row>
    <row r="47" spans="1:19" x14ac:dyDescent="0.35">
      <c r="A47" s="136" t="s">
        <v>37</v>
      </c>
      <c r="B47" s="136"/>
      <c r="C47" s="136"/>
      <c r="D47" s="136"/>
      <c r="E47" s="151" t="s">
        <v>118</v>
      </c>
      <c r="F47" s="151"/>
      <c r="G47" s="151"/>
      <c r="H47" s="151"/>
    </row>
    <row r="48" spans="1:19" x14ac:dyDescent="0.35">
      <c r="A48" s="135" t="s">
        <v>38</v>
      </c>
      <c r="B48" s="135"/>
      <c r="C48" s="135"/>
      <c r="D48" s="135"/>
      <c r="E48" s="135"/>
      <c r="F48" s="135"/>
      <c r="G48" s="135"/>
      <c r="H48" s="135"/>
    </row>
    <row r="49" spans="1:24" ht="33.75" customHeight="1" x14ac:dyDescent="0.35">
      <c r="A49" s="123" t="s">
        <v>151</v>
      </c>
      <c r="B49" s="124"/>
      <c r="C49" s="125" t="s">
        <v>268</v>
      </c>
      <c r="D49" s="126"/>
      <c r="E49" s="126"/>
      <c r="F49" s="126"/>
      <c r="G49" s="126"/>
      <c r="H49" s="127"/>
      <c r="R49" t="s">
        <v>253</v>
      </c>
      <c r="S49" t="s">
        <v>172</v>
      </c>
      <c r="T49" t="s">
        <v>178</v>
      </c>
      <c r="U49" t="s">
        <v>193</v>
      </c>
      <c r="V49" t="s">
        <v>188</v>
      </c>
    </row>
    <row r="50" spans="1:24" ht="32.25" customHeight="1" x14ac:dyDescent="0.35">
      <c r="A50" s="123" t="s">
        <v>39</v>
      </c>
      <c r="B50" s="124"/>
      <c r="C50" s="123" t="s">
        <v>317</v>
      </c>
      <c r="D50" s="152"/>
      <c r="E50" s="124"/>
      <c r="F50" s="18" t="s">
        <v>40</v>
      </c>
      <c r="G50" s="156">
        <v>45366</v>
      </c>
      <c r="H50" s="124"/>
      <c r="R50"/>
      <c r="S50" t="s">
        <v>254</v>
      </c>
      <c r="T50" t="s">
        <v>259</v>
      </c>
      <c r="U50" t="s">
        <v>270</v>
      </c>
      <c r="V50" t="s">
        <v>275</v>
      </c>
    </row>
    <row r="51" spans="1:24" ht="30.75" customHeight="1" x14ac:dyDescent="0.35">
      <c r="A51" s="123" t="s">
        <v>41</v>
      </c>
      <c r="B51" s="124"/>
      <c r="C51" s="123" t="str">
        <f>C50</f>
        <v>CIDCO/BP-18321/TPO(NM &amp; K)/2022/12210</v>
      </c>
      <c r="D51" s="152"/>
      <c r="E51" s="124"/>
      <c r="F51" s="18" t="s">
        <v>40</v>
      </c>
      <c r="G51" s="156">
        <v>45366</v>
      </c>
      <c r="H51" s="124"/>
      <c r="R51"/>
      <c r="S51" t="s">
        <v>255</v>
      </c>
      <c r="T51" t="s">
        <v>260</v>
      </c>
      <c r="U51" t="s">
        <v>268</v>
      </c>
      <c r="V51" t="s">
        <v>276</v>
      </c>
    </row>
    <row r="52" spans="1:24" s="23" customFormat="1" ht="31.5" customHeight="1" x14ac:dyDescent="0.35">
      <c r="A52" s="202" t="s">
        <v>155</v>
      </c>
      <c r="B52" s="203"/>
      <c r="C52" s="206" t="str">
        <f>C51</f>
        <v>CIDCO/BP-18321/TPO(NM &amp; K)/2022/12210</v>
      </c>
      <c r="D52" s="207"/>
      <c r="E52" s="158"/>
      <c r="F52" s="83" t="s">
        <v>40</v>
      </c>
      <c r="G52" s="157">
        <v>45366</v>
      </c>
      <c r="H52" s="158"/>
      <c r="R52"/>
      <c r="S52" t="s">
        <v>256</v>
      </c>
      <c r="T52" t="s">
        <v>261</v>
      </c>
      <c r="U52" t="s">
        <v>258</v>
      </c>
      <c r="V52" t="s">
        <v>277</v>
      </c>
    </row>
    <row r="53" spans="1:24" s="23" customFormat="1" x14ac:dyDescent="0.35">
      <c r="A53" s="204"/>
      <c r="B53" s="205"/>
      <c r="C53" s="206" t="s">
        <v>318</v>
      </c>
      <c r="D53" s="207"/>
      <c r="E53" s="207"/>
      <c r="F53" s="207"/>
      <c r="G53" s="207"/>
      <c r="H53" s="158"/>
      <c r="R53"/>
      <c r="S53" t="s">
        <v>257</v>
      </c>
      <c r="T53" t="s">
        <v>264</v>
      </c>
      <c r="U53" t="s">
        <v>271</v>
      </c>
    </row>
    <row r="54" spans="1:24" s="23" customFormat="1" hidden="1" x14ac:dyDescent="0.35">
      <c r="A54" s="210" t="s">
        <v>281</v>
      </c>
      <c r="B54" s="211"/>
      <c r="C54" s="123" t="str">
        <f>C53</f>
        <v>G + 1st to 11th Floor (Total Builtup Area = 6194.57 Sq.mtrs)</v>
      </c>
      <c r="D54" s="152"/>
      <c r="E54" s="124"/>
      <c r="F54" s="18" t="s">
        <v>40</v>
      </c>
      <c r="G54" s="123"/>
      <c r="H54" s="124"/>
      <c r="R54"/>
      <c r="S54" t="s">
        <v>256</v>
      </c>
      <c r="T54" t="s">
        <v>261</v>
      </c>
      <c r="U54" t="s">
        <v>258</v>
      </c>
      <c r="V54" t="s">
        <v>277</v>
      </c>
    </row>
    <row r="55" spans="1:24" s="23" customFormat="1" ht="32.25" hidden="1" customHeight="1" x14ac:dyDescent="0.35">
      <c r="A55" s="212"/>
      <c r="B55" s="213"/>
      <c r="C55" s="119"/>
      <c r="D55" s="120"/>
      <c r="E55" s="120"/>
      <c r="F55" s="120"/>
      <c r="G55" s="120"/>
      <c r="H55" s="121"/>
      <c r="R55"/>
      <c r="S55" t="s">
        <v>258</v>
      </c>
      <c r="T55" t="s">
        <v>262</v>
      </c>
      <c r="U55" t="s">
        <v>272</v>
      </c>
      <c r="V55" s="21"/>
      <c r="W55" s="21"/>
      <c r="X55" s="21"/>
    </row>
    <row r="56" spans="1:24" s="23" customFormat="1" ht="34.5" hidden="1" customHeight="1" x14ac:dyDescent="0.35">
      <c r="A56" s="210" t="s">
        <v>282</v>
      </c>
      <c r="B56" s="211"/>
      <c r="C56" s="123">
        <f>C55</f>
        <v>0</v>
      </c>
      <c r="D56" s="152"/>
      <c r="E56" s="124"/>
      <c r="F56" s="18" t="s">
        <v>40</v>
      </c>
      <c r="G56" s="123">
        <f>G55</f>
        <v>0</v>
      </c>
      <c r="H56" s="124"/>
      <c r="R56"/>
      <c r="S56" s="21"/>
      <c r="T56" t="s">
        <v>263</v>
      </c>
      <c r="U56" t="s">
        <v>273</v>
      </c>
      <c r="V56" s="21"/>
      <c r="W56" s="21"/>
      <c r="X56" s="21"/>
    </row>
    <row r="57" spans="1:24" s="23" customFormat="1" ht="41.25" hidden="1" customHeight="1" x14ac:dyDescent="0.35">
      <c r="A57" s="212"/>
      <c r="B57" s="213"/>
      <c r="C57" s="123"/>
      <c r="D57" s="152"/>
      <c r="E57" s="152"/>
      <c r="F57" s="152"/>
      <c r="G57" s="152"/>
      <c r="H57" s="124"/>
      <c r="R57"/>
      <c r="S57" s="21"/>
      <c r="T57" t="s">
        <v>265</v>
      </c>
      <c r="U57" t="s">
        <v>274</v>
      </c>
      <c r="V57" s="21"/>
      <c r="W57" s="21"/>
      <c r="X57" s="21"/>
    </row>
    <row r="58" spans="1:24" s="23" customFormat="1" ht="15.75" hidden="1" customHeight="1" x14ac:dyDescent="0.35">
      <c r="A58" s="210" t="s">
        <v>283</v>
      </c>
      <c r="B58" s="211"/>
      <c r="C58" s="123">
        <f>C57</f>
        <v>0</v>
      </c>
      <c r="D58" s="152"/>
      <c r="E58" s="124"/>
      <c r="F58" s="18" t="s">
        <v>40</v>
      </c>
      <c r="G58" s="123">
        <f>G57</f>
        <v>0</v>
      </c>
      <c r="H58" s="124"/>
      <c r="R58"/>
      <c r="S58" s="21"/>
      <c r="T58" t="s">
        <v>266</v>
      </c>
      <c r="U58" s="21" t="s">
        <v>297</v>
      </c>
      <c r="V58" s="21"/>
      <c r="W58" s="21"/>
      <c r="X58" s="21"/>
    </row>
    <row r="59" spans="1:24" s="23" customFormat="1" ht="33.75" hidden="1" customHeight="1" x14ac:dyDescent="0.35">
      <c r="A59" s="212"/>
      <c r="B59" s="213"/>
      <c r="C59" s="123"/>
      <c r="D59" s="152"/>
      <c r="E59" s="152"/>
      <c r="F59" s="152"/>
      <c r="G59" s="152"/>
      <c r="H59" s="124"/>
      <c r="R59"/>
      <c r="S59" s="21"/>
      <c r="T59" t="s">
        <v>267</v>
      </c>
      <c r="U59" s="21"/>
      <c r="V59" s="21"/>
      <c r="W59" s="21"/>
      <c r="X59" s="21"/>
    </row>
    <row r="60" spans="1:24" x14ac:dyDescent="0.35">
      <c r="A60" s="199" t="s">
        <v>42</v>
      </c>
      <c r="B60" s="200"/>
      <c r="C60" s="199" t="s">
        <v>103</v>
      </c>
      <c r="D60" s="201"/>
      <c r="E60" s="200"/>
      <c r="F60" s="45" t="s">
        <v>40</v>
      </c>
      <c r="G60" s="208" t="s">
        <v>28</v>
      </c>
      <c r="H60" s="209"/>
      <c r="R60"/>
      <c r="T60" t="s">
        <v>269</v>
      </c>
    </row>
    <row r="61" spans="1:24" x14ac:dyDescent="0.35">
      <c r="A61" s="181" t="s">
        <v>44</v>
      </c>
      <c r="B61" s="181"/>
      <c r="C61" s="181"/>
      <c r="D61" s="181"/>
      <c r="E61" s="181"/>
      <c r="F61" s="181"/>
      <c r="G61" s="181"/>
      <c r="H61" s="181"/>
      <c r="T61" t="s">
        <v>278</v>
      </c>
    </row>
    <row r="62" spans="1:24" x14ac:dyDescent="0.35">
      <c r="A62" s="160" t="s">
        <v>88</v>
      </c>
      <c r="B62" s="160"/>
      <c r="C62" s="160"/>
      <c r="D62" s="101">
        <f>E46</f>
        <v>6194.5749999999998</v>
      </c>
      <c r="E62" s="101"/>
      <c r="F62" s="101"/>
      <c r="G62" s="101"/>
      <c r="H62" s="101"/>
      <c r="R62"/>
    </row>
    <row r="63" spans="1:24" x14ac:dyDescent="0.35">
      <c r="A63" s="113" t="s">
        <v>45</v>
      </c>
      <c r="B63" s="136"/>
      <c r="C63" s="136"/>
      <c r="D63" s="151" t="s">
        <v>336</v>
      </c>
      <c r="E63" s="151"/>
      <c r="F63" s="151"/>
      <c r="G63" s="151"/>
      <c r="H63" s="151"/>
      <c r="I63" s="24"/>
      <c r="R63"/>
    </row>
    <row r="64" spans="1:24" x14ac:dyDescent="0.35">
      <c r="A64" s="139" t="s">
        <v>46</v>
      </c>
      <c r="B64" s="140"/>
      <c r="C64" s="141"/>
      <c r="D64" s="137" t="s">
        <v>319</v>
      </c>
      <c r="E64" s="138"/>
      <c r="F64" s="138"/>
      <c r="G64" s="138"/>
      <c r="H64" s="138"/>
      <c r="R64"/>
    </row>
    <row r="65" spans="1:19" ht="15.75" customHeight="1" x14ac:dyDescent="0.35">
      <c r="A65" s="139" t="s">
        <v>86</v>
      </c>
      <c r="B65" s="140"/>
      <c r="C65" s="140"/>
      <c r="D65" s="153" t="s">
        <v>320</v>
      </c>
      <c r="E65" s="154"/>
      <c r="F65" s="154"/>
      <c r="G65" s="154"/>
      <c r="H65" s="155"/>
      <c r="R65"/>
    </row>
    <row r="66" spans="1:19" ht="15.75" customHeight="1" x14ac:dyDescent="0.35">
      <c r="A66" s="101" t="s">
        <v>43</v>
      </c>
      <c r="B66" s="101"/>
      <c r="C66" s="101"/>
      <c r="D66" s="147" t="s">
        <v>321</v>
      </c>
      <c r="E66" s="147"/>
      <c r="F66" s="147"/>
      <c r="G66" s="147"/>
      <c r="H66" s="147"/>
      <c r="J66" s="25"/>
      <c r="K66" s="24"/>
      <c r="N66" s="24"/>
      <c r="S66"/>
    </row>
    <row r="67" spans="1:19" ht="15.75" customHeight="1" x14ac:dyDescent="0.35">
      <c r="A67" s="101" t="s">
        <v>84</v>
      </c>
      <c r="B67" s="101"/>
      <c r="C67" s="101"/>
      <c r="D67" s="148" t="str">
        <f>(IF(G60="NA","60 Years After Completion",IF(G60&lt;&gt;"NA",""&amp;60-ROUNDDOWN((E3-G60)/360,0)&amp;" Years"," ")))</f>
        <v>60 Years After Completion</v>
      </c>
      <c r="E67" s="148"/>
      <c r="F67" s="148"/>
      <c r="G67" s="148"/>
      <c r="H67" s="148"/>
      <c r="N67" s="24"/>
      <c r="S67"/>
    </row>
    <row r="68" spans="1:19" ht="15.75" customHeight="1" x14ac:dyDescent="0.35">
      <c r="A68" s="101" t="s">
        <v>85</v>
      </c>
      <c r="B68" s="101"/>
      <c r="C68" s="101"/>
      <c r="D68" s="160" t="s">
        <v>23</v>
      </c>
      <c r="E68" s="160"/>
      <c r="F68" s="160"/>
      <c r="G68" s="160"/>
      <c r="H68" s="160"/>
      <c r="J68" s="26"/>
      <c r="K68" s="26"/>
      <c r="S68"/>
    </row>
    <row r="69" spans="1:19" ht="31.5" customHeight="1" x14ac:dyDescent="0.35">
      <c r="A69" s="151" t="s">
        <v>346</v>
      </c>
      <c r="B69" s="151"/>
      <c r="C69" s="151"/>
      <c r="D69" s="161" t="s">
        <v>345</v>
      </c>
      <c r="E69" s="161"/>
      <c r="F69" s="161"/>
      <c r="G69" s="161"/>
      <c r="H69" s="161"/>
      <c r="S69"/>
    </row>
    <row r="70" spans="1:19" x14ac:dyDescent="0.35">
      <c r="A70" s="160" t="s">
        <v>147</v>
      </c>
      <c r="B70" s="160"/>
      <c r="C70" s="160"/>
      <c r="D70" s="160" t="s">
        <v>28</v>
      </c>
      <c r="E70" s="160"/>
      <c r="F70" s="160"/>
      <c r="G70" s="160"/>
      <c r="H70" s="160"/>
      <c r="I70" s="27"/>
      <c r="J70" s="27"/>
      <c r="K70" s="27"/>
      <c r="L70" s="27"/>
      <c r="M70" s="27"/>
      <c r="N70" s="27"/>
    </row>
    <row r="71" spans="1:19" ht="15.75" customHeight="1" x14ac:dyDescent="0.35">
      <c r="A71" s="101" t="s">
        <v>83</v>
      </c>
      <c r="B71" s="101"/>
      <c r="C71" s="101"/>
      <c r="D71" s="113" t="str">
        <f ca="1">(IF(G77&gt;95%,"Nothing",IF(G77&gt;0%,"Cement, Aggregate, Steel, etc",IF(G77=0%,"Work not yet Started"))))</f>
        <v>Cement, Aggregate, Steel, etc</v>
      </c>
      <c r="E71" s="113"/>
      <c r="F71" s="113"/>
      <c r="G71" s="113"/>
      <c r="H71" s="113"/>
      <c r="J71" s="26"/>
      <c r="S71"/>
    </row>
    <row r="72" spans="1:19" ht="33.75" customHeight="1" thickBot="1" x14ac:dyDescent="0.4">
      <c r="A72" s="160" t="s">
        <v>116</v>
      </c>
      <c r="B72" s="160"/>
      <c r="C72" s="160"/>
      <c r="D72" s="113" t="str">
        <f ca="1">(IF(D71="Nothing","Yes",IF(D71="Cement, Aggregate, Steel, etc","Under Construction",IF(D71="Work not yet Started","Work not yet Started"))))</f>
        <v>Under Construction</v>
      </c>
      <c r="E72" s="113"/>
      <c r="F72" s="113" t="str">
        <f ca="1">(IF(D71="Nothing","Yes",IF(D71="Cement, Aggregate, Steel, etc","Under Construction",IF(D71="Work not yet Started","Work not yet Started"))))</f>
        <v>Under Construction</v>
      </c>
      <c r="G72" s="113"/>
      <c r="H72" s="113"/>
      <c r="S72"/>
    </row>
    <row r="73" spans="1:19" ht="15.75" customHeight="1" x14ac:dyDescent="0.35">
      <c r="A73" s="225" t="s">
        <v>137</v>
      </c>
      <c r="B73" s="225"/>
      <c r="C73" s="225" t="str">
        <f>D65</f>
        <v>G + 1st to 11th Floor</v>
      </c>
      <c r="D73" s="225"/>
      <c r="E73" s="225"/>
      <c r="F73" s="225"/>
      <c r="G73" s="225"/>
      <c r="H73" s="225"/>
      <c r="I73" s="223" t="str">
        <f ca="1">IF(D86=100%,"All work Completed. Possession granted to the Building.",IF(D85=100%,"All work Completed, Waiting for OC",I74&amp;""&amp;I75&amp;""&amp;J74&amp;""&amp;J73&amp;" "&amp;J75))</f>
        <v>Excavation, Plinth Completed, RCC upto 11 Slab, Brickwork upto 10 Floor, Internal Plaster upto 5 Floor Completed</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11 Slab, Brickwork upto 10 Floor, Internal Plaster upto 5 Floor</v>
      </c>
      <c r="S73"/>
    </row>
    <row r="74" spans="1:19" x14ac:dyDescent="0.35">
      <c r="A74" s="81" t="s">
        <v>139</v>
      </c>
      <c r="B74" s="81">
        <f>IF(AND(ISNUMBER(SEARCH("1B",C73))),1,IF(AND(ISNUMBER(SEARCH("2B",C73))),2,IF(AND(ISNUMBER(SEARCH("3B",C73))),3,IF(AND(ISNUMBER(SEARCH("4B",C73))),4,IF(ISNUMBER(SEARCH("5B",C73)),5,0)))))</f>
        <v>0</v>
      </c>
      <c r="C74" s="81" t="s">
        <v>69</v>
      </c>
      <c r="D74" s="81">
        <v>1</v>
      </c>
      <c r="E74" s="81" t="s">
        <v>68</v>
      </c>
      <c r="F74" s="81">
        <v>0</v>
      </c>
      <c r="G74" s="81" t="s">
        <v>77</v>
      </c>
      <c r="H74" s="81">
        <f ca="1">--TRIM(RIGHT(SUBSTITUTE(LEFT(C73,_xlfn.AGGREGATE(16,6,FIND({0,1,2,3,4,5,6,7,8,9},C73,ROW(INDIRECT("1:"&amp;LEN(C73)))),1))," ",REPT(" ",LEN(C73))),LEN(C73)))</f>
        <v>11</v>
      </c>
      <c r="I74" s="224" t="str">
        <f ca="1">IF(D77=100%,"Excavation","")&amp;IF(D78=100%,", Plinth","")&amp;IF(D79=100%,", RCC Slab","")&amp;IF(D80=100%,", Brickwork","")&amp;IF(D81=100%,", Internal Plaster","")&amp;IF(D82=100%,", External Plaster","")&amp;IF(D83=100%,", Flooring","")&amp;IF(D84=100%,", Painting","")&amp;IF(D85=100%,", Building common Amenities","")</f>
        <v>Excavation, Plinth</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35">
      <c r="A75" s="144" t="s">
        <v>87</v>
      </c>
      <c r="B75" s="144"/>
      <c r="C75" s="171" t="str">
        <f ca="1">I73</f>
        <v>Excavation, Plinth Completed, RCC upto 11 Slab, Brickwork upto 10 Floor, Internal Plaster upto 5 Floor Completed</v>
      </c>
      <c r="D75" s="171"/>
      <c r="E75" s="171"/>
      <c r="F75" s="171"/>
      <c r="G75" s="171"/>
      <c r="H75" s="171"/>
      <c r="I75" s="224" t="str">
        <f ca="1">IF(I74&lt;&gt;""," Completed","")</f>
        <v xml:space="preserve"> Completed</v>
      </c>
      <c r="J75" s="52" t="str">
        <f ca="1">IF(J73&lt;&gt;"","Completed","")</f>
        <v>Completed</v>
      </c>
      <c r="S75"/>
    </row>
    <row r="76" spans="1:19" ht="15.75" customHeight="1" x14ac:dyDescent="0.35">
      <c r="A76" s="110" t="s">
        <v>47</v>
      </c>
      <c r="B76" s="110"/>
      <c r="C76" s="85" t="s">
        <v>136</v>
      </c>
      <c r="D76" s="85" t="s">
        <v>80</v>
      </c>
      <c r="E76" s="110" t="s">
        <v>82</v>
      </c>
      <c r="F76" s="110"/>
      <c r="G76" s="110" t="s">
        <v>81</v>
      </c>
      <c r="H76" s="110"/>
      <c r="I76" s="13" t="s">
        <v>138</v>
      </c>
      <c r="J76" s="28">
        <f ca="1">H74*25%</f>
        <v>2.75</v>
      </c>
      <c r="S76"/>
    </row>
    <row r="77" spans="1:19" x14ac:dyDescent="0.35">
      <c r="A77" s="122" t="s">
        <v>125</v>
      </c>
      <c r="B77" s="110"/>
      <c r="C77" s="76">
        <f ca="1">J78</f>
        <v>11</v>
      </c>
      <c r="D77" s="19">
        <f ca="1">((100/H74)*C77)/100</f>
        <v>1.0000000000000002</v>
      </c>
      <c r="E77" s="128">
        <f ca="1">(((C78/H74*10)+(40/(D74+F74+H74)*C79)+(7.5/(H74)*C80)+(7.5/(H74)*C81)+(10/H74*C82)+(10/H74*C83)+(5/H74*C84)+(5/H74*C85)+(5/H74*C86))/100)</f>
        <v>0.56893939393939397</v>
      </c>
      <c r="F77" s="173"/>
      <c r="G77" s="128">
        <f ca="1">((((C77/H74)*20)+((C78/H74)*25)+(30/(H74+F74+D74)*C79)+(5/H74*C80)+(5/H74*C81)+(5/H74*C82)+(5/H74*C83)+(0/H74*C84)+(0/H74*C85)+(5/H74*C86))/100)</f>
        <v>0.7931818181818181</v>
      </c>
      <c r="H77" s="129"/>
      <c r="I77" s="13" t="s">
        <v>98</v>
      </c>
      <c r="J77" s="29">
        <f ca="1">H74*50%</f>
        <v>5.5</v>
      </c>
    </row>
    <row r="78" spans="1:19" x14ac:dyDescent="0.35">
      <c r="A78" s="122" t="s">
        <v>48</v>
      </c>
      <c r="B78" s="110"/>
      <c r="C78" s="76">
        <f ca="1">J86</f>
        <v>11</v>
      </c>
      <c r="D78" s="19">
        <f ca="1">((100/H74)*C78)/100</f>
        <v>1.0000000000000002</v>
      </c>
      <c r="E78" s="130"/>
      <c r="F78" s="174"/>
      <c r="G78" s="130"/>
      <c r="H78" s="131"/>
      <c r="I78" s="13" t="s">
        <v>99</v>
      </c>
      <c r="J78" s="29">
        <f ca="1">H74</f>
        <v>11</v>
      </c>
      <c r="S78"/>
    </row>
    <row r="79" spans="1:19" ht="15.75" customHeight="1" x14ac:dyDescent="0.35">
      <c r="A79" s="122" t="s">
        <v>126</v>
      </c>
      <c r="B79" s="110"/>
      <c r="C79" s="76">
        <v>11</v>
      </c>
      <c r="D79" s="19">
        <f ca="1">((100/(D74+F74+H74))*C79)/100</f>
        <v>0.91666666666666674</v>
      </c>
      <c r="E79" s="130"/>
      <c r="F79" s="174"/>
      <c r="G79" s="130"/>
      <c r="H79" s="131"/>
      <c r="I79" s="13" t="s">
        <v>100</v>
      </c>
      <c r="J79" s="30">
        <f ca="1">(IF(B74&gt;1,(H74/(B74+2)),H74/4))</f>
        <v>2.75</v>
      </c>
      <c r="S79"/>
    </row>
    <row r="80" spans="1:19" ht="15.75" customHeight="1" x14ac:dyDescent="0.35">
      <c r="A80" s="122" t="s">
        <v>133</v>
      </c>
      <c r="B80" s="110" t="s">
        <v>127</v>
      </c>
      <c r="C80" s="76">
        <v>10</v>
      </c>
      <c r="D80" s="19">
        <f ca="1">((100/H74)*C80)/100</f>
        <v>0.90909090909090917</v>
      </c>
      <c r="E80" s="130"/>
      <c r="F80" s="174"/>
      <c r="G80" s="130"/>
      <c r="H80" s="131"/>
      <c r="I80" s="13" t="s">
        <v>101</v>
      </c>
      <c r="J80" s="30">
        <f ca="1">(IF(B74&gt;1,(H74/(B74+2)+J79),H74/4+J79))</f>
        <v>5.5</v>
      </c>
    </row>
    <row r="81" spans="1:10" ht="15.75" customHeight="1" x14ac:dyDescent="0.35">
      <c r="A81" s="122" t="s">
        <v>134</v>
      </c>
      <c r="B81" s="110" t="s">
        <v>127</v>
      </c>
      <c r="C81" s="76">
        <v>5</v>
      </c>
      <c r="D81" s="19">
        <f ca="1">((100/H74)*C81)/100</f>
        <v>0.45454545454545459</v>
      </c>
      <c r="E81" s="130"/>
      <c r="F81" s="174"/>
      <c r="G81" s="130"/>
      <c r="H81" s="131"/>
      <c r="I81" s="13" t="s">
        <v>145</v>
      </c>
      <c r="J81" s="30">
        <f>(IF(B74&gt;1,(H74/(B74+2)+J80),0))</f>
        <v>0</v>
      </c>
    </row>
    <row r="82" spans="1:10" ht="15" customHeight="1" x14ac:dyDescent="0.35">
      <c r="A82" s="122" t="s">
        <v>132</v>
      </c>
      <c r="B82" s="110" t="s">
        <v>129</v>
      </c>
      <c r="C82" s="76">
        <v>0</v>
      </c>
      <c r="D82" s="19">
        <f ca="1">((100/(H74))*C82)/100</f>
        <v>0</v>
      </c>
      <c r="E82" s="130"/>
      <c r="F82" s="174"/>
      <c r="G82" s="130"/>
      <c r="H82" s="131"/>
      <c r="I82" s="13" t="s">
        <v>140</v>
      </c>
      <c r="J82" s="30">
        <f>(IF(B74&gt;2,(H74/(B74+2)+J81),0))</f>
        <v>0</v>
      </c>
    </row>
    <row r="83" spans="1:10" ht="15.75" customHeight="1" x14ac:dyDescent="0.35">
      <c r="A83" s="122" t="s">
        <v>128</v>
      </c>
      <c r="B83" s="110" t="s">
        <v>128</v>
      </c>
      <c r="C83" s="76">
        <v>0</v>
      </c>
      <c r="D83" s="19">
        <f ca="1">((100/H74)*C83)/100</f>
        <v>0</v>
      </c>
      <c r="E83" s="130"/>
      <c r="F83" s="174"/>
      <c r="G83" s="130"/>
      <c r="H83" s="131"/>
      <c r="I83" s="13" t="s">
        <v>141</v>
      </c>
      <c r="J83" s="31">
        <f>(IF(B74&gt;3,(H74/(B74+2)+J82),0))</f>
        <v>0</v>
      </c>
    </row>
    <row r="84" spans="1:10" ht="15.75" customHeight="1" x14ac:dyDescent="0.35">
      <c r="A84" s="122" t="s">
        <v>135</v>
      </c>
      <c r="B84" s="110"/>
      <c r="C84" s="76">
        <v>0</v>
      </c>
      <c r="D84" s="19">
        <f ca="1">((100/H74)*C84)/100</f>
        <v>0</v>
      </c>
      <c r="E84" s="130"/>
      <c r="F84" s="174"/>
      <c r="G84" s="130"/>
      <c r="H84" s="131"/>
      <c r="I84" s="13" t="s">
        <v>142</v>
      </c>
      <c r="J84" s="30">
        <f>(IF(B74&gt;4,(H74/(B74+2)+J83),0))</f>
        <v>0</v>
      </c>
    </row>
    <row r="85" spans="1:10" ht="15.75" customHeight="1" x14ac:dyDescent="0.35">
      <c r="A85" s="122" t="s">
        <v>130</v>
      </c>
      <c r="B85" s="110" t="s">
        <v>130</v>
      </c>
      <c r="C85" s="76">
        <v>0</v>
      </c>
      <c r="D85" s="19">
        <f ca="1">((100/(H74))*C85)/100</f>
        <v>0</v>
      </c>
      <c r="E85" s="130"/>
      <c r="F85" s="174"/>
      <c r="G85" s="130"/>
      <c r="H85" s="131"/>
      <c r="I85" s="13" t="s">
        <v>146</v>
      </c>
      <c r="J85" s="30">
        <f ca="1">(IF(B74=1,(H74/(B74+3)+J80),IF(B74=0,(H74/4+J80),IF(B74&gt;1,0))))</f>
        <v>8.25</v>
      </c>
    </row>
    <row r="86" spans="1:10" ht="16" thickBot="1" x14ac:dyDescent="0.4">
      <c r="A86" s="102" t="s">
        <v>131</v>
      </c>
      <c r="B86" s="103"/>
      <c r="C86" s="78">
        <v>0</v>
      </c>
      <c r="D86" s="20">
        <f ca="1">((100/(H74))*C86)/100</f>
        <v>0</v>
      </c>
      <c r="E86" s="132"/>
      <c r="F86" s="175"/>
      <c r="G86" s="132"/>
      <c r="H86" s="133"/>
      <c r="I86" s="15" t="s">
        <v>102</v>
      </c>
      <c r="J86" s="32">
        <f ca="1">(IF(B74&gt;1.5,(H74/(B74+2)+J80+MAX(0,J81-J80)+MAX(0,J82-J81)+MAX(0,J83-J82)+MAX(0,J84-J83)+MAX(0,J85-J84)),IF(B74=1,(H74/(B74+3)+J85),IF(B74=0,H74/4+J85))))</f>
        <v>11</v>
      </c>
    </row>
    <row r="87" spans="1:10" ht="15.75" hidden="1" customHeight="1" x14ac:dyDescent="0.35">
      <c r="A87" s="166" t="s">
        <v>137</v>
      </c>
      <c r="B87" s="167"/>
      <c r="C87" s="168" t="e">
        <f>#REF!</f>
        <v>#REF!</v>
      </c>
      <c r="D87" s="169"/>
      <c r="E87" s="169"/>
      <c r="F87" s="169"/>
      <c r="G87" s="169"/>
      <c r="H87" s="170"/>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139</v>
      </c>
      <c r="B88" s="53">
        <f>IF(AND(ISNUMBER(SEARCH("1B",C87))),1,IF(AND(ISNUMBER(SEARCH("2B",C87))),2,IF(AND(ISNUMBER(SEARCH("3B",C87))),3,IF(AND(ISNUMBER(SEARCH("4B",C87))),4,IF(ISNUMBER(SEARCH("5B",C87)),5,0)))))</f>
        <v>0</v>
      </c>
      <c r="C88" s="47" t="s">
        <v>69</v>
      </c>
      <c r="D88" s="47">
        <v>1</v>
      </c>
      <c r="E88" s="47" t="s">
        <v>68</v>
      </c>
      <c r="F88" s="14">
        <v>0</v>
      </c>
      <c r="G88" s="48" t="s">
        <v>77</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35">
      <c r="A89" s="86" t="s">
        <v>87</v>
      </c>
      <c r="B89" s="87"/>
      <c r="C89" s="142" t="e">
        <f ca="1">(IF($G$60="NA",I87,"All work Completed. OC Received."))</f>
        <v>#REF!</v>
      </c>
      <c r="D89" s="142"/>
      <c r="E89" s="142"/>
      <c r="F89" s="142"/>
      <c r="G89" s="142"/>
      <c r="H89" s="143"/>
      <c r="I89" s="51" t="e">
        <f ca="1">IF(I88&lt;&gt;""," Completed","")</f>
        <v>#REF!</v>
      </c>
      <c r="J89" s="52" t="e">
        <f ca="1">IF(J87&lt;&gt;"","Completed","")</f>
        <v>#REF!</v>
      </c>
    </row>
    <row r="90" spans="1:10" ht="15.75" hidden="1" customHeight="1" x14ac:dyDescent="0.35">
      <c r="A90" s="122" t="s">
        <v>47</v>
      </c>
      <c r="B90" s="110"/>
      <c r="C90" s="43" t="s">
        <v>136</v>
      </c>
      <c r="D90" s="43" t="s">
        <v>80</v>
      </c>
      <c r="E90" s="110" t="s">
        <v>82</v>
      </c>
      <c r="F90" s="110"/>
      <c r="G90" s="110" t="s">
        <v>81</v>
      </c>
      <c r="H90" s="172"/>
      <c r="I90" s="13" t="s">
        <v>138</v>
      </c>
      <c r="J90" s="28" t="e">
        <f ca="1">H88*25%</f>
        <v>#REF!</v>
      </c>
    </row>
    <row r="91" spans="1:10" hidden="1" x14ac:dyDescent="0.35">
      <c r="A91" s="122" t="s">
        <v>125</v>
      </c>
      <c r="B91" s="110"/>
      <c r="C91" s="64" t="e">
        <f ca="1">J92</f>
        <v>#REF!</v>
      </c>
      <c r="D91" s="19" t="e">
        <f ca="1">((100/H88)*C91)/100</f>
        <v>#REF!</v>
      </c>
      <c r="E91" s="128" t="e">
        <f ca="1">(((C92/H88*10)+(40/(D88+F88+H88)*C93)+(7.5/(H88)*C94)+(7.5/(H88)*C95)+(10/H88*C96)+(10/H88*C97)+(5/H88*C98)+(5/H88*C99)+(5/H88*C100))/100)</f>
        <v>#REF!</v>
      </c>
      <c r="F91" s="173"/>
      <c r="G91" s="128" t="e">
        <f ca="1">((((C91/H88)*20)+((C92/H88)*25)+(30/(H88+F88+D88)*C93)+(5/H88*C94)+(5/H88*C95)+(5/H88*C96)+(5/H88*C97)+(0/H88*C98)+(0/H88*C99)+(5/H88*C100))/100)</f>
        <v>#REF!</v>
      </c>
      <c r="H91" s="129"/>
      <c r="I91" s="13" t="s">
        <v>98</v>
      </c>
      <c r="J91" s="29" t="e">
        <f ca="1">H88*50%</f>
        <v>#REF!</v>
      </c>
    </row>
    <row r="92" spans="1:10" hidden="1" x14ac:dyDescent="0.35">
      <c r="A92" s="122" t="s">
        <v>48</v>
      </c>
      <c r="B92" s="110"/>
      <c r="C92" s="65">
        <v>19</v>
      </c>
      <c r="D92" s="19" t="e">
        <f ca="1">((100/H88)*C92)/100</f>
        <v>#REF!</v>
      </c>
      <c r="E92" s="130"/>
      <c r="F92" s="174"/>
      <c r="G92" s="130"/>
      <c r="H92" s="131"/>
      <c r="I92" s="13" t="s">
        <v>99</v>
      </c>
      <c r="J92" s="29" t="e">
        <f ca="1">H88</f>
        <v>#REF!</v>
      </c>
    </row>
    <row r="93" spans="1:10" ht="15.75" hidden="1" customHeight="1" x14ac:dyDescent="0.35">
      <c r="A93" s="122" t="s">
        <v>126</v>
      </c>
      <c r="B93" s="110"/>
      <c r="C93" s="43">
        <v>0</v>
      </c>
      <c r="D93" s="19" t="e">
        <f ca="1">((100/(D88+F88+H88))*C93)/100</f>
        <v>#REF!</v>
      </c>
      <c r="E93" s="130"/>
      <c r="F93" s="174"/>
      <c r="G93" s="130"/>
      <c r="H93" s="131"/>
      <c r="I93" s="13" t="s">
        <v>100</v>
      </c>
      <c r="J93" s="30" t="e">
        <f ca="1">(IF(B88&gt;1,(H88/(B88+2)),H88/4))</f>
        <v>#REF!</v>
      </c>
    </row>
    <row r="94" spans="1:10" ht="15.75" hidden="1" customHeight="1" x14ac:dyDescent="0.35">
      <c r="A94" s="122" t="s">
        <v>133</v>
      </c>
      <c r="B94" s="110" t="s">
        <v>127</v>
      </c>
      <c r="C94" s="63">
        <v>0</v>
      </c>
      <c r="D94" s="19" t="e">
        <f ca="1">((100/H88)*C94)/100</f>
        <v>#REF!</v>
      </c>
      <c r="E94" s="130"/>
      <c r="F94" s="174"/>
      <c r="G94" s="130"/>
      <c r="H94" s="131"/>
      <c r="I94" s="13" t="s">
        <v>101</v>
      </c>
      <c r="J94" s="30" t="e">
        <f ca="1">(IF(B88&gt;1,(H88/(B88+2)+J93),H88/4+J93))</f>
        <v>#REF!</v>
      </c>
    </row>
    <row r="95" spans="1:10" ht="15.75" hidden="1" customHeight="1" x14ac:dyDescent="0.35">
      <c r="A95" s="122" t="s">
        <v>134</v>
      </c>
      <c r="B95" s="110" t="s">
        <v>127</v>
      </c>
      <c r="C95" s="63">
        <v>0</v>
      </c>
      <c r="D95" s="19" t="e">
        <f ca="1">((100/H88)*C95)/100</f>
        <v>#REF!</v>
      </c>
      <c r="E95" s="130"/>
      <c r="F95" s="174"/>
      <c r="G95" s="130"/>
      <c r="H95" s="131"/>
      <c r="I95" s="13" t="s">
        <v>145</v>
      </c>
      <c r="J95" s="30">
        <f>(IF(B88&gt;1,(H88/(B88+2)+J94),0))</f>
        <v>0</v>
      </c>
    </row>
    <row r="96" spans="1:10" ht="15" hidden="1" customHeight="1" x14ac:dyDescent="0.35">
      <c r="A96" s="122" t="s">
        <v>132</v>
      </c>
      <c r="B96" s="110" t="s">
        <v>129</v>
      </c>
      <c r="C96" s="63">
        <v>0</v>
      </c>
      <c r="D96" s="19" t="e">
        <f ca="1">((100/(H88))*C96)/100</f>
        <v>#REF!</v>
      </c>
      <c r="E96" s="130"/>
      <c r="F96" s="174"/>
      <c r="G96" s="130"/>
      <c r="H96" s="131"/>
      <c r="I96" s="13" t="s">
        <v>140</v>
      </c>
      <c r="J96" s="30">
        <f>(IF(B88&gt;2,(H88/(B88+2)+J95),0))</f>
        <v>0</v>
      </c>
    </row>
    <row r="97" spans="1:22" ht="15.75" hidden="1" customHeight="1" x14ac:dyDescent="0.35">
      <c r="A97" s="122" t="s">
        <v>128</v>
      </c>
      <c r="B97" s="110" t="s">
        <v>128</v>
      </c>
      <c r="C97" s="63">
        <v>0</v>
      </c>
      <c r="D97" s="19" t="e">
        <f ca="1">((100/H88)*C97)/100</f>
        <v>#REF!</v>
      </c>
      <c r="E97" s="130"/>
      <c r="F97" s="174"/>
      <c r="G97" s="130"/>
      <c r="H97" s="131"/>
      <c r="I97" s="13" t="s">
        <v>141</v>
      </c>
      <c r="J97" s="31">
        <f>(IF(B88&gt;3,(H88/(B88+2)+J96),0))</f>
        <v>0</v>
      </c>
    </row>
    <row r="98" spans="1:22" ht="15.75" hidden="1" customHeight="1" x14ac:dyDescent="0.35">
      <c r="A98" s="122" t="s">
        <v>135</v>
      </c>
      <c r="B98" s="110"/>
      <c r="C98" s="43">
        <v>0</v>
      </c>
      <c r="D98" s="19" t="e">
        <f ca="1">((100/H88)*C98)/100</f>
        <v>#REF!</v>
      </c>
      <c r="E98" s="130"/>
      <c r="F98" s="174"/>
      <c r="G98" s="130"/>
      <c r="H98" s="131"/>
      <c r="I98" s="13" t="s">
        <v>142</v>
      </c>
      <c r="J98" s="30">
        <f>(IF(B88&gt;4,(H88/(B88+2)+J97),0))</f>
        <v>0</v>
      </c>
    </row>
    <row r="99" spans="1:22" ht="15.75" hidden="1" customHeight="1" x14ac:dyDescent="0.35">
      <c r="A99" s="122" t="s">
        <v>130</v>
      </c>
      <c r="B99" s="110" t="s">
        <v>130</v>
      </c>
      <c r="C99" s="43">
        <v>0</v>
      </c>
      <c r="D99" s="19" t="e">
        <f ca="1">((100/(H88))*C99)/100</f>
        <v>#REF!</v>
      </c>
      <c r="E99" s="130"/>
      <c r="F99" s="174"/>
      <c r="G99" s="130"/>
      <c r="H99" s="131"/>
      <c r="I99" s="13" t="s">
        <v>146</v>
      </c>
      <c r="J99" s="30" t="e">
        <f ca="1">(IF(B88=1,(H88/(B88+3)+J94),IF(B88=0,(H88/4+J94),IF(B88&gt;1,0))))</f>
        <v>#REF!</v>
      </c>
    </row>
    <row r="100" spans="1:22" ht="16" hidden="1" thickBot="1" x14ac:dyDescent="0.4">
      <c r="A100" s="102" t="s">
        <v>131</v>
      </c>
      <c r="B100" s="103"/>
      <c r="C100" s="44">
        <v>0</v>
      </c>
      <c r="D100" s="20" t="e">
        <f ca="1">((100/(H88))*C100)/100</f>
        <v>#REF!</v>
      </c>
      <c r="E100" s="132"/>
      <c r="F100" s="175"/>
      <c r="G100" s="132"/>
      <c r="H100" s="133"/>
      <c r="I100" s="15" t="s">
        <v>102</v>
      </c>
      <c r="J100" s="32" t="e">
        <f ca="1">(IF(B88&gt;1.5,(H88/(B88+2)+J94+MAX(0,J95-J94)+MAX(0,J96-J95)+MAX(0,J97-J96)+MAX(0,J98-J97)+MAX(0,J99-J98)),IF(B88=1,(H88/(B88+3)+J99),IF(B88=0,H88/4+J99))))</f>
        <v>#REF!</v>
      </c>
    </row>
    <row r="101" spans="1:22" x14ac:dyDescent="0.35">
      <c r="A101" s="185" t="s">
        <v>157</v>
      </c>
      <c r="B101" s="185"/>
      <c r="C101" s="185"/>
      <c r="D101" s="185"/>
      <c r="E101" s="185"/>
      <c r="F101" s="186" t="s">
        <v>161</v>
      </c>
      <c r="G101" s="186"/>
      <c r="H101" s="186"/>
      <c r="R101" t="s">
        <v>253</v>
      </c>
      <c r="S101" t="s">
        <v>172</v>
      </c>
      <c r="T101" t="s">
        <v>178</v>
      </c>
      <c r="U101" t="s">
        <v>193</v>
      </c>
      <c r="V101" t="s">
        <v>188</v>
      </c>
    </row>
    <row r="102" spans="1:22" x14ac:dyDescent="0.35">
      <c r="A102" s="101" t="s">
        <v>159</v>
      </c>
      <c r="B102" s="101"/>
      <c r="C102" s="101"/>
      <c r="D102" s="101"/>
      <c r="E102" s="101"/>
      <c r="F102" s="134">
        <v>8050</v>
      </c>
      <c r="G102" s="134"/>
      <c r="H102" s="134"/>
      <c r="I102" s="21" t="s">
        <v>347</v>
      </c>
      <c r="J102" s="21" t="s">
        <v>349</v>
      </c>
      <c r="R102"/>
      <c r="S102">
        <v>800000</v>
      </c>
      <c r="T102">
        <v>150000</v>
      </c>
      <c r="U102">
        <v>100000</v>
      </c>
      <c r="V102">
        <v>100000</v>
      </c>
    </row>
    <row r="103" spans="1:22" x14ac:dyDescent="0.35">
      <c r="A103" s="101" t="s">
        <v>158</v>
      </c>
      <c r="B103" s="101"/>
      <c r="C103" s="101"/>
      <c r="D103" s="101"/>
      <c r="E103" s="101"/>
      <c r="F103" s="134">
        <v>11000</v>
      </c>
      <c r="G103" s="134"/>
      <c r="H103" s="134"/>
      <c r="I103" s="21" t="s">
        <v>352</v>
      </c>
      <c r="R103"/>
      <c r="S103">
        <v>900000</v>
      </c>
      <c r="T103">
        <v>200000</v>
      </c>
      <c r="U103">
        <v>150000</v>
      </c>
      <c r="V103">
        <v>150000</v>
      </c>
    </row>
    <row r="104" spans="1:22" hidden="1" x14ac:dyDescent="0.35">
      <c r="A104" s="101" t="s">
        <v>160</v>
      </c>
      <c r="B104" s="101"/>
      <c r="C104" s="101"/>
      <c r="D104" s="101"/>
      <c r="E104" s="101"/>
      <c r="F104" s="134"/>
      <c r="G104" s="134"/>
      <c r="H104" s="134"/>
      <c r="R104"/>
      <c r="S104">
        <v>1000000</v>
      </c>
      <c r="T104">
        <v>250000</v>
      </c>
      <c r="U104">
        <v>200000</v>
      </c>
      <c r="V104">
        <v>200000</v>
      </c>
    </row>
    <row r="105" spans="1:22" s="33" customFormat="1" hidden="1" x14ac:dyDescent="0.35">
      <c r="A105" s="101" t="s">
        <v>175</v>
      </c>
      <c r="B105" s="101"/>
      <c r="C105" s="101"/>
      <c r="D105" s="101"/>
      <c r="E105" s="101"/>
      <c r="F105" s="134"/>
      <c r="G105" s="134"/>
      <c r="H105" s="134"/>
      <c r="R105"/>
      <c r="S105">
        <v>1100000</v>
      </c>
      <c r="T105">
        <v>300000</v>
      </c>
      <c r="U105">
        <v>250000</v>
      </c>
      <c r="V105" s="23">
        <v>250000</v>
      </c>
    </row>
    <row r="106" spans="1:22" s="33" customFormat="1" hidden="1" x14ac:dyDescent="0.35">
      <c r="A106" s="101" t="s">
        <v>92</v>
      </c>
      <c r="B106" s="101"/>
      <c r="C106" s="101"/>
      <c r="D106" s="101"/>
      <c r="E106" s="101"/>
      <c r="F106" s="134"/>
      <c r="G106" s="134"/>
      <c r="H106" s="134"/>
      <c r="R106"/>
      <c r="S106">
        <v>1200000</v>
      </c>
      <c r="T106">
        <v>350000</v>
      </c>
      <c r="U106">
        <v>300000</v>
      </c>
      <c r="V106">
        <v>300000</v>
      </c>
    </row>
    <row r="107" spans="1:22" s="33" customFormat="1" hidden="1" x14ac:dyDescent="0.35">
      <c r="A107" s="101" t="s">
        <v>93</v>
      </c>
      <c r="B107" s="101"/>
      <c r="C107" s="101"/>
      <c r="D107" s="101"/>
      <c r="E107" s="101"/>
      <c r="F107" s="134"/>
      <c r="G107" s="134"/>
      <c r="H107" s="134"/>
      <c r="R107"/>
      <c r="S107">
        <v>1300000</v>
      </c>
      <c r="T107">
        <v>400000</v>
      </c>
      <c r="U107">
        <v>350000</v>
      </c>
      <c r="V107" s="23">
        <v>400000</v>
      </c>
    </row>
    <row r="108" spans="1:22" s="33" customFormat="1" hidden="1" x14ac:dyDescent="0.35">
      <c r="A108" s="101" t="s">
        <v>94</v>
      </c>
      <c r="B108" s="101"/>
      <c r="C108" s="101"/>
      <c r="D108" s="101"/>
      <c r="E108" s="101"/>
      <c r="F108" s="134"/>
      <c r="G108" s="134"/>
      <c r="H108" s="134"/>
      <c r="R108"/>
      <c r="S108">
        <v>1400000</v>
      </c>
      <c r="T108">
        <v>500000</v>
      </c>
      <c r="U108">
        <v>400000</v>
      </c>
      <c r="V108"/>
    </row>
    <row r="109" spans="1:22" s="33" customFormat="1" hidden="1" x14ac:dyDescent="0.35">
      <c r="A109" s="101" t="s">
        <v>95</v>
      </c>
      <c r="B109" s="101"/>
      <c r="C109" s="101"/>
      <c r="D109" s="101"/>
      <c r="E109" s="101"/>
      <c r="F109" s="134"/>
      <c r="G109" s="134"/>
      <c r="H109" s="134"/>
      <c r="R109"/>
      <c r="S109">
        <v>1500000</v>
      </c>
      <c r="T109">
        <v>600000</v>
      </c>
      <c r="U109">
        <v>500000</v>
      </c>
      <c r="V109" s="23"/>
    </row>
    <row r="110" spans="1:22" s="33" customFormat="1" hidden="1" x14ac:dyDescent="0.35">
      <c r="A110" s="101" t="s">
        <v>96</v>
      </c>
      <c r="B110" s="101"/>
      <c r="C110" s="101"/>
      <c r="D110" s="101"/>
      <c r="E110" s="101"/>
      <c r="F110" s="134"/>
      <c r="G110" s="134"/>
      <c r="H110" s="134"/>
      <c r="R110"/>
      <c r="S110">
        <v>1600000</v>
      </c>
      <c r="T110">
        <v>700000</v>
      </c>
      <c r="U110">
        <v>600000</v>
      </c>
      <c r="V110"/>
    </row>
    <row r="111" spans="1:22" s="33" customFormat="1" hidden="1" x14ac:dyDescent="0.35">
      <c r="A111" s="101" t="s">
        <v>97</v>
      </c>
      <c r="B111" s="101"/>
      <c r="C111" s="101"/>
      <c r="D111" s="101"/>
      <c r="E111" s="101"/>
      <c r="F111" s="134"/>
      <c r="G111" s="134"/>
      <c r="H111" s="134"/>
      <c r="R111"/>
      <c r="S111">
        <v>1700000</v>
      </c>
      <c r="T111">
        <v>800000</v>
      </c>
      <c r="U111"/>
      <c r="V111" s="23"/>
    </row>
    <row r="112" spans="1:22" x14ac:dyDescent="0.35">
      <c r="A112" s="101" t="s">
        <v>49</v>
      </c>
      <c r="B112" s="101"/>
      <c r="C112" s="101"/>
      <c r="D112" s="101"/>
      <c r="E112" s="101"/>
      <c r="F112" s="184">
        <v>400000</v>
      </c>
      <c r="G112" s="184"/>
      <c r="H112" s="184"/>
      <c r="R112"/>
      <c r="S112">
        <v>1800000</v>
      </c>
      <c r="T112">
        <v>900000</v>
      </c>
      <c r="U112"/>
    </row>
    <row r="113" spans="1:22" s="34" customFormat="1" x14ac:dyDescent="0.35">
      <c r="A113" s="135" t="s">
        <v>50</v>
      </c>
      <c r="B113" s="135"/>
      <c r="C113" s="135"/>
      <c r="D113" s="135"/>
      <c r="E113" s="135"/>
      <c r="F113" s="134">
        <f>F102*0.8</f>
        <v>6440</v>
      </c>
      <c r="G113" s="134"/>
      <c r="H113" s="134"/>
      <c r="R113" s="21"/>
      <c r="S113" s="21"/>
      <c r="T113">
        <v>1000000</v>
      </c>
      <c r="U113"/>
      <c r="V113" s="21"/>
    </row>
    <row r="114" spans="1:22" s="35" customFormat="1" ht="15.75" customHeight="1" x14ac:dyDescent="0.35">
      <c r="A114" s="108" t="s">
        <v>72</v>
      </c>
      <c r="B114" s="108"/>
      <c r="C114" s="108"/>
      <c r="D114" s="108"/>
      <c r="E114" s="108"/>
      <c r="F114" s="108"/>
      <c r="G114" s="108"/>
      <c r="H114" s="108"/>
      <c r="R114"/>
      <c r="S114" s="21"/>
      <c r="T114"/>
      <c r="U114"/>
      <c r="V114" s="21"/>
    </row>
    <row r="115" spans="1:22" s="35" customFormat="1" ht="15.75" customHeight="1" x14ac:dyDescent="0.35">
      <c r="A115" s="182" t="s">
        <v>51</v>
      </c>
      <c r="B115" s="182"/>
      <c r="C115" s="107" t="s">
        <v>75</v>
      </c>
      <c r="D115" s="107"/>
      <c r="E115" s="187" t="s">
        <v>52</v>
      </c>
      <c r="F115" s="187"/>
      <c r="G115" s="182" t="s">
        <v>53</v>
      </c>
      <c r="H115" s="182"/>
      <c r="R115"/>
      <c r="S115" s="21"/>
      <c r="T115"/>
      <c r="U115" s="21"/>
      <c r="V115" s="21"/>
    </row>
    <row r="116" spans="1:22" s="35" customFormat="1" x14ac:dyDescent="0.35">
      <c r="A116" s="180" t="s">
        <v>331</v>
      </c>
      <c r="B116" s="180"/>
      <c r="C116" s="105">
        <f>COUNT(D128:D140)</f>
        <v>13</v>
      </c>
      <c r="D116" s="114"/>
      <c r="E116" s="105">
        <f t="shared" ref="E116" si="0">SUM(F128:F140)</f>
        <v>3801.6402839999996</v>
      </c>
      <c r="F116" s="114"/>
      <c r="G116" s="105">
        <f t="shared" ref="G116" si="1">SUM(H128:H140)</f>
        <v>5892.5424401999999</v>
      </c>
      <c r="H116" s="114"/>
      <c r="R116"/>
      <c r="S116" s="21"/>
      <c r="T116"/>
      <c r="U116" s="21"/>
      <c r="V116" s="21"/>
    </row>
    <row r="117" spans="1:22" s="35" customFormat="1" x14ac:dyDescent="0.35">
      <c r="A117" s="108" t="s">
        <v>150</v>
      </c>
      <c r="B117" s="108"/>
      <c r="C117" s="106">
        <f>SUM(C116)</f>
        <v>13</v>
      </c>
      <c r="D117" s="107"/>
      <c r="E117" s="106">
        <f t="shared" ref="E117" si="2">SUM(E116)</f>
        <v>3801.6402839999996</v>
      </c>
      <c r="F117" s="107"/>
      <c r="G117" s="106">
        <f t="shared" ref="G117" si="3">SUM(G116)</f>
        <v>5892.5424401999999</v>
      </c>
      <c r="H117" s="107"/>
      <c r="R117"/>
      <c r="S117" s="21"/>
      <c r="T117"/>
      <c r="U117" s="21"/>
      <c r="V117" s="21"/>
    </row>
    <row r="118" spans="1:22" s="35" customFormat="1" x14ac:dyDescent="0.35">
      <c r="A118" s="108" t="s">
        <v>67</v>
      </c>
      <c r="B118" s="108"/>
      <c r="C118" s="108"/>
      <c r="D118" s="108"/>
      <c r="E118" s="108"/>
      <c r="F118" s="108"/>
      <c r="G118" s="108"/>
      <c r="H118" s="108"/>
      <c r="T118"/>
    </row>
    <row r="119" spans="1:22" s="35" customFormat="1" ht="15.75" customHeight="1" x14ac:dyDescent="0.35">
      <c r="A119" s="182" t="s">
        <v>51</v>
      </c>
      <c r="B119" s="182"/>
      <c r="C119" s="107" t="s">
        <v>75</v>
      </c>
      <c r="D119" s="107"/>
      <c r="E119" s="187" t="s">
        <v>52</v>
      </c>
      <c r="F119" s="187"/>
      <c r="G119" s="182" t="s">
        <v>53</v>
      </c>
      <c r="H119" s="182"/>
      <c r="T119"/>
    </row>
    <row r="120" spans="1:22" s="35" customFormat="1" x14ac:dyDescent="0.35">
      <c r="A120" s="180" t="s">
        <v>332</v>
      </c>
      <c r="B120" s="180"/>
      <c r="C120" s="105">
        <f>COUNT(D145:D151)+COUNT(D153:D159)*7+COUNT(D161:D166)+COUNT(D169:D175)+COUNT(D177:D181)+COUNT(D183)</f>
        <v>75</v>
      </c>
      <c r="D120" s="105"/>
      <c r="E120" s="105">
        <f>SUM(F145:F151)+SUM(F153:F159)*7+SUM(F161:F166)+SUM(F169:F175)+SUM(F177:F181)+SUM(F183)</f>
        <v>45445.298534999987</v>
      </c>
      <c r="F120" s="105"/>
      <c r="G120" s="105">
        <f t="shared" ref="G120" si="4">SUM(H145:H151)+SUM(H153:H159)*7+SUM(H161:H166)+SUM(H169:H175)+SUM(H177:H181)+SUM(H183)</f>
        <v>68475.486046499995</v>
      </c>
      <c r="H120" s="105"/>
      <c r="T120"/>
    </row>
    <row r="121" spans="1:22" s="35" customFormat="1" ht="16" thickBot="1" x14ac:dyDescent="0.4">
      <c r="A121" s="104" t="s">
        <v>150</v>
      </c>
      <c r="B121" s="104"/>
      <c r="C121" s="105">
        <f>SUM(C120)</f>
        <v>75</v>
      </c>
      <c r="D121" s="105"/>
      <c r="E121" s="105">
        <f t="shared" ref="E121" si="5">SUM(E120)</f>
        <v>45445.298534999987</v>
      </c>
      <c r="F121" s="105"/>
      <c r="G121" s="105">
        <f t="shared" ref="G121" si="6">SUM(G120)</f>
        <v>68475.486046499995</v>
      </c>
      <c r="H121" s="105"/>
      <c r="T121"/>
    </row>
    <row r="122" spans="1:22" s="35" customFormat="1" ht="16" thickBot="1" x14ac:dyDescent="0.4">
      <c r="A122" s="188" t="s">
        <v>166</v>
      </c>
      <c r="B122" s="189"/>
      <c r="C122" s="190">
        <f>C117+C121</f>
        <v>88</v>
      </c>
      <c r="D122" s="190"/>
      <c r="E122" s="191">
        <f>E117+E121</f>
        <v>49246.938818999988</v>
      </c>
      <c r="F122" s="191"/>
      <c r="G122" s="117">
        <f>G117+G121</f>
        <v>74368.028486700001</v>
      </c>
      <c r="H122" s="118"/>
      <c r="T122"/>
    </row>
    <row r="123" spans="1:22" s="34" customFormat="1" x14ac:dyDescent="0.35">
      <c r="A123" s="186" t="s">
        <v>54</v>
      </c>
      <c r="B123" s="186"/>
      <c r="C123" s="186"/>
      <c r="D123" s="186"/>
      <c r="E123" s="186"/>
      <c r="F123" s="186"/>
      <c r="G123" s="186"/>
      <c r="H123" s="186"/>
      <c r="T123" s="35"/>
    </row>
    <row r="124" spans="1:22" x14ac:dyDescent="0.35">
      <c r="A124" s="198" t="s">
        <v>174</v>
      </c>
      <c r="B124" s="198"/>
      <c r="C124" s="198"/>
      <c r="D124" s="198"/>
      <c r="E124" s="198"/>
      <c r="F124" s="198"/>
      <c r="G124" s="198"/>
      <c r="H124" s="198"/>
      <c r="T124" s="35"/>
    </row>
    <row r="125" spans="1:22" ht="47.25" customHeight="1" x14ac:dyDescent="0.35">
      <c r="A125" s="93" t="s">
        <v>341</v>
      </c>
      <c r="B125" s="93" t="s">
        <v>176</v>
      </c>
      <c r="C125" s="93" t="s">
        <v>55</v>
      </c>
      <c r="D125" s="93" t="s">
        <v>232</v>
      </c>
      <c r="E125" s="115" t="s">
        <v>156</v>
      </c>
      <c r="F125" s="93" t="s">
        <v>56</v>
      </c>
      <c r="G125" s="115" t="s">
        <v>57</v>
      </c>
      <c r="H125" s="79" t="s">
        <v>148</v>
      </c>
      <c r="T125" s="35"/>
    </row>
    <row r="126" spans="1:22" s="37" customFormat="1" x14ac:dyDescent="0.35">
      <c r="A126" s="94"/>
      <c r="B126" s="94"/>
      <c r="C126" s="94"/>
      <c r="D126" s="94"/>
      <c r="E126" s="116"/>
      <c r="F126" s="94"/>
      <c r="G126" s="116"/>
      <c r="H126" s="80">
        <v>0.55000000000000004</v>
      </c>
      <c r="J126" s="36">
        <f>10.764</f>
        <v>10.763999999999999</v>
      </c>
      <c r="T126" s="35"/>
    </row>
    <row r="127" spans="1:22" s="37" customFormat="1" x14ac:dyDescent="0.35">
      <c r="A127" s="90" t="s">
        <v>322</v>
      </c>
      <c r="B127" s="91"/>
      <c r="C127" s="91"/>
      <c r="D127" s="91"/>
      <c r="E127" s="91"/>
      <c r="F127" s="91"/>
      <c r="G127" s="91"/>
      <c r="H127" s="92"/>
      <c r="J127" s="36"/>
      <c r="T127" s="35"/>
    </row>
    <row r="128" spans="1:22" s="37" customFormat="1" ht="15.75" customHeight="1" x14ac:dyDescent="0.35">
      <c r="A128" s="88">
        <v>1</v>
      </c>
      <c r="B128" s="89"/>
      <c r="C128" s="42" t="s">
        <v>323</v>
      </c>
      <c r="D128" s="74">
        <f>(27.602)*(10.764)</f>
        <v>297.10792799999996</v>
      </c>
      <c r="E128" s="42">
        <v>0</v>
      </c>
      <c r="F128" s="66">
        <f>D128+(IF(E128&lt;201,E128,IF(E128&lt;301,E128/2,E128/3)))</f>
        <v>297.10792799999996</v>
      </c>
      <c r="G128" s="67">
        <v>0</v>
      </c>
      <c r="H128" s="66">
        <f>(F128+(IF(G128&lt;101,G128,IF(G128&lt;201,G128/2,IF(G128&lt;=301,G128/3,G128/4)))))*(($H$126)+1)</f>
        <v>460.51728839999993</v>
      </c>
      <c r="I128" s="36">
        <f>3.055*9.035</f>
        <v>27.601925000000001</v>
      </c>
      <c r="J128" s="37">
        <v>660</v>
      </c>
      <c r="K128" s="37">
        <f>J128/F128</f>
        <v>2.2214149734839794</v>
      </c>
      <c r="L128" s="111"/>
      <c r="M128" s="111"/>
      <c r="N128" s="36"/>
      <c r="T128" s="35"/>
    </row>
    <row r="129" spans="1:20" s="37" customFormat="1" ht="15.75" customHeight="1" x14ac:dyDescent="0.35">
      <c r="A129" s="88">
        <f>A128+1</f>
        <v>2</v>
      </c>
      <c r="B129" s="89"/>
      <c r="C129" s="72" t="s">
        <v>323</v>
      </c>
      <c r="D129" s="74">
        <f>(24.485)*(10.764)</f>
        <v>263.55653999999998</v>
      </c>
      <c r="E129" s="42">
        <v>0</v>
      </c>
      <c r="F129" s="66">
        <f t="shared" ref="F129:F131" si="7">D129+(IF(E129&lt;201,E129,IF(E129&lt;301,E129/2,E129/3)))</f>
        <v>263.55653999999998</v>
      </c>
      <c r="G129" s="56">
        <v>0</v>
      </c>
      <c r="H129" s="66">
        <f t="shared" ref="H129:H131" si="8">(F129+(IF(G129&lt;101,G129,IF(G129&lt;201,G129/2,IF(G129&lt;=301,G129/3,G129/4)))))*(($H$126)+1)</f>
        <v>408.51263699999998</v>
      </c>
      <c r="I129" s="36"/>
      <c r="J129" s="37">
        <v>570</v>
      </c>
      <c r="K129" s="75">
        <f t="shared" ref="K129:K140" si="9">J129/F129</f>
        <v>2.1627237935359145</v>
      </c>
      <c r="L129" s="111"/>
      <c r="M129" s="111"/>
      <c r="N129" s="36"/>
      <c r="T129" s="34"/>
    </row>
    <row r="130" spans="1:20" s="37" customFormat="1" ht="15.75" customHeight="1" x14ac:dyDescent="0.35">
      <c r="A130" s="88">
        <f>A129+1</f>
        <v>3</v>
      </c>
      <c r="B130" s="89"/>
      <c r="C130" s="72" t="s">
        <v>323</v>
      </c>
      <c r="D130" s="74">
        <f>(23.817)*(10.764)</f>
        <v>256.36618799999997</v>
      </c>
      <c r="E130" s="42">
        <v>0</v>
      </c>
      <c r="F130" s="66">
        <f t="shared" si="7"/>
        <v>256.36618799999997</v>
      </c>
      <c r="G130" s="56">
        <v>0</v>
      </c>
      <c r="H130" s="66">
        <f t="shared" si="8"/>
        <v>397.36759139999998</v>
      </c>
      <c r="I130" s="36"/>
      <c r="J130" s="37">
        <v>560</v>
      </c>
      <c r="K130" s="75">
        <f t="shared" si="9"/>
        <v>2.1843754216137117</v>
      </c>
      <c r="L130" s="111"/>
      <c r="M130" s="111"/>
      <c r="N130" s="36"/>
      <c r="T130" s="21"/>
    </row>
    <row r="131" spans="1:20" s="37" customFormat="1" ht="15.75" customHeight="1" x14ac:dyDescent="0.35">
      <c r="A131" s="88">
        <f>A130+1</f>
        <v>4</v>
      </c>
      <c r="B131" s="89"/>
      <c r="C131" s="72" t="s">
        <v>323</v>
      </c>
      <c r="D131" s="74">
        <f>(20.943)*(10.764)</f>
        <v>225.430452</v>
      </c>
      <c r="E131" s="42">
        <v>0</v>
      </c>
      <c r="F131" s="66">
        <f t="shared" si="7"/>
        <v>225.430452</v>
      </c>
      <c r="G131" s="56">
        <v>0</v>
      </c>
      <c r="H131" s="66">
        <f t="shared" si="8"/>
        <v>349.4172006</v>
      </c>
      <c r="I131" s="36"/>
      <c r="J131" s="37">
        <v>500</v>
      </c>
      <c r="K131" s="75">
        <f t="shared" si="9"/>
        <v>2.2179789623098478</v>
      </c>
      <c r="L131" s="111"/>
      <c r="M131" s="111"/>
      <c r="N131" s="36"/>
      <c r="T131" s="21"/>
    </row>
    <row r="132" spans="1:20" s="73" customFormat="1" ht="15.75" customHeight="1" x14ac:dyDescent="0.35">
      <c r="A132" s="88">
        <f t="shared" ref="A132:A135" si="10">A131+1</f>
        <v>5</v>
      </c>
      <c r="B132" s="89"/>
      <c r="C132" s="72" t="s">
        <v>323</v>
      </c>
      <c r="D132" s="74">
        <f>(19.573)*(10.764)</f>
        <v>210.683772</v>
      </c>
      <c r="E132" s="72">
        <v>0</v>
      </c>
      <c r="F132" s="72">
        <f>D132+(IF(E132&lt;201,E132,IF(E132&lt;301,E132/2,E132/3)))</f>
        <v>210.683772</v>
      </c>
      <c r="G132" s="67">
        <v>0</v>
      </c>
      <c r="H132" s="72">
        <f>(F132+(IF(G132&lt;101,G132,IF(G132&lt;201,G132/2,IF(G132&lt;=301,G132/3,G132/4)))))*(($H$126)+1)</f>
        <v>326.55984660000001</v>
      </c>
      <c r="I132" s="36"/>
      <c r="J132" s="73">
        <v>470</v>
      </c>
      <c r="K132" s="75">
        <f t="shared" si="9"/>
        <v>2.230831523179678</v>
      </c>
      <c r="L132" s="111"/>
      <c r="M132" s="111"/>
      <c r="N132" s="36"/>
      <c r="T132" s="35"/>
    </row>
    <row r="133" spans="1:20" s="73" customFormat="1" ht="15.75" customHeight="1" x14ac:dyDescent="0.35">
      <c r="A133" s="88">
        <f t="shared" si="10"/>
        <v>6</v>
      </c>
      <c r="B133" s="89"/>
      <c r="C133" s="72" t="s">
        <v>323</v>
      </c>
      <c r="D133" s="74">
        <f>(17.906)*(10.764)</f>
        <v>192.74018399999997</v>
      </c>
      <c r="E133" s="72">
        <v>0</v>
      </c>
      <c r="F133" s="72">
        <f t="shared" ref="F133:F136" si="11">D133+(IF(E133&lt;201,E133,IF(E133&lt;301,E133/2,E133/3)))</f>
        <v>192.74018399999997</v>
      </c>
      <c r="G133" s="72">
        <v>0</v>
      </c>
      <c r="H133" s="72">
        <f t="shared" ref="H133:H136" si="12">(F133+(IF(G133&lt;101,G133,IF(G133&lt;201,G133/2,IF(G133&lt;=301,G133/3,G133/4)))))*(($H$126)+1)</f>
        <v>298.74728519999996</v>
      </c>
      <c r="I133" s="36"/>
      <c r="J133" s="73">
        <v>430</v>
      </c>
      <c r="K133" s="75">
        <f t="shared" si="9"/>
        <v>2.2309826164739994</v>
      </c>
      <c r="L133" s="111"/>
      <c r="M133" s="111"/>
      <c r="N133" s="36"/>
      <c r="T133" s="34"/>
    </row>
    <row r="134" spans="1:20" s="73" customFormat="1" ht="15.75" customHeight="1" x14ac:dyDescent="0.35">
      <c r="A134" s="88">
        <f t="shared" si="10"/>
        <v>7</v>
      </c>
      <c r="B134" s="89"/>
      <c r="C134" s="72" t="s">
        <v>323</v>
      </c>
      <c r="D134" s="74">
        <f>(27.073)*(10.764)</f>
        <v>291.41377199999999</v>
      </c>
      <c r="E134" s="72">
        <v>0</v>
      </c>
      <c r="F134" s="72">
        <f t="shared" si="11"/>
        <v>291.41377199999999</v>
      </c>
      <c r="G134" s="72">
        <v>0</v>
      </c>
      <c r="H134" s="72">
        <f t="shared" si="12"/>
        <v>451.69134660000003</v>
      </c>
      <c r="I134" s="36">
        <f>2.71*9.99</f>
        <v>27.072900000000001</v>
      </c>
      <c r="J134" s="73">
        <v>630</v>
      </c>
      <c r="K134" s="75">
        <f t="shared" si="9"/>
        <v>2.1618744909557672</v>
      </c>
      <c r="L134" s="111"/>
      <c r="M134" s="111"/>
      <c r="N134" s="36"/>
      <c r="T134" s="21"/>
    </row>
    <row r="135" spans="1:20" s="73" customFormat="1" ht="15.75" customHeight="1" x14ac:dyDescent="0.35">
      <c r="A135" s="88">
        <f t="shared" si="10"/>
        <v>8</v>
      </c>
      <c r="B135" s="89"/>
      <c r="C135" s="72" t="s">
        <v>323</v>
      </c>
      <c r="D135" s="74">
        <f>(70.543)*(10.764)</f>
        <v>759.32485200000008</v>
      </c>
      <c r="E135" s="72">
        <v>0</v>
      </c>
      <c r="F135" s="72">
        <f t="shared" si="11"/>
        <v>759.32485200000008</v>
      </c>
      <c r="G135" s="72">
        <v>0</v>
      </c>
      <c r="H135" s="72">
        <f t="shared" si="12"/>
        <v>1176.9535206</v>
      </c>
      <c r="I135" s="36"/>
      <c r="J135" s="73">
        <v>1770</v>
      </c>
      <c r="K135" s="75">
        <f t="shared" si="9"/>
        <v>2.3310181345151073</v>
      </c>
      <c r="L135" s="111"/>
      <c r="M135" s="111"/>
      <c r="N135" s="36"/>
      <c r="T135" s="21"/>
    </row>
    <row r="136" spans="1:20" s="73" customFormat="1" ht="15.75" customHeight="1" x14ac:dyDescent="0.35">
      <c r="A136" s="88">
        <f>A135+1</f>
        <v>9</v>
      </c>
      <c r="B136" s="89"/>
      <c r="C136" s="72" t="s">
        <v>323</v>
      </c>
      <c r="D136" s="74">
        <f>(25.978)*(10.764)</f>
        <v>279.62719199999998</v>
      </c>
      <c r="E136" s="72">
        <v>0</v>
      </c>
      <c r="F136" s="72">
        <f t="shared" si="11"/>
        <v>279.62719199999998</v>
      </c>
      <c r="G136" s="72">
        <v>0</v>
      </c>
      <c r="H136" s="72">
        <f t="shared" si="12"/>
        <v>433.42214759999996</v>
      </c>
      <c r="I136" s="36"/>
      <c r="J136" s="73">
        <v>610</v>
      </c>
      <c r="K136" s="75">
        <f t="shared" si="9"/>
        <v>2.1814759703341013</v>
      </c>
      <c r="L136" s="111"/>
      <c r="M136" s="111"/>
      <c r="N136" s="36"/>
      <c r="T136" s="21"/>
    </row>
    <row r="137" spans="1:20" s="73" customFormat="1" ht="15.75" customHeight="1" x14ac:dyDescent="0.35">
      <c r="A137" s="88">
        <f t="shared" ref="A137:A140" si="13">A136+1</f>
        <v>10</v>
      </c>
      <c r="B137" s="89"/>
      <c r="C137" s="72" t="s">
        <v>323</v>
      </c>
      <c r="D137" s="74">
        <f>(24.454)*(10.764)</f>
        <v>263.22285599999998</v>
      </c>
      <c r="E137" s="72">
        <v>0</v>
      </c>
      <c r="F137" s="72">
        <f>D137+(IF(E137&lt;201,E137,IF(E137&lt;301,E137/2,E137/3)))</f>
        <v>263.22285599999998</v>
      </c>
      <c r="G137" s="67">
        <v>0</v>
      </c>
      <c r="H137" s="72">
        <f>(F137+(IF(G137&lt;101,G137,IF(G137&lt;201,G137/2,IF(G137&lt;=301,G137/3,G137/4)))))*(($H$126)+1)</f>
        <v>407.99542679999996</v>
      </c>
      <c r="I137" s="36"/>
      <c r="J137" s="73">
        <v>575</v>
      </c>
      <c r="K137" s="75">
        <f t="shared" si="9"/>
        <v>2.184460759744967</v>
      </c>
      <c r="L137" s="111"/>
      <c r="M137" s="111"/>
      <c r="N137" s="36"/>
      <c r="T137" s="35"/>
    </row>
    <row r="138" spans="1:20" s="73" customFormat="1" ht="15.75" customHeight="1" x14ac:dyDescent="0.35">
      <c r="A138" s="88">
        <f t="shared" si="13"/>
        <v>11</v>
      </c>
      <c r="B138" s="89"/>
      <c r="C138" s="72" t="s">
        <v>323</v>
      </c>
      <c r="D138" s="74">
        <f>(22.77)*(10.764)</f>
        <v>245.09627999999998</v>
      </c>
      <c r="E138" s="72">
        <v>0</v>
      </c>
      <c r="F138" s="72">
        <f t="shared" ref="F138:F140" si="14">D138+(IF(E138&lt;201,E138,IF(E138&lt;301,E138/2,E138/3)))</f>
        <v>245.09627999999998</v>
      </c>
      <c r="G138" s="72">
        <v>0</v>
      </c>
      <c r="H138" s="72">
        <f t="shared" ref="H138:H140" si="15">(F138+(IF(G138&lt;101,G138,IF(G138&lt;201,G138/2,IF(G138&lt;=301,G138/3,G138/4)))))*(($H$126)+1)</f>
        <v>379.89923399999998</v>
      </c>
      <c r="I138" s="36"/>
      <c r="J138" s="73">
        <v>535</v>
      </c>
      <c r="K138" s="75">
        <f t="shared" si="9"/>
        <v>2.1828156673777346</v>
      </c>
      <c r="L138" s="111"/>
      <c r="M138" s="111"/>
      <c r="N138" s="36"/>
      <c r="T138" s="34"/>
    </row>
    <row r="139" spans="1:20" s="73" customFormat="1" ht="15.75" customHeight="1" x14ac:dyDescent="0.35">
      <c r="A139" s="88">
        <f t="shared" si="13"/>
        <v>12</v>
      </c>
      <c r="B139" s="89"/>
      <c r="C139" s="72" t="s">
        <v>323</v>
      </c>
      <c r="D139" s="74">
        <f>(22.398)*(10.764)</f>
        <v>241.09207199999997</v>
      </c>
      <c r="E139" s="72">
        <v>0</v>
      </c>
      <c r="F139" s="72">
        <f t="shared" si="14"/>
        <v>241.09207199999997</v>
      </c>
      <c r="G139" s="72">
        <v>0</v>
      </c>
      <c r="H139" s="72">
        <f t="shared" si="15"/>
        <v>373.6927116</v>
      </c>
      <c r="I139" s="36"/>
      <c r="J139" s="73">
        <v>525</v>
      </c>
      <c r="K139" s="75">
        <f t="shared" si="9"/>
        <v>2.1775913062790386</v>
      </c>
      <c r="L139" s="111"/>
      <c r="M139" s="111"/>
      <c r="N139" s="36"/>
      <c r="T139" s="21"/>
    </row>
    <row r="140" spans="1:20" s="73" customFormat="1" ht="15.75" customHeight="1" x14ac:dyDescent="0.35">
      <c r="A140" s="88">
        <f t="shared" si="13"/>
        <v>13</v>
      </c>
      <c r="B140" s="89"/>
      <c r="C140" s="72" t="s">
        <v>323</v>
      </c>
      <c r="D140" s="74">
        <f>(25.639)*(10.764)</f>
        <v>275.97819599999997</v>
      </c>
      <c r="E140" s="72">
        <v>0</v>
      </c>
      <c r="F140" s="72">
        <f t="shared" si="14"/>
        <v>275.97819599999997</v>
      </c>
      <c r="G140" s="72">
        <v>0</v>
      </c>
      <c r="H140" s="72">
        <f t="shared" si="15"/>
        <v>427.76620379999997</v>
      </c>
      <c r="I140" s="36"/>
      <c r="J140" s="73">
        <v>615</v>
      </c>
      <c r="K140" s="75">
        <f t="shared" si="9"/>
        <v>2.2284369160815882</v>
      </c>
      <c r="L140" s="111"/>
      <c r="M140" s="111"/>
      <c r="N140" s="36"/>
      <c r="T140" s="21"/>
    </row>
    <row r="141" spans="1:20" s="37" customFormat="1" x14ac:dyDescent="0.35">
      <c r="A141" s="88"/>
      <c r="B141" s="214"/>
      <c r="C141" s="214"/>
      <c r="D141" s="214"/>
      <c r="E141" s="214"/>
      <c r="F141" s="214"/>
      <c r="G141" s="214"/>
      <c r="H141" s="89"/>
      <c r="I141" s="36"/>
      <c r="N141" s="36"/>
    </row>
    <row r="142" spans="1:20" ht="47.25" customHeight="1" x14ac:dyDescent="0.35">
      <c r="A142" s="215" t="s">
        <v>342</v>
      </c>
      <c r="B142" s="93" t="s">
        <v>177</v>
      </c>
      <c r="C142" s="93" t="s">
        <v>55</v>
      </c>
      <c r="D142" s="93" t="s">
        <v>232</v>
      </c>
      <c r="E142" s="93" t="s">
        <v>231</v>
      </c>
      <c r="F142" s="93" t="s">
        <v>56</v>
      </c>
      <c r="G142" s="115" t="s">
        <v>57</v>
      </c>
      <c r="H142" s="79" t="s">
        <v>148</v>
      </c>
      <c r="I142" s="36"/>
      <c r="T142" s="37"/>
    </row>
    <row r="143" spans="1:20" s="37" customFormat="1" x14ac:dyDescent="0.35">
      <c r="A143" s="216"/>
      <c r="B143" s="94"/>
      <c r="C143" s="94"/>
      <c r="D143" s="94"/>
      <c r="E143" s="94"/>
      <c r="F143" s="94"/>
      <c r="G143" s="116"/>
      <c r="H143" s="80">
        <v>0.5</v>
      </c>
      <c r="I143" s="36"/>
    </row>
    <row r="144" spans="1:20" s="73" customFormat="1" x14ac:dyDescent="0.35">
      <c r="A144" s="179" t="s">
        <v>326</v>
      </c>
      <c r="B144" s="179"/>
      <c r="C144" s="179"/>
      <c r="D144" s="179"/>
      <c r="E144" s="179"/>
      <c r="F144" s="179"/>
      <c r="G144" s="179"/>
      <c r="H144" s="179"/>
      <c r="I144" s="36"/>
      <c r="L144" s="111"/>
      <c r="M144" s="111"/>
    </row>
    <row r="145" spans="1:14" s="73" customFormat="1" x14ac:dyDescent="0.35">
      <c r="A145" s="109">
        <f>LEFT(A144,SUM(LEN(A144)-LEN(SUBSTITUTE(A144,{"0","1","2","3","4","5","6","7","8","9"},""))))*100+1</f>
        <v>101</v>
      </c>
      <c r="B145" s="109"/>
      <c r="C145" s="72" t="s">
        <v>324</v>
      </c>
      <c r="D145" s="74">
        <f>(59.054)*(10.764)</f>
        <v>635.65725599999996</v>
      </c>
      <c r="E145" s="74">
        <f>(1.35*3.05)*(10.764)</f>
        <v>44.320769999999996</v>
      </c>
      <c r="F145" s="72">
        <f t="shared" ref="F145:F151" si="16">D145+E145</f>
        <v>679.978026</v>
      </c>
      <c r="G145" s="74">
        <f>(9.14*0.75+1*3.05)*(10.764)</f>
        <v>106.61742000000001</v>
      </c>
      <c r="H145" s="72">
        <f t="shared" ref="H145:H151" si="17">F145*(($H$143)+1)+(IF(G145&lt;101,G145,IF(G145&lt;201,G145/2,IF(G145&lt;=301,G145/3,G145/4))))</f>
        <v>1073.2757489999999</v>
      </c>
      <c r="I145" s="36"/>
      <c r="J145" s="73">
        <v>1461</v>
      </c>
      <c r="K145" s="73">
        <f>J145/F145</f>
        <v>2.1485988431043799</v>
      </c>
      <c r="N145" s="36"/>
    </row>
    <row r="146" spans="1:14" s="73" customFormat="1" x14ac:dyDescent="0.35">
      <c r="A146" s="109">
        <f t="shared" ref="A146:A151" si="18">A145+1</f>
        <v>102</v>
      </c>
      <c r="B146" s="109"/>
      <c r="C146" s="72" t="s">
        <v>324</v>
      </c>
      <c r="D146" s="74">
        <f>(54.659)*(10.764)</f>
        <v>588.34947599999998</v>
      </c>
      <c r="E146" s="74">
        <f>(1.35*3.05)*(10.764)</f>
        <v>44.320769999999996</v>
      </c>
      <c r="F146" s="72">
        <f t="shared" si="16"/>
        <v>632.67024600000002</v>
      </c>
      <c r="G146" s="74">
        <f>(0.75*3.05+0.6*2.1+0.48+2.1+2.29)*(10.764)</f>
        <v>90.605969999999999</v>
      </c>
      <c r="H146" s="72">
        <f t="shared" si="17"/>
        <v>1039.611339</v>
      </c>
      <c r="I146" s="36"/>
      <c r="J146" s="73">
        <v>1434</v>
      </c>
      <c r="K146" s="75">
        <f t="shared" ref="K146:K151" si="19">J146/F146</f>
        <v>2.2665835940070429</v>
      </c>
      <c r="N146" s="36"/>
    </row>
    <row r="147" spans="1:14" s="73" customFormat="1" x14ac:dyDescent="0.35">
      <c r="A147" s="109">
        <f t="shared" si="18"/>
        <v>103</v>
      </c>
      <c r="B147" s="109"/>
      <c r="C147" s="72" t="s">
        <v>324</v>
      </c>
      <c r="D147" s="74">
        <f>(56.717)*(10.764)</f>
        <v>610.50178799999992</v>
      </c>
      <c r="E147" s="74">
        <f>0*(10.764)</f>
        <v>0</v>
      </c>
      <c r="F147" s="72">
        <f t="shared" si="16"/>
        <v>610.50178799999992</v>
      </c>
      <c r="G147" s="74">
        <f>(3.05*1.8+3.05*0.75)*(10.764)</f>
        <v>83.717009999999988</v>
      </c>
      <c r="H147" s="72">
        <f t="shared" si="17"/>
        <v>999.46969199999978</v>
      </c>
      <c r="I147" s="36">
        <f>(3.05*4.75+1.435*2.335+2.14*3.05+3.05*3.05+3.865*3.05+1.22*1.8+1.22*2.015+0.9*2.7+0.3*1.22)</f>
        <v>52.906274999999994</v>
      </c>
      <c r="J147" s="73">
        <v>1414</v>
      </c>
      <c r="K147" s="75">
        <f t="shared" si="19"/>
        <v>2.3161275327829181</v>
      </c>
      <c r="N147" s="36"/>
    </row>
    <row r="148" spans="1:14" s="73" customFormat="1" x14ac:dyDescent="0.35">
      <c r="A148" s="109">
        <f t="shared" si="18"/>
        <v>104</v>
      </c>
      <c r="B148" s="109"/>
      <c r="C148" s="72" t="s">
        <v>324</v>
      </c>
      <c r="D148" s="74">
        <f>(58.323)*(10.764)</f>
        <v>627.78877199999999</v>
      </c>
      <c r="E148" s="74">
        <f>0*(10.764)</f>
        <v>0</v>
      </c>
      <c r="F148" s="72">
        <f t="shared" si="16"/>
        <v>627.78877199999999</v>
      </c>
      <c r="G148" s="74">
        <f>(0.75*3.05+0.6*3.05)*(10.764)</f>
        <v>44.320769999999996</v>
      </c>
      <c r="H148" s="72">
        <f t="shared" si="17"/>
        <v>986.00392800000009</v>
      </c>
      <c r="I148" s="82">
        <f>1.35*3.05</f>
        <v>4.1174999999999997</v>
      </c>
      <c r="J148" s="73">
        <v>1333</v>
      </c>
      <c r="K148" s="75">
        <f t="shared" si="19"/>
        <v>2.1233256462254793</v>
      </c>
      <c r="N148" s="36"/>
    </row>
    <row r="149" spans="1:14" s="73" customFormat="1" x14ac:dyDescent="0.35">
      <c r="A149" s="109">
        <f t="shared" si="18"/>
        <v>105</v>
      </c>
      <c r="B149" s="109"/>
      <c r="C149" s="72" t="s">
        <v>325</v>
      </c>
      <c r="D149" s="74">
        <f>(39.574)*(10.764)</f>
        <v>425.97453599999994</v>
      </c>
      <c r="E149" s="74">
        <f>(1.35*2.75+1.2*2.955)*(10.764)</f>
        <v>78.130493999999999</v>
      </c>
      <c r="F149" s="72">
        <f t="shared" si="16"/>
        <v>504.10502999999994</v>
      </c>
      <c r="G149" s="74">
        <f>0*(10.764)</f>
        <v>0</v>
      </c>
      <c r="H149" s="72">
        <f t="shared" si="17"/>
        <v>756.15754499999991</v>
      </c>
      <c r="I149" s="36"/>
      <c r="J149" s="73">
        <v>820</v>
      </c>
      <c r="K149" s="73">
        <f t="shared" si="19"/>
        <v>1.6266451457546458</v>
      </c>
      <c r="N149" s="36"/>
    </row>
    <row r="150" spans="1:14" s="73" customFormat="1" x14ac:dyDescent="0.35">
      <c r="A150" s="109">
        <f t="shared" si="18"/>
        <v>106</v>
      </c>
      <c r="B150" s="109"/>
      <c r="C150" s="72" t="s">
        <v>324</v>
      </c>
      <c r="D150" s="74">
        <f>(56.056)*(10.764)</f>
        <v>603.38678399999992</v>
      </c>
      <c r="E150" s="74">
        <f>(1.35*2.825)*(10.764)</f>
        <v>41.051205000000003</v>
      </c>
      <c r="F150" s="72">
        <f t="shared" si="16"/>
        <v>644.4379889999999</v>
      </c>
      <c r="G150" s="74">
        <f>0*(10.764)</f>
        <v>0</v>
      </c>
      <c r="H150" s="72">
        <f t="shared" si="17"/>
        <v>966.6569834999998</v>
      </c>
      <c r="I150" s="36"/>
      <c r="J150" s="73">
        <v>1034</v>
      </c>
      <c r="K150" s="75">
        <f t="shared" si="19"/>
        <v>1.604498830996135</v>
      </c>
      <c r="N150" s="36"/>
    </row>
    <row r="151" spans="1:14" s="73" customFormat="1" x14ac:dyDescent="0.35">
      <c r="A151" s="109">
        <f t="shared" si="18"/>
        <v>107</v>
      </c>
      <c r="B151" s="109"/>
      <c r="C151" s="72" t="s">
        <v>325</v>
      </c>
      <c r="D151" s="74">
        <f>(35.481)*(10.764)</f>
        <v>381.917484</v>
      </c>
      <c r="E151" s="74">
        <f>(1.34*2.75)*(10.764)</f>
        <v>39.66534</v>
      </c>
      <c r="F151" s="72">
        <f t="shared" si="16"/>
        <v>421.58282400000002</v>
      </c>
      <c r="G151" s="74">
        <f>(2.755*1.2)*10.764</f>
        <v>35.585783999999997</v>
      </c>
      <c r="H151" s="72">
        <f t="shared" si="17"/>
        <v>667.96001999999999</v>
      </c>
      <c r="I151" s="36">
        <f>(2.75*4.27+2.14*2.165+2.75*3.2+1.22*1.805+1.22*2+0.9*2.15+0.9*1.2+0.5*1)</f>
        <v>33.332699999999996</v>
      </c>
      <c r="J151" s="36">
        <v>790</v>
      </c>
      <c r="K151" s="75">
        <f t="shared" si="19"/>
        <v>1.8738903841110945</v>
      </c>
      <c r="N151" s="36"/>
    </row>
    <row r="152" spans="1:14" s="73" customFormat="1" ht="15.75" customHeight="1" x14ac:dyDescent="0.35">
      <c r="A152" s="90" t="s">
        <v>343</v>
      </c>
      <c r="B152" s="91"/>
      <c r="C152" s="91"/>
      <c r="D152" s="91"/>
      <c r="E152" s="91"/>
      <c r="F152" s="91"/>
      <c r="G152" s="91"/>
      <c r="H152" s="92"/>
      <c r="I152" s="36"/>
    </row>
    <row r="153" spans="1:14" s="73" customFormat="1" ht="15.75" customHeight="1" x14ac:dyDescent="0.35">
      <c r="A153" s="88"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10^ROW(INDIRECT("1:"&amp;LEN((LEFT(A152,SUM(LEN(A152)-LEN(SUBSTITUTE(A152,{"0","1","2"},""))))))))/10))*100+1&amp;""&amp;" ,..,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",LEN(A152))),LEN(A152)))))))/10))*100+1</f>
        <v>201 ,.., 901</v>
      </c>
      <c r="B153" s="89"/>
      <c r="C153" s="72" t="s">
        <v>324</v>
      </c>
      <c r="D153" s="74">
        <f>(59.054)*(10.764)</f>
        <v>635.65725599999996</v>
      </c>
      <c r="E153" s="74">
        <f>(4.575)*(10.764)</f>
        <v>49.2453</v>
      </c>
      <c r="F153" s="72">
        <f t="shared" ref="F153:F159" si="20">D153+E153</f>
        <v>684.902556</v>
      </c>
      <c r="G153" s="72">
        <v>0</v>
      </c>
      <c r="H153" s="72">
        <f t="shared" ref="H153:H159" si="21">F153*(($H$143)+1)+(IF(G153&lt;101,G153,IF(G153&lt;201,G153/2,IF(G153&lt;=301,G153/3,G153/4))))</f>
        <v>1027.353834</v>
      </c>
      <c r="I153" s="36">
        <f>9400000/H153</f>
        <v>9149.7200758974341</v>
      </c>
      <c r="J153" s="73">
        <f>12100000/H153</f>
        <v>11777.831161527549</v>
      </c>
      <c r="K153" s="73">
        <f>12100000*0.12</f>
        <v>1452000</v>
      </c>
      <c r="L153" s="73">
        <f>12100000-K153</f>
        <v>10648000</v>
      </c>
      <c r="M153" s="73">
        <f>L153/H153</f>
        <v>10364.491422144243</v>
      </c>
    </row>
    <row r="154" spans="1:14" s="73" customFormat="1" ht="15.75" customHeight="1" x14ac:dyDescent="0.35">
      <c r="A154" s="88"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202 ,.., 902</v>
      </c>
      <c r="B154" s="89"/>
      <c r="C154" s="72" t="s">
        <v>324</v>
      </c>
      <c r="D154" s="74">
        <f>(54.659)*(10.764)</f>
        <v>588.34947599999998</v>
      </c>
      <c r="E154" s="74">
        <f>(6.72)*(10.764)</f>
        <v>72.334079999999986</v>
      </c>
      <c r="F154" s="72">
        <f t="shared" si="20"/>
        <v>660.68355599999995</v>
      </c>
      <c r="G154" s="72">
        <v>0</v>
      </c>
      <c r="H154" s="72">
        <f t="shared" si="21"/>
        <v>991.02533399999993</v>
      </c>
      <c r="I154" s="36">
        <f t="shared" ref="I154:I156" si="22">9400000/H154</f>
        <v>9485.1258363492052</v>
      </c>
      <c r="J154" s="75">
        <f t="shared" ref="J154:J156" si="23">12100000/H154</f>
        <v>12209.576874449509</v>
      </c>
      <c r="K154" s="75">
        <f t="shared" ref="K154:K158" si="24">12100000*0.12</f>
        <v>1452000</v>
      </c>
      <c r="L154" s="75">
        <f t="shared" ref="L154:L158" si="25">12100000-K154</f>
        <v>10648000</v>
      </c>
      <c r="M154" s="75">
        <f t="shared" ref="M154:M159" si="26">L154/H154</f>
        <v>10744.427649515568</v>
      </c>
    </row>
    <row r="155" spans="1:14" s="73" customFormat="1" ht="15.75" customHeight="1" x14ac:dyDescent="0.35">
      <c r="A155" s="88"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203 ,.., 903</v>
      </c>
      <c r="B155" s="89"/>
      <c r="C155" s="72" t="s">
        <v>324</v>
      </c>
      <c r="D155" s="74">
        <f>(56.717)*(10.764)</f>
        <v>610.50178799999992</v>
      </c>
      <c r="E155" s="74">
        <f>(4.575)*(10.764)</f>
        <v>49.2453</v>
      </c>
      <c r="F155" s="72">
        <f t="shared" si="20"/>
        <v>659.74708799999996</v>
      </c>
      <c r="G155" s="72">
        <v>0</v>
      </c>
      <c r="H155" s="72">
        <f t="shared" si="21"/>
        <v>989.62063199999989</v>
      </c>
      <c r="I155" s="36">
        <f t="shared" si="22"/>
        <v>9498.5893543900984</v>
      </c>
      <c r="J155" s="75">
        <f t="shared" si="23"/>
        <v>12226.907573204275</v>
      </c>
      <c r="K155" s="75">
        <f t="shared" si="24"/>
        <v>1452000</v>
      </c>
      <c r="L155" s="75">
        <f t="shared" si="25"/>
        <v>10648000</v>
      </c>
      <c r="M155" s="75">
        <f t="shared" si="26"/>
        <v>10759.678664419762</v>
      </c>
    </row>
    <row r="156" spans="1:14" s="73" customFormat="1" ht="15.75" customHeight="1" x14ac:dyDescent="0.35">
      <c r="A156" s="88"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204 ,.., 904</v>
      </c>
      <c r="B156" s="89"/>
      <c r="C156" s="72" t="s">
        <v>324</v>
      </c>
      <c r="D156" s="74">
        <f>(58.323)*(10.764)</f>
        <v>627.78877199999999</v>
      </c>
      <c r="E156" s="74">
        <f>(4.575)*(10.764)</f>
        <v>49.2453</v>
      </c>
      <c r="F156" s="72">
        <f t="shared" si="20"/>
        <v>677.03407200000004</v>
      </c>
      <c r="G156" s="72">
        <v>0</v>
      </c>
      <c r="H156" s="72">
        <f t="shared" si="21"/>
        <v>1015.5511080000001</v>
      </c>
      <c r="I156" s="36">
        <f t="shared" si="22"/>
        <v>9256.0580417386518</v>
      </c>
      <c r="J156" s="75">
        <f t="shared" si="23"/>
        <v>11914.713011174223</v>
      </c>
      <c r="K156" s="75">
        <f t="shared" si="24"/>
        <v>1452000</v>
      </c>
      <c r="L156" s="75">
        <f t="shared" si="25"/>
        <v>10648000</v>
      </c>
      <c r="M156" s="75">
        <f t="shared" si="26"/>
        <v>10484.947449833317</v>
      </c>
    </row>
    <row r="157" spans="1:14" s="73" customFormat="1" ht="15.75" customHeight="1" x14ac:dyDescent="0.35">
      <c r="A157" s="88"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205 ,.., 905</v>
      </c>
      <c r="B157" s="89"/>
      <c r="C157" s="72" t="s">
        <v>325</v>
      </c>
      <c r="D157" s="74">
        <f>(39.574)*(10.764)</f>
        <v>425.97453599999994</v>
      </c>
      <c r="E157" s="74">
        <f>(6.974)*(10.764)</f>
        <v>75.068135999999996</v>
      </c>
      <c r="F157" s="72">
        <f t="shared" si="20"/>
        <v>501.04267199999992</v>
      </c>
      <c r="G157" s="72">
        <v>0</v>
      </c>
      <c r="H157" s="72">
        <f t="shared" si="21"/>
        <v>751.56400799999983</v>
      </c>
      <c r="I157" s="36">
        <f>7900000/H157</f>
        <v>10511.413420425532</v>
      </c>
      <c r="J157" s="75">
        <f t="shared" ref="J157:J159" si="27">7500000/H157</f>
        <v>9979.1899561001883</v>
      </c>
      <c r="K157" s="75">
        <f>7500000*0.12</f>
        <v>900000</v>
      </c>
      <c r="L157" s="75">
        <f>7500000-K157</f>
        <v>6600000</v>
      </c>
      <c r="M157" s="75">
        <f t="shared" si="26"/>
        <v>8781.6871613681651</v>
      </c>
    </row>
    <row r="158" spans="1:14" s="73" customFormat="1" ht="15.75" customHeight="1" x14ac:dyDescent="0.35">
      <c r="A158" s="88"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206 ,.., 906</v>
      </c>
      <c r="B158" s="89"/>
      <c r="C158" s="72" t="s">
        <v>324</v>
      </c>
      <c r="D158" s="74">
        <f>(56.056)*(10.764)</f>
        <v>603.38678399999992</v>
      </c>
      <c r="E158" s="74">
        <f>0*(10.764)</f>
        <v>0</v>
      </c>
      <c r="F158" s="72">
        <f t="shared" si="20"/>
        <v>603.38678399999992</v>
      </c>
      <c r="G158" s="72">
        <v>0</v>
      </c>
      <c r="H158" s="72">
        <f t="shared" si="21"/>
        <v>905.08017599999994</v>
      </c>
      <c r="I158" s="36">
        <f>9400000/H158</f>
        <v>10385.82022815181</v>
      </c>
      <c r="J158" s="75">
        <f>12100000/H158</f>
        <v>13368.981357514564</v>
      </c>
      <c r="K158" s="75">
        <f t="shared" si="24"/>
        <v>1452000</v>
      </c>
      <c r="L158" s="75">
        <f t="shared" si="25"/>
        <v>10648000</v>
      </c>
      <c r="M158" s="75">
        <f t="shared" si="26"/>
        <v>11764.703594612816</v>
      </c>
    </row>
    <row r="159" spans="1:14" s="73" customFormat="1" ht="15.75" customHeight="1" x14ac:dyDescent="0.35">
      <c r="A159" s="88"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207 ,.., 907</v>
      </c>
      <c r="B159" s="89"/>
      <c r="C159" s="72" t="s">
        <v>325</v>
      </c>
      <c r="D159" s="74">
        <f>(35.481)*(10.764)</f>
        <v>381.917484</v>
      </c>
      <c r="E159" s="74">
        <f>(6.804)*(10.764)</f>
        <v>73.238255999999993</v>
      </c>
      <c r="F159" s="72">
        <f t="shared" si="20"/>
        <v>455.15573999999998</v>
      </c>
      <c r="G159" s="72">
        <v>0</v>
      </c>
      <c r="H159" s="72">
        <f t="shared" si="21"/>
        <v>682.73361</v>
      </c>
      <c r="I159" s="36">
        <f t="shared" ref="I159" si="28">7900000/H159</f>
        <v>11571.130942271906</v>
      </c>
      <c r="J159" s="75">
        <f t="shared" si="27"/>
        <v>10985.250894561936</v>
      </c>
      <c r="K159" s="75">
        <f>7500000*0.12</f>
        <v>900000</v>
      </c>
      <c r="L159" s="75">
        <f>7500000-K159</f>
        <v>6600000</v>
      </c>
      <c r="M159" s="75">
        <f t="shared" si="26"/>
        <v>9667.0207872145038</v>
      </c>
      <c r="N159" s="73">
        <f>6000000/H159</f>
        <v>8788.2007156495492</v>
      </c>
    </row>
    <row r="160" spans="1:14" s="73" customFormat="1" x14ac:dyDescent="0.35">
      <c r="A160" s="179" t="s">
        <v>327</v>
      </c>
      <c r="B160" s="179"/>
      <c r="C160" s="179"/>
      <c r="D160" s="179"/>
      <c r="E160" s="179"/>
      <c r="F160" s="179"/>
      <c r="G160" s="179"/>
      <c r="H160" s="179"/>
      <c r="I160" s="36"/>
      <c r="J160" s="73">
        <v>8000</v>
      </c>
      <c r="L160" s="111"/>
      <c r="M160" s="111"/>
    </row>
    <row r="161" spans="1:14" s="73" customFormat="1" x14ac:dyDescent="0.35">
      <c r="A161" s="109">
        <f>LEFT(A160,SUM(LEN(A160)-LEN(SUBSTITUTE(A160,{"0","1","2","3","4","5","6","7","8","9"},""))))*100+1</f>
        <v>801</v>
      </c>
      <c r="B161" s="109"/>
      <c r="C161" s="72" t="s">
        <v>324</v>
      </c>
      <c r="D161" s="74">
        <f>(59.054)*(10.764)</f>
        <v>635.65725599999996</v>
      </c>
      <c r="E161" s="74">
        <f>(4.575)*(10.764)</f>
        <v>49.2453</v>
      </c>
      <c r="F161" s="72">
        <f t="shared" ref="F161:F166" si="29">D161+E161</f>
        <v>684.902556</v>
      </c>
      <c r="G161" s="72">
        <v>0</v>
      </c>
      <c r="H161" s="72">
        <f t="shared" ref="H161:H166" si="30">F161*(($H$143)+1)+(IF(G161&lt;101,G161,IF(G161&lt;201,G161/2,IF(G161&lt;=301,G161/3,G161/4))))</f>
        <v>1027.353834</v>
      </c>
      <c r="I161" s="36"/>
      <c r="J161" s="73">
        <f>J$160*H161</f>
        <v>8218830.6720000003</v>
      </c>
      <c r="N161" s="36"/>
    </row>
    <row r="162" spans="1:14" s="73" customFormat="1" x14ac:dyDescent="0.35">
      <c r="A162" s="109">
        <f t="shared" ref="A162:A167" si="31">A161+1</f>
        <v>802</v>
      </c>
      <c r="B162" s="109"/>
      <c r="C162" s="72" t="s">
        <v>324</v>
      </c>
      <c r="D162" s="74">
        <f>(54.659)*(10.764)</f>
        <v>588.34947599999998</v>
      </c>
      <c r="E162" s="74">
        <f>(6.72)*(10.764)</f>
        <v>72.334079999999986</v>
      </c>
      <c r="F162" s="72">
        <f t="shared" si="29"/>
        <v>660.68355599999995</v>
      </c>
      <c r="G162" s="72">
        <v>0</v>
      </c>
      <c r="H162" s="72">
        <f t="shared" si="30"/>
        <v>991.02533399999993</v>
      </c>
      <c r="I162" s="36"/>
      <c r="J162" s="75">
        <f t="shared" ref="J162:J175" si="32">J$160*H162</f>
        <v>7928202.6719999993</v>
      </c>
      <c r="N162" s="36"/>
    </row>
    <row r="163" spans="1:14" s="73" customFormat="1" x14ac:dyDescent="0.35">
      <c r="A163" s="109">
        <f t="shared" si="31"/>
        <v>803</v>
      </c>
      <c r="B163" s="109"/>
      <c r="C163" s="72" t="s">
        <v>324</v>
      </c>
      <c r="D163" s="74">
        <f>(56.717)*(10.764)</f>
        <v>610.50178799999992</v>
      </c>
      <c r="E163" s="74">
        <f>(4.575)*(10.764)</f>
        <v>49.2453</v>
      </c>
      <c r="F163" s="72">
        <f t="shared" si="29"/>
        <v>659.74708799999996</v>
      </c>
      <c r="G163" s="72">
        <v>0</v>
      </c>
      <c r="H163" s="72">
        <f t="shared" si="30"/>
        <v>989.62063199999989</v>
      </c>
      <c r="I163" s="36"/>
      <c r="J163" s="75">
        <f t="shared" si="32"/>
        <v>7916965.0559999989</v>
      </c>
      <c r="N163" s="36"/>
    </row>
    <row r="164" spans="1:14" s="73" customFormat="1" x14ac:dyDescent="0.35">
      <c r="A164" s="109">
        <f t="shared" si="31"/>
        <v>804</v>
      </c>
      <c r="B164" s="109"/>
      <c r="C164" s="72" t="s">
        <v>324</v>
      </c>
      <c r="D164" s="74">
        <f>(58.323)*(10.764)</f>
        <v>627.78877199999999</v>
      </c>
      <c r="E164" s="74">
        <f>(4.575)*(10.764)</f>
        <v>49.2453</v>
      </c>
      <c r="F164" s="72">
        <f t="shared" si="29"/>
        <v>677.03407200000004</v>
      </c>
      <c r="G164" s="72">
        <v>0</v>
      </c>
      <c r="H164" s="72">
        <f t="shared" si="30"/>
        <v>1015.5511080000001</v>
      </c>
      <c r="I164" s="36"/>
      <c r="J164" s="75">
        <f t="shared" si="32"/>
        <v>8124408.864000001</v>
      </c>
      <c r="N164" s="36"/>
    </row>
    <row r="165" spans="1:14" s="73" customFormat="1" x14ac:dyDescent="0.35">
      <c r="A165" s="109">
        <f t="shared" si="31"/>
        <v>805</v>
      </c>
      <c r="B165" s="109"/>
      <c r="C165" s="72" t="s">
        <v>325</v>
      </c>
      <c r="D165" s="74">
        <f>(39.574)*(10.764)</f>
        <v>425.97453599999994</v>
      </c>
      <c r="E165" s="74">
        <f>(6.974)*(10.764)</f>
        <v>75.068135999999996</v>
      </c>
      <c r="F165" s="72">
        <f t="shared" si="29"/>
        <v>501.04267199999992</v>
      </c>
      <c r="G165" s="72">
        <v>0</v>
      </c>
      <c r="H165" s="72">
        <f t="shared" si="30"/>
        <v>751.56400799999983</v>
      </c>
      <c r="I165" s="36"/>
      <c r="J165" s="75">
        <f t="shared" si="32"/>
        <v>6012512.0639999984</v>
      </c>
      <c r="N165" s="36"/>
    </row>
    <row r="166" spans="1:14" s="73" customFormat="1" x14ac:dyDescent="0.35">
      <c r="A166" s="109">
        <f t="shared" si="31"/>
        <v>806</v>
      </c>
      <c r="B166" s="109"/>
      <c r="C166" s="72" t="s">
        <v>324</v>
      </c>
      <c r="D166" s="74">
        <f>(56.056)*(10.764)</f>
        <v>603.38678399999992</v>
      </c>
      <c r="E166" s="74">
        <f>0*(10.764)</f>
        <v>0</v>
      </c>
      <c r="F166" s="72">
        <f t="shared" si="29"/>
        <v>603.38678399999992</v>
      </c>
      <c r="G166" s="72">
        <v>0</v>
      </c>
      <c r="H166" s="72">
        <f t="shared" si="30"/>
        <v>905.08017599999994</v>
      </c>
      <c r="I166" s="36"/>
      <c r="J166" s="75">
        <f t="shared" si="32"/>
        <v>7240641.4079999998</v>
      </c>
      <c r="N166" s="36"/>
    </row>
    <row r="167" spans="1:14" s="73" customFormat="1" x14ac:dyDescent="0.35">
      <c r="A167" s="109">
        <f t="shared" si="31"/>
        <v>807</v>
      </c>
      <c r="B167" s="109"/>
      <c r="C167" s="88" t="s">
        <v>328</v>
      </c>
      <c r="D167" s="214"/>
      <c r="E167" s="214"/>
      <c r="F167" s="214"/>
      <c r="G167" s="214"/>
      <c r="H167" s="89"/>
      <c r="I167" s="36"/>
      <c r="J167" s="75">
        <f t="shared" si="32"/>
        <v>0</v>
      </c>
      <c r="N167" s="36"/>
    </row>
    <row r="168" spans="1:14" s="73" customFormat="1" x14ac:dyDescent="0.35">
      <c r="A168" s="179" t="s">
        <v>329</v>
      </c>
      <c r="B168" s="179"/>
      <c r="C168" s="179"/>
      <c r="D168" s="179"/>
      <c r="E168" s="179"/>
      <c r="F168" s="179"/>
      <c r="G168" s="179"/>
      <c r="H168" s="179"/>
      <c r="I168" s="36"/>
      <c r="J168" s="75">
        <f t="shared" si="32"/>
        <v>0</v>
      </c>
      <c r="L168" s="111"/>
      <c r="M168" s="111"/>
    </row>
    <row r="169" spans="1:14" s="73" customFormat="1" x14ac:dyDescent="0.35">
      <c r="A169" s="109">
        <f>LEFT(A168,SUM(LEN(A168)-LEN(SUBSTITUTE(A168,{"0","1","2","3","4","5","6","7","8","9"},""))))*100+1</f>
        <v>1001</v>
      </c>
      <c r="B169" s="109"/>
      <c r="C169" s="72" t="s">
        <v>324</v>
      </c>
      <c r="D169" s="74">
        <f>(59.054)*(10.764)</f>
        <v>635.65725599999996</v>
      </c>
      <c r="E169" s="74">
        <f>(4.575)*(10.764)</f>
        <v>49.2453</v>
      </c>
      <c r="F169" s="72">
        <f t="shared" ref="F169:F175" si="33">D169+E169</f>
        <v>684.902556</v>
      </c>
      <c r="G169" s="72">
        <v>0</v>
      </c>
      <c r="H169" s="72">
        <f t="shared" ref="H169:H175" si="34">F169*(($H$143)+1)+(IF(G169&lt;101,G169,IF(G169&lt;201,G169/2,IF(G169&lt;=301,G169/3,G169/4))))</f>
        <v>1027.353834</v>
      </c>
      <c r="I169" s="36"/>
      <c r="J169" s="75">
        <f t="shared" si="32"/>
        <v>8218830.6720000003</v>
      </c>
      <c r="N169" s="36"/>
    </row>
    <row r="170" spans="1:14" s="73" customFormat="1" x14ac:dyDescent="0.35">
      <c r="A170" s="109">
        <f t="shared" ref="A170:A175" si="35">A169+1</f>
        <v>1002</v>
      </c>
      <c r="B170" s="109"/>
      <c r="C170" s="72" t="s">
        <v>324</v>
      </c>
      <c r="D170" s="74">
        <f>(54.659)*(10.764)</f>
        <v>588.34947599999998</v>
      </c>
      <c r="E170" s="74">
        <f>(6.72)*(10.764)</f>
        <v>72.334079999999986</v>
      </c>
      <c r="F170" s="72">
        <f t="shared" si="33"/>
        <v>660.68355599999995</v>
      </c>
      <c r="G170" s="72">
        <v>0</v>
      </c>
      <c r="H170" s="72">
        <f t="shared" si="34"/>
        <v>991.02533399999993</v>
      </c>
      <c r="I170" s="36"/>
      <c r="J170" s="75">
        <f t="shared" si="32"/>
        <v>7928202.6719999993</v>
      </c>
      <c r="N170" s="36"/>
    </row>
    <row r="171" spans="1:14" s="73" customFormat="1" x14ac:dyDescent="0.35">
      <c r="A171" s="109">
        <f t="shared" si="35"/>
        <v>1003</v>
      </c>
      <c r="B171" s="109"/>
      <c r="C171" s="72" t="s">
        <v>324</v>
      </c>
      <c r="D171" s="74">
        <f>(56.717)*(10.764)</f>
        <v>610.50178799999992</v>
      </c>
      <c r="E171" s="74">
        <f>(4.575)*(10.764)</f>
        <v>49.2453</v>
      </c>
      <c r="F171" s="72">
        <f t="shared" si="33"/>
        <v>659.74708799999996</v>
      </c>
      <c r="G171" s="72">
        <v>0</v>
      </c>
      <c r="H171" s="72">
        <f t="shared" si="34"/>
        <v>989.62063199999989</v>
      </c>
      <c r="I171" s="36"/>
      <c r="J171" s="75">
        <f t="shared" si="32"/>
        <v>7916965.0559999989</v>
      </c>
      <c r="N171" s="36"/>
    </row>
    <row r="172" spans="1:14" s="73" customFormat="1" x14ac:dyDescent="0.35">
      <c r="A172" s="109">
        <f t="shared" si="35"/>
        <v>1004</v>
      </c>
      <c r="B172" s="109"/>
      <c r="C172" s="72" t="s">
        <v>324</v>
      </c>
      <c r="D172" s="74">
        <f>(58.323)*(10.764)</f>
        <v>627.78877199999999</v>
      </c>
      <c r="E172" s="74">
        <f>(4.575)*(10.764)</f>
        <v>49.2453</v>
      </c>
      <c r="F172" s="72">
        <f t="shared" si="33"/>
        <v>677.03407200000004</v>
      </c>
      <c r="G172" s="72">
        <v>0</v>
      </c>
      <c r="H172" s="72">
        <f t="shared" si="34"/>
        <v>1015.5511080000001</v>
      </c>
      <c r="I172" s="36"/>
      <c r="J172" s="75">
        <f t="shared" si="32"/>
        <v>8124408.864000001</v>
      </c>
      <c r="N172" s="36"/>
    </row>
    <row r="173" spans="1:14" s="73" customFormat="1" x14ac:dyDescent="0.35">
      <c r="A173" s="109">
        <f t="shared" si="35"/>
        <v>1005</v>
      </c>
      <c r="B173" s="109"/>
      <c r="C173" s="72" t="s">
        <v>325</v>
      </c>
      <c r="D173" s="74">
        <f>(39.574)*(10.764)</f>
        <v>425.97453599999994</v>
      </c>
      <c r="E173" s="74">
        <f>(6.974)*(10.764)</f>
        <v>75.068135999999996</v>
      </c>
      <c r="F173" s="72">
        <f t="shared" si="33"/>
        <v>501.04267199999992</v>
      </c>
      <c r="G173" s="72">
        <v>0</v>
      </c>
      <c r="H173" s="72">
        <f t="shared" si="34"/>
        <v>751.56400799999983</v>
      </c>
      <c r="I173" s="36"/>
      <c r="J173" s="75">
        <f t="shared" si="32"/>
        <v>6012512.0639999984</v>
      </c>
      <c r="N173" s="36"/>
    </row>
    <row r="174" spans="1:14" s="73" customFormat="1" x14ac:dyDescent="0.35">
      <c r="A174" s="109">
        <f t="shared" si="35"/>
        <v>1006</v>
      </c>
      <c r="B174" s="109"/>
      <c r="C174" s="72" t="s">
        <v>324</v>
      </c>
      <c r="D174" s="74">
        <f>(53.068)*(10.764)</f>
        <v>571.22395199999994</v>
      </c>
      <c r="E174" s="74">
        <f>0*(10.764)</f>
        <v>0</v>
      </c>
      <c r="F174" s="72">
        <f t="shared" si="33"/>
        <v>571.22395199999994</v>
      </c>
      <c r="G174" s="72">
        <v>0</v>
      </c>
      <c r="H174" s="72">
        <f t="shared" si="34"/>
        <v>856.83592799999997</v>
      </c>
      <c r="I174" s="36">
        <f>(2.825*4.27+3.665*2.805+2.1*2.75+3.05*2.75+3.915*2.805+1.105*2.14+1.1*1.3+1.1*1.4)</f>
        <v>52.821849999999991</v>
      </c>
      <c r="J174" s="75">
        <f t="shared" si="32"/>
        <v>6854687.4239999996</v>
      </c>
      <c r="N174" s="36"/>
    </row>
    <row r="175" spans="1:14" s="73" customFormat="1" x14ac:dyDescent="0.35">
      <c r="A175" s="109">
        <f t="shared" si="35"/>
        <v>1007</v>
      </c>
      <c r="B175" s="109"/>
      <c r="C175" s="72" t="s">
        <v>325</v>
      </c>
      <c r="D175" s="74">
        <f>(35.481)*(10.764)</f>
        <v>381.917484</v>
      </c>
      <c r="E175" s="74">
        <f>(6.622)*(10.764)</f>
        <v>71.279207999999997</v>
      </c>
      <c r="F175" s="72">
        <f t="shared" si="33"/>
        <v>453.19669199999998</v>
      </c>
      <c r="G175" s="72">
        <v>0</v>
      </c>
      <c r="H175" s="72">
        <f t="shared" si="34"/>
        <v>679.79503799999998</v>
      </c>
      <c r="I175" s="36"/>
      <c r="J175" s="75">
        <f t="shared" si="32"/>
        <v>5438360.3039999995</v>
      </c>
      <c r="N175" s="36"/>
    </row>
    <row r="176" spans="1:14" s="73" customFormat="1" x14ac:dyDescent="0.35">
      <c r="A176" s="179" t="s">
        <v>344</v>
      </c>
      <c r="B176" s="179"/>
      <c r="C176" s="179"/>
      <c r="D176" s="179"/>
      <c r="E176" s="179"/>
      <c r="F176" s="179"/>
      <c r="G176" s="179"/>
      <c r="H176" s="179"/>
      <c r="I176" s="36"/>
      <c r="L176" s="111"/>
      <c r="M176" s="111"/>
    </row>
    <row r="177" spans="1:14" s="73" customFormat="1" x14ac:dyDescent="0.35">
      <c r="A177" s="109">
        <f>LEFT(A176,SUM(LEN(A176)-LEN(SUBSTITUTE(A176,{"0","1","2","3","4","5","6","7","8","9"},""))))*100+1</f>
        <v>1101</v>
      </c>
      <c r="B177" s="109"/>
      <c r="C177" s="72" t="s">
        <v>324</v>
      </c>
      <c r="D177" s="74">
        <f>(59.054)*(10.764)</f>
        <v>635.65725599999996</v>
      </c>
      <c r="E177" s="74">
        <f>(4.575)*(10.764)</f>
        <v>49.2453</v>
      </c>
      <c r="F177" s="72">
        <f>D177+E177</f>
        <v>684.902556</v>
      </c>
      <c r="G177" s="72">
        <v>0</v>
      </c>
      <c r="H177" s="72">
        <f>F177*(($H$143)+1)+(IF(G177&lt;101,G177,IF(G177&lt;201,G177/2,IF(G177&lt;=301,G177/3,G177/4))))</f>
        <v>1027.353834</v>
      </c>
      <c r="I177" s="36"/>
      <c r="N177" s="36"/>
    </row>
    <row r="178" spans="1:14" s="73" customFormat="1" x14ac:dyDescent="0.35">
      <c r="A178" s="109">
        <f t="shared" ref="A178:A183" si="36">A177+1</f>
        <v>1102</v>
      </c>
      <c r="B178" s="109"/>
      <c r="C178" s="72" t="s">
        <v>324</v>
      </c>
      <c r="D178" s="74">
        <f>(54.659)*(10.764)</f>
        <v>588.34947599999998</v>
      </c>
      <c r="E178" s="74">
        <f>(6.72)*(10.764)</f>
        <v>72.334079999999986</v>
      </c>
      <c r="F178" s="72">
        <f>D178+E178</f>
        <v>660.68355599999995</v>
      </c>
      <c r="G178" s="72">
        <v>0</v>
      </c>
      <c r="H178" s="72">
        <f>F178*(($H$143)+1)+(IF(G178&lt;101,G178,IF(G178&lt;201,G178/2,IF(G178&lt;=301,G178/3,G178/4))))</f>
        <v>991.02533399999993</v>
      </c>
      <c r="I178" s="36"/>
      <c r="N178" s="36"/>
    </row>
    <row r="179" spans="1:14" s="73" customFormat="1" x14ac:dyDescent="0.35">
      <c r="A179" s="109">
        <f t="shared" si="36"/>
        <v>1103</v>
      </c>
      <c r="B179" s="109"/>
      <c r="C179" s="72" t="s">
        <v>324</v>
      </c>
      <c r="D179" s="74">
        <f>(56.717)*(10.764)</f>
        <v>610.50178799999992</v>
      </c>
      <c r="E179" s="74">
        <f>(4.575)*(10.764)</f>
        <v>49.2453</v>
      </c>
      <c r="F179" s="72">
        <f>D179+E179</f>
        <v>659.74708799999996</v>
      </c>
      <c r="G179" s="72">
        <v>0</v>
      </c>
      <c r="H179" s="72">
        <f>F179*(($H$143)+1)+(IF(G179&lt;101,G179,IF(G179&lt;201,G179/2,IF(G179&lt;=301,G179/3,G179/4))))</f>
        <v>989.62063199999989</v>
      </c>
      <c r="I179" s="36"/>
      <c r="N179" s="36"/>
    </row>
    <row r="180" spans="1:14" s="73" customFormat="1" x14ac:dyDescent="0.35">
      <c r="A180" s="109">
        <f t="shared" si="36"/>
        <v>1104</v>
      </c>
      <c r="B180" s="109"/>
      <c r="C180" s="72" t="s">
        <v>324</v>
      </c>
      <c r="D180" s="74">
        <f>(58.323)*(10.764)</f>
        <v>627.78877199999999</v>
      </c>
      <c r="E180" s="74">
        <f>(4.575)*(10.764)</f>
        <v>49.2453</v>
      </c>
      <c r="F180" s="72">
        <f>D180+E180</f>
        <v>677.03407200000004</v>
      </c>
      <c r="G180" s="72">
        <v>0</v>
      </c>
      <c r="H180" s="72">
        <f>F180*(($H$143)+1)+(IF(G180&lt;101,G180,IF(G180&lt;201,G180/2,IF(G180&lt;=301,G180/3,G180/4))))</f>
        <v>1015.5511080000001</v>
      </c>
      <c r="I180" s="36"/>
      <c r="N180" s="36"/>
    </row>
    <row r="181" spans="1:14" s="73" customFormat="1" x14ac:dyDescent="0.35">
      <c r="A181" s="109">
        <f t="shared" si="36"/>
        <v>1105</v>
      </c>
      <c r="B181" s="109"/>
      <c r="C181" s="72" t="s">
        <v>325</v>
      </c>
      <c r="D181" s="74">
        <f>(38.3)*(10.764)</f>
        <v>412.26119999999992</v>
      </c>
      <c r="E181" s="74">
        <f>(8.186)*(10.764)</f>
        <v>88.114103999999998</v>
      </c>
      <c r="F181" s="72">
        <f>D181+E181</f>
        <v>500.37530399999991</v>
      </c>
      <c r="G181" s="72">
        <v>0</v>
      </c>
      <c r="H181" s="72">
        <f>F181*(($H$143)+1)+(IF(G181&lt;101,G181,IF(G181&lt;201,G181/2,IF(G181&lt;=301,G181/3,G181/4))))</f>
        <v>750.56295599999987</v>
      </c>
      <c r="I181" s="36">
        <f>(4.28*2.75+2.165*2.3+2.955*2.785+1.25*2.08+2*1+1.3*3+1*2.3+0.3*1)</f>
        <v>36.079174999999999</v>
      </c>
      <c r="N181" s="36"/>
    </row>
    <row r="182" spans="1:14" s="73" customFormat="1" x14ac:dyDescent="0.35">
      <c r="A182" s="109">
        <f t="shared" si="36"/>
        <v>1106</v>
      </c>
      <c r="B182" s="109"/>
      <c r="C182" s="88" t="s">
        <v>330</v>
      </c>
      <c r="D182" s="214"/>
      <c r="E182" s="214"/>
      <c r="F182" s="214"/>
      <c r="G182" s="214"/>
      <c r="H182" s="89"/>
      <c r="I182" s="36"/>
      <c r="N182" s="36"/>
    </row>
    <row r="183" spans="1:14" s="73" customFormat="1" x14ac:dyDescent="0.35">
      <c r="A183" s="109">
        <f t="shared" si="36"/>
        <v>1107</v>
      </c>
      <c r="B183" s="109"/>
      <c r="C183" s="72" t="s">
        <v>325</v>
      </c>
      <c r="D183" s="74">
        <f>(35.481)*(10.764)</f>
        <v>381.917484</v>
      </c>
      <c r="E183" s="74">
        <f>(6.622)*(10.764)</f>
        <v>71.279207999999997</v>
      </c>
      <c r="F183" s="72">
        <f>D183+E183</f>
        <v>453.19669199999998</v>
      </c>
      <c r="G183" s="72">
        <v>0</v>
      </c>
      <c r="H183" s="72">
        <f>F183*(($H$143)+1)+(IF(G183&lt;101,G183,IF(G183&lt;201,G183/2,IF(G183&lt;=301,G183/3,G183/4))))</f>
        <v>679.79503799999998</v>
      </c>
      <c r="I183" s="36"/>
      <c r="N183" s="36"/>
    </row>
    <row r="184" spans="1:14" s="37" customFormat="1" hidden="1" x14ac:dyDescent="0.35">
      <c r="A184" s="179" t="s">
        <v>117</v>
      </c>
      <c r="B184" s="179"/>
      <c r="C184" s="179"/>
      <c r="D184" s="179"/>
      <c r="E184" s="179"/>
      <c r="F184" s="179"/>
      <c r="G184" s="179"/>
      <c r="H184" s="179"/>
      <c r="I184" s="36"/>
      <c r="L184" s="111"/>
      <c r="M184" s="111"/>
    </row>
    <row r="185" spans="1:14" s="37" customFormat="1" hidden="1" x14ac:dyDescent="0.35">
      <c r="A185" s="109">
        <f>LEFT(A184,SUM(LEN(A184)-LEN(SUBSTITUTE(A184,{"0","1","2","3","4","5","6","7","8","9"},""))))*100+1</f>
        <v>201</v>
      </c>
      <c r="B185" s="109"/>
      <c r="C185" s="42"/>
      <c r="D185" s="42"/>
      <c r="E185" s="56">
        <v>0</v>
      </c>
      <c r="F185" s="56">
        <f>D185+E185</f>
        <v>0</v>
      </c>
      <c r="G185" s="56">
        <v>0</v>
      </c>
      <c r="H185" s="56">
        <f>F185*(($H$143)+1)+(IF(G185&lt;101,G185,IF(G185&lt;201,G185/2,IF(G185&lt;=301,G185/3,G185/4))))</f>
        <v>0</v>
      </c>
      <c r="I185" s="36"/>
      <c r="N185" s="36"/>
    </row>
    <row r="186" spans="1:14" s="37" customFormat="1" hidden="1" x14ac:dyDescent="0.35">
      <c r="A186" s="109">
        <f>A185+1</f>
        <v>202</v>
      </c>
      <c r="B186" s="109"/>
      <c r="C186" s="42"/>
      <c r="D186" s="42"/>
      <c r="E186" s="56">
        <v>0</v>
      </c>
      <c r="F186" s="56">
        <f>D186+E186</f>
        <v>0</v>
      </c>
      <c r="G186" s="56">
        <v>0</v>
      </c>
      <c r="H186" s="56">
        <f>F186*(($H$143)+1)+(IF(G186&lt;101,G186,IF(G186&lt;201,G186/2,IF(G186&lt;=301,G186/3,G186/4))))</f>
        <v>0</v>
      </c>
      <c r="I186" s="36"/>
      <c r="N186" s="36"/>
    </row>
    <row r="187" spans="1:14" s="37" customFormat="1" hidden="1" x14ac:dyDescent="0.35">
      <c r="A187" s="109">
        <f>A186+1</f>
        <v>203</v>
      </c>
      <c r="B187" s="109"/>
      <c r="C187" s="42"/>
      <c r="D187" s="42"/>
      <c r="E187" s="56">
        <v>0</v>
      </c>
      <c r="F187" s="56">
        <f>D187+E187</f>
        <v>0</v>
      </c>
      <c r="G187" s="56">
        <v>0</v>
      </c>
      <c r="H187" s="56">
        <f>F187*(($H$143)+1)+(IF(G187&lt;101,G187,IF(G187&lt;201,G187/2,IF(G187&lt;=301,G187/3,G187/4))))</f>
        <v>0</v>
      </c>
      <c r="I187" s="36"/>
      <c r="N187" s="36"/>
    </row>
    <row r="188" spans="1:14" s="37" customFormat="1" hidden="1" x14ac:dyDescent="0.35">
      <c r="A188" s="109">
        <f>A187+1</f>
        <v>204</v>
      </c>
      <c r="B188" s="109"/>
      <c r="C188" s="42"/>
      <c r="D188" s="42"/>
      <c r="E188" s="56">
        <v>0</v>
      </c>
      <c r="F188" s="56">
        <f>D188+E188</f>
        <v>0</v>
      </c>
      <c r="G188" s="56">
        <v>0</v>
      </c>
      <c r="H188" s="56">
        <f>F188*(($H$143)+1)+(IF(G188&lt;101,G188,IF(G188&lt;201,G188/2,IF(G188&lt;=301,G188/3,G188/4))))</f>
        <v>0</v>
      </c>
      <c r="I188" s="36"/>
      <c r="N188" s="36"/>
    </row>
    <row r="189" spans="1:14" s="37" customFormat="1" hidden="1" x14ac:dyDescent="0.35">
      <c r="A189" s="109">
        <f>A188+1</f>
        <v>205</v>
      </c>
      <c r="B189" s="109"/>
      <c r="C189" s="42"/>
      <c r="D189" s="42"/>
      <c r="E189" s="56">
        <v>0</v>
      </c>
      <c r="F189" s="56">
        <f>D189+E189</f>
        <v>0</v>
      </c>
      <c r="G189" s="56">
        <v>0</v>
      </c>
      <c r="H189" s="56">
        <f>F189*(($H$143)+1)+(IF(G189&lt;101,G189,IF(G189&lt;201,G189/2,IF(G189&lt;=301,G189/3,G189/4))))</f>
        <v>0</v>
      </c>
      <c r="I189" s="36"/>
      <c r="N189" s="36"/>
    </row>
    <row r="190" spans="1:14" s="37" customFormat="1" ht="15.75" hidden="1" customHeight="1" x14ac:dyDescent="0.35">
      <c r="A190" s="90" t="s">
        <v>149</v>
      </c>
      <c r="B190" s="91"/>
      <c r="C190" s="91"/>
      <c r="D190" s="91"/>
      <c r="E190" s="91"/>
      <c r="F190" s="91"/>
      <c r="G190" s="91"/>
      <c r="H190" s="92"/>
      <c r="I190" s="36"/>
    </row>
    <row r="191" spans="1:14" s="37" customFormat="1" ht="15.75" hidden="1" customHeight="1" x14ac:dyDescent="0.35">
      <c r="A191" s="88"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301 ,.., 1501</v>
      </c>
      <c r="B191" s="89"/>
      <c r="C191" s="42"/>
      <c r="D191" s="42"/>
      <c r="E191" s="56">
        <v>0</v>
      </c>
      <c r="F191" s="56">
        <f>D191+E191</f>
        <v>0</v>
      </c>
      <c r="G191" s="56">
        <v>0</v>
      </c>
      <c r="H191" s="56">
        <f>F191*(($H$143)+1)+(IF(G191&lt;101,G191,IF(G191&lt;201,G191/2,IF(G191&lt;=301,G191/3,G191/4))))</f>
        <v>0</v>
      </c>
      <c r="I191" s="36"/>
    </row>
    <row r="192" spans="1:14" s="37" customFormat="1" ht="15.75" hidden="1" customHeight="1" x14ac:dyDescent="0.35">
      <c r="A192" s="88"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302 ,.., 1502</v>
      </c>
      <c r="B192" s="89"/>
      <c r="C192" s="42"/>
      <c r="D192" s="42"/>
      <c r="E192" s="56">
        <v>0</v>
      </c>
      <c r="F192" s="56">
        <f>D192+E192</f>
        <v>0</v>
      </c>
      <c r="G192" s="56">
        <v>0</v>
      </c>
      <c r="H192" s="56">
        <f>F192*(($H$143)+1)+(IF(G192&lt;101,G192,IF(G192&lt;201,G192/2,IF(G192&lt;=301,G192/3,G192/4))))</f>
        <v>0</v>
      </c>
      <c r="I192" s="36"/>
    </row>
    <row r="193" spans="1:20" s="37" customFormat="1" ht="15.75" hidden="1" customHeight="1" x14ac:dyDescent="0.35">
      <c r="A193" s="88"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303 ,.., 1503</v>
      </c>
      <c r="B193" s="89"/>
      <c r="C193" s="42"/>
      <c r="D193" s="42"/>
      <c r="E193" s="56">
        <v>0</v>
      </c>
      <c r="F193" s="56">
        <f>D193+E193</f>
        <v>0</v>
      </c>
      <c r="G193" s="56">
        <v>0</v>
      </c>
      <c r="H193" s="56">
        <f>F193*(($H$143)+1)+(IF(G193&lt;101,G193,IF(G193&lt;201,G193/2,IF(G193&lt;=301,G193/3,G193/4))))</f>
        <v>0</v>
      </c>
      <c r="I193" s="36"/>
    </row>
    <row r="194" spans="1:20" s="37" customFormat="1" ht="15.75" hidden="1" customHeight="1" x14ac:dyDescent="0.35">
      <c r="A194" s="88"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304 ,.., 1504</v>
      </c>
      <c r="B194" s="89"/>
      <c r="C194" s="42"/>
      <c r="D194" s="42"/>
      <c r="E194" s="56">
        <v>0</v>
      </c>
      <c r="F194" s="56">
        <f>D194+E194</f>
        <v>0</v>
      </c>
      <c r="G194" s="56">
        <v>0</v>
      </c>
      <c r="H194" s="56">
        <f>F194*(($H$143)+1)+(IF(G194&lt;101,G194,IF(G194&lt;201,G194/2,IF(G194&lt;=301,G194/3,G194/4))))</f>
        <v>0</v>
      </c>
      <c r="I194" s="36"/>
    </row>
    <row r="195" spans="1:20" s="37" customFormat="1" ht="15.75" hidden="1" customHeight="1" x14ac:dyDescent="0.35">
      <c r="A195" s="88"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305 ,.., 1505</v>
      </c>
      <c r="B195" s="89"/>
      <c r="C195" s="42"/>
      <c r="D195" s="42"/>
      <c r="E195" s="56">
        <v>0</v>
      </c>
      <c r="F195" s="56">
        <f>D195+E195</f>
        <v>0</v>
      </c>
      <c r="G195" s="56">
        <v>0</v>
      </c>
      <c r="H195" s="56">
        <f>F195*(($H$143)+1)+(IF(G195&lt;101,G195,IF(G195&lt;201,G195/2,IF(G195&lt;=301,G195/3,G195/4))))</f>
        <v>0</v>
      </c>
      <c r="I195" s="36"/>
    </row>
    <row r="196" spans="1:20" s="37" customFormat="1" hidden="1" x14ac:dyDescent="0.35">
      <c r="A196" s="90" t="s">
        <v>143</v>
      </c>
      <c r="B196" s="91"/>
      <c r="C196" s="91"/>
      <c r="D196" s="91"/>
      <c r="E196" s="91"/>
      <c r="F196" s="91"/>
      <c r="G196" s="91"/>
      <c r="H196" s="92"/>
      <c r="I196" s="36"/>
    </row>
    <row r="197" spans="1:20" s="37" customFormat="1" ht="15.75" hidden="1" customHeight="1" x14ac:dyDescent="0.35">
      <c r="A197" s="88"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201 to 501</v>
      </c>
      <c r="B197" s="89"/>
      <c r="C197" s="42"/>
      <c r="D197" s="42"/>
      <c r="E197" s="56">
        <v>0</v>
      </c>
      <c r="F197" s="56">
        <f>D197+E197</f>
        <v>0</v>
      </c>
      <c r="G197" s="56">
        <v>0</v>
      </c>
      <c r="H197" s="56">
        <f>F197*(($H$143)+1)+(IF(G197&lt;101,G197,IF(G197&lt;201,G197/2,IF(G197&lt;=301,G197/3,G197/4))))</f>
        <v>0</v>
      </c>
      <c r="I197" s="36"/>
    </row>
    <row r="198" spans="1:20" s="37" customFormat="1" ht="15.75" hidden="1" customHeight="1" x14ac:dyDescent="0.35">
      <c r="A198" s="88"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202 to 502</v>
      </c>
      <c r="B198" s="89"/>
      <c r="C198" s="42"/>
      <c r="D198" s="42"/>
      <c r="E198" s="56">
        <v>0</v>
      </c>
      <c r="F198" s="56">
        <f>D198+E198</f>
        <v>0</v>
      </c>
      <c r="G198" s="56">
        <v>0</v>
      </c>
      <c r="H198" s="56">
        <f>F198*(($H$143)+1)+(IF(G198&lt;101,G198,IF(G198&lt;201,G198/2,IF(G198&lt;=301,G198/3,G198/4))))</f>
        <v>0</v>
      </c>
      <c r="I198" s="36"/>
    </row>
    <row r="199" spans="1:20" s="37" customFormat="1" ht="15.75" hidden="1" customHeight="1" x14ac:dyDescent="0.35">
      <c r="A199" s="88"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203 to 503</v>
      </c>
      <c r="B199" s="89"/>
      <c r="C199" s="42"/>
      <c r="D199" s="42"/>
      <c r="E199" s="56">
        <v>0</v>
      </c>
      <c r="F199" s="56">
        <f>D199+E199</f>
        <v>0</v>
      </c>
      <c r="G199" s="56">
        <v>0</v>
      </c>
      <c r="H199" s="56">
        <f>F199*(($H$143)+1)+(IF(G199&lt;101,G199,IF(G199&lt;201,G199/2,IF(G199&lt;=301,G199/3,G199/4))))</f>
        <v>0</v>
      </c>
      <c r="I199" s="36"/>
    </row>
    <row r="200" spans="1:20" s="37" customFormat="1" ht="15.75" hidden="1" customHeight="1" x14ac:dyDescent="0.35">
      <c r="A200" s="88"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204 to 504</v>
      </c>
      <c r="B200" s="89"/>
      <c r="C200" s="42"/>
      <c r="D200" s="42"/>
      <c r="E200" s="56">
        <v>0</v>
      </c>
      <c r="F200" s="56">
        <f>D200+E200</f>
        <v>0</v>
      </c>
      <c r="G200" s="56">
        <v>0</v>
      </c>
      <c r="H200" s="56">
        <f>F200*(($H$143)+1)+(IF(G200&lt;101,G200,IF(G200&lt;201,G200/2,IF(G200&lt;=301,G200/3,G200/4))))</f>
        <v>0</v>
      </c>
      <c r="I200" s="36"/>
    </row>
    <row r="201" spans="1:20" s="37" customFormat="1" ht="15.75" hidden="1" customHeight="1" x14ac:dyDescent="0.35">
      <c r="A201" s="88"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205 to 505</v>
      </c>
      <c r="B201" s="89"/>
      <c r="C201" s="42"/>
      <c r="D201" s="42"/>
      <c r="E201" s="56">
        <v>0</v>
      </c>
      <c r="F201" s="56">
        <f>D201+E201</f>
        <v>0</v>
      </c>
      <c r="G201" s="56">
        <v>0</v>
      </c>
      <c r="H201" s="56">
        <f>F201*(($H$143)+1)+(IF(G201&lt;101,G201,IF(G201&lt;201,G201/2,IF(G201&lt;=301,G201/3,G201/4))))</f>
        <v>0</v>
      </c>
      <c r="I201" s="36"/>
    </row>
    <row r="202" spans="1:20" s="37" customFormat="1" hidden="1" x14ac:dyDescent="0.35">
      <c r="A202" s="90" t="s">
        <v>144</v>
      </c>
      <c r="B202" s="91"/>
      <c r="C202" s="91"/>
      <c r="D202" s="91"/>
      <c r="E202" s="91"/>
      <c r="F202" s="91"/>
      <c r="G202" s="91"/>
      <c r="H202" s="92"/>
      <c r="I202" s="36"/>
    </row>
    <row r="203" spans="1:20" s="37" customFormat="1" ht="15.75" hidden="1" customHeight="1" x14ac:dyDescent="0.35">
      <c r="A203" s="88"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201 &amp; 501</v>
      </c>
      <c r="B203" s="89"/>
      <c r="C203" s="42"/>
      <c r="D203" s="42"/>
      <c r="E203" s="56">
        <v>0</v>
      </c>
      <c r="F203" s="56">
        <f>D203+E203</f>
        <v>0</v>
      </c>
      <c r="G203" s="56">
        <v>0</v>
      </c>
      <c r="H203" s="56">
        <f>F203*(($H$143)+1)+(IF(G203&lt;101,G203,IF(G203&lt;201,G203/2,IF(G203&lt;=301,G203/3,G203/4))))</f>
        <v>0</v>
      </c>
      <c r="I203" s="36"/>
    </row>
    <row r="204" spans="1:20" s="37" customFormat="1" ht="15.75" hidden="1" customHeight="1" x14ac:dyDescent="0.35">
      <c r="A204" s="88"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202 &amp; 502</v>
      </c>
      <c r="B204" s="89"/>
      <c r="C204" s="42"/>
      <c r="D204" s="42"/>
      <c r="E204" s="56">
        <v>0</v>
      </c>
      <c r="F204" s="56">
        <f>D204+E204</f>
        <v>0</v>
      </c>
      <c r="G204" s="56">
        <v>0</v>
      </c>
      <c r="H204" s="56">
        <f>F204*(($H$143)+1)+(IF(G204&lt;101,G204,IF(G204&lt;201,G204/2,IF(G204&lt;=301,G204/3,G204/4))))</f>
        <v>0</v>
      </c>
      <c r="I204" s="36"/>
    </row>
    <row r="205" spans="1:20" s="37" customFormat="1" ht="15.75" hidden="1" customHeight="1" x14ac:dyDescent="0.35">
      <c r="A205" s="88"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203 &amp; 503</v>
      </c>
      <c r="B205" s="89"/>
      <c r="C205" s="42"/>
      <c r="D205" s="42"/>
      <c r="E205" s="56">
        <v>0</v>
      </c>
      <c r="F205" s="56">
        <f>D205+E205</f>
        <v>0</v>
      </c>
      <c r="G205" s="56">
        <v>0</v>
      </c>
      <c r="H205" s="56">
        <f>F205*(($H$143)+1)+(IF(G205&lt;101,G205,IF(G205&lt;201,G205/2,IF(G205&lt;=301,G205/3,G205/4))))</f>
        <v>0</v>
      </c>
      <c r="I205" s="36"/>
    </row>
    <row r="206" spans="1:20" s="37" customFormat="1" ht="15.75" hidden="1" customHeight="1" x14ac:dyDescent="0.35">
      <c r="A206" s="88"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204 &amp; 504</v>
      </c>
      <c r="B206" s="89"/>
      <c r="C206" s="42"/>
      <c r="D206" s="42"/>
      <c r="E206" s="56">
        <v>0</v>
      </c>
      <c r="F206" s="56">
        <f>D206+E206</f>
        <v>0</v>
      </c>
      <c r="G206" s="56">
        <v>0</v>
      </c>
      <c r="H206" s="56">
        <f>F206*(($H$143)+1)+(IF(G206&lt;101,G206,IF(G206&lt;201,G206/2,IF(G206&lt;=301,G206/3,G206/4))))</f>
        <v>0</v>
      </c>
      <c r="I206" s="36"/>
    </row>
    <row r="207" spans="1:20" s="37" customFormat="1" ht="15.75" hidden="1" customHeight="1" x14ac:dyDescent="0.35">
      <c r="A207" s="88"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205 &amp; 505</v>
      </c>
      <c r="B207" s="89"/>
      <c r="C207" s="42"/>
      <c r="D207" s="42"/>
      <c r="E207" s="56">
        <v>0</v>
      </c>
      <c r="F207" s="56">
        <f>D207+E207</f>
        <v>0</v>
      </c>
      <c r="G207" s="56">
        <v>0</v>
      </c>
      <c r="H207" s="56">
        <f>F207*(($H$143)+1)+(IF(G207&lt;101,G207,IF(G207&lt;201,G207/2,IF(G207&lt;=301,G207/3,G207/4))))</f>
        <v>0</v>
      </c>
      <c r="I207" s="36"/>
    </row>
    <row r="208" spans="1:20" s="35" customFormat="1" x14ac:dyDescent="0.35">
      <c r="A208" s="195" t="s">
        <v>65</v>
      </c>
      <c r="B208" s="195"/>
      <c r="C208" s="195"/>
      <c r="D208" s="195"/>
      <c r="E208" s="195"/>
      <c r="F208" s="195"/>
      <c r="G208" s="195"/>
      <c r="H208" s="195"/>
      <c r="T208" s="37"/>
    </row>
    <row r="209" spans="1:20" s="35" customFormat="1" x14ac:dyDescent="0.35">
      <c r="A209" s="46" t="s">
        <v>153</v>
      </c>
      <c r="B209" s="217" t="s">
        <v>354</v>
      </c>
      <c r="C209" s="218"/>
      <c r="D209" s="218"/>
      <c r="E209" s="218"/>
      <c r="F209" s="218"/>
      <c r="G209" s="218"/>
      <c r="H209" s="219"/>
      <c r="T209" s="37"/>
    </row>
    <row r="210" spans="1:20" s="35" customFormat="1" x14ac:dyDescent="0.35">
      <c r="A210" s="46" t="s">
        <v>153</v>
      </c>
      <c r="B210" s="192" t="str">
        <f>(IF(H142="Saleable area Loading :","We have considered Saleable area of Flats as per our Calculation.","We considered Saleable area of Flat as per Builder area Sheet."))</f>
        <v>We have considered Saleable area of Flats as per our Calculation.</v>
      </c>
      <c r="C210" s="193"/>
      <c r="D210" s="193"/>
      <c r="E210" s="193"/>
      <c r="F210" s="193"/>
      <c r="G210" s="193"/>
      <c r="H210" s="194"/>
      <c r="T210" s="37"/>
    </row>
    <row r="211" spans="1:20" s="35" customFormat="1" x14ac:dyDescent="0.35">
      <c r="A211" s="46" t="s">
        <v>153</v>
      </c>
      <c r="B211" s="192" t="str">
        <f>(IF(H125="Saleable area Loading :","We have considered Saleable area of Commercial as per our Calculation.","We considered Saleable area of Commercial as per Builder area Sheet."))</f>
        <v>We have considered Saleable area of Commercial as per our Calculation.</v>
      </c>
      <c r="C211" s="193"/>
      <c r="D211" s="193"/>
      <c r="E211" s="193"/>
      <c r="F211" s="193"/>
      <c r="G211" s="193"/>
      <c r="H211" s="194"/>
      <c r="T211" s="37"/>
    </row>
    <row r="212" spans="1:20" s="35" customFormat="1" x14ac:dyDescent="0.35">
      <c r="A212" s="46" t="s">
        <v>153</v>
      </c>
      <c r="B212" s="95" t="s">
        <v>120</v>
      </c>
      <c r="C212" s="96"/>
      <c r="D212" s="96"/>
      <c r="E212" s="96"/>
      <c r="F212" s="96"/>
      <c r="G212" s="96"/>
      <c r="H212" s="97"/>
      <c r="T212" s="37"/>
    </row>
    <row r="213" spans="1:20" s="35" customFormat="1" x14ac:dyDescent="0.35">
      <c r="A213" s="46" t="s">
        <v>153</v>
      </c>
      <c r="B213" s="95" t="s">
        <v>333</v>
      </c>
      <c r="C213" s="96"/>
      <c r="D213" s="96"/>
      <c r="E213" s="96"/>
      <c r="F213" s="96"/>
      <c r="G213" s="96"/>
      <c r="H213" s="97"/>
      <c r="T213" s="37"/>
    </row>
    <row r="214" spans="1:20" s="35" customFormat="1" x14ac:dyDescent="0.35">
      <c r="A214" s="46" t="s">
        <v>153</v>
      </c>
      <c r="B214" s="95" t="s">
        <v>152</v>
      </c>
      <c r="C214" s="96"/>
      <c r="D214" s="96"/>
      <c r="E214" s="96"/>
      <c r="F214" s="96"/>
      <c r="G214" s="96"/>
      <c r="H214" s="97"/>
    </row>
    <row r="215" spans="1:20" s="35" customFormat="1" x14ac:dyDescent="0.35">
      <c r="A215" s="46" t="s">
        <v>153</v>
      </c>
      <c r="B215" s="95" t="s">
        <v>121</v>
      </c>
      <c r="C215" s="96"/>
      <c r="D215" s="96"/>
      <c r="E215" s="96"/>
      <c r="F215" s="96"/>
      <c r="G215" s="96"/>
      <c r="H215" s="97"/>
    </row>
    <row r="216" spans="1:20" s="35" customFormat="1" ht="34.5" customHeight="1" x14ac:dyDescent="0.35">
      <c r="A216" s="46" t="s">
        <v>153</v>
      </c>
      <c r="B216" s="95" t="s">
        <v>154</v>
      </c>
      <c r="C216" s="96"/>
      <c r="D216" s="96"/>
      <c r="E216" s="96"/>
      <c r="F216" s="96"/>
      <c r="G216" s="96"/>
      <c r="H216" s="97"/>
    </row>
    <row r="217" spans="1:20" s="35" customFormat="1" x14ac:dyDescent="0.35">
      <c r="A217" s="84" t="s">
        <v>153</v>
      </c>
      <c r="B217" s="95" t="s">
        <v>122</v>
      </c>
      <c r="C217" s="96"/>
      <c r="D217" s="96"/>
      <c r="E217" s="96"/>
      <c r="F217" s="96"/>
      <c r="G217" s="96"/>
      <c r="H217" s="97"/>
    </row>
    <row r="218" spans="1:20" s="35" customFormat="1" x14ac:dyDescent="0.35">
      <c r="A218" s="77" t="s">
        <v>153</v>
      </c>
      <c r="B218" s="95" t="s">
        <v>351</v>
      </c>
      <c r="C218" s="96"/>
      <c r="D218" s="96"/>
      <c r="E218" s="96"/>
      <c r="F218" s="96"/>
      <c r="G218" s="96"/>
      <c r="H218" s="97"/>
    </row>
    <row r="219" spans="1:20" s="35" customFormat="1" hidden="1" x14ac:dyDescent="0.35">
      <c r="A219" s="46" t="s">
        <v>153</v>
      </c>
      <c r="B219" s="98" t="s">
        <v>348</v>
      </c>
      <c r="C219" s="96"/>
      <c r="D219" s="96"/>
      <c r="E219" s="96"/>
      <c r="F219" s="96"/>
      <c r="G219" s="96"/>
      <c r="H219" s="97"/>
    </row>
    <row r="220" spans="1:20" s="35" customFormat="1" hidden="1" x14ac:dyDescent="0.35">
      <c r="A220" s="57" t="s">
        <v>153</v>
      </c>
      <c r="B220" s="98" t="s">
        <v>334</v>
      </c>
      <c r="C220" s="99"/>
      <c r="D220" s="99"/>
      <c r="E220" s="99"/>
      <c r="F220" s="99"/>
      <c r="G220" s="99"/>
      <c r="H220" s="100"/>
    </row>
    <row r="221" spans="1:20" x14ac:dyDescent="0.35">
      <c r="A221" s="181" t="s">
        <v>58</v>
      </c>
      <c r="B221" s="181"/>
      <c r="C221" s="181"/>
      <c r="D221" s="181"/>
      <c r="E221" s="181"/>
      <c r="F221" s="181"/>
      <c r="G221" s="181"/>
      <c r="H221" s="181"/>
      <c r="T221" s="35"/>
    </row>
    <row r="222" spans="1:20" x14ac:dyDescent="0.35">
      <c r="A222" s="101" t="s">
        <v>59</v>
      </c>
      <c r="B222" s="101"/>
      <c r="C222" s="101"/>
      <c r="D222" s="101"/>
      <c r="E222" s="101"/>
      <c r="F222" s="101"/>
      <c r="G222" s="101"/>
      <c r="H222" s="101"/>
      <c r="T222" s="35"/>
    </row>
    <row r="223" spans="1:20" ht="15.75" customHeight="1" x14ac:dyDescent="0.35">
      <c r="A223" s="183" t="s">
        <v>60</v>
      </c>
      <c r="B223" s="183"/>
      <c r="C223" s="183"/>
      <c r="D223" s="183"/>
      <c r="E223" s="183"/>
      <c r="F223" s="183"/>
      <c r="G223" s="183"/>
      <c r="H223" s="183"/>
      <c r="T223" s="35"/>
    </row>
    <row r="224" spans="1:20" x14ac:dyDescent="0.35">
      <c r="A224" s="101" t="s">
        <v>61</v>
      </c>
      <c r="B224" s="101"/>
      <c r="C224" s="101"/>
      <c r="D224" s="101"/>
      <c r="E224" s="101"/>
      <c r="F224" s="101"/>
      <c r="G224" s="101"/>
      <c r="H224" s="101"/>
      <c r="T224" s="35"/>
    </row>
    <row r="225" spans="1:20" x14ac:dyDescent="0.35">
      <c r="A225" s="101" t="s">
        <v>62</v>
      </c>
      <c r="B225" s="101"/>
      <c r="C225" s="101"/>
      <c r="D225" s="101"/>
      <c r="E225" s="101"/>
      <c r="F225" s="101"/>
      <c r="G225" s="101"/>
      <c r="H225" s="101"/>
      <c r="T225" s="35"/>
    </row>
    <row r="226" spans="1:20" x14ac:dyDescent="0.35">
      <c r="A226" s="101" t="s">
        <v>123</v>
      </c>
      <c r="B226" s="101"/>
      <c r="C226" s="101"/>
      <c r="D226" s="101"/>
      <c r="E226" s="101"/>
      <c r="F226" s="101"/>
      <c r="G226" s="101"/>
      <c r="H226" s="101"/>
      <c r="T226" s="35"/>
    </row>
    <row r="227" spans="1:20" ht="34" customHeight="1" x14ac:dyDescent="0.35">
      <c r="A227" s="160" t="s">
        <v>124</v>
      </c>
      <c r="B227" s="160"/>
      <c r="C227" s="160"/>
      <c r="D227" s="160"/>
      <c r="E227" s="160"/>
      <c r="F227" s="160"/>
      <c r="G227" s="160"/>
      <c r="H227" s="160"/>
    </row>
    <row r="228" spans="1:20" x14ac:dyDescent="0.35">
      <c r="A228" s="177" t="s">
        <v>74</v>
      </c>
      <c r="B228" s="177"/>
      <c r="C228" s="177" t="s">
        <v>356</v>
      </c>
      <c r="D228" s="177"/>
      <c r="E228" s="177" t="s">
        <v>104</v>
      </c>
      <c r="F228" s="177"/>
      <c r="G228" s="178" t="s">
        <v>355</v>
      </c>
      <c r="H228" s="178"/>
    </row>
    <row r="229" spans="1:20" x14ac:dyDescent="0.35">
      <c r="A229" s="176" t="s">
        <v>76</v>
      </c>
      <c r="B229" s="176"/>
      <c r="C229" s="176"/>
      <c r="D229" s="176"/>
      <c r="E229" s="176"/>
      <c r="F229" s="176"/>
      <c r="G229" s="176"/>
      <c r="H229" s="176"/>
    </row>
    <row r="230" spans="1:20" x14ac:dyDescent="0.35">
      <c r="A230" s="176"/>
      <c r="B230" s="176"/>
      <c r="C230" s="176"/>
      <c r="D230" s="176"/>
      <c r="E230" s="176"/>
      <c r="F230" s="176"/>
      <c r="G230" s="176"/>
      <c r="H230" s="176"/>
    </row>
    <row r="231" spans="1:20" x14ac:dyDescent="0.35">
      <c r="A231" s="176"/>
      <c r="B231" s="176"/>
      <c r="C231" s="176"/>
      <c r="D231" s="176"/>
      <c r="E231" s="176"/>
      <c r="F231" s="176"/>
      <c r="G231" s="176"/>
      <c r="H231" s="176"/>
    </row>
    <row r="232" spans="1:20" x14ac:dyDescent="0.35">
      <c r="A232" s="176"/>
      <c r="B232" s="176"/>
      <c r="C232" s="176"/>
      <c r="D232" s="176"/>
      <c r="E232" s="176"/>
      <c r="F232" s="176"/>
      <c r="G232" s="176"/>
      <c r="H232" s="176"/>
    </row>
    <row r="233" spans="1:20" x14ac:dyDescent="0.35">
      <c r="A233" s="38" t="s">
        <v>63</v>
      </c>
      <c r="B233" s="39"/>
      <c r="C233" s="39"/>
      <c r="D233" s="38" t="str">
        <f>E9</f>
        <v>Shreeji Cloud</v>
      </c>
      <c r="F233" s="39"/>
      <c r="G233" s="39"/>
      <c r="H233" s="39"/>
    </row>
    <row r="234" spans="1:20" x14ac:dyDescent="0.35">
      <c r="A234" s="39"/>
      <c r="B234" s="39"/>
      <c r="C234" s="39"/>
      <c r="D234" s="39"/>
      <c r="E234" s="39"/>
      <c r="F234" s="39"/>
      <c r="G234" s="39"/>
      <c r="H234" s="39"/>
    </row>
    <row r="235" spans="1:20" x14ac:dyDescent="0.35">
      <c r="A235" s="39"/>
      <c r="B235" s="39"/>
      <c r="C235" s="39"/>
      <c r="D235" s="39"/>
      <c r="E235" s="39"/>
      <c r="F235" s="39"/>
      <c r="G235" s="39"/>
      <c r="H235" s="39"/>
    </row>
    <row r="236" spans="1:20" ht="15" customHeight="1" x14ac:dyDescent="0.35"/>
    <row r="276" spans="1:1" x14ac:dyDescent="0.35">
      <c r="A276" s="41" t="s">
        <v>164</v>
      </c>
    </row>
    <row r="309" spans="1:1" x14ac:dyDescent="0.35">
      <c r="A309" s="41" t="s">
        <v>64</v>
      </c>
    </row>
  </sheetData>
  <mergeCells count="387">
    <mergeCell ref="A177:B177"/>
    <mergeCell ref="A178:B178"/>
    <mergeCell ref="A179:B179"/>
    <mergeCell ref="A180:B180"/>
    <mergeCell ref="A181:B181"/>
    <mergeCell ref="A182:B182"/>
    <mergeCell ref="A183:B183"/>
    <mergeCell ref="C182:H182"/>
    <mergeCell ref="B215:H215"/>
    <mergeCell ref="B211:H211"/>
    <mergeCell ref="A205:B205"/>
    <mergeCell ref="A202:H202"/>
    <mergeCell ref="A203:B203"/>
    <mergeCell ref="A204:B204"/>
    <mergeCell ref="A207:B207"/>
    <mergeCell ref="A206:B206"/>
    <mergeCell ref="B209:H209"/>
    <mergeCell ref="A194:B194"/>
    <mergeCell ref="A191:B191"/>
    <mergeCell ref="A198:B198"/>
    <mergeCell ref="L160:M160"/>
    <mergeCell ref="L176:M176"/>
    <mergeCell ref="A162:B162"/>
    <mergeCell ref="A163:B163"/>
    <mergeCell ref="A164:B164"/>
    <mergeCell ref="A165:B165"/>
    <mergeCell ref="A166:B166"/>
    <mergeCell ref="A167:B167"/>
    <mergeCell ref="C167:H167"/>
    <mergeCell ref="A168:H168"/>
    <mergeCell ref="L168:M168"/>
    <mergeCell ref="A169:B169"/>
    <mergeCell ref="A170:B170"/>
    <mergeCell ref="A171:B171"/>
    <mergeCell ref="A172:B172"/>
    <mergeCell ref="A173:B173"/>
    <mergeCell ref="A174:B174"/>
    <mergeCell ref="A160:H160"/>
    <mergeCell ref="A175:B175"/>
    <mergeCell ref="A176:H176"/>
    <mergeCell ref="A161:B161"/>
    <mergeCell ref="L140:M140"/>
    <mergeCell ref="A144:H144"/>
    <mergeCell ref="L144:M144"/>
    <mergeCell ref="A145:B145"/>
    <mergeCell ref="A146:B146"/>
    <mergeCell ref="A147:B147"/>
    <mergeCell ref="A148:B148"/>
    <mergeCell ref="A149:B149"/>
    <mergeCell ref="A150:B150"/>
    <mergeCell ref="A141:H141"/>
    <mergeCell ref="A142:A143"/>
    <mergeCell ref="F142:F143"/>
    <mergeCell ref="L135:M135"/>
    <mergeCell ref="A136:B136"/>
    <mergeCell ref="L136:M136"/>
    <mergeCell ref="A137:B137"/>
    <mergeCell ref="L137:M137"/>
    <mergeCell ref="A138:B138"/>
    <mergeCell ref="L138:M138"/>
    <mergeCell ref="A139:B139"/>
    <mergeCell ref="L139:M139"/>
    <mergeCell ref="C87:H87"/>
    <mergeCell ref="A82:B82"/>
    <mergeCell ref="A50:B50"/>
    <mergeCell ref="C50:E50"/>
    <mergeCell ref="A132:B132"/>
    <mergeCell ref="L132:M132"/>
    <mergeCell ref="A133:B133"/>
    <mergeCell ref="L133:M133"/>
    <mergeCell ref="A134:B134"/>
    <mergeCell ref="L134:M134"/>
    <mergeCell ref="G51:H51"/>
    <mergeCell ref="A52:B53"/>
    <mergeCell ref="C53:H53"/>
    <mergeCell ref="C52:E52"/>
    <mergeCell ref="G60:H60"/>
    <mergeCell ref="A54:B55"/>
    <mergeCell ref="C54:E54"/>
    <mergeCell ref="G54:H54"/>
    <mergeCell ref="A56:B57"/>
    <mergeCell ref="C56:E56"/>
    <mergeCell ref="G56:H56"/>
    <mergeCell ref="A58:B59"/>
    <mergeCell ref="C58:E58"/>
    <mergeCell ref="G58:H58"/>
    <mergeCell ref="I15:P15"/>
    <mergeCell ref="F111:H111"/>
    <mergeCell ref="F109:H109"/>
    <mergeCell ref="A192:B192"/>
    <mergeCell ref="A124:H124"/>
    <mergeCell ref="G115:H115"/>
    <mergeCell ref="A110:E110"/>
    <mergeCell ref="A129:B129"/>
    <mergeCell ref="A60:B60"/>
    <mergeCell ref="C60:E60"/>
    <mergeCell ref="D62:H62"/>
    <mergeCell ref="F110:H110"/>
    <mergeCell ref="E115:F115"/>
    <mergeCell ref="A115:B115"/>
    <mergeCell ref="C119:D119"/>
    <mergeCell ref="D70:H70"/>
    <mergeCell ref="A71:C71"/>
    <mergeCell ref="E43:H43"/>
    <mergeCell ref="A43:D43"/>
    <mergeCell ref="A87:B87"/>
    <mergeCell ref="A61:H61"/>
    <mergeCell ref="A62:C62"/>
    <mergeCell ref="A63:C63"/>
    <mergeCell ref="D63:H63"/>
    <mergeCell ref="A128:B128"/>
    <mergeCell ref="A122:B122"/>
    <mergeCell ref="C122:D122"/>
    <mergeCell ref="E122:F122"/>
    <mergeCell ref="B219:H219"/>
    <mergeCell ref="A135:B135"/>
    <mergeCell ref="A140:B140"/>
    <mergeCell ref="A151:B151"/>
    <mergeCell ref="B210:H210"/>
    <mergeCell ref="B212:H212"/>
    <mergeCell ref="B213:H213"/>
    <mergeCell ref="A154:B154"/>
    <mergeCell ref="A155:B155"/>
    <mergeCell ref="A156:B156"/>
    <mergeCell ref="A157:B157"/>
    <mergeCell ref="A158:B158"/>
    <mergeCell ref="A159:B159"/>
    <mergeCell ref="A190:H190"/>
    <mergeCell ref="A208:H208"/>
    <mergeCell ref="B214:H214"/>
    <mergeCell ref="A201:B201"/>
    <mergeCell ref="B218:H218"/>
    <mergeCell ref="D142:D143"/>
    <mergeCell ref="E142:E143"/>
    <mergeCell ref="G125:G126"/>
    <mergeCell ref="A95:B95"/>
    <mergeCell ref="A96:B96"/>
    <mergeCell ref="A97:B97"/>
    <mergeCell ref="F102:H102"/>
    <mergeCell ref="G116:H116"/>
    <mergeCell ref="F108:H108"/>
    <mergeCell ref="C115:D115"/>
    <mergeCell ref="C121:D121"/>
    <mergeCell ref="F101:H101"/>
    <mergeCell ref="F106:H106"/>
    <mergeCell ref="E119:F119"/>
    <mergeCell ref="A123:H123"/>
    <mergeCell ref="A90:B90"/>
    <mergeCell ref="A112:E112"/>
    <mergeCell ref="F112:H112"/>
    <mergeCell ref="A113:E113"/>
    <mergeCell ref="F113:H113"/>
    <mergeCell ref="A105:E105"/>
    <mergeCell ref="A104:E104"/>
    <mergeCell ref="A101:E101"/>
    <mergeCell ref="F105:H105"/>
    <mergeCell ref="G90:H90"/>
    <mergeCell ref="A107:E107"/>
    <mergeCell ref="F107:H107"/>
    <mergeCell ref="A109:E109"/>
    <mergeCell ref="F104:H104"/>
    <mergeCell ref="A108:E108"/>
    <mergeCell ref="E91:F100"/>
    <mergeCell ref="A98:B98"/>
    <mergeCell ref="A99:B99"/>
    <mergeCell ref="A229:H232"/>
    <mergeCell ref="A228:B228"/>
    <mergeCell ref="E228:F228"/>
    <mergeCell ref="C228:D228"/>
    <mergeCell ref="G228:H228"/>
    <mergeCell ref="A114:H114"/>
    <mergeCell ref="A184:H184"/>
    <mergeCell ref="A120:B120"/>
    <mergeCell ref="A193:B193"/>
    <mergeCell ref="A116:B116"/>
    <mergeCell ref="A224:H224"/>
    <mergeCell ref="A118:H118"/>
    <mergeCell ref="A227:H227"/>
    <mergeCell ref="A225:H225"/>
    <mergeCell ref="A221:H221"/>
    <mergeCell ref="G119:H119"/>
    <mergeCell ref="A195:B195"/>
    <mergeCell ref="C125:C126"/>
    <mergeCell ref="B142:B143"/>
    <mergeCell ref="A222:H222"/>
    <mergeCell ref="A226:H226"/>
    <mergeCell ref="A223:H223"/>
    <mergeCell ref="A185:B185"/>
    <mergeCell ref="A119:B119"/>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79:B7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A65:C65"/>
    <mergeCell ref="D65:H65"/>
    <mergeCell ref="C51:E51"/>
    <mergeCell ref="G50:H50"/>
    <mergeCell ref="G52:H52"/>
    <mergeCell ref="A51:B51"/>
    <mergeCell ref="A39:B39"/>
    <mergeCell ref="C39:H39"/>
    <mergeCell ref="A46:D46"/>
    <mergeCell ref="L131:M131"/>
    <mergeCell ref="L130:M130"/>
    <mergeCell ref="L129:M129"/>
    <mergeCell ref="L128:M128"/>
    <mergeCell ref="A84:B84"/>
    <mergeCell ref="C120:D120"/>
    <mergeCell ref="E120:F120"/>
    <mergeCell ref="G120:H120"/>
    <mergeCell ref="A102:E102"/>
    <mergeCell ref="A127:H127"/>
    <mergeCell ref="E125:E126"/>
    <mergeCell ref="A91:B91"/>
    <mergeCell ref="A47:D47"/>
    <mergeCell ref="A48:H48"/>
    <mergeCell ref="D64:H64"/>
    <mergeCell ref="A64:C64"/>
    <mergeCell ref="A83:B83"/>
    <mergeCell ref="C89:H89"/>
    <mergeCell ref="A45:D45"/>
    <mergeCell ref="A103:E103"/>
    <mergeCell ref="A75:B75"/>
    <mergeCell ref="L184:M184"/>
    <mergeCell ref="A189:B189"/>
    <mergeCell ref="A186:B186"/>
    <mergeCell ref="A187:B187"/>
    <mergeCell ref="A197:B197"/>
    <mergeCell ref="A40:B40"/>
    <mergeCell ref="C40:H40"/>
    <mergeCell ref="F125:F126"/>
    <mergeCell ref="C116:D116"/>
    <mergeCell ref="E116:F116"/>
    <mergeCell ref="B125:B126"/>
    <mergeCell ref="A125:A126"/>
    <mergeCell ref="C142:C143"/>
    <mergeCell ref="G142:G143"/>
    <mergeCell ref="G122:H122"/>
    <mergeCell ref="C55:H55"/>
    <mergeCell ref="A76:B76"/>
    <mergeCell ref="A49:B49"/>
    <mergeCell ref="C49:H49"/>
    <mergeCell ref="G91:H100"/>
    <mergeCell ref="A92:B92"/>
    <mergeCell ref="A93:B93"/>
    <mergeCell ref="A94:B94"/>
    <mergeCell ref="F103:H103"/>
    <mergeCell ref="A89:B89"/>
    <mergeCell ref="A200:B200"/>
    <mergeCell ref="A196:H196"/>
    <mergeCell ref="A152:H152"/>
    <mergeCell ref="D125:D126"/>
    <mergeCell ref="A153:B153"/>
    <mergeCell ref="B217:H217"/>
    <mergeCell ref="B220:H220"/>
    <mergeCell ref="A106:E106"/>
    <mergeCell ref="A100:B100"/>
    <mergeCell ref="A121:B121"/>
    <mergeCell ref="E121:F121"/>
    <mergeCell ref="A111:E111"/>
    <mergeCell ref="G121:H121"/>
    <mergeCell ref="E117:F117"/>
    <mergeCell ref="G117:H117"/>
    <mergeCell ref="A117:B117"/>
    <mergeCell ref="C117:D117"/>
    <mergeCell ref="B216:H216"/>
    <mergeCell ref="A199:B199"/>
    <mergeCell ref="A188:B188"/>
    <mergeCell ref="A131:B131"/>
    <mergeCell ref="A130:B130"/>
    <mergeCell ref="E90:F9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5:E126">
      <formula1>"Attached Loft area,Attached Otla area,Attached Mezzanine area"</formula1>
    </dataValidation>
    <dataValidation type="list" allowBlank="1" showInputMessage="1" showErrorMessage="1" sqref="G228:H228">
      <formula1>"Kunal Kadam,Pranita Mhatre,Shruti Fule,Pooja Kawale,Neha Dhokale,Shruti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B125:B126">
      <formula1>"Shop No. (Sale Plan),Sale / Rehab,Sale / Mhada"</formula1>
    </dataValidation>
    <dataValidation type="list" allowBlank="1" showInputMessage="1" showErrorMessage="1" sqref="B142:B14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2:E143">
      <formula1>"Fungible area,Balcony Area,Chajja Area,Cornice Area,AP Area,WS Area"</formula1>
    </dataValidation>
    <dataValidation type="list" allowBlank="1" showInputMessage="1" showErrorMessage="1" sqref="H126 H14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25 H142">
      <formula1>"Saleable area Loading :,Builder Saleable Area"</formula1>
    </dataValidation>
    <dataValidation type="list" allowBlank="1" showInputMessage="1" showErrorMessage="1" sqref="D125:D126 D142:D14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32" max="16383" man="1"/>
    <brk id="275" max="16383" man="1"/>
    <brk id="30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0" t="s">
        <v>105</v>
      </c>
      <c r="C3" s="220"/>
      <c r="D3" s="220"/>
      <c r="E3" s="220"/>
      <c r="F3" s="220"/>
      <c r="G3" s="220"/>
      <c r="H3" s="220"/>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178</v>
      </c>
      <c r="E4" s="55" t="s">
        <v>188</v>
      </c>
      <c r="F4" s="55" t="s">
        <v>172</v>
      </c>
      <c r="G4" s="55" t="s">
        <v>193</v>
      </c>
      <c r="H4" s="55" t="s">
        <v>211</v>
      </c>
      <c r="J4" t="s">
        <v>193</v>
      </c>
      <c r="K4" t="s">
        <v>209</v>
      </c>
    </row>
    <row r="5" spans="2:11" x14ac:dyDescent="0.35">
      <c r="B5" s="54"/>
      <c r="C5" s="54"/>
      <c r="D5" s="55" t="s">
        <v>179</v>
      </c>
      <c r="E5" s="55" t="s">
        <v>186</v>
      </c>
      <c r="F5" s="55" t="s">
        <v>208</v>
      </c>
      <c r="G5" s="55" t="s">
        <v>194</v>
      </c>
      <c r="H5" s="55" t="s">
        <v>212</v>
      </c>
    </row>
    <row r="6" spans="2:11" x14ac:dyDescent="0.35">
      <c r="B6" s="54"/>
      <c r="C6" s="54"/>
      <c r="D6" s="55" t="s">
        <v>180</v>
      </c>
      <c r="E6" s="55" t="s">
        <v>187</v>
      </c>
      <c r="F6" s="55" t="s">
        <v>209</v>
      </c>
      <c r="G6" s="55" t="s">
        <v>195</v>
      </c>
      <c r="H6" s="55" t="s">
        <v>225</v>
      </c>
    </row>
    <row r="7" spans="2:11" x14ac:dyDescent="0.35">
      <c r="B7" s="54"/>
      <c r="C7" s="54"/>
      <c r="D7" s="55" t="s">
        <v>181</v>
      </c>
      <c r="E7" s="55" t="s">
        <v>189</v>
      </c>
      <c r="F7" s="55" t="s">
        <v>210</v>
      </c>
      <c r="G7" s="55" t="s">
        <v>196</v>
      </c>
      <c r="H7" s="55" t="s">
        <v>213</v>
      </c>
    </row>
    <row r="8" spans="2:11" x14ac:dyDescent="0.35">
      <c r="B8" s="54"/>
      <c r="C8" s="54"/>
      <c r="D8" s="55" t="s">
        <v>182</v>
      </c>
      <c r="E8" s="55" t="s">
        <v>190</v>
      </c>
      <c r="F8" s="55"/>
      <c r="G8" s="55" t="s">
        <v>197</v>
      </c>
      <c r="H8" s="55" t="s">
        <v>214</v>
      </c>
    </row>
    <row r="9" spans="2:11" x14ac:dyDescent="0.35">
      <c r="B9" s="54"/>
      <c r="C9" s="54"/>
      <c r="D9" s="55" t="s">
        <v>183</v>
      </c>
      <c r="E9" s="55" t="s">
        <v>188</v>
      </c>
      <c r="F9" s="55"/>
      <c r="G9" s="55" t="s">
        <v>198</v>
      </c>
      <c r="H9" s="55" t="s">
        <v>215</v>
      </c>
    </row>
    <row r="10" spans="2:11" x14ac:dyDescent="0.35">
      <c r="B10" s="54"/>
      <c r="C10" s="54"/>
      <c r="D10" s="55" t="s">
        <v>184</v>
      </c>
      <c r="E10" s="55" t="s">
        <v>191</v>
      </c>
      <c r="F10" s="55"/>
      <c r="G10" s="55" t="s">
        <v>199</v>
      </c>
      <c r="H10" s="55" t="s">
        <v>216</v>
      </c>
    </row>
    <row r="11" spans="2:11" x14ac:dyDescent="0.35">
      <c r="B11" s="54"/>
      <c r="C11" s="54"/>
      <c r="D11" s="55" t="s">
        <v>185</v>
      </c>
      <c r="E11" s="55" t="s">
        <v>192</v>
      </c>
      <c r="F11" s="55"/>
      <c r="G11" s="55" t="s">
        <v>200</v>
      </c>
      <c r="H11" s="55" t="s">
        <v>217</v>
      </c>
    </row>
    <row r="12" spans="2:11" x14ac:dyDescent="0.35">
      <c r="B12" s="54"/>
      <c r="C12" s="54"/>
      <c r="D12" s="55"/>
      <c r="E12" s="55"/>
      <c r="F12" s="55"/>
      <c r="G12" s="55" t="s">
        <v>201</v>
      </c>
      <c r="H12" s="55" t="s">
        <v>218</v>
      </c>
    </row>
    <row r="13" spans="2:11" x14ac:dyDescent="0.35">
      <c r="B13" s="54"/>
      <c r="C13" s="54"/>
      <c r="D13" s="55"/>
      <c r="E13" s="55"/>
      <c r="F13" s="55"/>
      <c r="G13" s="55" t="s">
        <v>202</v>
      </c>
      <c r="H13" s="55" t="s">
        <v>219</v>
      </c>
    </row>
    <row r="14" spans="2:11" x14ac:dyDescent="0.35">
      <c r="B14" s="54"/>
      <c r="C14" s="54"/>
      <c r="D14" s="55"/>
      <c r="E14" s="55"/>
      <c r="F14" s="55"/>
      <c r="G14" s="55" t="s">
        <v>203</v>
      </c>
      <c r="H14" s="55" t="s">
        <v>220</v>
      </c>
    </row>
    <row r="15" spans="2:11" x14ac:dyDescent="0.35">
      <c r="B15" s="54"/>
      <c r="C15" s="54"/>
      <c r="D15" s="55"/>
      <c r="E15" s="55"/>
      <c r="F15" s="55"/>
      <c r="G15" s="55" t="s">
        <v>204</v>
      </c>
      <c r="H15" s="55" t="s">
        <v>221</v>
      </c>
    </row>
    <row r="16" spans="2:11" x14ac:dyDescent="0.35">
      <c r="B16" s="54"/>
      <c r="C16" s="54"/>
      <c r="D16" s="55"/>
      <c r="E16" s="55"/>
      <c r="F16" s="55"/>
      <c r="G16" s="55" t="s">
        <v>205</v>
      </c>
      <c r="H16" s="55" t="s">
        <v>222</v>
      </c>
    </row>
    <row r="17" spans="2:8" x14ac:dyDescent="0.35">
      <c r="B17" s="54"/>
      <c r="C17" s="54"/>
      <c r="D17" s="55"/>
      <c r="E17" s="55"/>
      <c r="F17" s="55"/>
      <c r="G17" s="55" t="s">
        <v>206</v>
      </c>
      <c r="H17" s="55" t="s">
        <v>223</v>
      </c>
    </row>
    <row r="18" spans="2:8" x14ac:dyDescent="0.35">
      <c r="B18" s="54"/>
      <c r="C18" s="54"/>
      <c r="D18" s="55"/>
      <c r="E18" s="55"/>
      <c r="F18" s="55"/>
      <c r="G18" s="55" t="s">
        <v>207</v>
      </c>
      <c r="H18" s="55"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58" t="s">
        <v>236</v>
      </c>
      <c r="D34" s="55" t="s">
        <v>234</v>
      </c>
      <c r="E34" s="55" t="s">
        <v>239</v>
      </c>
      <c r="F34" s="55" t="s">
        <v>237</v>
      </c>
      <c r="G34" s="55" t="s">
        <v>238</v>
      </c>
      <c r="H34" s="55" t="s">
        <v>240</v>
      </c>
      <c r="J34" t="s">
        <v>193</v>
      </c>
      <c r="K34" t="s">
        <v>209</v>
      </c>
    </row>
    <row r="35" spans="3:11" x14ac:dyDescent="0.35">
      <c r="C35" s="54" t="s">
        <v>235</v>
      </c>
      <c r="D35" s="55" t="s">
        <v>170</v>
      </c>
      <c r="E35" s="55" t="s">
        <v>244</v>
      </c>
      <c r="F35" s="55" t="s">
        <v>246</v>
      </c>
      <c r="G35" s="55" t="s">
        <v>248</v>
      </c>
      <c r="H35" s="55"/>
    </row>
    <row r="36" spans="3:11" x14ac:dyDescent="0.35">
      <c r="C36" s="54"/>
      <c r="D36" s="55" t="s">
        <v>241</v>
      </c>
      <c r="E36" s="55" t="s">
        <v>245</v>
      </c>
      <c r="F36" s="55" t="s">
        <v>247</v>
      </c>
      <c r="G36" s="55" t="s">
        <v>249</v>
      </c>
      <c r="H36" s="55"/>
    </row>
    <row r="37" spans="3:11" x14ac:dyDescent="0.35">
      <c r="C37" s="54"/>
      <c r="D37" s="55" t="s">
        <v>242</v>
      </c>
      <c r="E37" s="55"/>
      <c r="F37" s="55"/>
      <c r="G37" s="55" t="s">
        <v>250</v>
      </c>
      <c r="H37" s="55"/>
    </row>
    <row r="38" spans="3:11" x14ac:dyDescent="0.35">
      <c r="C38" s="54"/>
      <c r="D38" s="55" t="s">
        <v>243</v>
      </c>
      <c r="E38" s="55"/>
      <c r="F38" s="55"/>
      <c r="G38" s="55" t="s">
        <v>250</v>
      </c>
      <c r="H38" s="55"/>
    </row>
    <row r="39" spans="3:11" x14ac:dyDescent="0.35">
      <c r="C39" s="54"/>
      <c r="D39" s="55"/>
      <c r="E39" s="55"/>
      <c r="F39" s="55"/>
      <c r="G39" s="55" t="s">
        <v>251</v>
      </c>
      <c r="H39" s="55"/>
    </row>
    <row r="40" spans="3:11" x14ac:dyDescent="0.35">
      <c r="C40" s="54"/>
      <c r="D40" s="55"/>
      <c r="E40" s="55"/>
      <c r="F40" s="55"/>
      <c r="G40" s="55" t="s">
        <v>252</v>
      </c>
      <c r="H40" s="55"/>
    </row>
    <row r="41" spans="3:11" x14ac:dyDescent="0.35">
      <c r="C41" s="54"/>
      <c r="D41" s="55"/>
      <c r="E41" s="55"/>
      <c r="F41" s="55"/>
      <c r="G41" s="55"/>
      <c r="H41" s="55"/>
    </row>
    <row r="43" spans="3:11" x14ac:dyDescent="0.35">
      <c r="C43" t="s">
        <v>253</v>
      </c>
    </row>
    <row r="44" spans="3:11" x14ac:dyDescent="0.35">
      <c r="C44" t="s">
        <v>172</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9">
        <v>1</v>
      </c>
      <c r="C2" s="62" t="s">
        <v>284</v>
      </c>
    </row>
    <row r="3" spans="2:3" x14ac:dyDescent="0.35">
      <c r="B3" s="59">
        <v>2</v>
      </c>
      <c r="C3" s="60" t="s">
        <v>285</v>
      </c>
    </row>
    <row r="4" spans="2:3" x14ac:dyDescent="0.35">
      <c r="B4" s="59">
        <v>3</v>
      </c>
      <c r="C4" s="61" t="s">
        <v>286</v>
      </c>
    </row>
    <row r="5" spans="2:3" x14ac:dyDescent="0.35">
      <c r="B5" s="59">
        <v>4</v>
      </c>
      <c r="C5" s="60" t="s">
        <v>287</v>
      </c>
    </row>
    <row r="6" spans="2:3" x14ac:dyDescent="0.35">
      <c r="B6" s="59">
        <v>5</v>
      </c>
      <c r="C6" s="61" t="s">
        <v>288</v>
      </c>
    </row>
    <row r="7" spans="2:3" ht="29" x14ac:dyDescent="0.35">
      <c r="B7" s="59">
        <v>6</v>
      </c>
      <c r="C7" s="60" t="s">
        <v>289</v>
      </c>
    </row>
    <row r="8" spans="2:3" ht="72.5" x14ac:dyDescent="0.35">
      <c r="B8" s="59">
        <v>7</v>
      </c>
      <c r="C8" s="60" t="s">
        <v>290</v>
      </c>
    </row>
    <row r="9" spans="2:3" x14ac:dyDescent="0.35">
      <c r="B9" s="59">
        <v>8</v>
      </c>
      <c r="C9" s="61" t="s">
        <v>291</v>
      </c>
    </row>
    <row r="10" spans="2:3" x14ac:dyDescent="0.35">
      <c r="B10" s="59">
        <v>9</v>
      </c>
      <c r="C10" s="61" t="s">
        <v>292</v>
      </c>
    </row>
    <row r="11" spans="2:3" x14ac:dyDescent="0.35">
      <c r="B11" s="59">
        <v>10</v>
      </c>
      <c r="C11" s="61" t="s">
        <v>293</v>
      </c>
    </row>
    <row r="12" spans="2:3" x14ac:dyDescent="0.35">
      <c r="B12" s="59">
        <v>11</v>
      </c>
      <c r="C12" s="61" t="s">
        <v>294</v>
      </c>
    </row>
    <row r="13" spans="2:3" x14ac:dyDescent="0.35">
      <c r="B13" s="59">
        <v>12</v>
      </c>
      <c r="C13" s="61" t="s">
        <v>295</v>
      </c>
    </row>
    <row r="14" spans="2:3" x14ac:dyDescent="0.35">
      <c r="B14" s="59">
        <v>13</v>
      </c>
      <c r="C14" s="61" t="s">
        <v>296</v>
      </c>
    </row>
    <row r="15" spans="2:3" x14ac:dyDescent="0.35">
      <c r="B15" s="59">
        <v>14</v>
      </c>
      <c r="C15" s="61" t="s">
        <v>286</v>
      </c>
    </row>
    <row r="16" spans="2:3" x14ac:dyDescent="0.35">
      <c r="B16" s="59">
        <v>15</v>
      </c>
      <c r="C16" s="61" t="s">
        <v>298</v>
      </c>
    </row>
    <row r="17" spans="2:3" ht="31.5" customHeight="1" x14ac:dyDescent="0.35">
      <c r="B17" s="68">
        <v>16</v>
      </c>
      <c r="C17" s="70" t="s">
        <v>299</v>
      </c>
    </row>
    <row r="18" spans="2:3" x14ac:dyDescent="0.35">
      <c r="B18" s="69">
        <v>17</v>
      </c>
      <c r="C18" s="70" t="s">
        <v>300</v>
      </c>
    </row>
    <row r="19" spans="2:3" x14ac:dyDescent="0.35">
      <c r="B19" s="68">
        <v>18</v>
      </c>
      <c r="C19" s="59" t="s">
        <v>301</v>
      </c>
    </row>
    <row r="20" spans="2:3" x14ac:dyDescent="0.35">
      <c r="B20" s="69">
        <v>19</v>
      </c>
      <c r="C20" s="59"/>
    </row>
    <row r="21" spans="2:3" x14ac:dyDescent="0.35">
      <c r="B21" s="71">
        <v>20</v>
      </c>
      <c r="C21" s="59"/>
    </row>
    <row r="22" spans="2:3" x14ac:dyDescent="0.35">
      <c r="B22" s="59"/>
      <c r="C22" s="59"/>
    </row>
    <row r="23" spans="2:3" x14ac:dyDescent="0.35">
      <c r="B23" s="59"/>
      <c r="C23" s="59"/>
    </row>
    <row r="24" spans="2:3" x14ac:dyDescent="0.35">
      <c r="B24" s="59"/>
      <c r="C24" s="59"/>
    </row>
    <row r="25" spans="2:3" x14ac:dyDescent="0.35">
      <c r="B25" s="59"/>
      <c r="C25" s="59"/>
    </row>
    <row r="26" spans="2:3" x14ac:dyDescent="0.35">
      <c r="B26" s="59"/>
      <c r="C26" s="5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2025-05-20T09:54:53Z</cp:lastPrinted>
  <dcterms:created xsi:type="dcterms:W3CDTF">2019-07-16T09:29:46Z</dcterms:created>
  <dcterms:modified xsi:type="dcterms:W3CDTF">2025-08-19T07:15:44Z</dcterms:modified>
</cp:coreProperties>
</file>